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3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isateur\Documents\"/>
    </mc:Choice>
  </mc:AlternateContent>
  <bookViews>
    <workbookView xWindow="0" yWindow="0" windowWidth="17970" windowHeight="8280" tabRatio="591" firstSheet="8" activeTab="10"/>
  </bookViews>
  <sheets>
    <sheet name="2.2.1" sheetId="1" r:id="rId1"/>
    <sheet name="2.3.1" sheetId="2" r:id="rId2"/>
    <sheet name="2.3.2" sheetId="3" r:id="rId3"/>
    <sheet name="2.3.3" sheetId="4" r:id="rId4"/>
    <sheet name="2.3.4 et 2.3.5.1" sheetId="5" r:id="rId5"/>
    <sheet name="2.3.5" sheetId="6" r:id="rId6"/>
    <sheet name="2.4.5.1 Missions" sheetId="8" r:id="rId7"/>
    <sheet name="2.4.5.2 Durée de missions" sheetId="11" r:id="rId8"/>
    <sheet name="2.4.5.3 Emplois ETP  base a" sheetId="12" r:id="rId9"/>
    <sheet name="2.4.5.4 Emplois ETP  base m" sheetId="13" r:id="rId10"/>
    <sheet name="2.4.5.5 Emplois Mens. Intér Eq" sheetId="14" r:id="rId11"/>
    <sheet name="Feuil2" sheetId="28" r:id="rId12"/>
    <sheet name="Feuil3" sheetId="29" r:id="rId13"/>
    <sheet name="Capacité par type" sheetId="15" r:id="rId14"/>
    <sheet name="Capacité par CSP" sheetId="16" r:id="rId15"/>
    <sheet name="2.6" sheetId="17" r:id="rId16"/>
    <sheet name="Feuil1" sheetId="27" r:id="rId17"/>
    <sheet name="3.6.1" sheetId="30" r:id="rId18"/>
  </sheets>
  <definedNames>
    <definedName name="BDA">'2.3.5'!$F$36</definedName>
    <definedName name="CMD_1">'2.4.5.1 Missions'!$D$37</definedName>
    <definedName name="CMD_10">'2.4.5.1 Missions'!$D$46</definedName>
    <definedName name="CMD_11">'2.4.5.1 Missions'!$D$47</definedName>
    <definedName name="CMD_12">'2.4.5.1 Missions'!$D$48</definedName>
    <definedName name="CMD_2">'2.4.5.1 Missions'!$D$38</definedName>
    <definedName name="CMD_3">'2.4.5.1 Missions'!$D$39</definedName>
    <definedName name="CMD_4">'2.4.5.1 Missions'!$D$40</definedName>
    <definedName name="CMD_5">'2.4.5.1 Missions'!$D$41</definedName>
    <definedName name="CMD_6">'2.4.5.1 Missions'!$D$42</definedName>
    <definedName name="CMD_7">'2.4.5.1 Missions'!$D$43</definedName>
    <definedName name="CMD_8">'2.4.5.1 Missions'!$D$44</definedName>
    <definedName name="CMD_9">'2.4.5.1 Missions'!$D$45</definedName>
    <definedName name="CMO_1">'2.4.5.1 Missions'!$F$37</definedName>
    <definedName name="CMO_10">'2.4.5.1 Missions'!$F$46</definedName>
    <definedName name="CMO_11">'2.4.5.1 Missions'!$F$47</definedName>
    <definedName name="CMO_12">'2.4.5.1 Missions'!$F$48</definedName>
    <definedName name="CMO_2">'2.4.5.1 Missions'!$F$38</definedName>
    <definedName name="CMO_3">'2.4.5.1 Missions'!$F$39</definedName>
    <definedName name="CMO_4">'2.4.5.1 Missions'!$F$40</definedName>
    <definedName name="CMO_5">'2.4.5.1 Missions'!$F$41</definedName>
    <definedName name="CMO_6">'2.4.5.1 Missions'!$F$42</definedName>
    <definedName name="CMO_7">'2.4.5.1 Missions'!$F$43</definedName>
    <definedName name="CMO_8">'2.4.5.1 Missions'!$F$44</definedName>
    <definedName name="CMO_9">'2.4.5.1 Missions'!$F$45</definedName>
    <definedName name="CSP_PART_C">'Capacité par CSP'!$H$6</definedName>
    <definedName name="CSP_PART_E">'Capacité par CSP'!$L$6</definedName>
    <definedName name="CSP_PART_ONQ">'Capacité par CSP'!$P$6</definedName>
    <definedName name="CSP_PART_OQ">'Capacité par CSP'!$N$6</definedName>
    <definedName name="CSP_PART_PI">'Capacité par CSP'!$J$6</definedName>
    <definedName name="DMG_1">'2.4.5.1 Missions'!$D$5</definedName>
    <definedName name="DMG_10">'2.4.5.1 Missions'!$D$14</definedName>
    <definedName name="DMG_11">'2.4.5.1 Missions'!$D$15</definedName>
    <definedName name="DMG_12">'2.4.5.1 Missions'!$D$16</definedName>
    <definedName name="DMG_13">'2.4.5.1 Missions'!$D$17</definedName>
    <definedName name="DMG_14">'2.4.5.1 Missions'!$D$18</definedName>
    <definedName name="DMG_15">'2.4.5.1 Missions'!$D$19</definedName>
    <definedName name="DMG_16">'2.4.5.1 Missions'!$D$20</definedName>
    <definedName name="DMG_17">'2.4.5.1 Missions'!$D$21</definedName>
    <definedName name="DMG_18">'2.4.5.1 Missions'!$D$22</definedName>
    <definedName name="DMG_19">'2.4.5.1 Missions'!$D$23</definedName>
    <definedName name="DMG_2">'2.4.5.1 Missions'!$D$6</definedName>
    <definedName name="DMG_20">'2.4.5.1 Missions'!$D$24</definedName>
    <definedName name="DMG_21">'2.4.5.1 Missions'!$D$25</definedName>
    <definedName name="DMG_22">'2.4.5.1 Missions'!$D$26</definedName>
    <definedName name="DMG_23">'2.4.5.1 Missions'!$D$27</definedName>
    <definedName name="DMG_3">'2.4.5.1 Missions'!$D$7</definedName>
    <definedName name="DMG_4">'2.4.5.1 Missions'!$D$8</definedName>
    <definedName name="DMG_5">'2.4.5.1 Missions'!$D$9</definedName>
    <definedName name="DMG_6">'2.4.5.1 Missions'!$D$10</definedName>
    <definedName name="DMG_7">'2.4.5.1 Missions'!$D$11</definedName>
    <definedName name="DMG_8">'2.4.5.1 Missions'!$D$12</definedName>
    <definedName name="DMG_9">'2.4.5.1 Missions'!$D$13</definedName>
    <definedName name="DMM">'2.3.5'!$F$35</definedName>
    <definedName name="OMG_1">'2.4.5.1 Missions'!$E$5</definedName>
    <definedName name="OMG_10">'2.4.5.1 Missions'!$E$14</definedName>
    <definedName name="OMG_11">'2.4.5.1 Missions'!$E$15</definedName>
    <definedName name="OMG_12">'2.4.5.1 Missions'!$E$16</definedName>
    <definedName name="OMG_13">'2.4.5.1 Missions'!$E$17</definedName>
    <definedName name="OMG_14">'2.4.5.1 Missions'!$E$18</definedName>
    <definedName name="OMG_15">'2.4.5.1 Missions'!$E$19</definedName>
    <definedName name="OMG_16">'2.4.5.1 Missions'!$E$20</definedName>
    <definedName name="OMG_17">'2.4.5.1 Missions'!$E$21</definedName>
    <definedName name="OMG_18">'2.4.5.1 Missions'!$E$22</definedName>
    <definedName name="OMG_19">'2.4.5.1 Missions'!$E$23</definedName>
    <definedName name="OMG_2">'2.4.5.1 Missions'!$E$6</definedName>
    <definedName name="OMG_20">'2.4.5.1 Missions'!$E$24</definedName>
    <definedName name="OMG_21">'2.4.5.1 Missions'!$E$25</definedName>
    <definedName name="OMG_22">'2.4.5.1 Missions'!$E$26</definedName>
    <definedName name="OMG_23">'2.4.5.1 Missions'!$E$27</definedName>
    <definedName name="OMG_3">'2.4.5.1 Missions'!$E$7</definedName>
    <definedName name="OMG_4">'2.4.5.1 Missions'!$E$8</definedName>
    <definedName name="OMG_5">'2.4.5.1 Missions'!$E$9</definedName>
    <definedName name="OMG_6">'2.4.5.1 Missions'!$E$10</definedName>
    <definedName name="OMG_7">'2.4.5.1 Missions'!$E$11</definedName>
    <definedName name="OMG_8">'2.4.5.1 Missions'!$E$12</definedName>
    <definedName name="OMG_9">'2.4.5.1 Missions'!$E$13</definedName>
    <definedName name="QTMGI">'2.3.5'!$F$37</definedName>
    <definedName name="TC">'2.3.4 et 2.3.5.1'!$G$3</definedName>
    <definedName name="TYPE_PART_II">'Capacité par type'!$L$7</definedName>
    <definedName name="TYPE_PART_IIP">'Capacité par type'!$N$7</definedName>
    <definedName name="TYPE_PART_IO">'Capacité par type'!$J$7</definedName>
    <definedName name="TYPE_PART_IP">'Capacité par type'!$H$7</definedName>
    <definedName name="TYPE_PART_IR">'Capacité par type'!$P$7</definedName>
    <definedName name="TYPE_QUOTITE_II">'Capacité par type'!$M$7</definedName>
    <definedName name="TYPE_QUOTITE_IIP">'Capacité par type'!$O$7</definedName>
    <definedName name="TYPE_QUOTITE_IO">'Capacité par type'!$K$7</definedName>
    <definedName name="TYPE_QUOTITE_IP">'Capacité par type'!$I$7</definedName>
    <definedName name="TYPE_QUOTITE_IR">'Capacité par type'!$Q$7</definedName>
    <definedName name="TYPE_RST">'Capacité par type'!$H$77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69" i="30" l="1"/>
  <c r="Y269" i="30"/>
  <c r="Z269" i="30"/>
  <c r="X270" i="30"/>
  <c r="Y270" i="30"/>
  <c r="Z270" i="30"/>
  <c r="X271" i="30"/>
  <c r="Y271" i="30"/>
  <c r="Z271" i="30"/>
  <c r="X272" i="30"/>
  <c r="Y272" i="30"/>
  <c r="Z272" i="30"/>
  <c r="X273" i="30"/>
  <c r="Y273" i="30"/>
  <c r="Z273" i="30"/>
  <c r="X274" i="30"/>
  <c r="Y274" i="30"/>
  <c r="Z274" i="30"/>
  <c r="X275" i="30"/>
  <c r="Y275" i="30"/>
  <c r="Z275" i="30"/>
  <c r="X276" i="30"/>
  <c r="Y276" i="30"/>
  <c r="Z276" i="30"/>
  <c r="X277" i="30"/>
  <c r="Y277" i="30"/>
  <c r="Z277" i="30"/>
  <c r="X278" i="30"/>
  <c r="Y278" i="30"/>
  <c r="Z278" i="30"/>
  <c r="X279" i="30"/>
  <c r="Y279" i="30"/>
  <c r="Z279" i="30"/>
  <c r="X280" i="30"/>
  <c r="Y280" i="30"/>
  <c r="Z280" i="30"/>
  <c r="N269" i="30" l="1"/>
  <c r="N270" i="30"/>
  <c r="N271" i="30"/>
  <c r="N272" i="30"/>
  <c r="N274" i="30"/>
  <c r="N275" i="30"/>
  <c r="N276" i="30"/>
  <c r="N277" i="30"/>
  <c r="N278" i="30"/>
  <c r="N279" i="30"/>
  <c r="N273" i="30"/>
  <c r="N280" i="30"/>
  <c r="J265" i="30"/>
  <c r="G265" i="30"/>
  <c r="E265" i="30"/>
  <c r="D265" i="30"/>
  <c r="H265" i="30" s="1"/>
  <c r="G264" i="30"/>
  <c r="E264" i="30"/>
  <c r="D264" i="30"/>
  <c r="J263" i="30"/>
  <c r="G263" i="30"/>
  <c r="E263" i="30"/>
  <c r="D263" i="30"/>
  <c r="J262" i="30"/>
  <c r="G262" i="30"/>
  <c r="E262" i="30"/>
  <c r="D262" i="30"/>
  <c r="G261" i="30"/>
  <c r="E261" i="30"/>
  <c r="D261" i="30"/>
  <c r="H261" i="30" s="1"/>
  <c r="E260" i="30"/>
  <c r="D260" i="30"/>
  <c r="J259" i="30"/>
  <c r="G259" i="30"/>
  <c r="E259" i="30"/>
  <c r="D259" i="30"/>
  <c r="E258" i="30"/>
  <c r="D258" i="30"/>
  <c r="H257" i="30"/>
  <c r="G257" i="30"/>
  <c r="E257" i="30"/>
  <c r="D257" i="30"/>
  <c r="E256" i="30"/>
  <c r="D256" i="30"/>
  <c r="E255" i="30"/>
  <c r="D255" i="30"/>
  <c r="E254" i="30"/>
  <c r="D254" i="30"/>
  <c r="H253" i="30"/>
  <c r="G253" i="30"/>
  <c r="E253" i="30"/>
  <c r="D253" i="30"/>
  <c r="J253" i="30" s="1"/>
  <c r="G252" i="30"/>
  <c r="F252" i="30"/>
  <c r="E252" i="30"/>
  <c r="D252" i="30"/>
  <c r="E251" i="30"/>
  <c r="D251" i="30"/>
  <c r="E250" i="30"/>
  <c r="D250" i="30"/>
  <c r="G249" i="30"/>
  <c r="E249" i="30"/>
  <c r="D249" i="30"/>
  <c r="G248" i="30"/>
  <c r="E248" i="30"/>
  <c r="D248" i="30"/>
  <c r="J247" i="30"/>
  <c r="G247" i="30"/>
  <c r="E247" i="30"/>
  <c r="D247" i="30"/>
  <c r="J246" i="30"/>
  <c r="G246" i="30"/>
  <c r="E246" i="30"/>
  <c r="D246" i="30"/>
  <c r="H245" i="30"/>
  <c r="G245" i="30"/>
  <c r="E245" i="30"/>
  <c r="D245" i="30"/>
  <c r="E244" i="30"/>
  <c r="D244" i="30"/>
  <c r="G243" i="30"/>
  <c r="E243" i="30"/>
  <c r="D243" i="30"/>
  <c r="E242" i="30"/>
  <c r="D242" i="30"/>
  <c r="H241" i="30"/>
  <c r="G241" i="30"/>
  <c r="E241" i="30"/>
  <c r="D241" i="30"/>
  <c r="N240" i="30"/>
  <c r="G240" i="30"/>
  <c r="L240" i="30" s="1"/>
  <c r="E240" i="30"/>
  <c r="D240" i="30"/>
  <c r="G239" i="30"/>
  <c r="E239" i="30"/>
  <c r="D239" i="30"/>
  <c r="E238" i="30"/>
  <c r="D238" i="30"/>
  <c r="H237" i="30"/>
  <c r="F237" i="30"/>
  <c r="E237" i="30"/>
  <c r="D237" i="30"/>
  <c r="P236" i="30"/>
  <c r="G236" i="30"/>
  <c r="F236" i="30"/>
  <c r="E236" i="30"/>
  <c r="J236" i="30" s="1"/>
  <c r="D236" i="30"/>
  <c r="H236" i="30" s="1"/>
  <c r="E235" i="30"/>
  <c r="D235" i="30"/>
  <c r="G234" i="30"/>
  <c r="F234" i="30"/>
  <c r="E234" i="30"/>
  <c r="D234" i="30"/>
  <c r="H233" i="30"/>
  <c r="F233" i="30"/>
  <c r="E233" i="30"/>
  <c r="D233" i="30"/>
  <c r="J233" i="30" s="1"/>
  <c r="P232" i="30"/>
  <c r="N232" i="30"/>
  <c r="G232" i="30"/>
  <c r="F232" i="30"/>
  <c r="L232" i="30" s="1"/>
  <c r="E232" i="30"/>
  <c r="J232" i="30" s="1"/>
  <c r="U232" i="30" s="1"/>
  <c r="D232" i="30"/>
  <c r="H232" i="30" s="1"/>
  <c r="J231" i="30"/>
  <c r="G231" i="30"/>
  <c r="F231" i="30"/>
  <c r="E231" i="30"/>
  <c r="D231" i="30"/>
  <c r="H230" i="30"/>
  <c r="G230" i="30"/>
  <c r="E230" i="30"/>
  <c r="D230" i="30"/>
  <c r="J229" i="30"/>
  <c r="E229" i="30"/>
  <c r="D229" i="30"/>
  <c r="E228" i="30"/>
  <c r="D228" i="30"/>
  <c r="J228" i="30" s="1"/>
  <c r="J227" i="30"/>
  <c r="G227" i="30"/>
  <c r="F227" i="30"/>
  <c r="E227" i="30"/>
  <c r="D227" i="30"/>
  <c r="E226" i="30"/>
  <c r="D226" i="30"/>
  <c r="J225" i="30"/>
  <c r="F225" i="30"/>
  <c r="E225" i="30"/>
  <c r="D225" i="30"/>
  <c r="J224" i="30"/>
  <c r="H224" i="30"/>
  <c r="E224" i="30"/>
  <c r="D224" i="30"/>
  <c r="J223" i="30"/>
  <c r="G223" i="30"/>
  <c r="F223" i="30"/>
  <c r="E223" i="30"/>
  <c r="D223" i="30"/>
  <c r="P222" i="30"/>
  <c r="E222" i="30"/>
  <c r="D222" i="30"/>
  <c r="E221" i="30"/>
  <c r="D221" i="30"/>
  <c r="E220" i="30"/>
  <c r="D220" i="30"/>
  <c r="N219" i="30"/>
  <c r="J219" i="30"/>
  <c r="G219" i="30"/>
  <c r="F219" i="30"/>
  <c r="E219" i="30"/>
  <c r="D219" i="30"/>
  <c r="N218" i="30"/>
  <c r="H218" i="30"/>
  <c r="E218" i="30"/>
  <c r="D218" i="30"/>
  <c r="E217" i="30"/>
  <c r="D217" i="30"/>
  <c r="E216" i="30"/>
  <c r="D216" i="30"/>
  <c r="N215" i="30"/>
  <c r="J215" i="30"/>
  <c r="G215" i="30"/>
  <c r="F215" i="30"/>
  <c r="E215" i="30"/>
  <c r="D215" i="30"/>
  <c r="H214" i="30"/>
  <c r="G214" i="30"/>
  <c r="E214" i="30"/>
  <c r="D214" i="30"/>
  <c r="J213" i="30"/>
  <c r="E213" i="30"/>
  <c r="D213" i="30"/>
  <c r="E212" i="30"/>
  <c r="D212" i="30"/>
  <c r="J211" i="30"/>
  <c r="G211" i="30"/>
  <c r="F211" i="30"/>
  <c r="E211" i="30"/>
  <c r="D211" i="30"/>
  <c r="E210" i="30"/>
  <c r="D210" i="30"/>
  <c r="J209" i="30"/>
  <c r="F209" i="30"/>
  <c r="E209" i="30"/>
  <c r="D209" i="30"/>
  <c r="J208" i="30"/>
  <c r="E208" i="30"/>
  <c r="D208" i="30"/>
  <c r="H208" i="30" s="1"/>
  <c r="N207" i="30"/>
  <c r="J207" i="30"/>
  <c r="G207" i="30"/>
  <c r="F207" i="30"/>
  <c r="E207" i="30"/>
  <c r="D207" i="30"/>
  <c r="P206" i="30"/>
  <c r="N206" i="30"/>
  <c r="G206" i="30"/>
  <c r="E206" i="30"/>
  <c r="D206" i="30"/>
  <c r="E205" i="30"/>
  <c r="D205" i="30"/>
  <c r="E204" i="30"/>
  <c r="D204" i="30"/>
  <c r="J203" i="30"/>
  <c r="G203" i="30"/>
  <c r="F203" i="30"/>
  <c r="E203" i="30"/>
  <c r="D203" i="30"/>
  <c r="E202" i="30"/>
  <c r="D202" i="30"/>
  <c r="F201" i="30"/>
  <c r="E201" i="30"/>
  <c r="D201" i="30"/>
  <c r="E200" i="30"/>
  <c r="D200" i="30"/>
  <c r="N199" i="30"/>
  <c r="J199" i="30"/>
  <c r="G199" i="30"/>
  <c r="F199" i="30"/>
  <c r="E199" i="30"/>
  <c r="D199" i="30"/>
  <c r="N198" i="30"/>
  <c r="H198" i="30"/>
  <c r="G198" i="30"/>
  <c r="E198" i="30"/>
  <c r="D198" i="30"/>
  <c r="N197" i="30"/>
  <c r="E197" i="30"/>
  <c r="D197" i="30"/>
  <c r="E196" i="30"/>
  <c r="D196" i="30"/>
  <c r="N195" i="30"/>
  <c r="J195" i="30"/>
  <c r="G195" i="30"/>
  <c r="F195" i="30"/>
  <c r="E195" i="30"/>
  <c r="D195" i="30"/>
  <c r="H194" i="30"/>
  <c r="G194" i="30"/>
  <c r="E194" i="30"/>
  <c r="D194" i="30"/>
  <c r="J194" i="30" s="1"/>
  <c r="G193" i="30"/>
  <c r="F193" i="30"/>
  <c r="E193" i="30"/>
  <c r="D193" i="30"/>
  <c r="J192" i="30"/>
  <c r="E192" i="30"/>
  <c r="D192" i="30"/>
  <c r="J191" i="30"/>
  <c r="E191" i="30"/>
  <c r="D191" i="30"/>
  <c r="G190" i="30"/>
  <c r="E190" i="30"/>
  <c r="D190" i="30"/>
  <c r="H190" i="30" s="1"/>
  <c r="E189" i="30"/>
  <c r="D189" i="30"/>
  <c r="J188" i="30"/>
  <c r="G188" i="30"/>
  <c r="E188" i="30"/>
  <c r="D188" i="30"/>
  <c r="J187" i="30"/>
  <c r="G187" i="30"/>
  <c r="L187" i="30" s="1"/>
  <c r="E187" i="30"/>
  <c r="D187" i="30"/>
  <c r="H186" i="30"/>
  <c r="G186" i="30"/>
  <c r="E186" i="30"/>
  <c r="D186" i="30"/>
  <c r="P186" i="30" s="1"/>
  <c r="E185" i="30"/>
  <c r="D185" i="30"/>
  <c r="E184" i="30"/>
  <c r="D184" i="30"/>
  <c r="E183" i="30"/>
  <c r="D183" i="30"/>
  <c r="H182" i="30"/>
  <c r="G182" i="30"/>
  <c r="E182" i="30"/>
  <c r="D182" i="30"/>
  <c r="G181" i="30"/>
  <c r="E181" i="30"/>
  <c r="D181" i="30"/>
  <c r="E180" i="30"/>
  <c r="D180" i="30"/>
  <c r="E179" i="30"/>
  <c r="D179" i="30"/>
  <c r="H178" i="30"/>
  <c r="G178" i="30"/>
  <c r="E178" i="30"/>
  <c r="D178" i="30"/>
  <c r="J178" i="30" s="1"/>
  <c r="G177" i="30"/>
  <c r="F177" i="30"/>
  <c r="E177" i="30"/>
  <c r="D177" i="30"/>
  <c r="J176" i="30"/>
  <c r="E176" i="30"/>
  <c r="D176" i="30"/>
  <c r="J175" i="30"/>
  <c r="E175" i="30"/>
  <c r="D175" i="30"/>
  <c r="G174" i="30"/>
  <c r="E174" i="30"/>
  <c r="D174" i="30"/>
  <c r="H174" i="30" s="1"/>
  <c r="E173" i="30"/>
  <c r="D173" i="30"/>
  <c r="J172" i="30"/>
  <c r="G172" i="30"/>
  <c r="E172" i="30"/>
  <c r="D172" i="30"/>
  <c r="J171" i="30"/>
  <c r="G171" i="30"/>
  <c r="E171" i="30"/>
  <c r="D171" i="30"/>
  <c r="H170" i="30"/>
  <c r="G170" i="30"/>
  <c r="E170" i="30"/>
  <c r="D170" i="30"/>
  <c r="E169" i="30"/>
  <c r="D169" i="30"/>
  <c r="E168" i="30"/>
  <c r="D168" i="30"/>
  <c r="E167" i="30"/>
  <c r="D167" i="30"/>
  <c r="H166" i="30"/>
  <c r="G166" i="30"/>
  <c r="E166" i="30"/>
  <c r="D166" i="30"/>
  <c r="G165" i="30"/>
  <c r="E165" i="30"/>
  <c r="D165" i="30"/>
  <c r="E164" i="30"/>
  <c r="D164" i="30"/>
  <c r="E163" i="30"/>
  <c r="D163" i="30"/>
  <c r="H162" i="30"/>
  <c r="G162" i="30"/>
  <c r="E162" i="30"/>
  <c r="D162" i="30"/>
  <c r="J162" i="30" s="1"/>
  <c r="G161" i="30"/>
  <c r="F161" i="30"/>
  <c r="E161" i="30"/>
  <c r="D161" i="30"/>
  <c r="J160" i="30"/>
  <c r="E160" i="30"/>
  <c r="D160" i="30"/>
  <c r="J159" i="30"/>
  <c r="E159" i="30"/>
  <c r="D159" i="30"/>
  <c r="G158" i="30"/>
  <c r="E158" i="30"/>
  <c r="D158" i="30"/>
  <c r="H158" i="30" s="1"/>
  <c r="E157" i="30"/>
  <c r="D157" i="30"/>
  <c r="J156" i="30"/>
  <c r="G156" i="30"/>
  <c r="E156" i="30"/>
  <c r="D156" i="30"/>
  <c r="J155" i="30"/>
  <c r="G155" i="30"/>
  <c r="E155" i="30"/>
  <c r="D155" i="30"/>
  <c r="H154" i="30"/>
  <c r="G154" i="30"/>
  <c r="E154" i="30"/>
  <c r="D154" i="30"/>
  <c r="E153" i="30"/>
  <c r="D153" i="30"/>
  <c r="E152" i="30"/>
  <c r="D152" i="30"/>
  <c r="E151" i="30"/>
  <c r="D151" i="30"/>
  <c r="H150" i="30"/>
  <c r="G150" i="30"/>
  <c r="E150" i="30"/>
  <c r="D150" i="30"/>
  <c r="G149" i="30"/>
  <c r="E149" i="30"/>
  <c r="D149" i="30"/>
  <c r="E148" i="30"/>
  <c r="D148" i="30"/>
  <c r="E147" i="30"/>
  <c r="D147" i="30"/>
  <c r="H146" i="30"/>
  <c r="G146" i="30"/>
  <c r="E146" i="30"/>
  <c r="D146" i="30"/>
  <c r="J146" i="30" s="1"/>
  <c r="G145" i="30"/>
  <c r="F145" i="30"/>
  <c r="E145" i="30"/>
  <c r="D145" i="30"/>
  <c r="J144" i="30"/>
  <c r="E144" i="30"/>
  <c r="D144" i="30"/>
  <c r="J143" i="30"/>
  <c r="E143" i="30"/>
  <c r="D143" i="30"/>
  <c r="G142" i="30"/>
  <c r="E142" i="30"/>
  <c r="D142" i="30"/>
  <c r="H142" i="30" s="1"/>
  <c r="E141" i="30"/>
  <c r="D141" i="30"/>
  <c r="J140" i="30"/>
  <c r="G140" i="30"/>
  <c r="E140" i="30"/>
  <c r="D140" i="30"/>
  <c r="J139" i="30"/>
  <c r="G139" i="30"/>
  <c r="E139" i="30"/>
  <c r="D139" i="30"/>
  <c r="H138" i="30"/>
  <c r="G138" i="30"/>
  <c r="E138" i="30"/>
  <c r="D138" i="30"/>
  <c r="E137" i="30"/>
  <c r="D137" i="30"/>
  <c r="E136" i="30"/>
  <c r="D136" i="30"/>
  <c r="E135" i="30"/>
  <c r="D135" i="30"/>
  <c r="H134" i="30"/>
  <c r="G134" i="30"/>
  <c r="E134" i="30"/>
  <c r="D134" i="30"/>
  <c r="P134" i="30" s="1"/>
  <c r="G133" i="30"/>
  <c r="L133" i="30" s="1"/>
  <c r="E133" i="30"/>
  <c r="D133" i="30"/>
  <c r="E132" i="30"/>
  <c r="D132" i="30"/>
  <c r="N132" i="30" s="1"/>
  <c r="E131" i="30"/>
  <c r="D131" i="30"/>
  <c r="P130" i="30"/>
  <c r="H130" i="30"/>
  <c r="G130" i="30"/>
  <c r="E130" i="30"/>
  <c r="D130" i="30"/>
  <c r="J130" i="30" s="1"/>
  <c r="G129" i="30"/>
  <c r="L129" i="30" s="1"/>
  <c r="F129" i="30"/>
  <c r="E129" i="30"/>
  <c r="D129" i="30"/>
  <c r="J128" i="30"/>
  <c r="E128" i="30"/>
  <c r="D128" i="30"/>
  <c r="J127" i="30"/>
  <c r="E127" i="30"/>
  <c r="D127" i="30"/>
  <c r="G126" i="30"/>
  <c r="E126" i="30"/>
  <c r="D126" i="30"/>
  <c r="H126" i="30" s="1"/>
  <c r="E125" i="30"/>
  <c r="D125" i="30"/>
  <c r="J124" i="30"/>
  <c r="G124" i="30"/>
  <c r="E124" i="30"/>
  <c r="D124" i="30"/>
  <c r="P123" i="30"/>
  <c r="N123" i="30"/>
  <c r="L123" i="30"/>
  <c r="T123" i="30" s="1"/>
  <c r="G123" i="30"/>
  <c r="F123" i="30"/>
  <c r="E123" i="30"/>
  <c r="J123" i="30" s="1"/>
  <c r="U123" i="30" s="1"/>
  <c r="D123" i="30"/>
  <c r="H123" i="30" s="1"/>
  <c r="R123" i="30" s="1"/>
  <c r="V123" i="30" s="1"/>
  <c r="E122" i="30"/>
  <c r="D122" i="30"/>
  <c r="J122" i="30" s="1"/>
  <c r="P121" i="30"/>
  <c r="G121" i="30"/>
  <c r="F121" i="30"/>
  <c r="E121" i="30"/>
  <c r="D121" i="30"/>
  <c r="N121" i="30" s="1"/>
  <c r="P120" i="30"/>
  <c r="H120" i="30"/>
  <c r="F120" i="30"/>
  <c r="E120" i="30"/>
  <c r="D120" i="30"/>
  <c r="J120" i="30" s="1"/>
  <c r="P119" i="30"/>
  <c r="N119" i="30"/>
  <c r="L119" i="30"/>
  <c r="T119" i="30" s="1"/>
  <c r="G119" i="30"/>
  <c r="F119" i="30"/>
  <c r="E119" i="30"/>
  <c r="J119" i="30" s="1"/>
  <c r="U119" i="30" s="1"/>
  <c r="W119" i="30" s="1"/>
  <c r="D119" i="30"/>
  <c r="H119" i="30" s="1"/>
  <c r="R119" i="30" s="1"/>
  <c r="V119" i="30" s="1"/>
  <c r="E118" i="30"/>
  <c r="D118" i="30"/>
  <c r="J118" i="30" s="1"/>
  <c r="G117" i="30"/>
  <c r="F117" i="30"/>
  <c r="E117" i="30"/>
  <c r="D117" i="30"/>
  <c r="H116" i="30"/>
  <c r="F116" i="30"/>
  <c r="E116" i="30"/>
  <c r="D116" i="30"/>
  <c r="J116" i="30" s="1"/>
  <c r="G115" i="30"/>
  <c r="F115" i="30"/>
  <c r="E115" i="30"/>
  <c r="J115" i="30" s="1"/>
  <c r="D115" i="30"/>
  <c r="H115" i="30" s="1"/>
  <c r="E114" i="30"/>
  <c r="D114" i="30"/>
  <c r="J114" i="30" s="1"/>
  <c r="P113" i="30"/>
  <c r="G113" i="30"/>
  <c r="F113" i="30"/>
  <c r="E113" i="30"/>
  <c r="D113" i="30"/>
  <c r="N113" i="30" s="1"/>
  <c r="P112" i="30"/>
  <c r="H112" i="30"/>
  <c r="F112" i="30"/>
  <c r="E112" i="30"/>
  <c r="D112" i="30"/>
  <c r="J112" i="30" s="1"/>
  <c r="P111" i="30"/>
  <c r="N111" i="30"/>
  <c r="L111" i="30"/>
  <c r="T111" i="30" s="1"/>
  <c r="G111" i="30"/>
  <c r="F111" i="30"/>
  <c r="E111" i="30"/>
  <c r="J111" i="30" s="1"/>
  <c r="U111" i="30" s="1"/>
  <c r="D111" i="30"/>
  <c r="H111" i="30" s="1"/>
  <c r="R111" i="30" s="1"/>
  <c r="V111" i="30" s="1"/>
  <c r="E110" i="30"/>
  <c r="D110" i="30"/>
  <c r="J110" i="30" s="1"/>
  <c r="P109" i="30"/>
  <c r="G109" i="30"/>
  <c r="F109" i="30"/>
  <c r="E109" i="30"/>
  <c r="D109" i="30"/>
  <c r="N109" i="30" s="1"/>
  <c r="P108" i="30"/>
  <c r="H108" i="30"/>
  <c r="F108" i="30"/>
  <c r="E108" i="30"/>
  <c r="D108" i="30"/>
  <c r="J108" i="30" s="1"/>
  <c r="P107" i="30"/>
  <c r="N107" i="30"/>
  <c r="L107" i="30"/>
  <c r="T107" i="30" s="1"/>
  <c r="G107" i="30"/>
  <c r="F107" i="30"/>
  <c r="E107" i="30"/>
  <c r="J107" i="30" s="1"/>
  <c r="U107" i="30" s="1"/>
  <c r="W107" i="30" s="1"/>
  <c r="D107" i="30"/>
  <c r="H107" i="30" s="1"/>
  <c r="R107" i="30" s="1"/>
  <c r="V107" i="30" s="1"/>
  <c r="E106" i="30"/>
  <c r="D106" i="30"/>
  <c r="J106" i="30" s="1"/>
  <c r="P105" i="30"/>
  <c r="G105" i="30"/>
  <c r="F105" i="30"/>
  <c r="E105" i="30"/>
  <c r="D105" i="30"/>
  <c r="N105" i="30" s="1"/>
  <c r="H104" i="30"/>
  <c r="F104" i="30"/>
  <c r="P104" i="30" s="1"/>
  <c r="E104" i="30"/>
  <c r="D104" i="30"/>
  <c r="J104" i="30" s="1"/>
  <c r="P103" i="30"/>
  <c r="N103" i="30"/>
  <c r="L103" i="30"/>
  <c r="T103" i="30" s="1"/>
  <c r="G103" i="30"/>
  <c r="F103" i="30"/>
  <c r="E103" i="30"/>
  <c r="J103" i="30" s="1"/>
  <c r="U103" i="30" s="1"/>
  <c r="D103" i="30"/>
  <c r="H103" i="30" s="1"/>
  <c r="R103" i="30" s="1"/>
  <c r="V103" i="30" s="1"/>
  <c r="E102" i="30"/>
  <c r="D102" i="30"/>
  <c r="J102" i="30" s="1"/>
  <c r="P101" i="30"/>
  <c r="G101" i="30"/>
  <c r="F101" i="30"/>
  <c r="E101" i="30"/>
  <c r="D101" i="30"/>
  <c r="N101" i="30" s="1"/>
  <c r="P100" i="30"/>
  <c r="H100" i="30"/>
  <c r="F100" i="30"/>
  <c r="E100" i="30"/>
  <c r="D100" i="30"/>
  <c r="J100" i="30" s="1"/>
  <c r="P99" i="30"/>
  <c r="N99" i="30"/>
  <c r="L99" i="30"/>
  <c r="T99" i="30" s="1"/>
  <c r="G99" i="30"/>
  <c r="F99" i="30"/>
  <c r="E99" i="30"/>
  <c r="J99" i="30" s="1"/>
  <c r="U99" i="30" s="1"/>
  <c r="D99" i="30"/>
  <c r="H99" i="30" s="1"/>
  <c r="R99" i="30" s="1"/>
  <c r="V99" i="30" s="1"/>
  <c r="E98" i="30"/>
  <c r="D98" i="30"/>
  <c r="J98" i="30" s="1"/>
  <c r="P97" i="30"/>
  <c r="G97" i="30"/>
  <c r="F97" i="30"/>
  <c r="E97" i="30"/>
  <c r="D97" i="30"/>
  <c r="N97" i="30" s="1"/>
  <c r="P96" i="30"/>
  <c r="H96" i="30"/>
  <c r="F96" i="30"/>
  <c r="E96" i="30"/>
  <c r="D96" i="30"/>
  <c r="J96" i="30" s="1"/>
  <c r="P95" i="30"/>
  <c r="N95" i="30"/>
  <c r="L95" i="30"/>
  <c r="T95" i="30" s="1"/>
  <c r="G95" i="30"/>
  <c r="F95" i="30"/>
  <c r="E95" i="30"/>
  <c r="J95" i="30" s="1"/>
  <c r="U95" i="30" s="1"/>
  <c r="W95" i="30" s="1"/>
  <c r="D95" i="30"/>
  <c r="H95" i="30" s="1"/>
  <c r="R95" i="30" s="1"/>
  <c r="V95" i="30" s="1"/>
  <c r="E94" i="30"/>
  <c r="D94" i="30"/>
  <c r="J94" i="30" s="1"/>
  <c r="P93" i="30"/>
  <c r="G93" i="30"/>
  <c r="F93" i="30"/>
  <c r="E93" i="30"/>
  <c r="D93" i="30"/>
  <c r="N93" i="30" s="1"/>
  <c r="P92" i="30"/>
  <c r="H92" i="30"/>
  <c r="F92" i="30"/>
  <c r="E92" i="30"/>
  <c r="D92" i="30"/>
  <c r="J92" i="30" s="1"/>
  <c r="P91" i="30"/>
  <c r="N91" i="30"/>
  <c r="L91" i="30"/>
  <c r="T91" i="30" s="1"/>
  <c r="G91" i="30"/>
  <c r="F91" i="30"/>
  <c r="E91" i="30"/>
  <c r="J91" i="30" s="1"/>
  <c r="U91" i="30" s="1"/>
  <c r="D91" i="30"/>
  <c r="H91" i="30" s="1"/>
  <c r="R91" i="30" s="1"/>
  <c r="V91" i="30" s="1"/>
  <c r="E90" i="30"/>
  <c r="D90" i="30"/>
  <c r="J90" i="30" s="1"/>
  <c r="P89" i="30"/>
  <c r="G89" i="30"/>
  <c r="F89" i="30"/>
  <c r="E89" i="30"/>
  <c r="D89" i="30"/>
  <c r="N89" i="30" s="1"/>
  <c r="P88" i="30"/>
  <c r="H88" i="30"/>
  <c r="F88" i="30"/>
  <c r="E88" i="30"/>
  <c r="D88" i="30"/>
  <c r="J88" i="30" s="1"/>
  <c r="P87" i="30"/>
  <c r="N87" i="30"/>
  <c r="L87" i="30"/>
  <c r="T87" i="30" s="1"/>
  <c r="G87" i="30"/>
  <c r="F87" i="30"/>
  <c r="E87" i="30"/>
  <c r="J87" i="30" s="1"/>
  <c r="U87" i="30" s="1"/>
  <c r="D87" i="30"/>
  <c r="H87" i="30" s="1"/>
  <c r="R87" i="30" s="1"/>
  <c r="V87" i="30" s="1"/>
  <c r="E86" i="30"/>
  <c r="D86" i="30"/>
  <c r="J86" i="30" s="1"/>
  <c r="P85" i="30"/>
  <c r="G85" i="30"/>
  <c r="F85" i="30"/>
  <c r="E85" i="30"/>
  <c r="D85" i="30"/>
  <c r="N85" i="30" s="1"/>
  <c r="H84" i="30"/>
  <c r="F84" i="30"/>
  <c r="P84" i="30" s="1"/>
  <c r="E84" i="30"/>
  <c r="D84" i="30"/>
  <c r="J84" i="30" s="1"/>
  <c r="G83" i="30"/>
  <c r="F83" i="30"/>
  <c r="P83" i="30" s="1"/>
  <c r="E83" i="30"/>
  <c r="J83" i="30" s="1"/>
  <c r="D83" i="30"/>
  <c r="H83" i="30" s="1"/>
  <c r="E82" i="30"/>
  <c r="D82" i="30"/>
  <c r="J82" i="30" s="1"/>
  <c r="P81" i="30"/>
  <c r="G81" i="30"/>
  <c r="F81" i="30"/>
  <c r="E81" i="30"/>
  <c r="D81" i="30"/>
  <c r="N81" i="30" s="1"/>
  <c r="P80" i="30"/>
  <c r="H80" i="30"/>
  <c r="F80" i="30"/>
  <c r="E80" i="30"/>
  <c r="D80" i="30"/>
  <c r="J80" i="30" s="1"/>
  <c r="P79" i="30"/>
  <c r="N79" i="30"/>
  <c r="L79" i="30"/>
  <c r="T79" i="30" s="1"/>
  <c r="G79" i="30"/>
  <c r="F79" i="30"/>
  <c r="E79" i="30"/>
  <c r="J79" i="30" s="1"/>
  <c r="U79" i="30" s="1"/>
  <c r="W79" i="30" s="1"/>
  <c r="D79" i="30"/>
  <c r="H79" i="30" s="1"/>
  <c r="R79" i="30" s="1"/>
  <c r="V79" i="30" s="1"/>
  <c r="E78" i="30"/>
  <c r="D78" i="30"/>
  <c r="J78" i="30" s="1"/>
  <c r="P77" i="30"/>
  <c r="G77" i="30"/>
  <c r="F77" i="30"/>
  <c r="E77" i="30"/>
  <c r="D77" i="30"/>
  <c r="N77" i="30" s="1"/>
  <c r="P76" i="30"/>
  <c r="H76" i="30"/>
  <c r="F76" i="30"/>
  <c r="E76" i="30"/>
  <c r="D76" i="30"/>
  <c r="J76" i="30" s="1"/>
  <c r="P75" i="30"/>
  <c r="N75" i="30"/>
  <c r="L75" i="30"/>
  <c r="T75" i="30" s="1"/>
  <c r="G75" i="30"/>
  <c r="F75" i="30"/>
  <c r="E75" i="30"/>
  <c r="J75" i="30" s="1"/>
  <c r="U75" i="30" s="1"/>
  <c r="W75" i="30" s="1"/>
  <c r="D75" i="30"/>
  <c r="H75" i="30" s="1"/>
  <c r="R75" i="30" s="1"/>
  <c r="V75" i="30" s="1"/>
  <c r="J74" i="30"/>
  <c r="E74" i="30"/>
  <c r="D74" i="30"/>
  <c r="G73" i="30"/>
  <c r="F73" i="30"/>
  <c r="E73" i="30"/>
  <c r="D73" i="30"/>
  <c r="P72" i="30"/>
  <c r="H72" i="30"/>
  <c r="F72" i="30"/>
  <c r="E72" i="30"/>
  <c r="D72" i="30"/>
  <c r="J72" i="30" s="1"/>
  <c r="P71" i="30"/>
  <c r="N71" i="30"/>
  <c r="L71" i="30"/>
  <c r="T71" i="30" s="1"/>
  <c r="G71" i="30"/>
  <c r="F71" i="30"/>
  <c r="E71" i="30"/>
  <c r="J71" i="30" s="1"/>
  <c r="U71" i="30" s="1"/>
  <c r="W71" i="30" s="1"/>
  <c r="D71" i="30"/>
  <c r="H71" i="30" s="1"/>
  <c r="R71" i="30" s="1"/>
  <c r="V71" i="30" s="1"/>
  <c r="E70" i="30"/>
  <c r="D70" i="30"/>
  <c r="J70" i="30" s="1"/>
  <c r="P69" i="30"/>
  <c r="G69" i="30"/>
  <c r="F69" i="30"/>
  <c r="E69" i="30"/>
  <c r="D69" i="30"/>
  <c r="N69" i="30" s="1"/>
  <c r="P68" i="30"/>
  <c r="H68" i="30"/>
  <c r="F68" i="30"/>
  <c r="E68" i="30"/>
  <c r="D68" i="30"/>
  <c r="J68" i="30" s="1"/>
  <c r="U67" i="30"/>
  <c r="W67" i="30" s="1"/>
  <c r="P67" i="30"/>
  <c r="N67" i="30"/>
  <c r="L67" i="30"/>
  <c r="T67" i="30" s="1"/>
  <c r="G67" i="30"/>
  <c r="F67" i="30"/>
  <c r="E67" i="30"/>
  <c r="J67" i="30" s="1"/>
  <c r="D67" i="30"/>
  <c r="H67" i="30" s="1"/>
  <c r="R67" i="30" s="1"/>
  <c r="V67" i="30" s="1"/>
  <c r="E66" i="30"/>
  <c r="D66" i="30"/>
  <c r="J66" i="30" s="1"/>
  <c r="P65" i="30"/>
  <c r="G65" i="30"/>
  <c r="F65" i="30"/>
  <c r="E65" i="30"/>
  <c r="D65" i="30"/>
  <c r="N65" i="30" s="1"/>
  <c r="P64" i="30"/>
  <c r="H64" i="30"/>
  <c r="F64" i="30"/>
  <c r="E64" i="30"/>
  <c r="D64" i="30"/>
  <c r="J64" i="30" s="1"/>
  <c r="U63" i="30"/>
  <c r="W63" i="30" s="1"/>
  <c r="P63" i="30"/>
  <c r="N63" i="30"/>
  <c r="L63" i="30"/>
  <c r="T63" i="30" s="1"/>
  <c r="G63" i="30"/>
  <c r="F63" i="30"/>
  <c r="E63" i="30"/>
  <c r="J63" i="30" s="1"/>
  <c r="D63" i="30"/>
  <c r="H63" i="30" s="1"/>
  <c r="R63" i="30" s="1"/>
  <c r="V63" i="30" s="1"/>
  <c r="J62" i="30"/>
  <c r="E62" i="30"/>
  <c r="D62" i="30"/>
  <c r="G61" i="30"/>
  <c r="F61" i="30"/>
  <c r="E61" i="30"/>
  <c r="D61" i="30"/>
  <c r="H60" i="30"/>
  <c r="F60" i="30"/>
  <c r="E60" i="30"/>
  <c r="D60" i="30"/>
  <c r="J60" i="30" s="1"/>
  <c r="G59" i="30"/>
  <c r="F59" i="30"/>
  <c r="E59" i="30"/>
  <c r="J59" i="30" s="1"/>
  <c r="D59" i="30"/>
  <c r="H59" i="30" s="1"/>
  <c r="E58" i="30"/>
  <c r="D58" i="30"/>
  <c r="J58" i="30" s="1"/>
  <c r="P57" i="30"/>
  <c r="G57" i="30"/>
  <c r="F57" i="30"/>
  <c r="E57" i="30"/>
  <c r="D57" i="30"/>
  <c r="N57" i="30" s="1"/>
  <c r="P56" i="30"/>
  <c r="H56" i="30"/>
  <c r="F56" i="30"/>
  <c r="E56" i="30"/>
  <c r="D56" i="30"/>
  <c r="J56" i="30" s="1"/>
  <c r="U55" i="30"/>
  <c r="W55" i="30" s="1"/>
  <c r="P55" i="30"/>
  <c r="N55" i="30"/>
  <c r="L55" i="30"/>
  <c r="T55" i="30" s="1"/>
  <c r="G55" i="30"/>
  <c r="F55" i="30"/>
  <c r="E55" i="30"/>
  <c r="J55" i="30" s="1"/>
  <c r="D55" i="30"/>
  <c r="H55" i="30" s="1"/>
  <c r="R55" i="30" s="1"/>
  <c r="V55" i="30" s="1"/>
  <c r="J54" i="30"/>
  <c r="E54" i="30"/>
  <c r="D54" i="30"/>
  <c r="P53" i="30"/>
  <c r="G53" i="30"/>
  <c r="F53" i="30"/>
  <c r="E53" i="30"/>
  <c r="D53" i="30"/>
  <c r="N53" i="30" s="1"/>
  <c r="H52" i="30"/>
  <c r="F52" i="30"/>
  <c r="E52" i="30"/>
  <c r="D52" i="30"/>
  <c r="J52" i="30" s="1"/>
  <c r="G51" i="30"/>
  <c r="F51" i="30"/>
  <c r="E51" i="30"/>
  <c r="J51" i="30" s="1"/>
  <c r="D51" i="30"/>
  <c r="H51" i="30" s="1"/>
  <c r="E50" i="30"/>
  <c r="D50" i="30"/>
  <c r="J50" i="30" s="1"/>
  <c r="G49" i="30"/>
  <c r="F49" i="30"/>
  <c r="E49" i="30"/>
  <c r="D49" i="30"/>
  <c r="H48" i="30"/>
  <c r="F48" i="30"/>
  <c r="E48" i="30"/>
  <c r="D48" i="30"/>
  <c r="J48" i="30" s="1"/>
  <c r="U47" i="30"/>
  <c r="W47" i="30" s="1"/>
  <c r="P47" i="30"/>
  <c r="N47" i="30"/>
  <c r="L47" i="30"/>
  <c r="T47" i="30" s="1"/>
  <c r="G47" i="30"/>
  <c r="F47" i="30"/>
  <c r="E47" i="30"/>
  <c r="J47" i="30" s="1"/>
  <c r="D47" i="30"/>
  <c r="H47" i="30" s="1"/>
  <c r="R47" i="30" s="1"/>
  <c r="V47" i="30" s="1"/>
  <c r="J46" i="30"/>
  <c r="E46" i="30"/>
  <c r="D46" i="30"/>
  <c r="P45" i="30"/>
  <c r="G45" i="30"/>
  <c r="F45" i="30"/>
  <c r="E45" i="30"/>
  <c r="D45" i="30"/>
  <c r="N45" i="30" s="1"/>
  <c r="P44" i="30"/>
  <c r="H44" i="30"/>
  <c r="F44" i="30"/>
  <c r="E44" i="30"/>
  <c r="D44" i="30"/>
  <c r="J44" i="30" s="1"/>
  <c r="G43" i="30"/>
  <c r="F43" i="30"/>
  <c r="E43" i="30"/>
  <c r="J43" i="30" s="1"/>
  <c r="D43" i="30"/>
  <c r="H43" i="30" s="1"/>
  <c r="E42" i="30"/>
  <c r="D42" i="30"/>
  <c r="J42" i="30" s="1"/>
  <c r="G41" i="30"/>
  <c r="F41" i="30"/>
  <c r="E41" i="30"/>
  <c r="D41" i="30"/>
  <c r="H40" i="30"/>
  <c r="F40" i="30"/>
  <c r="E40" i="30"/>
  <c r="D40" i="30"/>
  <c r="J40" i="30" s="1"/>
  <c r="G39" i="30"/>
  <c r="F39" i="30"/>
  <c r="E39" i="30"/>
  <c r="J39" i="30" s="1"/>
  <c r="D39" i="30"/>
  <c r="H39" i="30" s="1"/>
  <c r="E38" i="30"/>
  <c r="D38" i="30"/>
  <c r="J38" i="30" s="1"/>
  <c r="G37" i="30"/>
  <c r="F37" i="30"/>
  <c r="E37" i="30"/>
  <c r="D37" i="30"/>
  <c r="H36" i="30"/>
  <c r="F36" i="30"/>
  <c r="E36" i="30"/>
  <c r="D36" i="30"/>
  <c r="J36" i="30" s="1"/>
  <c r="G35" i="30"/>
  <c r="F35" i="30"/>
  <c r="P35" i="30" s="1"/>
  <c r="E35" i="30"/>
  <c r="J35" i="30" s="1"/>
  <c r="D35" i="30"/>
  <c r="H35" i="30" s="1"/>
  <c r="J34" i="30"/>
  <c r="E34" i="30"/>
  <c r="D34" i="30"/>
  <c r="G33" i="30"/>
  <c r="F33" i="30"/>
  <c r="E33" i="30"/>
  <c r="D33" i="30"/>
  <c r="H32" i="30"/>
  <c r="F32" i="30"/>
  <c r="E32" i="30"/>
  <c r="D32" i="30"/>
  <c r="J32" i="30" s="1"/>
  <c r="G31" i="30"/>
  <c r="F31" i="30"/>
  <c r="P31" i="30" s="1"/>
  <c r="E31" i="30"/>
  <c r="J31" i="30" s="1"/>
  <c r="D31" i="30"/>
  <c r="H31" i="30" s="1"/>
  <c r="J30" i="30"/>
  <c r="E30" i="30"/>
  <c r="D30" i="30"/>
  <c r="G29" i="30"/>
  <c r="F29" i="30"/>
  <c r="E29" i="30"/>
  <c r="D29" i="30"/>
  <c r="H28" i="30"/>
  <c r="F28" i="30"/>
  <c r="E28" i="30"/>
  <c r="D28" i="30"/>
  <c r="J28" i="30" s="1"/>
  <c r="G27" i="30"/>
  <c r="F27" i="30"/>
  <c r="E27" i="30"/>
  <c r="J27" i="30" s="1"/>
  <c r="D27" i="30"/>
  <c r="H27" i="30" s="1"/>
  <c r="E26" i="30"/>
  <c r="D26" i="30"/>
  <c r="J26" i="30" s="1"/>
  <c r="G25" i="30"/>
  <c r="F25" i="30"/>
  <c r="E25" i="30"/>
  <c r="D25" i="30"/>
  <c r="H24" i="30"/>
  <c r="F24" i="30"/>
  <c r="E24" i="30"/>
  <c r="D24" i="30"/>
  <c r="J24" i="30" s="1"/>
  <c r="G23" i="30"/>
  <c r="F23" i="30"/>
  <c r="E23" i="30"/>
  <c r="J23" i="30" s="1"/>
  <c r="D23" i="30"/>
  <c r="H23" i="30" s="1"/>
  <c r="E22" i="30"/>
  <c r="D22" i="30"/>
  <c r="J22" i="30" s="1"/>
  <c r="G21" i="30"/>
  <c r="F21" i="30"/>
  <c r="E21" i="30"/>
  <c r="D21" i="30"/>
  <c r="H20" i="30"/>
  <c r="F20" i="30"/>
  <c r="E20" i="30"/>
  <c r="D20" i="30"/>
  <c r="J20" i="30" s="1"/>
  <c r="G19" i="30"/>
  <c r="F19" i="30"/>
  <c r="P19" i="30" s="1"/>
  <c r="E19" i="30"/>
  <c r="J19" i="30" s="1"/>
  <c r="D19" i="30"/>
  <c r="H19" i="30" s="1"/>
  <c r="J18" i="30"/>
  <c r="E18" i="30"/>
  <c r="D18" i="30"/>
  <c r="G17" i="30"/>
  <c r="F17" i="30"/>
  <c r="E17" i="30"/>
  <c r="D17" i="30"/>
  <c r="H16" i="30"/>
  <c r="F16" i="30"/>
  <c r="E16" i="30"/>
  <c r="D16" i="30"/>
  <c r="J16" i="30" s="1"/>
  <c r="G15" i="30"/>
  <c r="F15" i="30"/>
  <c r="P15" i="30" s="1"/>
  <c r="E15" i="30"/>
  <c r="J15" i="30" s="1"/>
  <c r="D15" i="30"/>
  <c r="H15" i="30" s="1"/>
  <c r="J14" i="30"/>
  <c r="E14" i="30"/>
  <c r="D14" i="30"/>
  <c r="G13" i="30"/>
  <c r="F13" i="30"/>
  <c r="E13" i="30"/>
  <c r="D13" i="30"/>
  <c r="H12" i="30"/>
  <c r="F12" i="30"/>
  <c r="E12" i="30"/>
  <c r="D12" i="30"/>
  <c r="J12" i="30" s="1"/>
  <c r="G11" i="30"/>
  <c r="F11" i="30"/>
  <c r="E11" i="30"/>
  <c r="J11" i="30" s="1"/>
  <c r="D11" i="30"/>
  <c r="H11" i="30" s="1"/>
  <c r="E10" i="30"/>
  <c r="D10" i="30"/>
  <c r="J10" i="30" s="1"/>
  <c r="G9" i="30"/>
  <c r="F9" i="30"/>
  <c r="E9" i="30"/>
  <c r="D9" i="30"/>
  <c r="H8" i="30"/>
  <c r="F8" i="30"/>
  <c r="E8" i="30"/>
  <c r="D8" i="30"/>
  <c r="J8" i="30" s="1"/>
  <c r="G7" i="30"/>
  <c r="F7" i="30"/>
  <c r="E7" i="30"/>
  <c r="J7" i="30" s="1"/>
  <c r="D7" i="30"/>
  <c r="H7" i="30" s="1"/>
  <c r="E6" i="30"/>
  <c r="D6" i="30"/>
  <c r="J6" i="30" s="1"/>
  <c r="G5" i="30"/>
  <c r="F5" i="30"/>
  <c r="E5" i="30"/>
  <c r="D5" i="30"/>
  <c r="U11" i="30" l="1"/>
  <c r="U43" i="30"/>
  <c r="U50" i="30"/>
  <c r="U31" i="30"/>
  <c r="U19" i="30"/>
  <c r="U51" i="30"/>
  <c r="L7" i="30"/>
  <c r="N9" i="30"/>
  <c r="U16" i="30"/>
  <c r="R20" i="30"/>
  <c r="R23" i="30"/>
  <c r="L23" i="30"/>
  <c r="U32" i="30"/>
  <c r="W32" i="30" s="1"/>
  <c r="L39" i="30"/>
  <c r="N41" i="30"/>
  <c r="U104" i="30"/>
  <c r="U110" i="30"/>
  <c r="W110" i="30" s="1"/>
  <c r="R116" i="30"/>
  <c r="P150" i="30"/>
  <c r="P166" i="30"/>
  <c r="P182" i="30"/>
  <c r="N212" i="30"/>
  <c r="R8" i="30"/>
  <c r="L11" i="30"/>
  <c r="R24" i="30"/>
  <c r="L27" i="30"/>
  <c r="U36" i="30"/>
  <c r="R40" i="30"/>
  <c r="L43" i="30"/>
  <c r="R48" i="30"/>
  <c r="R51" i="30"/>
  <c r="L51" i="30"/>
  <c r="L59" i="30"/>
  <c r="T59" i="30" s="1"/>
  <c r="R84" i="30"/>
  <c r="W91" i="30"/>
  <c r="U106" i="30"/>
  <c r="W106" i="30" s="1"/>
  <c r="L115" i="30"/>
  <c r="T115" i="30" s="1"/>
  <c r="U139" i="30"/>
  <c r="U187" i="30"/>
  <c r="P7" i="30"/>
  <c r="U8" i="30"/>
  <c r="W8" i="30" s="1"/>
  <c r="L15" i="30"/>
  <c r="N17" i="30"/>
  <c r="P23" i="30"/>
  <c r="U24" i="30"/>
  <c r="W24" i="30" s="1"/>
  <c r="R28" i="30"/>
  <c r="R31" i="30"/>
  <c r="L31" i="30"/>
  <c r="N33" i="30"/>
  <c r="P39" i="30"/>
  <c r="U40" i="30"/>
  <c r="W40" i="30" s="1"/>
  <c r="U48" i="30"/>
  <c r="R52" i="30"/>
  <c r="N73" i="30"/>
  <c r="L83" i="30"/>
  <c r="T83" i="30" s="1"/>
  <c r="U84" i="30"/>
  <c r="W84" i="30" s="1"/>
  <c r="W87" i="30"/>
  <c r="W103" i="30"/>
  <c r="N144" i="30"/>
  <c r="P11" i="30"/>
  <c r="U12" i="30"/>
  <c r="R16" i="30"/>
  <c r="L19" i="30"/>
  <c r="T19" i="30" s="1"/>
  <c r="N21" i="30"/>
  <c r="P27" i="30"/>
  <c r="R32" i="30"/>
  <c r="L35" i="30"/>
  <c r="T35" i="30" s="1"/>
  <c r="P43" i="30"/>
  <c r="P51" i="30"/>
  <c r="P59" i="30"/>
  <c r="U60" i="30"/>
  <c r="U86" i="30"/>
  <c r="W86" i="30" s="1"/>
  <c r="W99" i="30"/>
  <c r="U102" i="30"/>
  <c r="W102" i="30" s="1"/>
  <c r="R104" i="30"/>
  <c r="W111" i="30"/>
  <c r="P115" i="30"/>
  <c r="W123" i="30"/>
  <c r="T129" i="30"/>
  <c r="L161" i="30"/>
  <c r="L193" i="30"/>
  <c r="H125" i="30"/>
  <c r="J125" i="30"/>
  <c r="J126" i="30"/>
  <c r="P135" i="30"/>
  <c r="H135" i="30"/>
  <c r="F135" i="30"/>
  <c r="L135" i="30" s="1"/>
  <c r="L136" i="30"/>
  <c r="F136" i="30"/>
  <c r="H136" i="30"/>
  <c r="P141" i="30"/>
  <c r="H141" i="30"/>
  <c r="J141" i="30"/>
  <c r="N141" i="30"/>
  <c r="J142" i="30"/>
  <c r="P151" i="30"/>
  <c r="H151" i="30"/>
  <c r="N151" i="30"/>
  <c r="F151" i="30"/>
  <c r="F152" i="30"/>
  <c r="H152" i="30"/>
  <c r="P152" i="30"/>
  <c r="H157" i="30"/>
  <c r="J157" i="30"/>
  <c r="N157" i="30"/>
  <c r="J158" i="30"/>
  <c r="H167" i="30"/>
  <c r="N167" i="30"/>
  <c r="F167" i="30"/>
  <c r="F168" i="30"/>
  <c r="P168" i="30" s="1"/>
  <c r="H168" i="30"/>
  <c r="H173" i="30"/>
  <c r="J173" i="30"/>
  <c r="J174" i="30"/>
  <c r="H183" i="30"/>
  <c r="F183" i="30"/>
  <c r="N183" i="30" s="1"/>
  <c r="F184" i="30"/>
  <c r="N184" i="30" s="1"/>
  <c r="H184" i="30"/>
  <c r="P189" i="30"/>
  <c r="H189" i="30"/>
  <c r="J189" i="30"/>
  <c r="N189" i="30"/>
  <c r="J190" i="30"/>
  <c r="L196" i="30"/>
  <c r="T196" i="30" s="1"/>
  <c r="F196" i="30"/>
  <c r="P196" i="30"/>
  <c r="G196" i="30"/>
  <c r="H196" i="30"/>
  <c r="R196" i="30" s="1"/>
  <c r="V196" i="30" s="1"/>
  <c r="P205" i="30"/>
  <c r="H205" i="30"/>
  <c r="G205" i="30"/>
  <c r="L205" i="30" s="1"/>
  <c r="T205" i="30" s="1"/>
  <c r="L220" i="30"/>
  <c r="F220" i="30"/>
  <c r="P220" i="30"/>
  <c r="G220" i="30"/>
  <c r="N220" i="30"/>
  <c r="J220" i="30"/>
  <c r="U220" i="30" s="1"/>
  <c r="W220" i="30" s="1"/>
  <c r="N235" i="30"/>
  <c r="G235" i="30"/>
  <c r="H235" i="30"/>
  <c r="L235" i="30"/>
  <c r="P235" i="30"/>
  <c r="J235" i="30"/>
  <c r="H5" i="30"/>
  <c r="N6" i="30"/>
  <c r="G6" i="30"/>
  <c r="P6" i="30" s="1"/>
  <c r="N7" i="30"/>
  <c r="H9" i="30"/>
  <c r="N10" i="30"/>
  <c r="G10" i="30"/>
  <c r="N11" i="30"/>
  <c r="H13" i="30"/>
  <c r="G14" i="30"/>
  <c r="L14" i="30"/>
  <c r="N15" i="30"/>
  <c r="H17" i="30"/>
  <c r="G18" i="30"/>
  <c r="L18" i="30"/>
  <c r="N19" i="30"/>
  <c r="H21" i="30"/>
  <c r="N22" i="30"/>
  <c r="G22" i="30"/>
  <c r="P22" i="30" s="1"/>
  <c r="N23" i="30"/>
  <c r="H25" i="30"/>
  <c r="N26" i="30"/>
  <c r="G26" i="30"/>
  <c r="N27" i="30"/>
  <c r="H29" i="30"/>
  <c r="G30" i="30"/>
  <c r="L30" i="30"/>
  <c r="N31" i="30"/>
  <c r="H33" i="30"/>
  <c r="G34" i="30"/>
  <c r="L34" i="30"/>
  <c r="N35" i="30"/>
  <c r="H37" i="30"/>
  <c r="N38" i="30"/>
  <c r="G38" i="30"/>
  <c r="P38" i="30" s="1"/>
  <c r="N39" i="30"/>
  <c r="H41" i="30"/>
  <c r="N42" i="30"/>
  <c r="G42" i="30"/>
  <c r="N43" i="30"/>
  <c r="H45" i="30"/>
  <c r="R45" i="30" s="1"/>
  <c r="V45" i="30" s="1"/>
  <c r="G46" i="30"/>
  <c r="L46" i="30"/>
  <c r="H49" i="30"/>
  <c r="G50" i="30"/>
  <c r="L50" i="30"/>
  <c r="N51" i="30"/>
  <c r="H53" i="30"/>
  <c r="N54" i="30"/>
  <c r="G54" i="30"/>
  <c r="L54" i="30"/>
  <c r="T54" i="30" s="1"/>
  <c r="H57" i="30"/>
  <c r="G58" i="30"/>
  <c r="L58" i="30"/>
  <c r="N59" i="30"/>
  <c r="H61" i="30"/>
  <c r="N62" i="30"/>
  <c r="G62" i="30"/>
  <c r="P62" i="30" s="1"/>
  <c r="H65" i="30"/>
  <c r="R65" i="30" s="1"/>
  <c r="V65" i="30" s="1"/>
  <c r="N66" i="30"/>
  <c r="G66" i="30"/>
  <c r="L66" i="30" s="1"/>
  <c r="H69" i="30"/>
  <c r="R69" i="30" s="1"/>
  <c r="V69" i="30" s="1"/>
  <c r="N70" i="30"/>
  <c r="G70" i="30"/>
  <c r="L70" i="30" s="1"/>
  <c r="H73" i="30"/>
  <c r="N74" i="30"/>
  <c r="G74" i="30"/>
  <c r="P74" i="30" s="1"/>
  <c r="H77" i="30"/>
  <c r="R77" i="30" s="1"/>
  <c r="V77" i="30" s="1"/>
  <c r="N78" i="30"/>
  <c r="G78" i="30"/>
  <c r="L78" i="30" s="1"/>
  <c r="H81" i="30"/>
  <c r="R81" i="30" s="1"/>
  <c r="V81" i="30" s="1"/>
  <c r="N82" i="30"/>
  <c r="G82" i="30"/>
  <c r="L82" i="30" s="1"/>
  <c r="N83" i="30"/>
  <c r="H85" i="30"/>
  <c r="R85" i="30" s="1"/>
  <c r="V85" i="30" s="1"/>
  <c r="N86" i="30"/>
  <c r="G86" i="30"/>
  <c r="L86" i="30"/>
  <c r="H89" i="30"/>
  <c r="R89" i="30" s="1"/>
  <c r="V89" i="30" s="1"/>
  <c r="N90" i="30"/>
  <c r="G90" i="30"/>
  <c r="L90" i="30"/>
  <c r="H93" i="30"/>
  <c r="R93" i="30" s="1"/>
  <c r="V93" i="30" s="1"/>
  <c r="N94" i="30"/>
  <c r="G94" i="30"/>
  <c r="L94" i="30"/>
  <c r="H97" i="30"/>
  <c r="R97" i="30" s="1"/>
  <c r="V97" i="30" s="1"/>
  <c r="N98" i="30"/>
  <c r="G98" i="30"/>
  <c r="L98" i="30"/>
  <c r="H101" i="30"/>
  <c r="R101" i="30" s="1"/>
  <c r="V101" i="30" s="1"/>
  <c r="N102" i="30"/>
  <c r="G102" i="30"/>
  <c r="L102" i="30"/>
  <c r="H105" i="30"/>
  <c r="R105" i="30" s="1"/>
  <c r="V105" i="30" s="1"/>
  <c r="N106" i="30"/>
  <c r="G106" i="30"/>
  <c r="L106" i="30"/>
  <c r="H109" i="30"/>
  <c r="R109" i="30" s="1"/>
  <c r="V109" i="30" s="1"/>
  <c r="N110" i="30"/>
  <c r="G110" i="30"/>
  <c r="L110" i="30"/>
  <c r="H113" i="30"/>
  <c r="R113" i="30" s="1"/>
  <c r="V113" i="30" s="1"/>
  <c r="N114" i="30"/>
  <c r="G114" i="30"/>
  <c r="N115" i="30"/>
  <c r="H117" i="30"/>
  <c r="G118" i="30"/>
  <c r="L118" i="30"/>
  <c r="H121" i="30"/>
  <c r="R121" i="30" s="1"/>
  <c r="V121" i="30" s="1"/>
  <c r="G122" i="30"/>
  <c r="L122" i="30"/>
  <c r="F125" i="30"/>
  <c r="N125" i="30" s="1"/>
  <c r="P131" i="30"/>
  <c r="H131" i="30"/>
  <c r="R131" i="30" s="1"/>
  <c r="N131" i="30"/>
  <c r="F131" i="30"/>
  <c r="F132" i="30"/>
  <c r="H132" i="30"/>
  <c r="P132" i="30"/>
  <c r="G135" i="30"/>
  <c r="G136" i="30"/>
  <c r="P136" i="30" s="1"/>
  <c r="P137" i="30"/>
  <c r="H137" i="30"/>
  <c r="J137" i="30"/>
  <c r="N137" i="30"/>
  <c r="J138" i="30"/>
  <c r="F141" i="30"/>
  <c r="H147" i="30"/>
  <c r="F147" i="30"/>
  <c r="F148" i="30"/>
  <c r="P148" i="30" s="1"/>
  <c r="H148" i="30"/>
  <c r="G151" i="30"/>
  <c r="L151" i="30" s="1"/>
  <c r="T151" i="30" s="1"/>
  <c r="G152" i="30"/>
  <c r="L152" i="30" s="1"/>
  <c r="T152" i="30" s="1"/>
  <c r="H153" i="30"/>
  <c r="J153" i="30"/>
  <c r="N153" i="30"/>
  <c r="J154" i="30"/>
  <c r="F157" i="30"/>
  <c r="P157" i="30" s="1"/>
  <c r="P163" i="30"/>
  <c r="H163" i="30"/>
  <c r="F163" i="30"/>
  <c r="L163" i="30" s="1"/>
  <c r="L164" i="30"/>
  <c r="F164" i="30"/>
  <c r="N164" i="30" s="1"/>
  <c r="H164" i="30"/>
  <c r="G167" i="30"/>
  <c r="G168" i="30"/>
  <c r="H169" i="30"/>
  <c r="J169" i="30"/>
  <c r="J170" i="30"/>
  <c r="F173" i="30"/>
  <c r="N173" i="30" s="1"/>
  <c r="P174" i="30"/>
  <c r="H179" i="30"/>
  <c r="F179" i="30"/>
  <c r="L179" i="30" s="1"/>
  <c r="F180" i="30"/>
  <c r="L180" i="30" s="1"/>
  <c r="H180" i="30"/>
  <c r="P180" i="30"/>
  <c r="G183" i="30"/>
  <c r="G184" i="30"/>
  <c r="P185" i="30"/>
  <c r="H185" i="30"/>
  <c r="R185" i="30" s="1"/>
  <c r="J185" i="30"/>
  <c r="N185" i="30"/>
  <c r="J186" i="30"/>
  <c r="F189" i="30"/>
  <c r="J196" i="30"/>
  <c r="F200" i="30"/>
  <c r="P200" i="30" s="1"/>
  <c r="G200" i="30"/>
  <c r="J200" i="30"/>
  <c r="L201" i="30"/>
  <c r="F204" i="30"/>
  <c r="L204" i="30" s="1"/>
  <c r="G204" i="30"/>
  <c r="F205" i="30"/>
  <c r="U207" i="30"/>
  <c r="N208" i="30"/>
  <c r="F210" i="30"/>
  <c r="L210" i="30" s="1"/>
  <c r="T210" i="30" s="1"/>
  <c r="J210" i="30"/>
  <c r="N210" i="30"/>
  <c r="H210" i="30"/>
  <c r="L216" i="30"/>
  <c r="F216" i="30"/>
  <c r="P216" i="30"/>
  <c r="G216" i="30"/>
  <c r="J216" i="30"/>
  <c r="U216" i="30" s="1"/>
  <c r="H216" i="30"/>
  <c r="R216" i="30" s="1"/>
  <c r="P217" i="30"/>
  <c r="H217" i="30"/>
  <c r="G217" i="30"/>
  <c r="L217" i="30" s="1"/>
  <c r="T217" i="30" s="1"/>
  <c r="J217" i="30"/>
  <c r="F217" i="30"/>
  <c r="H220" i="30"/>
  <c r="R220" i="30" s="1"/>
  <c r="P221" i="30"/>
  <c r="H221" i="30"/>
  <c r="R221" i="30" s="1"/>
  <c r="G221" i="30"/>
  <c r="L221" i="30"/>
  <c r="J221" i="30"/>
  <c r="U221" i="30" s="1"/>
  <c r="N224" i="30"/>
  <c r="F235" i="30"/>
  <c r="R237" i="30"/>
  <c r="T240" i="30"/>
  <c r="H256" i="30"/>
  <c r="J256" i="30"/>
  <c r="F256" i="30"/>
  <c r="N256" i="30"/>
  <c r="J5" i="30"/>
  <c r="F6" i="30"/>
  <c r="L6" i="30" s="1"/>
  <c r="J9" i="30"/>
  <c r="F10" i="30"/>
  <c r="L10" i="30" s="1"/>
  <c r="P10" i="30"/>
  <c r="J13" i="30"/>
  <c r="F14" i="30"/>
  <c r="N14" i="30" s="1"/>
  <c r="P14" i="30"/>
  <c r="J17" i="30"/>
  <c r="U17" i="30" s="1"/>
  <c r="L17" i="30"/>
  <c r="F18" i="30"/>
  <c r="N18" i="30" s="1"/>
  <c r="P18" i="30"/>
  <c r="J21" i="30"/>
  <c r="F22" i="30"/>
  <c r="L22" i="30" s="1"/>
  <c r="J25" i="30"/>
  <c r="F26" i="30"/>
  <c r="L26" i="30" s="1"/>
  <c r="P26" i="30"/>
  <c r="J29" i="30"/>
  <c r="F30" i="30"/>
  <c r="N30" i="30" s="1"/>
  <c r="P30" i="30"/>
  <c r="J33" i="30"/>
  <c r="U33" i="30" s="1"/>
  <c r="L33" i="30"/>
  <c r="F34" i="30"/>
  <c r="N34" i="30" s="1"/>
  <c r="P34" i="30"/>
  <c r="J37" i="30"/>
  <c r="F38" i="30"/>
  <c r="L38" i="30" s="1"/>
  <c r="J41" i="30"/>
  <c r="F42" i="30"/>
  <c r="L42" i="30" s="1"/>
  <c r="P42" i="30"/>
  <c r="J45" i="30"/>
  <c r="U45" i="30" s="1"/>
  <c r="W45" i="30" s="1"/>
  <c r="L45" i="30"/>
  <c r="T45" i="30" s="1"/>
  <c r="F46" i="30"/>
  <c r="N46" i="30" s="1"/>
  <c r="P46" i="30"/>
  <c r="J49" i="30"/>
  <c r="F50" i="30"/>
  <c r="N50" i="30" s="1"/>
  <c r="P50" i="30"/>
  <c r="J53" i="30"/>
  <c r="U53" i="30" s="1"/>
  <c r="L53" i="30"/>
  <c r="T53" i="30" s="1"/>
  <c r="F54" i="30"/>
  <c r="P54" i="30"/>
  <c r="J57" i="30"/>
  <c r="U57" i="30" s="1"/>
  <c r="L57" i="30"/>
  <c r="T57" i="30" s="1"/>
  <c r="F58" i="30"/>
  <c r="N58" i="30" s="1"/>
  <c r="P58" i="30"/>
  <c r="J61" i="30"/>
  <c r="F62" i="30"/>
  <c r="L62" i="30" s="1"/>
  <c r="J65" i="30"/>
  <c r="U65" i="30" s="1"/>
  <c r="W65" i="30" s="1"/>
  <c r="L65" i="30"/>
  <c r="T65" i="30" s="1"/>
  <c r="F66" i="30"/>
  <c r="P66" i="30"/>
  <c r="J69" i="30"/>
  <c r="U69" i="30" s="1"/>
  <c r="W69" i="30" s="1"/>
  <c r="L69" i="30"/>
  <c r="T69" i="30" s="1"/>
  <c r="F70" i="30"/>
  <c r="P70" i="30"/>
  <c r="J73" i="30"/>
  <c r="F74" i="30"/>
  <c r="L74" i="30" s="1"/>
  <c r="J77" i="30"/>
  <c r="U77" i="30" s="1"/>
  <c r="W77" i="30" s="1"/>
  <c r="L77" i="30"/>
  <c r="T77" i="30" s="1"/>
  <c r="F78" i="30"/>
  <c r="P78" i="30"/>
  <c r="J81" i="30"/>
  <c r="U81" i="30" s="1"/>
  <c r="W81" i="30" s="1"/>
  <c r="L81" i="30"/>
  <c r="T81" i="30" s="1"/>
  <c r="F82" i="30"/>
  <c r="P82" i="30"/>
  <c r="J85" i="30"/>
  <c r="U85" i="30" s="1"/>
  <c r="W85" i="30" s="1"/>
  <c r="L85" i="30"/>
  <c r="T85" i="30" s="1"/>
  <c r="F86" i="30"/>
  <c r="P86" i="30"/>
  <c r="J89" i="30"/>
  <c r="U89" i="30" s="1"/>
  <c r="W89" i="30" s="1"/>
  <c r="L89" i="30"/>
  <c r="T89" i="30" s="1"/>
  <c r="F90" i="30"/>
  <c r="P90" i="30"/>
  <c r="J93" i="30"/>
  <c r="U93" i="30" s="1"/>
  <c r="W93" i="30" s="1"/>
  <c r="L93" i="30"/>
  <c r="T93" i="30" s="1"/>
  <c r="F94" i="30"/>
  <c r="P94" i="30"/>
  <c r="J97" i="30"/>
  <c r="U97" i="30" s="1"/>
  <c r="W97" i="30" s="1"/>
  <c r="L97" i="30"/>
  <c r="T97" i="30" s="1"/>
  <c r="F98" i="30"/>
  <c r="P98" i="30"/>
  <c r="J101" i="30"/>
  <c r="U101" i="30" s="1"/>
  <c r="W101" i="30" s="1"/>
  <c r="L101" i="30"/>
  <c r="T101" i="30" s="1"/>
  <c r="F102" i="30"/>
  <c r="P102" i="30"/>
  <c r="J105" i="30"/>
  <c r="U105" i="30" s="1"/>
  <c r="W105" i="30" s="1"/>
  <c r="L105" i="30"/>
  <c r="T105" i="30" s="1"/>
  <c r="F106" i="30"/>
  <c r="P106" i="30"/>
  <c r="J109" i="30"/>
  <c r="U109" i="30" s="1"/>
  <c r="W109" i="30" s="1"/>
  <c r="L109" i="30"/>
  <c r="T109" i="30" s="1"/>
  <c r="F110" i="30"/>
  <c r="P110" i="30"/>
  <c r="J113" i="30"/>
  <c r="U113" i="30" s="1"/>
  <c r="W113" i="30" s="1"/>
  <c r="L113" i="30"/>
  <c r="T113" i="30" s="1"/>
  <c r="F114" i="30"/>
  <c r="L114" i="30" s="1"/>
  <c r="P114" i="30"/>
  <c r="J117" i="30"/>
  <c r="F118" i="30"/>
  <c r="N118" i="30" s="1"/>
  <c r="P118" i="30"/>
  <c r="J121" i="30"/>
  <c r="U121" i="30" s="1"/>
  <c r="W121" i="30" s="1"/>
  <c r="L121" i="30"/>
  <c r="T121" i="30" s="1"/>
  <c r="F122" i="30"/>
  <c r="N122" i="30" s="1"/>
  <c r="P122" i="30"/>
  <c r="G125" i="30"/>
  <c r="H127" i="30"/>
  <c r="F127" i="30"/>
  <c r="L127" i="30" s="1"/>
  <c r="F128" i="30"/>
  <c r="L128" i="30" s="1"/>
  <c r="H128" i="30"/>
  <c r="P128" i="30"/>
  <c r="G131" i="30"/>
  <c r="L131" i="30" s="1"/>
  <c r="G132" i="30"/>
  <c r="L132" i="30" s="1"/>
  <c r="T132" i="30" s="1"/>
  <c r="P133" i="30"/>
  <c r="H133" i="30"/>
  <c r="R133" i="30" s="1"/>
  <c r="J133" i="30"/>
  <c r="U133" i="30" s="1"/>
  <c r="N133" i="30"/>
  <c r="T133" i="30" s="1"/>
  <c r="J134" i="30"/>
  <c r="J135" i="30"/>
  <c r="J136" i="30"/>
  <c r="F137" i="30"/>
  <c r="L137" i="30" s="1"/>
  <c r="G141" i="30"/>
  <c r="P143" i="30"/>
  <c r="H143" i="30"/>
  <c r="F143" i="30"/>
  <c r="L143" i="30" s="1"/>
  <c r="L144" i="30"/>
  <c r="T144" i="30" s="1"/>
  <c r="F144" i="30"/>
  <c r="H144" i="30"/>
  <c r="P144" i="30"/>
  <c r="G147" i="30"/>
  <c r="G148" i="30"/>
  <c r="H149" i="30"/>
  <c r="J149" i="30"/>
  <c r="J150" i="30"/>
  <c r="J151" i="30"/>
  <c r="J152" i="30"/>
  <c r="F153" i="30"/>
  <c r="G157" i="30"/>
  <c r="H159" i="30"/>
  <c r="F159" i="30"/>
  <c r="F160" i="30"/>
  <c r="N160" i="30" s="1"/>
  <c r="H160" i="30"/>
  <c r="G163" i="30"/>
  <c r="G164" i="30"/>
  <c r="P164" i="30" s="1"/>
  <c r="H165" i="30"/>
  <c r="J165" i="30"/>
  <c r="U165" i="30" s="1"/>
  <c r="N165" i="30"/>
  <c r="J166" i="30"/>
  <c r="J167" i="30"/>
  <c r="J168" i="30"/>
  <c r="F169" i="30"/>
  <c r="L169" i="30" s="1"/>
  <c r="G173" i="30"/>
  <c r="H175" i="30"/>
  <c r="N175" i="30"/>
  <c r="F175" i="30"/>
  <c r="F176" i="30"/>
  <c r="N176" i="30" s="1"/>
  <c r="H176" i="30"/>
  <c r="G179" i="30"/>
  <c r="G180" i="30"/>
  <c r="P181" i="30"/>
  <c r="H181" i="30"/>
  <c r="J181" i="30"/>
  <c r="J182" i="30"/>
  <c r="J183" i="30"/>
  <c r="J184" i="30"/>
  <c r="F185" i="30"/>
  <c r="G189" i="30"/>
  <c r="L189" i="30" s="1"/>
  <c r="T189" i="30" s="1"/>
  <c r="H191" i="30"/>
  <c r="F191" i="30"/>
  <c r="L191" i="30" s="1"/>
  <c r="F192" i="30"/>
  <c r="L192" i="30" s="1"/>
  <c r="H192" i="30"/>
  <c r="P192" i="30"/>
  <c r="N196" i="30"/>
  <c r="P197" i="30"/>
  <c r="H197" i="30"/>
  <c r="G197" i="30"/>
  <c r="L197" i="30" s="1"/>
  <c r="T197" i="30" s="1"/>
  <c r="F197" i="30"/>
  <c r="H200" i="30"/>
  <c r="F202" i="30"/>
  <c r="J202" i="30"/>
  <c r="G202" i="30"/>
  <c r="N203" i="30"/>
  <c r="H204" i="30"/>
  <c r="J205" i="30"/>
  <c r="G210" i="30"/>
  <c r="J212" i="30"/>
  <c r="N216" i="30"/>
  <c r="F221" i="30"/>
  <c r="F222" i="30"/>
  <c r="J222" i="30"/>
  <c r="H222" i="30"/>
  <c r="G222" i="30"/>
  <c r="L222" i="30" s="1"/>
  <c r="T222" i="30" s="1"/>
  <c r="U223" i="30"/>
  <c r="F226" i="30"/>
  <c r="J226" i="30"/>
  <c r="N226" i="30"/>
  <c r="H226" i="30"/>
  <c r="N236" i="30"/>
  <c r="L236" i="30"/>
  <c r="H244" i="30"/>
  <c r="J244" i="30"/>
  <c r="G244" i="30"/>
  <c r="L244" i="30"/>
  <c r="F244" i="30"/>
  <c r="G256" i="30"/>
  <c r="H258" i="30"/>
  <c r="F258" i="30"/>
  <c r="N258" i="30" s="1"/>
  <c r="J258" i="30"/>
  <c r="G258" i="30"/>
  <c r="H260" i="30"/>
  <c r="J260" i="30"/>
  <c r="G260" i="30"/>
  <c r="F260" i="30"/>
  <c r="P260" i="30" s="1"/>
  <c r="N260" i="30"/>
  <c r="L260" i="30"/>
  <c r="H6" i="30"/>
  <c r="N8" i="30"/>
  <c r="G8" i="30"/>
  <c r="P8" i="30" s="1"/>
  <c r="L8" i="30"/>
  <c r="H10" i="30"/>
  <c r="N12" i="30"/>
  <c r="G12" i="30"/>
  <c r="P12" i="30" s="1"/>
  <c r="L12" i="30"/>
  <c r="H14" i="30"/>
  <c r="N16" i="30"/>
  <c r="G16" i="30"/>
  <c r="P16" i="30" s="1"/>
  <c r="L16" i="30"/>
  <c r="H18" i="30"/>
  <c r="N20" i="30"/>
  <c r="G20" i="30"/>
  <c r="P20" i="30" s="1"/>
  <c r="L20" i="30"/>
  <c r="H22" i="30"/>
  <c r="N24" i="30"/>
  <c r="G24" i="30"/>
  <c r="P24" i="30" s="1"/>
  <c r="L24" i="30"/>
  <c r="H26" i="30"/>
  <c r="N28" i="30"/>
  <c r="G28" i="30"/>
  <c r="P28" i="30" s="1"/>
  <c r="L28" i="30"/>
  <c r="H30" i="30"/>
  <c r="N32" i="30"/>
  <c r="G32" i="30"/>
  <c r="P32" i="30" s="1"/>
  <c r="L32" i="30"/>
  <c r="H34" i="30"/>
  <c r="N36" i="30"/>
  <c r="G36" i="30"/>
  <c r="P36" i="30" s="1"/>
  <c r="L36" i="30"/>
  <c r="H38" i="30"/>
  <c r="N40" i="30"/>
  <c r="G40" i="30"/>
  <c r="P40" i="30" s="1"/>
  <c r="L40" i="30"/>
  <c r="H42" i="30"/>
  <c r="N44" i="30"/>
  <c r="G44" i="30"/>
  <c r="L44" i="30" s="1"/>
  <c r="H46" i="30"/>
  <c r="N48" i="30"/>
  <c r="G48" i="30"/>
  <c r="P48" i="30" s="1"/>
  <c r="L48" i="30"/>
  <c r="H50" i="30"/>
  <c r="N52" i="30"/>
  <c r="G52" i="30"/>
  <c r="P52" i="30" s="1"/>
  <c r="L52" i="30"/>
  <c r="H54" i="30"/>
  <c r="N56" i="30"/>
  <c r="G56" i="30"/>
  <c r="L56" i="30" s="1"/>
  <c r="H58" i="30"/>
  <c r="N60" i="30"/>
  <c r="G60" i="30"/>
  <c r="P60" i="30" s="1"/>
  <c r="L60" i="30"/>
  <c r="H62" i="30"/>
  <c r="N64" i="30"/>
  <c r="G64" i="30"/>
  <c r="L64" i="30" s="1"/>
  <c r="H66" i="30"/>
  <c r="N68" i="30"/>
  <c r="G68" i="30"/>
  <c r="L68" i="30" s="1"/>
  <c r="H70" i="30"/>
  <c r="N72" i="30"/>
  <c r="G72" i="30"/>
  <c r="L72" i="30" s="1"/>
  <c r="H74" i="30"/>
  <c r="N76" i="30"/>
  <c r="G76" i="30"/>
  <c r="L76" i="30" s="1"/>
  <c r="H78" i="30"/>
  <c r="N80" i="30"/>
  <c r="G80" i="30"/>
  <c r="L80" i="30" s="1"/>
  <c r="H82" i="30"/>
  <c r="N84" i="30"/>
  <c r="G84" i="30"/>
  <c r="L84" i="30"/>
  <c r="H86" i="30"/>
  <c r="R86" i="30" s="1"/>
  <c r="N88" i="30"/>
  <c r="G88" i="30"/>
  <c r="L88" i="30" s="1"/>
  <c r="H90" i="30"/>
  <c r="R90" i="30" s="1"/>
  <c r="N92" i="30"/>
  <c r="G92" i="30"/>
  <c r="L92" i="30" s="1"/>
  <c r="H94" i="30"/>
  <c r="R94" i="30" s="1"/>
  <c r="N96" i="30"/>
  <c r="G96" i="30"/>
  <c r="L96" i="30" s="1"/>
  <c r="H98" i="30"/>
  <c r="R98" i="30" s="1"/>
  <c r="N100" i="30"/>
  <c r="G100" i="30"/>
  <c r="L100" i="30" s="1"/>
  <c r="H102" i="30"/>
  <c r="R102" i="30" s="1"/>
  <c r="N104" i="30"/>
  <c r="G104" i="30"/>
  <c r="L104" i="30"/>
  <c r="H106" i="30"/>
  <c r="R106" i="30" s="1"/>
  <c r="N108" i="30"/>
  <c r="G108" i="30"/>
  <c r="L108" i="30" s="1"/>
  <c r="H110" i="30"/>
  <c r="R110" i="30" s="1"/>
  <c r="N112" i="30"/>
  <c r="G112" i="30"/>
  <c r="L112" i="30" s="1"/>
  <c r="H114" i="30"/>
  <c r="N116" i="30"/>
  <c r="G116" i="30"/>
  <c r="P116" i="30" s="1"/>
  <c r="L116" i="30"/>
  <c r="H118" i="30"/>
  <c r="N120" i="30"/>
  <c r="G120" i="30"/>
  <c r="L120" i="30" s="1"/>
  <c r="H122" i="30"/>
  <c r="F124" i="30"/>
  <c r="N124" i="30" s="1"/>
  <c r="H124" i="30"/>
  <c r="G127" i="30"/>
  <c r="G128" i="30"/>
  <c r="P129" i="30"/>
  <c r="H129" i="30"/>
  <c r="R129" i="30" s="1"/>
  <c r="J129" i="30"/>
  <c r="U129" i="30" s="1"/>
  <c r="W129" i="30" s="1"/>
  <c r="N129" i="30"/>
  <c r="J131" i="30"/>
  <c r="U131" i="30" s="1"/>
  <c r="J132" i="30"/>
  <c r="F133" i="30"/>
  <c r="N136" i="30"/>
  <c r="G137" i="30"/>
  <c r="P139" i="30"/>
  <c r="H139" i="30"/>
  <c r="F139" i="30"/>
  <c r="L139" i="30" s="1"/>
  <c r="L140" i="30"/>
  <c r="F140" i="30"/>
  <c r="H140" i="30"/>
  <c r="P140" i="30"/>
  <c r="L141" i="30"/>
  <c r="T141" i="30" s="1"/>
  <c r="G143" i="30"/>
  <c r="G144" i="30"/>
  <c r="H145" i="30"/>
  <c r="J145" i="30"/>
  <c r="J147" i="30"/>
  <c r="J148" i="30"/>
  <c r="F149" i="30"/>
  <c r="N152" i="30"/>
  <c r="G153" i="30"/>
  <c r="H155" i="30"/>
  <c r="F155" i="30"/>
  <c r="L155" i="30" s="1"/>
  <c r="F156" i="30"/>
  <c r="N156" i="30" s="1"/>
  <c r="H156" i="30"/>
  <c r="P156" i="30"/>
  <c r="G159" i="30"/>
  <c r="G160" i="30"/>
  <c r="P161" i="30"/>
  <c r="H161" i="30"/>
  <c r="J161" i="30"/>
  <c r="N161" i="30"/>
  <c r="J163" i="30"/>
  <c r="U163" i="30" s="1"/>
  <c r="J164" i="30"/>
  <c r="F165" i="30"/>
  <c r="L165" i="30" s="1"/>
  <c r="L167" i="30"/>
  <c r="N168" i="30"/>
  <c r="G169" i="30"/>
  <c r="H171" i="30"/>
  <c r="N171" i="30"/>
  <c r="F171" i="30"/>
  <c r="F172" i="30"/>
  <c r="P172" i="30" s="1"/>
  <c r="H172" i="30"/>
  <c r="G175" i="30"/>
  <c r="G176" i="30"/>
  <c r="H177" i="30"/>
  <c r="J177" i="30"/>
  <c r="N177" i="30"/>
  <c r="J179" i="30"/>
  <c r="J180" i="30"/>
  <c r="F181" i="30"/>
  <c r="L181" i="30" s="1"/>
  <c r="L183" i="30"/>
  <c r="G185" i="30"/>
  <c r="L185" i="30" s="1"/>
  <c r="P187" i="30"/>
  <c r="T187" i="30" s="1"/>
  <c r="H187" i="30"/>
  <c r="R187" i="30" s="1"/>
  <c r="N187" i="30"/>
  <c r="F187" i="30"/>
  <c r="F188" i="30"/>
  <c r="N188" i="30" s="1"/>
  <c r="H188" i="30"/>
  <c r="G191" i="30"/>
  <c r="G192" i="30"/>
  <c r="H193" i="30"/>
  <c r="J193" i="30"/>
  <c r="U193" i="30" s="1"/>
  <c r="U195" i="30"/>
  <c r="J197" i="30"/>
  <c r="N200" i="30"/>
  <c r="H201" i="30"/>
  <c r="G201" i="30"/>
  <c r="J201" i="30"/>
  <c r="U201" i="30" s="1"/>
  <c r="H202" i="30"/>
  <c r="J204" i="30"/>
  <c r="N205" i="30"/>
  <c r="L206" i="30"/>
  <c r="T206" i="30" s="1"/>
  <c r="F206" i="30"/>
  <c r="J206" i="30"/>
  <c r="H206" i="30"/>
  <c r="P210" i="30"/>
  <c r="N217" i="30"/>
  <c r="N221" i="30"/>
  <c r="N222" i="30"/>
  <c r="G226" i="30"/>
  <c r="T232" i="30"/>
  <c r="U233" i="30"/>
  <c r="J261" i="30"/>
  <c r="F212" i="30"/>
  <c r="L212" i="30" s="1"/>
  <c r="T212" i="30" s="1"/>
  <c r="G212" i="30"/>
  <c r="P212" i="30" s="1"/>
  <c r="H213" i="30"/>
  <c r="G213" i="30"/>
  <c r="N213" i="30"/>
  <c r="F218" i="30"/>
  <c r="J218" i="30"/>
  <c r="P218" i="30"/>
  <c r="F228" i="30"/>
  <c r="N228" i="30" s="1"/>
  <c r="P228" i="30"/>
  <c r="G228" i="30"/>
  <c r="H229" i="30"/>
  <c r="G229" i="30"/>
  <c r="R236" i="30"/>
  <c r="J237" i="30"/>
  <c r="U237" i="30" s="1"/>
  <c r="W237" i="30" s="1"/>
  <c r="H238" i="30"/>
  <c r="F238" i="30"/>
  <c r="P238" i="30" s="1"/>
  <c r="J238" i="30"/>
  <c r="G238" i="30"/>
  <c r="J241" i="30"/>
  <c r="H242" i="30"/>
  <c r="F242" i="30"/>
  <c r="P242" i="30" s="1"/>
  <c r="G242" i="30"/>
  <c r="P245" i="30"/>
  <c r="J245" i="30"/>
  <c r="H250" i="30"/>
  <c r="F250" i="30"/>
  <c r="L250" i="30" s="1"/>
  <c r="G250" i="30"/>
  <c r="H254" i="30"/>
  <c r="N254" i="30"/>
  <c r="F254" i="30"/>
  <c r="J254" i="30"/>
  <c r="H264" i="30"/>
  <c r="J264" i="30"/>
  <c r="F126" i="30"/>
  <c r="P126" i="30" s="1"/>
  <c r="N126" i="30"/>
  <c r="L130" i="30"/>
  <c r="F130" i="30"/>
  <c r="N130" i="30"/>
  <c r="L134" i="30"/>
  <c r="F134" i="30"/>
  <c r="N134" i="30"/>
  <c r="F138" i="30"/>
  <c r="P138" i="30" s="1"/>
  <c r="F142" i="30"/>
  <c r="P142" i="30" s="1"/>
  <c r="N142" i="30"/>
  <c r="F146" i="30"/>
  <c r="P146" i="30" s="1"/>
  <c r="N146" i="30"/>
  <c r="L150" i="30"/>
  <c r="F150" i="30"/>
  <c r="N150" i="30"/>
  <c r="F154" i="30"/>
  <c r="N154" i="30" s="1"/>
  <c r="F158" i="30"/>
  <c r="L158" i="30" s="1"/>
  <c r="N158" i="30"/>
  <c r="F162" i="30"/>
  <c r="P162" i="30" s="1"/>
  <c r="N162" i="30"/>
  <c r="L166" i="30"/>
  <c r="F166" i="30"/>
  <c r="N166" i="30"/>
  <c r="F170" i="30"/>
  <c r="N170" i="30" s="1"/>
  <c r="F174" i="30"/>
  <c r="L174" i="30" s="1"/>
  <c r="N174" i="30"/>
  <c r="F178" i="30"/>
  <c r="P178" i="30" s="1"/>
  <c r="N178" i="30"/>
  <c r="L182" i="30"/>
  <c r="F182" i="30"/>
  <c r="N182" i="30"/>
  <c r="L186" i="30"/>
  <c r="T186" i="30" s="1"/>
  <c r="F186" i="30"/>
  <c r="N186" i="30"/>
  <c r="F190" i="30"/>
  <c r="P190" i="30" s="1"/>
  <c r="N190" i="30"/>
  <c r="F194" i="30"/>
  <c r="P194" i="30" s="1"/>
  <c r="N194" i="30"/>
  <c r="L198" i="30"/>
  <c r="F198" i="30"/>
  <c r="J198" i="30"/>
  <c r="P198" i="30"/>
  <c r="F208" i="30"/>
  <c r="L208" i="30" s="1"/>
  <c r="G208" i="30"/>
  <c r="P208" i="30" s="1"/>
  <c r="H209" i="30"/>
  <c r="G209" i="30"/>
  <c r="N209" i="30"/>
  <c r="H212" i="30"/>
  <c r="F213" i="30"/>
  <c r="L213" i="30" s="1"/>
  <c r="F214" i="30"/>
  <c r="N214" i="30" s="1"/>
  <c r="J214" i="30"/>
  <c r="G218" i="30"/>
  <c r="L218" i="30" s="1"/>
  <c r="F224" i="30"/>
  <c r="L224" i="30" s="1"/>
  <c r="G224" i="30"/>
  <c r="P224" i="30" s="1"/>
  <c r="H225" i="30"/>
  <c r="G225" i="30"/>
  <c r="N225" i="30"/>
  <c r="H228" i="30"/>
  <c r="F229" i="30"/>
  <c r="F230" i="30"/>
  <c r="N230" i="30" s="1"/>
  <c r="J230" i="30"/>
  <c r="R232" i="30"/>
  <c r="V232" i="30" s="1"/>
  <c r="H234" i="30"/>
  <c r="U236" i="30"/>
  <c r="W236" i="30" s="1"/>
  <c r="F239" i="30"/>
  <c r="H239" i="30"/>
  <c r="J239" i="30"/>
  <c r="J242" i="30"/>
  <c r="L243" i="30"/>
  <c r="F243" i="30"/>
  <c r="H243" i="30"/>
  <c r="N243" i="30"/>
  <c r="J243" i="30"/>
  <c r="U243" i="30" s="1"/>
  <c r="H248" i="30"/>
  <c r="J248" i="30"/>
  <c r="L248" i="30"/>
  <c r="F248" i="30"/>
  <c r="H249" i="30"/>
  <c r="J249" i="30"/>
  <c r="J250" i="30"/>
  <c r="U250" i="30" s="1"/>
  <c r="F251" i="30"/>
  <c r="H251" i="30"/>
  <c r="G251" i="30"/>
  <c r="J251" i="30"/>
  <c r="G254" i="30"/>
  <c r="F255" i="30"/>
  <c r="H255" i="30"/>
  <c r="J255" i="30"/>
  <c r="G255" i="30"/>
  <c r="F264" i="30"/>
  <c r="L264" i="30" s="1"/>
  <c r="P265" i="30"/>
  <c r="P195" i="30"/>
  <c r="H195" i="30"/>
  <c r="R195" i="30" s="1"/>
  <c r="L195" i="30"/>
  <c r="P199" i="30"/>
  <c r="H199" i="30"/>
  <c r="L199" i="30"/>
  <c r="T199" i="30" s="1"/>
  <c r="H203" i="30"/>
  <c r="L203" i="30"/>
  <c r="P207" i="30"/>
  <c r="H207" i="30"/>
  <c r="L207" i="30"/>
  <c r="H211" i="30"/>
  <c r="P215" i="30"/>
  <c r="H215" i="30"/>
  <c r="L215" i="30"/>
  <c r="T215" i="30" s="1"/>
  <c r="P219" i="30"/>
  <c r="H219" i="30"/>
  <c r="L219" i="30"/>
  <c r="T219" i="30" s="1"/>
  <c r="P223" i="30"/>
  <c r="H223" i="30"/>
  <c r="L223" i="30"/>
  <c r="H227" i="30"/>
  <c r="H231" i="30"/>
  <c r="L231" i="30"/>
  <c r="J234" i="30"/>
  <c r="P240" i="30"/>
  <c r="H240" i="30"/>
  <c r="R240" i="30" s="1"/>
  <c r="J240" i="30"/>
  <c r="U240" i="30" s="1"/>
  <c r="W240" i="30" s="1"/>
  <c r="F240" i="30"/>
  <c r="J257" i="30"/>
  <c r="L259" i="30"/>
  <c r="F259" i="30"/>
  <c r="H259" i="30"/>
  <c r="N259" i="30"/>
  <c r="N233" i="30"/>
  <c r="G233" i="30"/>
  <c r="P233" i="30" s="1"/>
  <c r="L233" i="30"/>
  <c r="N237" i="30"/>
  <c r="G237" i="30"/>
  <c r="P237" i="30" s="1"/>
  <c r="L237" i="30"/>
  <c r="H246" i="30"/>
  <c r="N246" i="30"/>
  <c r="F246" i="30"/>
  <c r="F247" i="30"/>
  <c r="P247" i="30" s="1"/>
  <c r="H247" i="30"/>
  <c r="H252" i="30"/>
  <c r="J252" i="30"/>
  <c r="H262" i="30"/>
  <c r="N262" i="30"/>
  <c r="F262" i="30"/>
  <c r="F263" i="30"/>
  <c r="P263" i="30" s="1"/>
  <c r="H263" i="30"/>
  <c r="F241" i="30"/>
  <c r="L241" i="30" s="1"/>
  <c r="N241" i="30"/>
  <c r="F245" i="30"/>
  <c r="L245" i="30" s="1"/>
  <c r="N245" i="30"/>
  <c r="L249" i="30"/>
  <c r="F249" i="30"/>
  <c r="N249" i="30"/>
  <c r="F253" i="30"/>
  <c r="P253" i="30" s="1"/>
  <c r="F257" i="30"/>
  <c r="P257" i="30" s="1"/>
  <c r="N257" i="30"/>
  <c r="F261" i="30"/>
  <c r="P261" i="30" s="1"/>
  <c r="N261" i="30"/>
  <c r="L265" i="30"/>
  <c r="T265" i="30" s="1"/>
  <c r="F265" i="30"/>
  <c r="N265" i="30"/>
  <c r="Z20" i="30"/>
  <c r="Z24" i="30"/>
  <c r="Z28" i="30"/>
  <c r="Z32" i="30"/>
  <c r="Z45" i="30"/>
  <c r="Z47" i="30"/>
  <c r="Z48" i="30"/>
  <c r="Z52" i="30"/>
  <c r="Z55" i="30"/>
  <c r="Z63" i="30"/>
  <c r="Z65" i="30"/>
  <c r="Z67" i="30"/>
  <c r="Z69" i="30"/>
  <c r="Z71" i="30"/>
  <c r="Z75" i="30"/>
  <c r="Z77" i="30"/>
  <c r="Z79" i="30"/>
  <c r="Z81" i="30"/>
  <c r="Z84" i="30"/>
  <c r="Z85" i="30"/>
  <c r="Z87" i="30"/>
  <c r="Z89" i="30"/>
  <c r="Z91" i="30"/>
  <c r="Z93" i="30"/>
  <c r="Z95" i="30"/>
  <c r="Z97" i="30"/>
  <c r="Z99" i="30"/>
  <c r="Z101" i="30"/>
  <c r="Z103" i="30"/>
  <c r="Z105" i="30"/>
  <c r="Z107" i="30"/>
  <c r="Z109" i="30"/>
  <c r="Z111" i="30"/>
  <c r="Z113" i="30"/>
  <c r="Z116" i="30"/>
  <c r="Z119" i="30"/>
  <c r="Z121" i="30"/>
  <c r="Z123" i="30"/>
  <c r="Z129" i="30"/>
  <c r="Z133" i="30"/>
  <c r="Z185" i="30"/>
  <c r="Z220" i="30"/>
  <c r="Z221" i="30"/>
  <c r="Z236" i="30"/>
  <c r="Z237" i="30"/>
  <c r="Z240" i="30"/>
  <c r="Y63" i="30"/>
  <c r="Y65" i="30"/>
  <c r="Y67" i="30"/>
  <c r="Y69" i="30"/>
  <c r="Y71" i="30"/>
  <c r="Y75" i="30"/>
  <c r="Y77" i="30"/>
  <c r="Y79" i="30"/>
  <c r="Y81" i="30"/>
  <c r="Y84" i="30"/>
  <c r="Y85" i="30"/>
  <c r="Y87" i="30"/>
  <c r="Y89" i="30"/>
  <c r="Y91" i="30"/>
  <c r="Y93" i="30"/>
  <c r="Y95" i="30"/>
  <c r="Y97" i="30"/>
  <c r="Y99" i="30"/>
  <c r="Y101" i="30"/>
  <c r="Y103" i="30"/>
  <c r="Y105" i="30"/>
  <c r="Y107" i="30"/>
  <c r="Y109" i="30"/>
  <c r="Y111" i="30"/>
  <c r="Y113" i="30"/>
  <c r="Y116" i="30"/>
  <c r="Y119" i="30"/>
  <c r="Y121" i="30"/>
  <c r="Y123" i="30"/>
  <c r="Y129" i="30"/>
  <c r="Y133" i="30"/>
  <c r="Y185" i="30"/>
  <c r="Y220" i="30"/>
  <c r="Y221" i="30"/>
  <c r="Y236" i="30"/>
  <c r="Y237" i="30"/>
  <c r="Y240" i="30"/>
  <c r="Y52" i="30"/>
  <c r="Y55" i="30"/>
  <c r="Y20" i="30"/>
  <c r="Y24" i="30"/>
  <c r="Y28" i="30"/>
  <c r="Y32" i="30"/>
  <c r="Y45" i="30"/>
  <c r="Y47" i="30"/>
  <c r="Y48" i="30"/>
  <c r="X20" i="30"/>
  <c r="X24" i="30"/>
  <c r="X28" i="30"/>
  <c r="X32" i="30"/>
  <c r="X45" i="30"/>
  <c r="X47" i="30"/>
  <c r="X48" i="30"/>
  <c r="X52" i="30"/>
  <c r="X55" i="30"/>
  <c r="X63" i="30"/>
  <c r="X65" i="30"/>
  <c r="X67" i="30"/>
  <c r="X69" i="30"/>
  <c r="X71" i="30"/>
  <c r="X75" i="30"/>
  <c r="X77" i="30"/>
  <c r="X79" i="30"/>
  <c r="X81" i="30"/>
  <c r="X84" i="30"/>
  <c r="X85" i="30"/>
  <c r="X87" i="30"/>
  <c r="X89" i="30"/>
  <c r="X91" i="30"/>
  <c r="X93" i="30"/>
  <c r="X95" i="30"/>
  <c r="X97" i="30"/>
  <c r="X99" i="30"/>
  <c r="X101" i="30"/>
  <c r="X103" i="30"/>
  <c r="X105" i="30"/>
  <c r="X107" i="30"/>
  <c r="X109" i="30"/>
  <c r="X111" i="30"/>
  <c r="X113" i="30"/>
  <c r="X116" i="30"/>
  <c r="X119" i="30"/>
  <c r="X121" i="30"/>
  <c r="X123" i="30"/>
  <c r="X129" i="30"/>
  <c r="X133" i="30"/>
  <c r="X220" i="30"/>
  <c r="X237" i="30"/>
  <c r="E279" i="30"/>
  <c r="E278" i="30"/>
  <c r="G274" i="30"/>
  <c r="D274" i="30"/>
  <c r="D273" i="30"/>
  <c r="D269" i="30"/>
  <c r="T245" i="30" l="1"/>
  <c r="R245" i="30"/>
  <c r="T100" i="30"/>
  <c r="R100" i="30"/>
  <c r="U100" i="30"/>
  <c r="W100" i="30" s="1"/>
  <c r="T80" i="30"/>
  <c r="U80" i="30"/>
  <c r="R80" i="30"/>
  <c r="T64" i="30"/>
  <c r="R64" i="30"/>
  <c r="U64" i="30"/>
  <c r="T62" i="30"/>
  <c r="U62" i="30"/>
  <c r="T38" i="30"/>
  <c r="U38" i="30"/>
  <c r="T22" i="30"/>
  <c r="U22" i="30"/>
  <c r="W22" i="30" s="1"/>
  <c r="T6" i="30"/>
  <c r="U6" i="30"/>
  <c r="T78" i="30"/>
  <c r="U78" i="30"/>
  <c r="T224" i="30"/>
  <c r="U224" i="30"/>
  <c r="R224" i="30"/>
  <c r="T174" i="30"/>
  <c r="R174" i="30"/>
  <c r="R158" i="30"/>
  <c r="T108" i="30"/>
  <c r="R108" i="30"/>
  <c r="U108" i="30"/>
  <c r="T88" i="30"/>
  <c r="U88" i="30"/>
  <c r="R88" i="30"/>
  <c r="T68" i="30"/>
  <c r="R68" i="30"/>
  <c r="U68" i="30"/>
  <c r="W68" i="30" s="1"/>
  <c r="T82" i="30"/>
  <c r="U82" i="30"/>
  <c r="T66" i="30"/>
  <c r="U66" i="30"/>
  <c r="W66" i="30" s="1"/>
  <c r="T241" i="30"/>
  <c r="R241" i="30"/>
  <c r="T218" i="30"/>
  <c r="R218" i="30"/>
  <c r="T112" i="30"/>
  <c r="R112" i="30"/>
  <c r="U112" i="30"/>
  <c r="W112" i="30" s="1"/>
  <c r="T92" i="30"/>
  <c r="U92" i="30"/>
  <c r="W92" i="30" s="1"/>
  <c r="R92" i="30"/>
  <c r="T72" i="30"/>
  <c r="U72" i="30"/>
  <c r="R72" i="30"/>
  <c r="T44" i="30"/>
  <c r="R44" i="30"/>
  <c r="U44" i="30"/>
  <c r="W44" i="30" s="1"/>
  <c r="T192" i="30"/>
  <c r="U192" i="30"/>
  <c r="T74" i="30"/>
  <c r="U74" i="30"/>
  <c r="T42" i="30"/>
  <c r="U42" i="30"/>
  <c r="T26" i="30"/>
  <c r="U26" i="30"/>
  <c r="T10" i="30"/>
  <c r="U10" i="30"/>
  <c r="T70" i="30"/>
  <c r="U70" i="30"/>
  <c r="W70" i="30" s="1"/>
  <c r="T135" i="30"/>
  <c r="T208" i="30"/>
  <c r="U208" i="30"/>
  <c r="R208" i="30"/>
  <c r="T120" i="30"/>
  <c r="R120" i="30"/>
  <c r="U120" i="30"/>
  <c r="W120" i="30" s="1"/>
  <c r="T96" i="30"/>
  <c r="R96" i="30"/>
  <c r="U96" i="30"/>
  <c r="T76" i="30"/>
  <c r="U76" i="30"/>
  <c r="R76" i="30"/>
  <c r="T56" i="30"/>
  <c r="R56" i="30"/>
  <c r="U56" i="30"/>
  <c r="W56" i="30" s="1"/>
  <c r="T128" i="30"/>
  <c r="U128" i="30"/>
  <c r="T114" i="30"/>
  <c r="U114" i="30"/>
  <c r="W114" i="30" s="1"/>
  <c r="U252" i="30"/>
  <c r="R227" i="30"/>
  <c r="N227" i="30"/>
  <c r="N211" i="30"/>
  <c r="V195" i="30"/>
  <c r="P255" i="30"/>
  <c r="N255" i="30"/>
  <c r="U199" i="30"/>
  <c r="W199" i="30" s="1"/>
  <c r="T198" i="30"/>
  <c r="R198" i="30"/>
  <c r="T182" i="30"/>
  <c r="R182" i="30"/>
  <c r="T166" i="30"/>
  <c r="R166" i="30"/>
  <c r="T150" i="30"/>
  <c r="R150" i="30"/>
  <c r="T134" i="30"/>
  <c r="R134" i="30"/>
  <c r="N264" i="30"/>
  <c r="P264" i="30"/>
  <c r="T264" i="30" s="1"/>
  <c r="U245" i="30"/>
  <c r="U241" i="30"/>
  <c r="W241" i="30" s="1"/>
  <c r="W193" i="30"/>
  <c r="V187" i="30"/>
  <c r="W163" i="30"/>
  <c r="T155" i="30"/>
  <c r="R145" i="30"/>
  <c r="U140" i="30"/>
  <c r="T260" i="30"/>
  <c r="U260" i="30"/>
  <c r="W260" i="30" s="1"/>
  <c r="U258" i="30"/>
  <c r="R258" i="30"/>
  <c r="R244" i="30"/>
  <c r="W223" i="30"/>
  <c r="R204" i="30"/>
  <c r="P202" i="30"/>
  <c r="N202" i="30"/>
  <c r="U182" i="30"/>
  <c r="W182" i="30" s="1"/>
  <c r="R159" i="30"/>
  <c r="U152" i="30"/>
  <c r="W152" i="30" s="1"/>
  <c r="U135" i="30"/>
  <c r="V133" i="30"/>
  <c r="U49" i="30"/>
  <c r="U41" i="30"/>
  <c r="U37" i="30"/>
  <c r="U29" i="30"/>
  <c r="U25" i="30"/>
  <c r="U21" i="30"/>
  <c r="U13" i="30"/>
  <c r="U9" i="30"/>
  <c r="U5" i="30"/>
  <c r="U217" i="30"/>
  <c r="V216" i="30"/>
  <c r="U169" i="30"/>
  <c r="W169" i="30" s="1"/>
  <c r="T164" i="30"/>
  <c r="U138" i="30"/>
  <c r="R132" i="30"/>
  <c r="P117" i="30"/>
  <c r="T58" i="30"/>
  <c r="R49" i="30"/>
  <c r="P49" i="30"/>
  <c r="T34" i="30"/>
  <c r="R29" i="30"/>
  <c r="P29" i="30"/>
  <c r="T18" i="30"/>
  <c r="R13" i="30"/>
  <c r="P13" i="30"/>
  <c r="R189" i="30"/>
  <c r="R183" i="30"/>
  <c r="U173" i="30"/>
  <c r="U142" i="30"/>
  <c r="T136" i="30"/>
  <c r="T161" i="30"/>
  <c r="N172" i="30"/>
  <c r="P154" i="30"/>
  <c r="W187" i="30"/>
  <c r="U155" i="30"/>
  <c r="W155" i="30" s="1"/>
  <c r="W139" i="30"/>
  <c r="T27" i="30"/>
  <c r="U18" i="30"/>
  <c r="W18" i="30" s="1"/>
  <c r="U127" i="30"/>
  <c r="V23" i="30"/>
  <c r="U27" i="30"/>
  <c r="W27" i="30" s="1"/>
  <c r="W31" i="30"/>
  <c r="X221" i="30"/>
  <c r="X185" i="30"/>
  <c r="X104" i="30"/>
  <c r="X40" i="30"/>
  <c r="X16" i="30"/>
  <c r="X8" i="30"/>
  <c r="Y40" i="30"/>
  <c r="Y51" i="30"/>
  <c r="Y232" i="30"/>
  <c r="Y216" i="30"/>
  <c r="Y196" i="30"/>
  <c r="Y104" i="30"/>
  <c r="Z232" i="30"/>
  <c r="Z216" i="30"/>
  <c r="Z196" i="30"/>
  <c r="Z104" i="30"/>
  <c r="Z40" i="30"/>
  <c r="Z16" i="30"/>
  <c r="Z8" i="30"/>
  <c r="L253" i="30"/>
  <c r="R262" i="30"/>
  <c r="R246" i="30"/>
  <c r="V240" i="30"/>
  <c r="R231" i="30"/>
  <c r="P227" i="30"/>
  <c r="R215" i="30"/>
  <c r="P211" i="30"/>
  <c r="R199" i="30"/>
  <c r="L255" i="30"/>
  <c r="T255" i="30" s="1"/>
  <c r="R251" i="30"/>
  <c r="U249" i="30"/>
  <c r="U248" i="30"/>
  <c r="N239" i="30"/>
  <c r="P234" i="30"/>
  <c r="U231" i="30"/>
  <c r="W231" i="30" s="1"/>
  <c r="L230" i="30"/>
  <c r="U215" i="30"/>
  <c r="L214" i="30"/>
  <c r="L170" i="30"/>
  <c r="L154" i="30"/>
  <c r="L138" i="30"/>
  <c r="N263" i="30"/>
  <c r="R254" i="30"/>
  <c r="N250" i="30"/>
  <c r="T250" i="30" s="1"/>
  <c r="N242" i="30"/>
  <c r="P241" i="30"/>
  <c r="N238" i="30"/>
  <c r="U218" i="30"/>
  <c r="L252" i="30"/>
  <c r="R206" i="30"/>
  <c r="U197" i="30"/>
  <c r="R193" i="30"/>
  <c r="L188" i="30"/>
  <c r="T181" i="30"/>
  <c r="T167" i="30"/>
  <c r="R156" i="30"/>
  <c r="N155" i="30"/>
  <c r="P145" i="30"/>
  <c r="T139" i="30"/>
  <c r="U132" i="30"/>
  <c r="V129" i="30"/>
  <c r="L125" i="30"/>
  <c r="L124" i="30"/>
  <c r="R260" i="30"/>
  <c r="L258" i="30"/>
  <c r="P258" i="30"/>
  <c r="N244" i="30"/>
  <c r="T244" i="30" s="1"/>
  <c r="P244" i="30"/>
  <c r="W232" i="30"/>
  <c r="U226" i="30"/>
  <c r="U212" i="30"/>
  <c r="W212" i="30" s="1"/>
  <c r="L202" i="30"/>
  <c r="R197" i="30"/>
  <c r="R192" i="30"/>
  <c r="N191" i="30"/>
  <c r="T191" i="30" s="1"/>
  <c r="N181" i="30"/>
  <c r="W165" i="30"/>
  <c r="L160" i="30"/>
  <c r="P159" i="30"/>
  <c r="U151" i="30"/>
  <c r="U134" i="30"/>
  <c r="W134" i="30" s="1"/>
  <c r="R128" i="30"/>
  <c r="N127" i="30"/>
  <c r="T127" i="30" s="1"/>
  <c r="W221" i="30"/>
  <c r="W216" i="30"/>
  <c r="T216" i="30"/>
  <c r="U210" i="30"/>
  <c r="W210" i="30" s="1"/>
  <c r="W207" i="30"/>
  <c r="P204" i="30"/>
  <c r="T204" i="30" s="1"/>
  <c r="L200" i="30"/>
  <c r="T200" i="30" s="1"/>
  <c r="U186" i="30"/>
  <c r="R180" i="30"/>
  <c r="N179" i="30"/>
  <c r="R169" i="30"/>
  <c r="T163" i="30"/>
  <c r="P158" i="30"/>
  <c r="T158" i="30" s="1"/>
  <c r="L148" i="30"/>
  <c r="P147" i="30"/>
  <c r="T122" i="30"/>
  <c r="T118" i="30"/>
  <c r="T50" i="30"/>
  <c r="T46" i="30"/>
  <c r="P41" i="30"/>
  <c r="T30" i="30"/>
  <c r="R25" i="30"/>
  <c r="P25" i="30"/>
  <c r="T14" i="30"/>
  <c r="R9" i="30"/>
  <c r="P9" i="30"/>
  <c r="U259" i="30"/>
  <c r="T235" i="30"/>
  <c r="R205" i="30"/>
  <c r="U190" i="30"/>
  <c r="L184" i="30"/>
  <c r="P183" i="30"/>
  <c r="T183" i="30" s="1"/>
  <c r="R173" i="30"/>
  <c r="R167" i="30"/>
  <c r="R152" i="30"/>
  <c r="P125" i="30"/>
  <c r="N180" i="30"/>
  <c r="T180" i="30" s="1"/>
  <c r="N148" i="30"/>
  <c r="R35" i="30"/>
  <c r="N192" i="30"/>
  <c r="P170" i="30"/>
  <c r="U115" i="30"/>
  <c r="W115" i="30" s="1"/>
  <c r="V28" i="30"/>
  <c r="T15" i="30"/>
  <c r="R186" i="30"/>
  <c r="U118" i="30"/>
  <c r="R115" i="30"/>
  <c r="V84" i="30"/>
  <c r="R59" i="30"/>
  <c r="R27" i="30"/>
  <c r="N13" i="30"/>
  <c r="U144" i="30"/>
  <c r="U122" i="30"/>
  <c r="W104" i="30"/>
  <c r="U54" i="30"/>
  <c r="W54" i="30" s="1"/>
  <c r="T39" i="30"/>
  <c r="U30" i="30"/>
  <c r="T7" i="30"/>
  <c r="U59" i="30"/>
  <c r="W43" i="30"/>
  <c r="F278" i="30"/>
  <c r="X240" i="30"/>
  <c r="X236" i="30"/>
  <c r="X232" i="30"/>
  <c r="X216" i="30"/>
  <c r="X196" i="30"/>
  <c r="X131" i="30"/>
  <c r="X51" i="30"/>
  <c r="X31" i="30"/>
  <c r="X23" i="30"/>
  <c r="Y16" i="30"/>
  <c r="Y8" i="30"/>
  <c r="Y31" i="30"/>
  <c r="Y23" i="30"/>
  <c r="Y195" i="30"/>
  <c r="Y187" i="30"/>
  <c r="Y131" i="30"/>
  <c r="Z195" i="30"/>
  <c r="Z187" i="30"/>
  <c r="Z131" i="30"/>
  <c r="Z51" i="30"/>
  <c r="Z31" i="30"/>
  <c r="Z23" i="30"/>
  <c r="L257" i="30"/>
  <c r="L263" i="30"/>
  <c r="P262" i="30"/>
  <c r="P252" i="30"/>
  <c r="L247" i="30"/>
  <c r="P246" i="30"/>
  <c r="T233" i="30"/>
  <c r="R259" i="30"/>
  <c r="N231" i="30"/>
  <c r="T231" i="30" s="1"/>
  <c r="T223" i="30"/>
  <c r="R219" i="30"/>
  <c r="T207" i="30"/>
  <c r="R203" i="30"/>
  <c r="U255" i="30"/>
  <c r="N251" i="30"/>
  <c r="P251" i="30"/>
  <c r="R249" i="30"/>
  <c r="R248" i="30"/>
  <c r="R243" i="30"/>
  <c r="P239" i="30"/>
  <c r="L239" i="30"/>
  <c r="L234" i="30"/>
  <c r="T234" i="30" s="1"/>
  <c r="P230" i="30"/>
  <c r="L229" i="30"/>
  <c r="P214" i="30"/>
  <c r="U213" i="30"/>
  <c r="L209" i="30"/>
  <c r="U198" i="30"/>
  <c r="L190" i="30"/>
  <c r="L142" i="30"/>
  <c r="L126" i="30"/>
  <c r="U264" i="30"/>
  <c r="U254" i="30"/>
  <c r="P254" i="30"/>
  <c r="R250" i="30"/>
  <c r="R233" i="30"/>
  <c r="P229" i="30"/>
  <c r="L228" i="30"/>
  <c r="R213" i="30"/>
  <c r="N247" i="30"/>
  <c r="U206" i="30"/>
  <c r="W206" i="30" s="1"/>
  <c r="U204" i="30"/>
  <c r="R201" i="30"/>
  <c r="W195" i="30"/>
  <c r="P193" i="30"/>
  <c r="T193" i="30" s="1"/>
  <c r="P188" i="30"/>
  <c r="T185" i="30"/>
  <c r="V185" i="30" s="1"/>
  <c r="U180" i="30"/>
  <c r="L173" i="30"/>
  <c r="L172" i="30"/>
  <c r="P171" i="30"/>
  <c r="U161" i="30"/>
  <c r="R155" i="30"/>
  <c r="N145" i="30"/>
  <c r="R140" i="30"/>
  <c r="N139" i="30"/>
  <c r="W131" i="30"/>
  <c r="P124" i="30"/>
  <c r="R122" i="30"/>
  <c r="R118" i="30"/>
  <c r="R114" i="30"/>
  <c r="V110" i="30"/>
  <c r="V106" i="30"/>
  <c r="V98" i="30"/>
  <c r="V94" i="30"/>
  <c r="V90" i="30"/>
  <c r="R82" i="30"/>
  <c r="R78" i="30"/>
  <c r="R74" i="30"/>
  <c r="R70" i="30"/>
  <c r="R66" i="30"/>
  <c r="R62" i="30"/>
  <c r="R58" i="30"/>
  <c r="R54" i="30"/>
  <c r="R50" i="30"/>
  <c r="R46" i="30"/>
  <c r="R42" i="30"/>
  <c r="R38" i="30"/>
  <c r="R34" i="30"/>
  <c r="R30" i="30"/>
  <c r="R26" i="30"/>
  <c r="R22" i="30"/>
  <c r="R18" i="30"/>
  <c r="R14" i="30"/>
  <c r="R10" i="30"/>
  <c r="R6" i="30"/>
  <c r="P226" i="30"/>
  <c r="R222" i="30"/>
  <c r="R200" i="30"/>
  <c r="R191" i="30"/>
  <c r="U184" i="30"/>
  <c r="W184" i="30" s="1"/>
  <c r="U181" i="30"/>
  <c r="L176" i="30"/>
  <c r="P175" i="30"/>
  <c r="U167" i="30"/>
  <c r="R165" i="30"/>
  <c r="P160" i="30"/>
  <c r="L159" i="30"/>
  <c r="U150" i="30"/>
  <c r="P149" i="30"/>
  <c r="R144" i="30"/>
  <c r="N143" i="30"/>
  <c r="T143" i="30" s="1"/>
  <c r="T137" i="30"/>
  <c r="R127" i="30"/>
  <c r="L256" i="30"/>
  <c r="T256" i="30" s="1"/>
  <c r="P256" i="30"/>
  <c r="T221" i="30"/>
  <c r="V221" i="30" s="1"/>
  <c r="R217" i="30"/>
  <c r="U196" i="30"/>
  <c r="W196" i="30" s="1"/>
  <c r="R179" i="30"/>
  <c r="U170" i="30"/>
  <c r="P169" i="30"/>
  <c r="T169" i="30" s="1"/>
  <c r="R164" i="30"/>
  <c r="N163" i="30"/>
  <c r="L147" i="30"/>
  <c r="T147" i="30" s="1"/>
  <c r="U137" i="30"/>
  <c r="T110" i="30"/>
  <c r="T106" i="30"/>
  <c r="T102" i="30"/>
  <c r="V102" i="30" s="1"/>
  <c r="T98" i="30"/>
  <c r="T94" i="30"/>
  <c r="T90" i="30"/>
  <c r="T86" i="30"/>
  <c r="V86" i="30" s="1"/>
  <c r="P73" i="30"/>
  <c r="P61" i="30"/>
  <c r="P37" i="30"/>
  <c r="P21" i="30"/>
  <c r="P5" i="30"/>
  <c r="R235" i="30"/>
  <c r="T220" i="30"/>
  <c r="V220" i="30" s="1"/>
  <c r="P184" i="30"/>
  <c r="U174" i="30"/>
  <c r="P173" i="30"/>
  <c r="L168" i="30"/>
  <c r="T168" i="30" s="1"/>
  <c r="P167" i="30"/>
  <c r="R157" i="30"/>
  <c r="R151" i="30"/>
  <c r="U141" i="30"/>
  <c r="W141" i="30" s="1"/>
  <c r="R136" i="30"/>
  <c r="N135" i="30"/>
  <c r="P231" i="30"/>
  <c r="L177" i="30"/>
  <c r="T177" i="30" s="1"/>
  <c r="L145" i="30"/>
  <c r="U83" i="30"/>
  <c r="N140" i="30"/>
  <c r="T140" i="30" s="1"/>
  <c r="U90" i="30"/>
  <c r="W90" i="30" s="1"/>
  <c r="R83" i="30"/>
  <c r="W48" i="30"/>
  <c r="R15" i="30"/>
  <c r="N128" i="30"/>
  <c r="N117" i="30"/>
  <c r="T43" i="30"/>
  <c r="U34" i="30"/>
  <c r="W34" i="30" s="1"/>
  <c r="T11" i="30"/>
  <c r="N49" i="30"/>
  <c r="R39" i="30"/>
  <c r="N25" i="30"/>
  <c r="W16" i="30"/>
  <c r="R7" i="30"/>
  <c r="W51" i="30"/>
  <c r="U7" i="30"/>
  <c r="U58" i="30"/>
  <c r="U35" i="30"/>
  <c r="W35" i="30" s="1"/>
  <c r="X195" i="30"/>
  <c r="X187" i="30"/>
  <c r="X110" i="30"/>
  <c r="X106" i="30"/>
  <c r="X102" i="30"/>
  <c r="X98" i="30"/>
  <c r="X94" i="30"/>
  <c r="X90" i="30"/>
  <c r="X86" i="30"/>
  <c r="Y110" i="30"/>
  <c r="Y106" i="30"/>
  <c r="Y102" i="30"/>
  <c r="Y98" i="30"/>
  <c r="Y94" i="30"/>
  <c r="Y90" i="30"/>
  <c r="Y86" i="30"/>
  <c r="Z110" i="30"/>
  <c r="Z106" i="30"/>
  <c r="Z102" i="30"/>
  <c r="Z98" i="30"/>
  <c r="Z94" i="30"/>
  <c r="Z90" i="30"/>
  <c r="Z86" i="30"/>
  <c r="L261" i="30"/>
  <c r="N253" i="30"/>
  <c r="P249" i="30"/>
  <c r="T249" i="30" s="1"/>
  <c r="L262" i="30"/>
  <c r="N252" i="30"/>
  <c r="L246" i="30"/>
  <c r="T237" i="30"/>
  <c r="V237" i="30" s="1"/>
  <c r="P259" i="30"/>
  <c r="T259" i="30" s="1"/>
  <c r="U234" i="30"/>
  <c r="L227" i="30"/>
  <c r="R223" i="30"/>
  <c r="N223" i="30"/>
  <c r="L211" i="30"/>
  <c r="R207" i="30"/>
  <c r="P203" i="30"/>
  <c r="T203" i="30" s="1"/>
  <c r="T195" i="30"/>
  <c r="R265" i="30"/>
  <c r="L251" i="30"/>
  <c r="T251" i="30" s="1"/>
  <c r="N248" i="30"/>
  <c r="T248" i="30" s="1"/>
  <c r="P248" i="30"/>
  <c r="P243" i="30"/>
  <c r="T243" i="30" s="1"/>
  <c r="U239" i="30"/>
  <c r="L238" i="30"/>
  <c r="T238" i="30" s="1"/>
  <c r="N234" i="30"/>
  <c r="R228" i="30"/>
  <c r="P225" i="30"/>
  <c r="R212" i="30"/>
  <c r="P209" i="30"/>
  <c r="L194" i="30"/>
  <c r="L178" i="30"/>
  <c r="L162" i="30"/>
  <c r="L146" i="30"/>
  <c r="N138" i="30"/>
  <c r="T130" i="30"/>
  <c r="R130" i="30"/>
  <c r="U265" i="30"/>
  <c r="R264" i="30"/>
  <c r="L254" i="30"/>
  <c r="P250" i="30"/>
  <c r="L242" i="30"/>
  <c r="T242" i="30" s="1"/>
  <c r="U238" i="30"/>
  <c r="N229" i="30"/>
  <c r="U219" i="30"/>
  <c r="W219" i="30" s="1"/>
  <c r="P213" i="30"/>
  <c r="T213" i="30" s="1"/>
  <c r="R202" i="30"/>
  <c r="P201" i="30"/>
  <c r="N193" i="30"/>
  <c r="R188" i="30"/>
  <c r="U179" i="30"/>
  <c r="W179" i="30" s="1"/>
  <c r="P177" i="30"/>
  <c r="L171" i="30"/>
  <c r="U164" i="30"/>
  <c r="W164" i="30" s="1"/>
  <c r="R161" i="30"/>
  <c r="L157" i="30"/>
  <c r="T157" i="30" s="1"/>
  <c r="L156" i="30"/>
  <c r="P155" i="30"/>
  <c r="L149" i="30"/>
  <c r="U145" i="30"/>
  <c r="R139" i="30"/>
  <c r="T116" i="30"/>
  <c r="V116" i="30" s="1"/>
  <c r="T104" i="30"/>
  <c r="V104" i="30" s="1"/>
  <c r="T84" i="30"/>
  <c r="T60" i="30"/>
  <c r="T52" i="30"/>
  <c r="V52" i="30" s="1"/>
  <c r="T48" i="30"/>
  <c r="V48" i="30" s="1"/>
  <c r="T40" i="30"/>
  <c r="V40" i="30" s="1"/>
  <c r="T36" i="30"/>
  <c r="T32" i="30"/>
  <c r="V32" i="30" s="1"/>
  <c r="T28" i="30"/>
  <c r="T24" i="30"/>
  <c r="V24" i="30" s="1"/>
  <c r="T20" i="30"/>
  <c r="V20" i="30" s="1"/>
  <c r="T16" i="30"/>
  <c r="V16" i="30" s="1"/>
  <c r="T12" i="30"/>
  <c r="T8" i="30"/>
  <c r="V8" i="30" s="1"/>
  <c r="U244" i="30"/>
  <c r="W244" i="30" s="1"/>
  <c r="T236" i="30"/>
  <c r="V236" i="30" s="1"/>
  <c r="L226" i="30"/>
  <c r="T226" i="30" s="1"/>
  <c r="U222" i="30"/>
  <c r="W222" i="30" s="1"/>
  <c r="U205" i="30"/>
  <c r="W205" i="30" s="1"/>
  <c r="U202" i="30"/>
  <c r="P191" i="30"/>
  <c r="U183" i="30"/>
  <c r="W183" i="30" s="1"/>
  <c r="R181" i="30"/>
  <c r="P176" i="30"/>
  <c r="L175" i="30"/>
  <c r="U166" i="30"/>
  <c r="W166" i="30" s="1"/>
  <c r="P165" i="30"/>
  <c r="T165" i="30" s="1"/>
  <c r="R160" i="30"/>
  <c r="N159" i="30"/>
  <c r="L153" i="30"/>
  <c r="N149" i="30"/>
  <c r="R143" i="30"/>
  <c r="U136" i="30"/>
  <c r="W136" i="30" s="1"/>
  <c r="W133" i="30"/>
  <c r="T131" i="30"/>
  <c r="V131" i="30" s="1"/>
  <c r="P127" i="30"/>
  <c r="L117" i="30"/>
  <c r="T117" i="30" s="1"/>
  <c r="L73" i="30"/>
  <c r="T73" i="30" s="1"/>
  <c r="L61" i="30"/>
  <c r="T61" i="30" s="1"/>
  <c r="L49" i="30"/>
  <c r="L41" i="30"/>
  <c r="T41" i="30" s="1"/>
  <c r="L37" i="30"/>
  <c r="T33" i="30"/>
  <c r="L29" i="30"/>
  <c r="L25" i="30"/>
  <c r="T25" i="30" s="1"/>
  <c r="L21" i="30"/>
  <c r="T17" i="30"/>
  <c r="L13" i="30"/>
  <c r="L9" i="30"/>
  <c r="L5" i="30"/>
  <c r="L225" i="30"/>
  <c r="R210" i="30"/>
  <c r="N204" i="30"/>
  <c r="U185" i="30"/>
  <c r="W185" i="30" s="1"/>
  <c r="P179" i="30"/>
  <c r="T179" i="30" s="1"/>
  <c r="N169" i="30"/>
  <c r="R163" i="30"/>
  <c r="P153" i="30"/>
  <c r="N147" i="30"/>
  <c r="R137" i="30"/>
  <c r="R57" i="30"/>
  <c r="R53" i="30"/>
  <c r="R33" i="30"/>
  <c r="P33" i="30"/>
  <c r="R17" i="30"/>
  <c r="P17" i="30"/>
  <c r="U235" i="30"/>
  <c r="U203" i="30"/>
  <c r="W203" i="30" s="1"/>
  <c r="U189" i="30"/>
  <c r="W189" i="30" s="1"/>
  <c r="R184" i="30"/>
  <c r="U158" i="30"/>
  <c r="W158" i="30" s="1"/>
  <c r="R141" i="30"/>
  <c r="R135" i="30"/>
  <c r="N201" i="30"/>
  <c r="T201" i="30" s="1"/>
  <c r="U52" i="30"/>
  <c r="W52" i="30" s="1"/>
  <c r="N37" i="30"/>
  <c r="U28" i="30"/>
  <c r="W28" i="30" s="1"/>
  <c r="R19" i="30"/>
  <c r="N5" i="30"/>
  <c r="R60" i="30"/>
  <c r="T31" i="30"/>
  <c r="V31" i="30" s="1"/>
  <c r="R12" i="30"/>
  <c r="U191" i="30"/>
  <c r="W191" i="30" s="1"/>
  <c r="U143" i="30"/>
  <c r="W143" i="30" s="1"/>
  <c r="U116" i="30"/>
  <c r="W116" i="30" s="1"/>
  <c r="U94" i="30"/>
  <c r="W94" i="30" s="1"/>
  <c r="N61" i="30"/>
  <c r="T51" i="30"/>
  <c r="V51" i="30" s="1"/>
  <c r="R43" i="30"/>
  <c r="N29" i="30"/>
  <c r="U20" i="30"/>
  <c r="W20" i="30" s="1"/>
  <c r="R11" i="30"/>
  <c r="U130" i="30"/>
  <c r="U98" i="30"/>
  <c r="W98" i="30" s="1"/>
  <c r="U46" i="30"/>
  <c r="W46" i="30" s="1"/>
  <c r="R36" i="30"/>
  <c r="T23" i="30"/>
  <c r="U14" i="30"/>
  <c r="U15" i="30"/>
  <c r="U39" i="30"/>
  <c r="W39" i="30" s="1"/>
  <c r="U23" i="30"/>
  <c r="W23" i="30" s="1"/>
  <c r="E270" i="30"/>
  <c r="G269" i="30"/>
  <c r="E269" i="30"/>
  <c r="E271" i="30"/>
  <c r="G271" i="30"/>
  <c r="G273" i="30"/>
  <c r="G275" i="30"/>
  <c r="D270" i="30"/>
  <c r="E274" i="30"/>
  <c r="E276" i="30"/>
  <c r="E272" i="30"/>
  <c r="E273" i="30"/>
  <c r="E275" i="30"/>
  <c r="D279" i="30"/>
  <c r="D271" i="30"/>
  <c r="D272" i="30"/>
  <c r="F279" i="30"/>
  <c r="D278" i="30"/>
  <c r="D277" i="30"/>
  <c r="D275" i="30"/>
  <c r="D276" i="30"/>
  <c r="F277" i="30"/>
  <c r="E277" i="30"/>
  <c r="G277" i="30"/>
  <c r="E280" i="30"/>
  <c r="G280" i="30"/>
  <c r="D280" i="30"/>
  <c r="B12" i="27"/>
  <c r="E5" i="27"/>
  <c r="P68" i="17"/>
  <c r="V36" i="30" l="1"/>
  <c r="Z36" i="30"/>
  <c r="Y36" i="30"/>
  <c r="X36" i="30"/>
  <c r="V11" i="30"/>
  <c r="Y11" i="30"/>
  <c r="Z11" i="30"/>
  <c r="X11" i="30"/>
  <c r="V60" i="30"/>
  <c r="Z60" i="30"/>
  <c r="Y60" i="30"/>
  <c r="X60" i="30"/>
  <c r="V135" i="30"/>
  <c r="Z135" i="30"/>
  <c r="Y135" i="30"/>
  <c r="X135" i="30"/>
  <c r="V17" i="30"/>
  <c r="Z17" i="30"/>
  <c r="Y17" i="30"/>
  <c r="X17" i="30"/>
  <c r="V57" i="30"/>
  <c r="Z57" i="30"/>
  <c r="Y57" i="30"/>
  <c r="X57" i="30"/>
  <c r="T225" i="30"/>
  <c r="U225" i="30"/>
  <c r="V181" i="30"/>
  <c r="X181" i="30"/>
  <c r="Z181" i="30"/>
  <c r="Y181" i="30"/>
  <c r="T149" i="30"/>
  <c r="V161" i="30"/>
  <c r="X161" i="30"/>
  <c r="Z161" i="30"/>
  <c r="Y161" i="30"/>
  <c r="Z202" i="30"/>
  <c r="Y202" i="30"/>
  <c r="X202" i="30"/>
  <c r="W238" i="30"/>
  <c r="V264" i="30"/>
  <c r="X264" i="30"/>
  <c r="Z264" i="30"/>
  <c r="Y264" i="30"/>
  <c r="T194" i="30"/>
  <c r="R194" i="30"/>
  <c r="U194" i="30"/>
  <c r="W194" i="30" s="1"/>
  <c r="V265" i="30"/>
  <c r="X265" i="30"/>
  <c r="Z265" i="30"/>
  <c r="Y265" i="30"/>
  <c r="T211" i="30"/>
  <c r="U211" i="30"/>
  <c r="W211" i="30" s="1"/>
  <c r="T261" i="30"/>
  <c r="R261" i="30"/>
  <c r="V7" i="30"/>
  <c r="Y7" i="30"/>
  <c r="Z7" i="30"/>
  <c r="X7" i="30"/>
  <c r="V15" i="30"/>
  <c r="Y15" i="30"/>
  <c r="Z15" i="30"/>
  <c r="X15" i="30"/>
  <c r="V217" i="30"/>
  <c r="X217" i="30"/>
  <c r="Z217" i="30"/>
  <c r="Y217" i="30"/>
  <c r="V144" i="30"/>
  <c r="X144" i="30"/>
  <c r="Z144" i="30"/>
  <c r="Y144" i="30"/>
  <c r="T176" i="30"/>
  <c r="U176" i="30"/>
  <c r="V200" i="30"/>
  <c r="X200" i="30"/>
  <c r="Z200" i="30"/>
  <c r="Y200" i="30"/>
  <c r="V10" i="30"/>
  <c r="Z10" i="30"/>
  <c r="X10" i="30"/>
  <c r="Y10" i="30"/>
  <c r="V26" i="30"/>
  <c r="Z26" i="30"/>
  <c r="Y26" i="30"/>
  <c r="X26" i="30"/>
  <c r="V42" i="30"/>
  <c r="Z42" i="30"/>
  <c r="Y42" i="30"/>
  <c r="X42" i="30"/>
  <c r="V58" i="30"/>
  <c r="Z58" i="30"/>
  <c r="Y58" i="30"/>
  <c r="X58" i="30"/>
  <c r="V74" i="30"/>
  <c r="Z74" i="30"/>
  <c r="Y74" i="30"/>
  <c r="X74" i="30"/>
  <c r="V122" i="30"/>
  <c r="Z122" i="30"/>
  <c r="Y122" i="30"/>
  <c r="X122" i="30"/>
  <c r="V140" i="30"/>
  <c r="X140" i="30"/>
  <c r="Z140" i="30"/>
  <c r="Y140" i="30"/>
  <c r="R177" i="30"/>
  <c r="V250" i="30"/>
  <c r="Z250" i="30"/>
  <c r="Y250" i="30"/>
  <c r="X250" i="30"/>
  <c r="T126" i="30"/>
  <c r="R126" i="30"/>
  <c r="U209" i="30"/>
  <c r="T209" i="30"/>
  <c r="V248" i="30"/>
  <c r="X248" i="30"/>
  <c r="Z248" i="30"/>
  <c r="Y248" i="30"/>
  <c r="T263" i="30"/>
  <c r="U263" i="30"/>
  <c r="V59" i="30"/>
  <c r="Z59" i="30"/>
  <c r="Y59" i="30"/>
  <c r="X59" i="30"/>
  <c r="V186" i="30"/>
  <c r="Z186" i="30"/>
  <c r="Y186" i="30"/>
  <c r="X186" i="30"/>
  <c r="V35" i="30"/>
  <c r="Z35" i="30"/>
  <c r="Y35" i="30"/>
  <c r="X35" i="30"/>
  <c r="V167" i="30"/>
  <c r="X167" i="30"/>
  <c r="Z167" i="30"/>
  <c r="Y167" i="30"/>
  <c r="V25" i="30"/>
  <c r="Z25" i="30"/>
  <c r="Y25" i="30"/>
  <c r="X25" i="30"/>
  <c r="V180" i="30"/>
  <c r="X180" i="30"/>
  <c r="Z180" i="30"/>
  <c r="Y180" i="30"/>
  <c r="R149" i="30"/>
  <c r="T124" i="30"/>
  <c r="U124" i="30"/>
  <c r="V156" i="30"/>
  <c r="X156" i="30"/>
  <c r="Z156" i="30"/>
  <c r="Y156" i="30"/>
  <c r="V206" i="30"/>
  <c r="Z206" i="30"/>
  <c r="Y206" i="30"/>
  <c r="X206" i="30"/>
  <c r="T154" i="30"/>
  <c r="R154" i="30"/>
  <c r="T230" i="30"/>
  <c r="R230" i="30"/>
  <c r="V251" i="30"/>
  <c r="X251" i="30"/>
  <c r="Z251" i="30"/>
  <c r="Y251" i="30"/>
  <c r="Z262" i="30"/>
  <c r="Y262" i="30"/>
  <c r="X262" i="30"/>
  <c r="V189" i="30"/>
  <c r="X189" i="30"/>
  <c r="Z189" i="30"/>
  <c r="Y189" i="30"/>
  <c r="V49" i="30"/>
  <c r="Y49" i="30"/>
  <c r="Z49" i="30"/>
  <c r="X49" i="30"/>
  <c r="V132" i="30"/>
  <c r="Z132" i="30"/>
  <c r="Y132" i="30"/>
  <c r="X132" i="30"/>
  <c r="W5" i="30"/>
  <c r="W21" i="30"/>
  <c r="W57" i="30"/>
  <c r="V204" i="30"/>
  <c r="X204" i="30"/>
  <c r="Z204" i="30"/>
  <c r="Y204" i="30"/>
  <c r="V258" i="30"/>
  <c r="Z258" i="30"/>
  <c r="Y258" i="30"/>
  <c r="X258" i="30"/>
  <c r="W140" i="30"/>
  <c r="U261" i="30"/>
  <c r="W261" i="30" s="1"/>
  <c r="V150" i="30"/>
  <c r="Z150" i="30"/>
  <c r="Y150" i="30"/>
  <c r="X150" i="30"/>
  <c r="V182" i="30"/>
  <c r="Z182" i="30"/>
  <c r="Y182" i="30"/>
  <c r="X182" i="30"/>
  <c r="X227" i="30"/>
  <c r="Z227" i="30"/>
  <c r="Y227" i="30"/>
  <c r="V76" i="30"/>
  <c r="Z76" i="30"/>
  <c r="Y76" i="30"/>
  <c r="X76" i="30"/>
  <c r="V96" i="30"/>
  <c r="Z96" i="30"/>
  <c r="Y96" i="30"/>
  <c r="X96" i="30"/>
  <c r="V72" i="30"/>
  <c r="Z72" i="30"/>
  <c r="Y72" i="30"/>
  <c r="X72" i="30"/>
  <c r="V88" i="30"/>
  <c r="Z88" i="30"/>
  <c r="Y88" i="30"/>
  <c r="X88" i="30"/>
  <c r="V108" i="30"/>
  <c r="Z108" i="30"/>
  <c r="Y108" i="30"/>
  <c r="X108" i="30"/>
  <c r="V174" i="30"/>
  <c r="Z174" i="30"/>
  <c r="Y174" i="30"/>
  <c r="X174" i="30"/>
  <c r="V64" i="30"/>
  <c r="Z64" i="30"/>
  <c r="Y64" i="30"/>
  <c r="X64" i="30"/>
  <c r="W15" i="30"/>
  <c r="V141" i="30"/>
  <c r="X141" i="30"/>
  <c r="Z141" i="30"/>
  <c r="Y141" i="30"/>
  <c r="V137" i="30"/>
  <c r="X137" i="30"/>
  <c r="Z137" i="30"/>
  <c r="Y137" i="30"/>
  <c r="U154" i="30"/>
  <c r="W154" i="30" s="1"/>
  <c r="T5" i="30"/>
  <c r="T21" i="30"/>
  <c r="T37" i="30"/>
  <c r="T153" i="30"/>
  <c r="R124" i="30"/>
  <c r="X188" i="30"/>
  <c r="Z188" i="30"/>
  <c r="Y188" i="30"/>
  <c r="W265" i="30"/>
  <c r="T146" i="30"/>
  <c r="R146" i="30"/>
  <c r="U146" i="30"/>
  <c r="W146" i="30" s="1"/>
  <c r="X228" i="30"/>
  <c r="Z228" i="30"/>
  <c r="Y228" i="30"/>
  <c r="U262" i="30"/>
  <c r="W262" i="30" s="1"/>
  <c r="T262" i="30"/>
  <c r="V262" i="30" s="1"/>
  <c r="W58" i="30"/>
  <c r="V151" i="30"/>
  <c r="X151" i="30"/>
  <c r="Z151" i="30"/>
  <c r="Y151" i="30"/>
  <c r="V235" i="30"/>
  <c r="X235" i="30"/>
  <c r="Z235" i="30"/>
  <c r="Y235" i="30"/>
  <c r="R21" i="30"/>
  <c r="R61" i="30"/>
  <c r="R153" i="30"/>
  <c r="W170" i="30"/>
  <c r="V127" i="30"/>
  <c r="Z127" i="30"/>
  <c r="Y127" i="30"/>
  <c r="X127" i="30"/>
  <c r="V165" i="30"/>
  <c r="X165" i="30"/>
  <c r="Z165" i="30"/>
  <c r="Y165" i="30"/>
  <c r="W181" i="30"/>
  <c r="V222" i="30"/>
  <c r="Z222" i="30"/>
  <c r="Y222" i="30"/>
  <c r="X222" i="30"/>
  <c r="V14" i="30"/>
  <c r="Z14" i="30"/>
  <c r="X14" i="30"/>
  <c r="Y14" i="30"/>
  <c r="V30" i="30"/>
  <c r="Z30" i="30"/>
  <c r="Y30" i="30"/>
  <c r="X30" i="30"/>
  <c r="V46" i="30"/>
  <c r="Z46" i="30"/>
  <c r="Y46" i="30"/>
  <c r="X46" i="30"/>
  <c r="V62" i="30"/>
  <c r="Z62" i="30"/>
  <c r="Y62" i="30"/>
  <c r="X62" i="30"/>
  <c r="V78" i="30"/>
  <c r="Z78" i="30"/>
  <c r="Y78" i="30"/>
  <c r="X78" i="30"/>
  <c r="W180" i="30"/>
  <c r="V233" i="30"/>
  <c r="X233" i="30"/>
  <c r="Z233" i="30"/>
  <c r="Y233" i="30"/>
  <c r="T142" i="30"/>
  <c r="R142" i="30"/>
  <c r="R209" i="30"/>
  <c r="R225" i="30"/>
  <c r="T239" i="30"/>
  <c r="V249" i="30"/>
  <c r="X249" i="30"/>
  <c r="Z249" i="30"/>
  <c r="Y249" i="30"/>
  <c r="V203" i="30"/>
  <c r="X203" i="30"/>
  <c r="Z203" i="30"/>
  <c r="Y203" i="30"/>
  <c r="T247" i="30"/>
  <c r="U247" i="30"/>
  <c r="T257" i="30"/>
  <c r="R257" i="30"/>
  <c r="V27" i="30"/>
  <c r="Z27" i="30"/>
  <c r="Y27" i="30"/>
  <c r="X27" i="30"/>
  <c r="W60" i="30"/>
  <c r="U126" i="30"/>
  <c r="X173" i="30"/>
  <c r="Z173" i="30"/>
  <c r="Y173" i="30"/>
  <c r="V205" i="30"/>
  <c r="X205" i="30"/>
  <c r="Z205" i="30"/>
  <c r="Y205" i="30"/>
  <c r="Y9" i="30"/>
  <c r="Z9" i="30"/>
  <c r="X9" i="30"/>
  <c r="W186" i="30"/>
  <c r="V128" i="30"/>
  <c r="Z128" i="30"/>
  <c r="Y128" i="30"/>
  <c r="X128" i="30"/>
  <c r="W151" i="30"/>
  <c r="U168" i="30"/>
  <c r="W168" i="30" s="1"/>
  <c r="V192" i="30"/>
  <c r="X192" i="30"/>
  <c r="Z192" i="30"/>
  <c r="Y192" i="30"/>
  <c r="T125" i="30"/>
  <c r="T188" i="30"/>
  <c r="V188" i="30" s="1"/>
  <c r="U188" i="30"/>
  <c r="W188" i="30" s="1"/>
  <c r="T252" i="30"/>
  <c r="Z254" i="30"/>
  <c r="Y254" i="30"/>
  <c r="X254" i="30"/>
  <c r="T170" i="30"/>
  <c r="R170" i="30"/>
  <c r="U242" i="30"/>
  <c r="V215" i="30"/>
  <c r="X215" i="30"/>
  <c r="Z215" i="30"/>
  <c r="Y215" i="30"/>
  <c r="U257" i="30"/>
  <c r="T253" i="30"/>
  <c r="R253" i="30"/>
  <c r="U253" i="30"/>
  <c r="W253" i="30" s="1"/>
  <c r="W11" i="30"/>
  <c r="R168" i="30"/>
  <c r="V29" i="30"/>
  <c r="Z29" i="30"/>
  <c r="Y29" i="30"/>
  <c r="X29" i="30"/>
  <c r="W138" i="30"/>
  <c r="W217" i="30"/>
  <c r="W9" i="30"/>
  <c r="W25" i="30"/>
  <c r="W41" i="30"/>
  <c r="U61" i="30"/>
  <c r="W61" i="30" s="1"/>
  <c r="X159" i="30"/>
  <c r="Z159" i="30"/>
  <c r="Y159" i="30"/>
  <c r="W258" i="30"/>
  <c r="R239" i="30"/>
  <c r="W250" i="30"/>
  <c r="R263" i="30"/>
  <c r="W76" i="30"/>
  <c r="V208" i="30"/>
  <c r="X208" i="30"/>
  <c r="Z208" i="30"/>
  <c r="Y208" i="30"/>
  <c r="W26" i="30"/>
  <c r="W74" i="30"/>
  <c r="W72" i="30"/>
  <c r="V218" i="30"/>
  <c r="Z218" i="30"/>
  <c r="Y218" i="30"/>
  <c r="X218" i="30"/>
  <c r="W88" i="30"/>
  <c r="W78" i="30"/>
  <c r="W62" i="30"/>
  <c r="V245" i="30"/>
  <c r="X245" i="30"/>
  <c r="Z245" i="30"/>
  <c r="Y245" i="30"/>
  <c r="W14" i="30"/>
  <c r="V12" i="30"/>
  <c r="Y12" i="30"/>
  <c r="Z12" i="30"/>
  <c r="X12" i="30"/>
  <c r="V19" i="30"/>
  <c r="Z19" i="30"/>
  <c r="Y19" i="30"/>
  <c r="X19" i="30"/>
  <c r="W235" i="30"/>
  <c r="V33" i="30"/>
  <c r="Z33" i="30"/>
  <c r="Y33" i="30"/>
  <c r="X33" i="30"/>
  <c r="V163" i="30"/>
  <c r="X163" i="30"/>
  <c r="Z163" i="30"/>
  <c r="Y163" i="30"/>
  <c r="T9" i="30"/>
  <c r="V9" i="30" s="1"/>
  <c r="T175" i="30"/>
  <c r="U175" i="30"/>
  <c r="W175" i="30" s="1"/>
  <c r="V139" i="30"/>
  <c r="X139" i="30"/>
  <c r="Z139" i="30"/>
  <c r="Y139" i="30"/>
  <c r="T156" i="30"/>
  <c r="U156" i="30"/>
  <c r="W156" i="30" s="1"/>
  <c r="T171" i="30"/>
  <c r="U171" i="30"/>
  <c r="V130" i="30"/>
  <c r="Z130" i="30"/>
  <c r="Y130" i="30"/>
  <c r="X130" i="30"/>
  <c r="T162" i="30"/>
  <c r="R162" i="30"/>
  <c r="U162" i="30"/>
  <c r="W162" i="30" s="1"/>
  <c r="V212" i="30"/>
  <c r="X212" i="30"/>
  <c r="Z212" i="30"/>
  <c r="Y212" i="30"/>
  <c r="U230" i="30"/>
  <c r="W230" i="30" s="1"/>
  <c r="U251" i="30"/>
  <c r="W251" i="30" s="1"/>
  <c r="V223" i="30"/>
  <c r="X223" i="30"/>
  <c r="Z223" i="30"/>
  <c r="Y223" i="30"/>
  <c r="W7" i="30"/>
  <c r="V83" i="30"/>
  <c r="Z83" i="30"/>
  <c r="Y83" i="30"/>
  <c r="X83" i="30"/>
  <c r="W83" i="30"/>
  <c r="V157" i="30"/>
  <c r="X157" i="30"/>
  <c r="Z157" i="30"/>
  <c r="Y157" i="30"/>
  <c r="W174" i="30"/>
  <c r="V179" i="30"/>
  <c r="X179" i="30"/>
  <c r="Z179" i="30"/>
  <c r="Y179" i="30"/>
  <c r="W150" i="30"/>
  <c r="W167" i="30"/>
  <c r="V18" i="30"/>
  <c r="Z18" i="30"/>
  <c r="Y18" i="30"/>
  <c r="X18" i="30"/>
  <c r="V34" i="30"/>
  <c r="Z34" i="30"/>
  <c r="Y34" i="30"/>
  <c r="X34" i="30"/>
  <c r="V50" i="30"/>
  <c r="Z50" i="30"/>
  <c r="X50" i="30"/>
  <c r="Y50" i="30"/>
  <c r="V66" i="30"/>
  <c r="Z66" i="30"/>
  <c r="Y66" i="30"/>
  <c r="X66" i="30"/>
  <c r="V82" i="30"/>
  <c r="Z82" i="30"/>
  <c r="Y82" i="30"/>
  <c r="X82" i="30"/>
  <c r="V114" i="30"/>
  <c r="Z114" i="30"/>
  <c r="Y114" i="30"/>
  <c r="X114" i="30"/>
  <c r="V155" i="30"/>
  <c r="X155" i="30"/>
  <c r="Z155" i="30"/>
  <c r="Y155" i="30"/>
  <c r="T172" i="30"/>
  <c r="U172" i="30"/>
  <c r="W172" i="30" s="1"/>
  <c r="V201" i="30"/>
  <c r="X201" i="30"/>
  <c r="Z201" i="30"/>
  <c r="Y201" i="30"/>
  <c r="V213" i="30"/>
  <c r="X213" i="30"/>
  <c r="Z213" i="30"/>
  <c r="Y213" i="30"/>
  <c r="R238" i="30"/>
  <c r="W254" i="30"/>
  <c r="T190" i="30"/>
  <c r="R190" i="30"/>
  <c r="W213" i="30"/>
  <c r="T229" i="30"/>
  <c r="U229" i="30"/>
  <c r="V259" i="30"/>
  <c r="X259" i="30"/>
  <c r="Z259" i="30"/>
  <c r="Y259" i="30"/>
  <c r="W19" i="30"/>
  <c r="W30" i="30"/>
  <c r="W122" i="30"/>
  <c r="W36" i="30"/>
  <c r="V115" i="30"/>
  <c r="Z115" i="30"/>
  <c r="Y115" i="30"/>
  <c r="X115" i="30"/>
  <c r="V152" i="30"/>
  <c r="X152" i="30"/>
  <c r="Z152" i="30"/>
  <c r="Y152" i="30"/>
  <c r="T148" i="30"/>
  <c r="V169" i="30"/>
  <c r="X169" i="30"/>
  <c r="Z169" i="30"/>
  <c r="Y169" i="30"/>
  <c r="R175" i="30"/>
  <c r="V197" i="30"/>
  <c r="X197" i="30"/>
  <c r="Z197" i="30"/>
  <c r="Y197" i="30"/>
  <c r="T258" i="30"/>
  <c r="U147" i="30"/>
  <c r="W147" i="30" s="1"/>
  <c r="R171" i="30"/>
  <c r="V193" i="30"/>
  <c r="X193" i="30"/>
  <c r="Z193" i="30"/>
  <c r="Y193" i="30"/>
  <c r="W218" i="30"/>
  <c r="T214" i="30"/>
  <c r="R214" i="30"/>
  <c r="W248" i="30"/>
  <c r="V199" i="30"/>
  <c r="X199" i="30"/>
  <c r="Z199" i="30"/>
  <c r="Y199" i="30"/>
  <c r="Z246" i="30"/>
  <c r="Y246" i="30"/>
  <c r="X246" i="30"/>
  <c r="W50" i="30"/>
  <c r="W127" i="30"/>
  <c r="R125" i="30"/>
  <c r="W173" i="30"/>
  <c r="Y13" i="30"/>
  <c r="Z13" i="30"/>
  <c r="X13" i="30"/>
  <c r="R147" i="30"/>
  <c r="W13" i="30"/>
  <c r="W29" i="30"/>
  <c r="W49" i="30"/>
  <c r="U73" i="30"/>
  <c r="W135" i="30"/>
  <c r="V244" i="30"/>
  <c r="X244" i="30"/>
  <c r="Z244" i="30"/>
  <c r="Y244" i="30"/>
  <c r="X145" i="30"/>
  <c r="Z145" i="30"/>
  <c r="Y145" i="30"/>
  <c r="R172" i="30"/>
  <c r="W201" i="30"/>
  <c r="W245" i="30"/>
  <c r="V134" i="30"/>
  <c r="Z134" i="30"/>
  <c r="Y134" i="30"/>
  <c r="X134" i="30"/>
  <c r="V166" i="30"/>
  <c r="Z166" i="30"/>
  <c r="Y166" i="30"/>
  <c r="X166" i="30"/>
  <c r="V198" i="30"/>
  <c r="Z198" i="30"/>
  <c r="Y198" i="30"/>
  <c r="X198" i="30"/>
  <c r="R211" i="30"/>
  <c r="V56" i="30"/>
  <c r="Z56" i="30"/>
  <c r="Y56" i="30"/>
  <c r="X56" i="30"/>
  <c r="W208" i="30"/>
  <c r="V44" i="30"/>
  <c r="Z44" i="30"/>
  <c r="Y44" i="30"/>
  <c r="X44" i="30"/>
  <c r="V68" i="30"/>
  <c r="Z68" i="30"/>
  <c r="Y68" i="30"/>
  <c r="X68" i="30"/>
  <c r="V158" i="30"/>
  <c r="Z158" i="30"/>
  <c r="Y158" i="30"/>
  <c r="X158" i="30"/>
  <c r="V224" i="30"/>
  <c r="X224" i="30"/>
  <c r="Z224" i="30"/>
  <c r="Y224" i="30"/>
  <c r="V80" i="30"/>
  <c r="Z80" i="30"/>
  <c r="Y80" i="30"/>
  <c r="X80" i="30"/>
  <c r="V100" i="30"/>
  <c r="Z100" i="30"/>
  <c r="Y100" i="30"/>
  <c r="X100" i="30"/>
  <c r="D282" i="30"/>
  <c r="W130" i="30"/>
  <c r="V43" i="30"/>
  <c r="Z43" i="30"/>
  <c r="Y43" i="30"/>
  <c r="X43" i="30"/>
  <c r="U125" i="30"/>
  <c r="X184" i="30"/>
  <c r="Z184" i="30"/>
  <c r="Y184" i="30"/>
  <c r="V53" i="30"/>
  <c r="Y53" i="30"/>
  <c r="Z53" i="30"/>
  <c r="X53" i="30"/>
  <c r="R148" i="30"/>
  <c r="V210" i="30"/>
  <c r="Z210" i="30"/>
  <c r="Y210" i="30"/>
  <c r="X210" i="30"/>
  <c r="T13" i="30"/>
  <c r="V13" i="30" s="1"/>
  <c r="T29" i="30"/>
  <c r="T49" i="30"/>
  <c r="V143" i="30"/>
  <c r="X143" i="30"/>
  <c r="Z143" i="30"/>
  <c r="Y143" i="30"/>
  <c r="V160" i="30"/>
  <c r="X160" i="30"/>
  <c r="Z160" i="30"/>
  <c r="Y160" i="30"/>
  <c r="W202" i="30"/>
  <c r="R226" i="30"/>
  <c r="W145" i="30"/>
  <c r="T254" i="30"/>
  <c r="V254" i="30" s="1"/>
  <c r="T178" i="30"/>
  <c r="R178" i="30"/>
  <c r="U178" i="30"/>
  <c r="U214" i="30"/>
  <c r="R255" i="30"/>
  <c r="V207" i="30"/>
  <c r="X207" i="30"/>
  <c r="Z207" i="30"/>
  <c r="Y207" i="30"/>
  <c r="T227" i="30"/>
  <c r="V227" i="30" s="1"/>
  <c r="U227" i="30"/>
  <c r="W227" i="30" s="1"/>
  <c r="T246" i="30"/>
  <c r="V246" i="30" s="1"/>
  <c r="U246" i="30"/>
  <c r="W246" i="30" s="1"/>
  <c r="V39" i="30"/>
  <c r="Z39" i="30"/>
  <c r="Y39" i="30"/>
  <c r="X39" i="30"/>
  <c r="T145" i="30"/>
  <c r="V145" i="30" s="1"/>
  <c r="V136" i="30"/>
  <c r="X136" i="30"/>
  <c r="Z136" i="30"/>
  <c r="Y136" i="30"/>
  <c r="R5" i="30"/>
  <c r="R37" i="30"/>
  <c r="R73" i="30"/>
  <c r="W137" i="30"/>
  <c r="V164" i="30"/>
  <c r="X164" i="30"/>
  <c r="Z164" i="30"/>
  <c r="Y164" i="30"/>
  <c r="T159" i="30"/>
  <c r="V159" i="30" s="1"/>
  <c r="U159" i="30"/>
  <c r="W159" i="30" s="1"/>
  <c r="V191" i="30"/>
  <c r="X191" i="30"/>
  <c r="Z191" i="30"/>
  <c r="Y191" i="30"/>
  <c r="V6" i="30"/>
  <c r="Z6" i="30"/>
  <c r="X6" i="30"/>
  <c r="Y6" i="30"/>
  <c r="V22" i="30"/>
  <c r="Z22" i="30"/>
  <c r="Y22" i="30"/>
  <c r="X22" i="30"/>
  <c r="V38" i="30"/>
  <c r="Z38" i="30"/>
  <c r="Y38" i="30"/>
  <c r="X38" i="30"/>
  <c r="V54" i="30"/>
  <c r="Z54" i="30"/>
  <c r="X54" i="30"/>
  <c r="Y54" i="30"/>
  <c r="V70" i="30"/>
  <c r="Z70" i="30"/>
  <c r="Y70" i="30"/>
  <c r="X70" i="30"/>
  <c r="V118" i="30"/>
  <c r="Z118" i="30"/>
  <c r="Y118" i="30"/>
  <c r="X118" i="30"/>
  <c r="W161" i="30"/>
  <c r="T173" i="30"/>
  <c r="V173" i="30" s="1"/>
  <c r="W204" i="30"/>
  <c r="T228" i="30"/>
  <c r="V228" i="30" s="1"/>
  <c r="U228" i="30"/>
  <c r="W228" i="30" s="1"/>
  <c r="R242" i="30"/>
  <c r="W264" i="30"/>
  <c r="W198" i="30"/>
  <c r="V243" i="30"/>
  <c r="X243" i="30"/>
  <c r="Z243" i="30"/>
  <c r="Y243" i="30"/>
  <c r="V219" i="30"/>
  <c r="X219" i="30"/>
  <c r="Z219" i="30"/>
  <c r="Y219" i="30"/>
  <c r="W59" i="30"/>
  <c r="W144" i="30"/>
  <c r="W118" i="30"/>
  <c r="W12" i="30"/>
  <c r="U157" i="30"/>
  <c r="W157" i="30" s="1"/>
  <c r="T184" i="30"/>
  <c r="V184" i="30" s="1"/>
  <c r="W259" i="30"/>
  <c r="R41" i="30"/>
  <c r="U153" i="30"/>
  <c r="W153" i="30" s="1"/>
  <c r="U200" i="30"/>
  <c r="W200" i="30" s="1"/>
  <c r="R256" i="30"/>
  <c r="T160" i="30"/>
  <c r="U160" i="30"/>
  <c r="W160" i="30" s="1"/>
  <c r="T202" i="30"/>
  <c r="V202" i="30" s="1"/>
  <c r="V260" i="30"/>
  <c r="X260" i="30"/>
  <c r="Z260" i="30"/>
  <c r="Y260" i="30"/>
  <c r="W132" i="30"/>
  <c r="U177" i="30"/>
  <c r="W177" i="30" s="1"/>
  <c r="W197" i="30"/>
  <c r="R229" i="30"/>
  <c r="T138" i="30"/>
  <c r="R138" i="30"/>
  <c r="W215" i="30"/>
  <c r="R234" i="30"/>
  <c r="W249" i="30"/>
  <c r="V231" i="30"/>
  <c r="X231" i="30"/>
  <c r="Z231" i="30"/>
  <c r="Y231" i="30"/>
  <c r="R252" i="30"/>
  <c r="V183" i="30"/>
  <c r="X183" i="30"/>
  <c r="Z183" i="30"/>
  <c r="Y183" i="30"/>
  <c r="R117" i="30"/>
  <c r="U256" i="30"/>
  <c r="W256" i="30" s="1"/>
  <c r="W17" i="30"/>
  <c r="W33" i="30"/>
  <c r="W53" i="30"/>
  <c r="U117" i="30"/>
  <c r="W117" i="30" s="1"/>
  <c r="U149" i="30"/>
  <c r="R176" i="30"/>
  <c r="U148" i="30"/>
  <c r="W148" i="30" s="1"/>
  <c r="W233" i="30"/>
  <c r="W243" i="30"/>
  <c r="R247" i="30"/>
  <c r="W128" i="30"/>
  <c r="W96" i="30"/>
  <c r="V120" i="30"/>
  <c r="Z120" i="30"/>
  <c r="Y120" i="30"/>
  <c r="X120" i="30"/>
  <c r="W10" i="30"/>
  <c r="W42" i="30"/>
  <c r="W192" i="30"/>
  <c r="V92" i="30"/>
  <c r="Z92" i="30"/>
  <c r="Y92" i="30"/>
  <c r="X92" i="30"/>
  <c r="V112" i="30"/>
  <c r="Z112" i="30"/>
  <c r="Y112" i="30"/>
  <c r="X112" i="30"/>
  <c r="V241" i="30"/>
  <c r="X241" i="30"/>
  <c r="Z241" i="30"/>
  <c r="Y241" i="30"/>
  <c r="W82" i="30"/>
  <c r="W108" i="30"/>
  <c r="W224" i="30"/>
  <c r="W6" i="30"/>
  <c r="W38" i="30"/>
  <c r="W64" i="30"/>
  <c r="W80" i="30"/>
  <c r="J279" i="30"/>
  <c r="F280" i="30"/>
  <c r="J277" i="30"/>
  <c r="H277" i="30"/>
  <c r="H278" i="30"/>
  <c r="J275" i="30"/>
  <c r="H273" i="30"/>
  <c r="D281" i="30"/>
  <c r="D283" i="30" s="1"/>
  <c r="G276" i="30"/>
  <c r="H276" i="30"/>
  <c r="H271" i="30"/>
  <c r="J272" i="30"/>
  <c r="G278" i="30"/>
  <c r="G279" i="30"/>
  <c r="H279" i="30"/>
  <c r="F275" i="30"/>
  <c r="J273" i="30"/>
  <c r="P273" i="30"/>
  <c r="H272" i="30"/>
  <c r="J276" i="30"/>
  <c r="P275" i="30"/>
  <c r="F274" i="30"/>
  <c r="F271" i="30"/>
  <c r="G272" i="30"/>
  <c r="J269" i="30"/>
  <c r="J270" i="30"/>
  <c r="G270" i="30"/>
  <c r="F270" i="30"/>
  <c r="J280" i="30"/>
  <c r="H280" i="30"/>
  <c r="P279" i="30"/>
  <c r="F273" i="30"/>
  <c r="J271" i="30"/>
  <c r="H269" i="30"/>
  <c r="P272" i="30"/>
  <c r="F276" i="30"/>
  <c r="J274" i="30"/>
  <c r="E282" i="30"/>
  <c r="E281" i="30"/>
  <c r="E283" i="30" s="1"/>
  <c r="J278" i="30"/>
  <c r="L279" i="30"/>
  <c r="H275" i="30"/>
  <c r="L273" i="30"/>
  <c r="F272" i="30"/>
  <c r="H274" i="30"/>
  <c r="F269" i="30"/>
  <c r="H270" i="30"/>
  <c r="D3" i="27"/>
  <c r="D4" i="27"/>
  <c r="D5" i="27" s="1"/>
  <c r="C4" i="27"/>
  <c r="C5" i="27" s="1"/>
  <c r="B4" i="27"/>
  <c r="B5" i="27" s="1"/>
  <c r="C3" i="27"/>
  <c r="B3" i="27"/>
  <c r="V234" i="30" l="1"/>
  <c r="Z234" i="30"/>
  <c r="Y234" i="30"/>
  <c r="X234" i="30"/>
  <c r="V229" i="30"/>
  <c r="X229" i="30"/>
  <c r="Z229" i="30"/>
  <c r="Y229" i="30"/>
  <c r="V242" i="30"/>
  <c r="Z242" i="30"/>
  <c r="Y242" i="30"/>
  <c r="X242" i="30"/>
  <c r="V178" i="30"/>
  <c r="Z178" i="30"/>
  <c r="Y178" i="30"/>
  <c r="X178" i="30"/>
  <c r="V226" i="30"/>
  <c r="Z226" i="30"/>
  <c r="Y226" i="30"/>
  <c r="X226" i="30"/>
  <c r="V171" i="30"/>
  <c r="X171" i="30"/>
  <c r="Z171" i="30"/>
  <c r="Y171" i="30"/>
  <c r="V190" i="30"/>
  <c r="Z190" i="30"/>
  <c r="Y190" i="30"/>
  <c r="X190" i="30"/>
  <c r="W171" i="30"/>
  <c r="V263" i="30"/>
  <c r="X263" i="30"/>
  <c r="Z263" i="30"/>
  <c r="Y263" i="30"/>
  <c r="W242" i="30"/>
  <c r="V142" i="30"/>
  <c r="Z142" i="30"/>
  <c r="Y142" i="30"/>
  <c r="X142" i="30"/>
  <c r="V124" i="30"/>
  <c r="Z124" i="30"/>
  <c r="Y124" i="30"/>
  <c r="X124" i="30"/>
  <c r="V126" i="30"/>
  <c r="Z126" i="30"/>
  <c r="Y126" i="30"/>
  <c r="X126" i="30"/>
  <c r="G281" i="30"/>
  <c r="V117" i="30"/>
  <c r="Z117" i="30"/>
  <c r="Y117" i="30"/>
  <c r="X117" i="30"/>
  <c r="V73" i="30"/>
  <c r="Z73" i="30"/>
  <c r="Y73" i="30"/>
  <c r="X73" i="30"/>
  <c r="V255" i="30"/>
  <c r="X255" i="30"/>
  <c r="Z255" i="30"/>
  <c r="Y255" i="30"/>
  <c r="V148" i="30"/>
  <c r="X148" i="30"/>
  <c r="Z148" i="30"/>
  <c r="Y148" i="30"/>
  <c r="V172" i="30"/>
  <c r="X172" i="30"/>
  <c r="Z172" i="30"/>
  <c r="Y172" i="30"/>
  <c r="V125" i="30"/>
  <c r="Z125" i="30"/>
  <c r="Y125" i="30"/>
  <c r="X125" i="30"/>
  <c r="V214" i="30"/>
  <c r="Z214" i="30"/>
  <c r="Y214" i="30"/>
  <c r="X214" i="30"/>
  <c r="W229" i="30"/>
  <c r="V253" i="30"/>
  <c r="X253" i="30"/>
  <c r="Z253" i="30"/>
  <c r="Y253" i="30"/>
  <c r="V170" i="30"/>
  <c r="Z170" i="30"/>
  <c r="Y170" i="30"/>
  <c r="X170" i="30"/>
  <c r="V257" i="30"/>
  <c r="X257" i="30"/>
  <c r="Z257" i="30"/>
  <c r="Y257" i="30"/>
  <c r="V153" i="30"/>
  <c r="X153" i="30"/>
  <c r="Z153" i="30"/>
  <c r="Y153" i="30"/>
  <c r="V146" i="30"/>
  <c r="Z146" i="30"/>
  <c r="Y146" i="30"/>
  <c r="X146" i="30"/>
  <c r="V154" i="30"/>
  <c r="Z154" i="30"/>
  <c r="Y154" i="30"/>
  <c r="X154" i="30"/>
  <c r="V149" i="30"/>
  <c r="X149" i="30"/>
  <c r="Z149" i="30"/>
  <c r="Y149" i="30"/>
  <c r="W255" i="30"/>
  <c r="V261" i="30"/>
  <c r="X261" i="30"/>
  <c r="Z261" i="30"/>
  <c r="Y261" i="30"/>
  <c r="V247" i="30"/>
  <c r="X247" i="30"/>
  <c r="Z247" i="30"/>
  <c r="Y247" i="30"/>
  <c r="V176" i="30"/>
  <c r="X176" i="30"/>
  <c r="Z176" i="30"/>
  <c r="Y176" i="30"/>
  <c r="V252" i="30"/>
  <c r="X252" i="30"/>
  <c r="Z252" i="30"/>
  <c r="Y252" i="30"/>
  <c r="V138" i="30"/>
  <c r="Z138" i="30"/>
  <c r="Y138" i="30"/>
  <c r="X138" i="30"/>
  <c r="V41" i="30"/>
  <c r="Z41" i="30"/>
  <c r="Y41" i="30"/>
  <c r="X41" i="30"/>
  <c r="V37" i="30"/>
  <c r="Z37" i="30"/>
  <c r="Y37" i="30"/>
  <c r="X37" i="30"/>
  <c r="W214" i="30"/>
  <c r="W125" i="30"/>
  <c r="V211" i="30"/>
  <c r="X211" i="30"/>
  <c r="Z211" i="30"/>
  <c r="Y211" i="30"/>
  <c r="V162" i="30"/>
  <c r="Z162" i="30"/>
  <c r="Y162" i="30"/>
  <c r="X162" i="30"/>
  <c r="V239" i="30"/>
  <c r="X239" i="30"/>
  <c r="Z239" i="30"/>
  <c r="Y239" i="30"/>
  <c r="V168" i="30"/>
  <c r="X168" i="30"/>
  <c r="Z168" i="30"/>
  <c r="Y168" i="30"/>
  <c r="V225" i="30"/>
  <c r="X225" i="30"/>
  <c r="Z225" i="30"/>
  <c r="Y225" i="30"/>
  <c r="V61" i="30"/>
  <c r="Z61" i="30"/>
  <c r="Y61" i="30"/>
  <c r="X61" i="30"/>
  <c r="W142" i="30"/>
  <c r="W190" i="30"/>
  <c r="V177" i="30"/>
  <c r="X177" i="30"/>
  <c r="Z177" i="30"/>
  <c r="Y177" i="30"/>
  <c r="F281" i="30"/>
  <c r="W149" i="30"/>
  <c r="V256" i="30"/>
  <c r="X256" i="30"/>
  <c r="Z256" i="30"/>
  <c r="Y256" i="30"/>
  <c r="V5" i="30"/>
  <c r="Z5" i="30"/>
  <c r="Y5" i="30"/>
  <c r="X5" i="30"/>
  <c r="W178" i="30"/>
  <c r="W73" i="30"/>
  <c r="V147" i="30"/>
  <c r="X147" i="30"/>
  <c r="Z147" i="30"/>
  <c r="Y147" i="30"/>
  <c r="V175" i="30"/>
  <c r="X175" i="30"/>
  <c r="Z175" i="30"/>
  <c r="Y175" i="30"/>
  <c r="V238" i="30"/>
  <c r="Z238" i="30"/>
  <c r="Y238" i="30"/>
  <c r="X238" i="30"/>
  <c r="W257" i="30"/>
  <c r="W226" i="30"/>
  <c r="W126" i="30"/>
  <c r="W247" i="30"/>
  <c r="V209" i="30"/>
  <c r="X209" i="30"/>
  <c r="Z209" i="30"/>
  <c r="Y209" i="30"/>
  <c r="V21" i="30"/>
  <c r="Z21" i="30"/>
  <c r="Y21" i="30"/>
  <c r="X21" i="30"/>
  <c r="W239" i="30"/>
  <c r="W252" i="30"/>
  <c r="W37" i="30"/>
  <c r="V230" i="30"/>
  <c r="Z230" i="30"/>
  <c r="Y230" i="30"/>
  <c r="X230" i="30"/>
  <c r="W124" i="30"/>
  <c r="W263" i="30"/>
  <c r="W209" i="30"/>
  <c r="W176" i="30"/>
  <c r="W234" i="30"/>
  <c r="V194" i="30"/>
  <c r="Z194" i="30"/>
  <c r="Y194" i="30"/>
  <c r="X194" i="30"/>
  <c r="W225" i="30"/>
  <c r="L276" i="30"/>
  <c r="L270" i="30"/>
  <c r="P269" i="30"/>
  <c r="L272" i="30"/>
  <c r="P270" i="30"/>
  <c r="P274" i="30"/>
  <c r="L271" i="30"/>
  <c r="P280" i="30"/>
  <c r="L269" i="30"/>
  <c r="L275" i="30"/>
  <c r="T273" i="30"/>
  <c r="T274" i="30"/>
  <c r="L274" i="30"/>
  <c r="P276" i="30"/>
  <c r="T279" i="30"/>
  <c r="R275" i="30"/>
  <c r="U278" i="30"/>
  <c r="P271" i="30"/>
  <c r="U273" i="30"/>
  <c r="P278" i="30"/>
  <c r="L277" i="30"/>
  <c r="L278" i="30"/>
  <c r="U274" i="30"/>
  <c r="H281" i="30"/>
  <c r="J281" i="30"/>
  <c r="T270" i="30"/>
  <c r="P277" i="30"/>
  <c r="L280" i="30"/>
  <c r="T280" i="30"/>
  <c r="U275" i="30"/>
  <c r="W275" i="30" s="1"/>
  <c r="R273" i="30"/>
  <c r="B7" i="27"/>
  <c r="B6" i="27" s="1"/>
  <c r="C7" i="27"/>
  <c r="C12" i="27"/>
  <c r="D7" i="27"/>
  <c r="D6" i="27" s="1"/>
  <c r="D12" i="27" s="1"/>
  <c r="G12" i="27" s="1"/>
  <c r="D93" i="17"/>
  <c r="D144" i="17" s="1"/>
  <c r="P82" i="17"/>
  <c r="P81" i="17"/>
  <c r="D94" i="17"/>
  <c r="F94" i="17" s="1"/>
  <c r="P129" i="17"/>
  <c r="P128" i="17"/>
  <c r="F126" i="17"/>
  <c r="F119" i="17"/>
  <c r="F120" i="17" s="1"/>
  <c r="F127" i="17"/>
  <c r="P75" i="17"/>
  <c r="P74" i="17"/>
  <c r="F79" i="17"/>
  <c r="F80" i="17" s="1"/>
  <c r="F82" i="17" s="1"/>
  <c r="F65" i="17"/>
  <c r="F66" i="17" s="1"/>
  <c r="F72" i="17"/>
  <c r="F73" i="17" s="1"/>
  <c r="F74" i="17" s="1"/>
  <c r="L74" i="17" s="1"/>
  <c r="U30" i="17"/>
  <c r="U31" i="17"/>
  <c r="U32" i="17"/>
  <c r="U33" i="17"/>
  <c r="U34" i="17"/>
  <c r="U35" i="17"/>
  <c r="U36" i="17"/>
  <c r="U37" i="17"/>
  <c r="U38" i="17"/>
  <c r="U39" i="17"/>
  <c r="U40" i="17"/>
  <c r="U29" i="17"/>
  <c r="T30" i="17"/>
  <c r="T31" i="17"/>
  <c r="T32" i="17"/>
  <c r="T33" i="17"/>
  <c r="T34" i="17"/>
  <c r="T35" i="17"/>
  <c r="T36" i="17"/>
  <c r="T37" i="17"/>
  <c r="T38" i="17"/>
  <c r="T39" i="17"/>
  <c r="T40" i="17"/>
  <c r="T29" i="17"/>
  <c r="R30" i="17"/>
  <c r="D47" i="17" s="1"/>
  <c r="R31" i="17"/>
  <c r="D48" i="17" s="1"/>
  <c r="R32" i="17"/>
  <c r="D49" i="17" s="1"/>
  <c r="R33" i="17"/>
  <c r="D50" i="17" s="1"/>
  <c r="R34" i="17"/>
  <c r="D51" i="17" s="1"/>
  <c r="R35" i="17"/>
  <c r="D52" i="17" s="1"/>
  <c r="R36" i="17"/>
  <c r="D53" i="17" s="1"/>
  <c r="R37" i="17"/>
  <c r="D54" i="17" s="1"/>
  <c r="R38" i="17"/>
  <c r="D55" i="17" s="1"/>
  <c r="R39" i="17"/>
  <c r="D56" i="17" s="1"/>
  <c r="R40" i="17"/>
  <c r="D57" i="17" s="1"/>
  <c r="R29" i="17"/>
  <c r="D46" i="17" s="1"/>
  <c r="P30" i="17"/>
  <c r="P31" i="17"/>
  <c r="P32" i="17"/>
  <c r="P33" i="17"/>
  <c r="P34" i="17"/>
  <c r="P35" i="17"/>
  <c r="P36" i="17"/>
  <c r="P37" i="17"/>
  <c r="P38" i="17"/>
  <c r="P39" i="17"/>
  <c r="P40" i="17"/>
  <c r="P29" i="17"/>
  <c r="N30" i="17"/>
  <c r="E101" i="17" s="1"/>
  <c r="N31" i="17"/>
  <c r="E102" i="17" s="1"/>
  <c r="N32" i="17"/>
  <c r="E103" i="17" s="1"/>
  <c r="N33" i="17"/>
  <c r="E104" i="17" s="1"/>
  <c r="N34" i="17"/>
  <c r="E105" i="17" s="1"/>
  <c r="N35" i="17"/>
  <c r="E106" i="17" s="1"/>
  <c r="N36" i="17"/>
  <c r="E107" i="17" s="1"/>
  <c r="N37" i="17"/>
  <c r="E108" i="17" s="1"/>
  <c r="N38" i="17"/>
  <c r="E109" i="17" s="1"/>
  <c r="N39" i="17"/>
  <c r="E110" i="17" s="1"/>
  <c r="N40" i="17"/>
  <c r="E111" i="17" s="1"/>
  <c r="N29" i="17"/>
  <c r="E100" i="17" s="1"/>
  <c r="L30" i="17"/>
  <c r="E47" i="17" s="1"/>
  <c r="L31" i="17"/>
  <c r="E48" i="17" s="1"/>
  <c r="L32" i="17"/>
  <c r="E49" i="17" s="1"/>
  <c r="L33" i="17"/>
  <c r="E50" i="17" s="1"/>
  <c r="L34" i="17"/>
  <c r="E51" i="17" s="1"/>
  <c r="L35" i="17"/>
  <c r="E52" i="17" s="1"/>
  <c r="L36" i="17"/>
  <c r="E53" i="17" s="1"/>
  <c r="L37" i="17"/>
  <c r="E54" i="17" s="1"/>
  <c r="L38" i="17"/>
  <c r="E55" i="17" s="1"/>
  <c r="L39" i="17"/>
  <c r="E56" i="17" s="1"/>
  <c r="L40" i="17"/>
  <c r="E57" i="17" s="1"/>
  <c r="L29" i="17"/>
  <c r="E46" i="17" s="1"/>
  <c r="J30" i="17"/>
  <c r="F47" i="17" s="1"/>
  <c r="J31" i="17"/>
  <c r="F48" i="17" s="1"/>
  <c r="J32" i="17"/>
  <c r="F49" i="17" s="1"/>
  <c r="J33" i="17"/>
  <c r="F50" i="17" s="1"/>
  <c r="J34" i="17"/>
  <c r="F51" i="17" s="1"/>
  <c r="J35" i="17"/>
  <c r="F52" i="17" s="1"/>
  <c r="J36" i="17"/>
  <c r="F53" i="17" s="1"/>
  <c r="J37" i="17"/>
  <c r="F54" i="17" s="1"/>
  <c r="J38" i="17"/>
  <c r="F55" i="17" s="1"/>
  <c r="J39" i="17"/>
  <c r="F56" i="17" s="1"/>
  <c r="J40" i="17"/>
  <c r="F57" i="17" s="1"/>
  <c r="J29" i="17"/>
  <c r="F46" i="17" s="1"/>
  <c r="H30" i="17"/>
  <c r="H31" i="17"/>
  <c r="H32" i="17"/>
  <c r="H33" i="17"/>
  <c r="H34" i="17"/>
  <c r="H35" i="17"/>
  <c r="H36" i="17"/>
  <c r="H37" i="17"/>
  <c r="H38" i="17"/>
  <c r="H39" i="17"/>
  <c r="H40" i="17"/>
  <c r="H29" i="17"/>
  <c r="G30" i="17"/>
  <c r="G31" i="17"/>
  <c r="G32" i="17"/>
  <c r="G33" i="17"/>
  <c r="G34" i="17"/>
  <c r="G35" i="17"/>
  <c r="G36" i="17"/>
  <c r="G37" i="17"/>
  <c r="G38" i="17"/>
  <c r="G39" i="17"/>
  <c r="G40" i="17"/>
  <c r="G29" i="17"/>
  <c r="F30" i="17"/>
  <c r="F31" i="17"/>
  <c r="F32" i="17"/>
  <c r="F33" i="17"/>
  <c r="F34" i="17"/>
  <c r="F35" i="17"/>
  <c r="F36" i="17"/>
  <c r="F37" i="17"/>
  <c r="F38" i="17"/>
  <c r="F39" i="17"/>
  <c r="F40" i="17"/>
  <c r="F29" i="17"/>
  <c r="E30" i="17"/>
  <c r="E31" i="17"/>
  <c r="E32" i="17"/>
  <c r="E33" i="17"/>
  <c r="E34" i="17"/>
  <c r="E35" i="17"/>
  <c r="E36" i="17"/>
  <c r="E37" i="17"/>
  <c r="E38" i="17"/>
  <c r="E39" i="17"/>
  <c r="E40" i="17"/>
  <c r="E29" i="17"/>
  <c r="D30" i="17"/>
  <c r="D31" i="17"/>
  <c r="D32" i="17"/>
  <c r="D33" i="17"/>
  <c r="D34" i="17"/>
  <c r="D35" i="17"/>
  <c r="D36" i="17"/>
  <c r="D37" i="17"/>
  <c r="D38" i="17"/>
  <c r="D39" i="17"/>
  <c r="D40" i="17"/>
  <c r="D29" i="17"/>
  <c r="D41" i="15"/>
  <c r="D80" i="15" s="1"/>
  <c r="L35" i="16"/>
  <c r="L39" i="16"/>
  <c r="J39" i="16"/>
  <c r="J31" i="16"/>
  <c r="H31" i="16"/>
  <c r="F35" i="16"/>
  <c r="D35" i="16"/>
  <c r="D39" i="16"/>
  <c r="R6" i="16"/>
  <c r="D18" i="16"/>
  <c r="H42" i="16" s="1"/>
  <c r="D17" i="16"/>
  <c r="L41" i="16" s="1"/>
  <c r="D16" i="16"/>
  <c r="L40" i="16" s="1"/>
  <c r="D15" i="16"/>
  <c r="F39" i="16" s="1"/>
  <c r="D14" i="16"/>
  <c r="L38" i="16" s="1"/>
  <c r="D13" i="16"/>
  <c r="L37" i="16" s="1"/>
  <c r="D12" i="16"/>
  <c r="L36" i="16" s="1"/>
  <c r="D11" i="16"/>
  <c r="H35" i="16" s="1"/>
  <c r="D10" i="16"/>
  <c r="J34" i="16" s="1"/>
  <c r="D9" i="16"/>
  <c r="L33" i="16" s="1"/>
  <c r="D8" i="16"/>
  <c r="L32" i="16" s="1"/>
  <c r="D7" i="16"/>
  <c r="L31" i="16" s="1"/>
  <c r="L81" i="15"/>
  <c r="L82" i="15"/>
  <c r="L92" i="15" s="1"/>
  <c r="L83" i="15"/>
  <c r="L84" i="15"/>
  <c r="L85" i="15"/>
  <c r="L86" i="15"/>
  <c r="L87" i="15"/>
  <c r="L88" i="15"/>
  <c r="L89" i="15"/>
  <c r="L90" i="15"/>
  <c r="L91" i="15"/>
  <c r="L80" i="15"/>
  <c r="J81" i="15"/>
  <c r="J82" i="15"/>
  <c r="J83" i="15"/>
  <c r="J84" i="15"/>
  <c r="J85" i="15"/>
  <c r="J86" i="15"/>
  <c r="J87" i="15"/>
  <c r="J88" i="15"/>
  <c r="J89" i="15"/>
  <c r="J90" i="15"/>
  <c r="J91" i="15"/>
  <c r="J80" i="15"/>
  <c r="H81" i="15"/>
  <c r="H82" i="15"/>
  <c r="H83" i="15"/>
  <c r="H84" i="15"/>
  <c r="H85" i="15"/>
  <c r="H86" i="15"/>
  <c r="H87" i="15"/>
  <c r="H88" i="15"/>
  <c r="H89" i="15"/>
  <c r="H90" i="15"/>
  <c r="H91" i="15"/>
  <c r="H80" i="15"/>
  <c r="F81" i="15"/>
  <c r="F82" i="15"/>
  <c r="F83" i="15"/>
  <c r="F84" i="15"/>
  <c r="F85" i="15"/>
  <c r="F86" i="15"/>
  <c r="F87" i="15"/>
  <c r="F88" i="15"/>
  <c r="F89" i="15"/>
  <c r="F90" i="15"/>
  <c r="F91" i="15"/>
  <c r="F80" i="15"/>
  <c r="D81" i="15"/>
  <c r="D82" i="15"/>
  <c r="D83" i="15"/>
  <c r="D84" i="15"/>
  <c r="D85" i="15"/>
  <c r="D86" i="15"/>
  <c r="D87" i="15"/>
  <c r="D88" i="15"/>
  <c r="D89" i="15"/>
  <c r="D90" i="15"/>
  <c r="D91" i="15"/>
  <c r="N89" i="15"/>
  <c r="N81" i="15"/>
  <c r="F77" i="15"/>
  <c r="K33" i="15"/>
  <c r="J33" i="15"/>
  <c r="D7" i="15"/>
  <c r="L41" i="15" s="1"/>
  <c r="D8" i="15"/>
  <c r="L42" i="15" s="1"/>
  <c r="D9" i="15"/>
  <c r="L43" i="15" s="1"/>
  <c r="D10" i="15"/>
  <c r="L44" i="15" s="1"/>
  <c r="D11" i="15"/>
  <c r="L45" i="15" s="1"/>
  <c r="D12" i="15"/>
  <c r="L46" i="15" s="1"/>
  <c r="D13" i="15"/>
  <c r="L47" i="15" s="1"/>
  <c r="D14" i="15"/>
  <c r="L48" i="15" s="1"/>
  <c r="D15" i="15"/>
  <c r="L49" i="15" s="1"/>
  <c r="D16" i="15"/>
  <c r="L50" i="15" s="1"/>
  <c r="D17" i="15"/>
  <c r="L51" i="15" s="1"/>
  <c r="D18" i="15"/>
  <c r="L52" i="15" s="1"/>
  <c r="G347" i="14"/>
  <c r="G346" i="14"/>
  <c r="F347" i="14"/>
  <c r="F346" i="14"/>
  <c r="C347" i="14"/>
  <c r="C346" i="14"/>
  <c r="B347" i="14"/>
  <c r="B346" i="14"/>
  <c r="G333" i="14"/>
  <c r="G332" i="14"/>
  <c r="G331" i="14"/>
  <c r="F333" i="14"/>
  <c r="F332" i="14"/>
  <c r="F331" i="14"/>
  <c r="C332" i="14"/>
  <c r="C331" i="14"/>
  <c r="B332" i="14"/>
  <c r="B331" i="14"/>
  <c r="G316" i="14"/>
  <c r="G315" i="14"/>
  <c r="F316" i="14"/>
  <c r="F315" i="14"/>
  <c r="C317" i="14"/>
  <c r="C316" i="14"/>
  <c r="C315" i="14"/>
  <c r="B317" i="14"/>
  <c r="B316" i="14"/>
  <c r="B315" i="14"/>
  <c r="Y283" i="30" l="1"/>
  <c r="Y282" i="30"/>
  <c r="Z283" i="30"/>
  <c r="Z282" i="30"/>
  <c r="V273" i="30"/>
  <c r="X283" i="30"/>
  <c r="X282" i="30"/>
  <c r="U270" i="30"/>
  <c r="W270" i="30" s="1"/>
  <c r="R271" i="30"/>
  <c r="T275" i="30"/>
  <c r="V275" i="30" s="1"/>
  <c r="U271" i="30"/>
  <c r="L281" i="30"/>
  <c r="U272" i="30"/>
  <c r="U276" i="30"/>
  <c r="U277" i="30"/>
  <c r="U280" i="30"/>
  <c r="R280" i="30"/>
  <c r="V280" i="30" s="1"/>
  <c r="R269" i="30"/>
  <c r="N281" i="30"/>
  <c r="T272" i="30"/>
  <c r="T276" i="30"/>
  <c r="W273" i="30"/>
  <c r="R270" i="30"/>
  <c r="V270" i="30" s="1"/>
  <c r="R279" i="30"/>
  <c r="V279" i="30" s="1"/>
  <c r="U269" i="30"/>
  <c r="T271" i="30"/>
  <c r="P281" i="30"/>
  <c r="R277" i="30"/>
  <c r="T278" i="30"/>
  <c r="T277" i="30"/>
  <c r="U279" i="30"/>
  <c r="R278" i="30"/>
  <c r="R272" i="30"/>
  <c r="T269" i="30"/>
  <c r="R274" i="30"/>
  <c r="V274" i="30" s="1"/>
  <c r="R276" i="30"/>
  <c r="C8" i="27"/>
  <c r="C9" i="27" s="1"/>
  <c r="C14" i="27" s="1"/>
  <c r="E7" i="27"/>
  <c r="G7" i="27" s="1"/>
  <c r="B8" i="27"/>
  <c r="B9" i="27" s="1"/>
  <c r="B14" i="27" s="1"/>
  <c r="D8" i="27"/>
  <c r="D9" i="27" s="1"/>
  <c r="E14" i="27" s="1"/>
  <c r="F93" i="17"/>
  <c r="D100" i="17"/>
  <c r="D108" i="17"/>
  <c r="D95" i="17"/>
  <c r="D104" i="17"/>
  <c r="E112" i="17"/>
  <c r="D110" i="17"/>
  <c r="D102" i="17"/>
  <c r="D106" i="17"/>
  <c r="D111" i="17"/>
  <c r="D107" i="17"/>
  <c r="D103" i="17"/>
  <c r="D109" i="17"/>
  <c r="D105" i="17"/>
  <c r="D101" i="17"/>
  <c r="L82" i="17"/>
  <c r="F122" i="17"/>
  <c r="L122" i="17" s="1"/>
  <c r="F121" i="17"/>
  <c r="F128" i="17"/>
  <c r="L128" i="17" s="1"/>
  <c r="F129" i="17"/>
  <c r="L129" i="17" s="1"/>
  <c r="F81" i="17"/>
  <c r="L81" i="17" s="1"/>
  <c r="F75" i="17"/>
  <c r="J41" i="17"/>
  <c r="F58" i="17"/>
  <c r="P80" i="17" s="1"/>
  <c r="E58" i="17"/>
  <c r="P73" i="17" s="1"/>
  <c r="D58" i="17"/>
  <c r="G41" i="17"/>
  <c r="F41" i="17"/>
  <c r="H41" i="17"/>
  <c r="L41" i="17"/>
  <c r="N41" i="17"/>
  <c r="P41" i="17"/>
  <c r="R41" i="17"/>
  <c r="T41" i="17"/>
  <c r="U41" i="17"/>
  <c r="D41" i="17"/>
  <c r="E41" i="17"/>
  <c r="F31" i="16"/>
  <c r="H39" i="16"/>
  <c r="J35" i="16"/>
  <c r="N35" i="16" s="1"/>
  <c r="D31" i="16"/>
  <c r="N31" i="16"/>
  <c r="D38" i="16"/>
  <c r="F42" i="16"/>
  <c r="F34" i="16"/>
  <c r="H38" i="16"/>
  <c r="J42" i="16"/>
  <c r="L42" i="16"/>
  <c r="L34" i="16"/>
  <c r="D41" i="16"/>
  <c r="D37" i="16"/>
  <c r="D33" i="16"/>
  <c r="N33" i="16" s="1"/>
  <c r="F41" i="16"/>
  <c r="F37" i="16"/>
  <c r="F33" i="16"/>
  <c r="H41" i="16"/>
  <c r="H37" i="16"/>
  <c r="H33" i="16"/>
  <c r="J41" i="16"/>
  <c r="J37" i="16"/>
  <c r="J33" i="16"/>
  <c r="D42" i="16"/>
  <c r="D34" i="16"/>
  <c r="N34" i="16" s="1"/>
  <c r="F38" i="16"/>
  <c r="H34" i="16"/>
  <c r="J38" i="16"/>
  <c r="D40" i="16"/>
  <c r="D36" i="16"/>
  <c r="D32" i="16"/>
  <c r="F40" i="16"/>
  <c r="F36" i="16"/>
  <c r="F32" i="16"/>
  <c r="F43" i="16" s="1"/>
  <c r="H40" i="16"/>
  <c r="H36" i="16"/>
  <c r="H32" i="16"/>
  <c r="J40" i="16"/>
  <c r="J36" i="16"/>
  <c r="J32" i="16"/>
  <c r="J92" i="15"/>
  <c r="N80" i="15"/>
  <c r="H92" i="15"/>
  <c r="F92" i="15"/>
  <c r="N83" i="15"/>
  <c r="N91" i="15"/>
  <c r="N82" i="15"/>
  <c r="N90" i="15"/>
  <c r="N88" i="15"/>
  <c r="N86" i="15"/>
  <c r="N84" i="15"/>
  <c r="N87" i="15"/>
  <c r="N85" i="15"/>
  <c r="D92" i="15"/>
  <c r="D50" i="15"/>
  <c r="D46" i="15"/>
  <c r="D42" i="15"/>
  <c r="D49" i="15"/>
  <c r="D45" i="15"/>
  <c r="D52" i="15"/>
  <c r="D48" i="15"/>
  <c r="D44" i="15"/>
  <c r="D51" i="15"/>
  <c r="D47" i="15"/>
  <c r="D43" i="15"/>
  <c r="H77" i="15"/>
  <c r="F52" i="15"/>
  <c r="F48" i="15"/>
  <c r="F44" i="15"/>
  <c r="H52" i="15"/>
  <c r="H48" i="15"/>
  <c r="H44" i="15"/>
  <c r="J52" i="15"/>
  <c r="J48" i="15"/>
  <c r="J44" i="15"/>
  <c r="F51" i="15"/>
  <c r="F47" i="15"/>
  <c r="F43" i="15"/>
  <c r="H51" i="15"/>
  <c r="H47" i="15"/>
  <c r="H43" i="15"/>
  <c r="J51" i="15"/>
  <c r="J47" i="15"/>
  <c r="J43" i="15"/>
  <c r="F50" i="15"/>
  <c r="F46" i="15"/>
  <c r="F42" i="15"/>
  <c r="H50" i="15"/>
  <c r="H46" i="15"/>
  <c r="H42" i="15"/>
  <c r="J50" i="15"/>
  <c r="J46" i="15"/>
  <c r="J42" i="15"/>
  <c r="F41" i="15"/>
  <c r="F49" i="15"/>
  <c r="F45" i="15"/>
  <c r="H41" i="15"/>
  <c r="H49" i="15"/>
  <c r="H45" i="15"/>
  <c r="J41" i="15"/>
  <c r="J49" i="15"/>
  <c r="J45" i="15"/>
  <c r="L53" i="15"/>
  <c r="E269" i="11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5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F433" i="8"/>
  <c r="F432" i="8"/>
  <c r="B433" i="8"/>
  <c r="B432" i="8"/>
  <c r="F419" i="8"/>
  <c r="F418" i="8"/>
  <c r="F417" i="8"/>
  <c r="B418" i="8"/>
  <c r="B417" i="8"/>
  <c r="F403" i="8"/>
  <c r="F402" i="8"/>
  <c r="B404" i="8"/>
  <c r="B403" i="8"/>
  <c r="B402" i="8"/>
  <c r="W272" i="30" l="1"/>
  <c r="V276" i="30"/>
  <c r="V278" i="30"/>
  <c r="W279" i="30"/>
  <c r="W277" i="30"/>
  <c r="W271" i="30"/>
  <c r="T281" i="30"/>
  <c r="V272" i="30"/>
  <c r="V277" i="30"/>
  <c r="W269" i="30"/>
  <c r="U281" i="30"/>
  <c r="W274" i="30"/>
  <c r="R281" i="30"/>
  <c r="R283" i="30" s="1"/>
  <c r="R282" i="30"/>
  <c r="V269" i="30"/>
  <c r="V271" i="30"/>
  <c r="W276" i="30"/>
  <c r="W280" i="30"/>
  <c r="W278" i="30"/>
  <c r="A14" i="27"/>
  <c r="F95" i="17"/>
  <c r="D145" i="17"/>
  <c r="L84" i="17"/>
  <c r="D112" i="17"/>
  <c r="F77" i="17"/>
  <c r="L75" i="17"/>
  <c r="L77" i="17" s="1"/>
  <c r="P127" i="17" s="1"/>
  <c r="L121" i="17"/>
  <c r="L124" i="17" s="1"/>
  <c r="F124" i="17"/>
  <c r="F131" i="17"/>
  <c r="L131" i="17"/>
  <c r="F84" i="17"/>
  <c r="F68" i="17"/>
  <c r="L68" i="17" s="1"/>
  <c r="F67" i="17"/>
  <c r="J43" i="16"/>
  <c r="H43" i="16"/>
  <c r="N40" i="16"/>
  <c r="N41" i="16"/>
  <c r="L43" i="16"/>
  <c r="D43" i="16"/>
  <c r="N36" i="16"/>
  <c r="N38" i="16"/>
  <c r="N32" i="16"/>
  <c r="N37" i="16"/>
  <c r="N39" i="16"/>
  <c r="N42" i="16"/>
  <c r="N92" i="15"/>
  <c r="D53" i="15"/>
  <c r="N49" i="15"/>
  <c r="N50" i="15"/>
  <c r="N52" i="15"/>
  <c r="N41" i="15"/>
  <c r="J53" i="15"/>
  <c r="F53" i="15"/>
  <c r="N45" i="15"/>
  <c r="N42" i="15"/>
  <c r="N43" i="15"/>
  <c r="N44" i="15"/>
  <c r="N46" i="15"/>
  <c r="N47" i="15"/>
  <c r="N48" i="15"/>
  <c r="H53" i="15"/>
  <c r="N51" i="15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G310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J261" i="8"/>
  <c r="G260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G198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F17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G135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H113" i="8"/>
  <c r="G112" i="8"/>
  <c r="H111" i="8"/>
  <c r="G110" i="8"/>
  <c r="F145" i="17" l="1"/>
  <c r="D148" i="17"/>
  <c r="F148" i="17" s="1"/>
  <c r="L134" i="17"/>
  <c r="F70" i="17"/>
  <c r="L67" i="17"/>
  <c r="L70" i="17" s="1"/>
  <c r="L88" i="17" s="1"/>
  <c r="N43" i="16"/>
  <c r="N53" i="15"/>
  <c r="D31" i="11"/>
  <c r="D35" i="11"/>
  <c r="D39" i="11"/>
  <c r="D43" i="11"/>
  <c r="D47" i="11"/>
  <c r="E31" i="11"/>
  <c r="E35" i="11"/>
  <c r="E39" i="11"/>
  <c r="E43" i="11"/>
  <c r="E47" i="11"/>
  <c r="D50" i="11"/>
  <c r="D54" i="11"/>
  <c r="D58" i="11"/>
  <c r="D62" i="11"/>
  <c r="D66" i="11"/>
  <c r="E48" i="11"/>
  <c r="E52" i="11"/>
  <c r="E56" i="11"/>
  <c r="E60" i="11"/>
  <c r="E64" i="11"/>
  <c r="E68" i="11"/>
  <c r="D72" i="11"/>
  <c r="D76" i="11"/>
  <c r="D80" i="11"/>
  <c r="D84" i="11"/>
  <c r="D88" i="11"/>
  <c r="E71" i="11"/>
  <c r="E75" i="11"/>
  <c r="E79" i="11"/>
  <c r="E83" i="11"/>
  <c r="E87" i="11"/>
  <c r="D94" i="11"/>
  <c r="D98" i="11"/>
  <c r="D102" i="11"/>
  <c r="D106" i="11"/>
  <c r="D110" i="11"/>
  <c r="G157" i="8"/>
  <c r="E91" i="11"/>
  <c r="G161" i="8"/>
  <c r="E95" i="11"/>
  <c r="E99" i="11"/>
  <c r="E103" i="11"/>
  <c r="E107" i="11"/>
  <c r="E111" i="11"/>
  <c r="D114" i="11"/>
  <c r="D118" i="11"/>
  <c r="D122" i="11"/>
  <c r="D126" i="11"/>
  <c r="D130" i="11"/>
  <c r="D134" i="11"/>
  <c r="E117" i="11"/>
  <c r="E121" i="11"/>
  <c r="E125" i="11"/>
  <c r="E129" i="11"/>
  <c r="E133" i="11"/>
  <c r="D137" i="11"/>
  <c r="D141" i="11"/>
  <c r="D145" i="11"/>
  <c r="D149" i="11"/>
  <c r="D153" i="11"/>
  <c r="G201" i="8"/>
  <c r="E135" i="11"/>
  <c r="G205" i="8"/>
  <c r="E139" i="11"/>
  <c r="G209" i="8"/>
  <c r="E143" i="11"/>
  <c r="G213" i="8"/>
  <c r="E147" i="11"/>
  <c r="F217" i="8"/>
  <c r="E151" i="11"/>
  <c r="F221" i="8"/>
  <c r="E155" i="11"/>
  <c r="D159" i="11"/>
  <c r="D163" i="11"/>
  <c r="D167" i="11"/>
  <c r="D171" i="11"/>
  <c r="D175" i="11"/>
  <c r="D179" i="11"/>
  <c r="F226" i="8"/>
  <c r="E160" i="11"/>
  <c r="F230" i="8"/>
  <c r="E164" i="11"/>
  <c r="F234" i="8"/>
  <c r="E168" i="11"/>
  <c r="G238" i="8"/>
  <c r="E172" i="11"/>
  <c r="F242" i="8"/>
  <c r="E176" i="11"/>
  <c r="D182" i="11"/>
  <c r="D186" i="11"/>
  <c r="D190" i="11"/>
  <c r="D194" i="11"/>
  <c r="D198" i="11"/>
  <c r="F248" i="8"/>
  <c r="E182" i="11"/>
  <c r="F252" i="8"/>
  <c r="E186" i="11"/>
  <c r="F256" i="8"/>
  <c r="E190" i="11"/>
  <c r="F260" i="8"/>
  <c r="E194" i="11"/>
  <c r="G264" i="8"/>
  <c r="E198" i="11"/>
  <c r="D202" i="11"/>
  <c r="D206" i="11"/>
  <c r="D210" i="11"/>
  <c r="D214" i="11"/>
  <c r="D218" i="11"/>
  <c r="D222" i="11"/>
  <c r="F269" i="8"/>
  <c r="E203" i="11"/>
  <c r="F273" i="8"/>
  <c r="E207" i="11"/>
  <c r="G277" i="8"/>
  <c r="E211" i="11"/>
  <c r="G281" i="8"/>
  <c r="E215" i="11"/>
  <c r="F285" i="8"/>
  <c r="E219" i="11"/>
  <c r="D226" i="11"/>
  <c r="D230" i="11"/>
  <c r="D234" i="11"/>
  <c r="D238" i="11"/>
  <c r="D242" i="11"/>
  <c r="F290" i="8"/>
  <c r="E224" i="11"/>
  <c r="F294" i="8"/>
  <c r="E228" i="11"/>
  <c r="G298" i="8"/>
  <c r="E232" i="11"/>
  <c r="G302" i="8"/>
  <c r="E236" i="11"/>
  <c r="F306" i="8"/>
  <c r="E240" i="11"/>
  <c r="F310" i="8"/>
  <c r="E244" i="11"/>
  <c r="D248" i="11"/>
  <c r="D252" i="11"/>
  <c r="D256" i="11"/>
  <c r="D260" i="11"/>
  <c r="D264" i="11"/>
  <c r="E247" i="11"/>
  <c r="E251" i="11"/>
  <c r="E255" i="11"/>
  <c r="E259" i="11"/>
  <c r="E263" i="11"/>
  <c r="D28" i="11"/>
  <c r="D32" i="11"/>
  <c r="D36" i="11"/>
  <c r="D40" i="11"/>
  <c r="D44" i="11"/>
  <c r="G94" i="8"/>
  <c r="E28" i="11"/>
  <c r="F98" i="8"/>
  <c r="E32" i="11"/>
  <c r="F102" i="8"/>
  <c r="E36" i="11"/>
  <c r="G106" i="8"/>
  <c r="E40" i="11"/>
  <c r="F110" i="8"/>
  <c r="E44" i="11"/>
  <c r="D51" i="11"/>
  <c r="D55" i="11"/>
  <c r="D59" i="11"/>
  <c r="D63" i="11"/>
  <c r="D67" i="11"/>
  <c r="G115" i="8"/>
  <c r="E49" i="11"/>
  <c r="F119" i="8"/>
  <c r="E53" i="11"/>
  <c r="F123" i="8"/>
  <c r="E57" i="11"/>
  <c r="G127" i="8"/>
  <c r="E61" i="11"/>
  <c r="G131" i="8"/>
  <c r="E65" i="11"/>
  <c r="F135" i="8"/>
  <c r="E69" i="11"/>
  <c r="D73" i="11"/>
  <c r="D77" i="11"/>
  <c r="D81" i="11"/>
  <c r="D85" i="11"/>
  <c r="D89" i="11"/>
  <c r="E72" i="11"/>
  <c r="F142" i="8"/>
  <c r="E76" i="11"/>
  <c r="E80" i="11"/>
  <c r="E84" i="11"/>
  <c r="E88" i="11"/>
  <c r="D91" i="11"/>
  <c r="D95" i="11"/>
  <c r="D99" i="11"/>
  <c r="D103" i="11"/>
  <c r="D107" i="11"/>
  <c r="D111" i="11"/>
  <c r="G158" i="8"/>
  <c r="L158" i="8" s="1"/>
  <c r="E92" i="11"/>
  <c r="G162" i="8"/>
  <c r="L162" i="8" s="1"/>
  <c r="E96" i="11"/>
  <c r="G166" i="8"/>
  <c r="E100" i="11"/>
  <c r="G170" i="8"/>
  <c r="E104" i="11"/>
  <c r="G174" i="8"/>
  <c r="E108" i="11"/>
  <c r="G178" i="8"/>
  <c r="E112" i="11"/>
  <c r="D115" i="11"/>
  <c r="D119" i="11"/>
  <c r="D123" i="11"/>
  <c r="D127" i="11"/>
  <c r="D131" i="11"/>
  <c r="G180" i="8"/>
  <c r="E114" i="11"/>
  <c r="G184" i="8"/>
  <c r="E118" i="11"/>
  <c r="G188" i="8"/>
  <c r="E122" i="11"/>
  <c r="G192" i="8"/>
  <c r="E126" i="11"/>
  <c r="F196" i="8"/>
  <c r="E130" i="11"/>
  <c r="G200" i="8"/>
  <c r="L200" i="8" s="1"/>
  <c r="E134" i="11"/>
  <c r="D138" i="11"/>
  <c r="D142" i="11"/>
  <c r="D146" i="11"/>
  <c r="D150" i="11"/>
  <c r="D154" i="11"/>
  <c r="E136" i="11"/>
  <c r="E140" i="11"/>
  <c r="E144" i="11"/>
  <c r="E148" i="11"/>
  <c r="E152" i="11"/>
  <c r="E156" i="11"/>
  <c r="D160" i="11"/>
  <c r="D164" i="11"/>
  <c r="D168" i="11"/>
  <c r="D172" i="11"/>
  <c r="D176" i="11"/>
  <c r="E157" i="11"/>
  <c r="E161" i="11"/>
  <c r="E165" i="11"/>
  <c r="E169" i="11"/>
  <c r="E173" i="11"/>
  <c r="E177" i="11"/>
  <c r="D183" i="11"/>
  <c r="D187" i="11"/>
  <c r="D191" i="11"/>
  <c r="D195" i="11"/>
  <c r="D199" i="11"/>
  <c r="E183" i="11"/>
  <c r="E187" i="11"/>
  <c r="E191" i="11"/>
  <c r="E195" i="11"/>
  <c r="E199" i="11"/>
  <c r="D203" i="11"/>
  <c r="D207" i="11"/>
  <c r="D211" i="11"/>
  <c r="D215" i="11"/>
  <c r="D219" i="11"/>
  <c r="E200" i="11"/>
  <c r="E204" i="11"/>
  <c r="E208" i="11"/>
  <c r="E212" i="11"/>
  <c r="E216" i="11"/>
  <c r="E220" i="11"/>
  <c r="D223" i="11"/>
  <c r="D227" i="11"/>
  <c r="D231" i="11"/>
  <c r="D235" i="11"/>
  <c r="D239" i="11"/>
  <c r="D243" i="11"/>
  <c r="E225" i="11"/>
  <c r="E229" i="11"/>
  <c r="E233" i="11"/>
  <c r="E237" i="11"/>
  <c r="E241" i="11"/>
  <c r="D245" i="11"/>
  <c r="D249" i="11"/>
  <c r="D253" i="11"/>
  <c r="D257" i="11"/>
  <c r="D261" i="11"/>
  <c r="D265" i="11"/>
  <c r="F314" i="8"/>
  <c r="E248" i="11"/>
  <c r="G318" i="8"/>
  <c r="E252" i="11"/>
  <c r="F322" i="8"/>
  <c r="E256" i="11"/>
  <c r="G326" i="8"/>
  <c r="E260" i="11"/>
  <c r="F330" i="8"/>
  <c r="E264" i="11"/>
  <c r="D29" i="11"/>
  <c r="D33" i="11"/>
  <c r="D37" i="11"/>
  <c r="D41" i="11"/>
  <c r="D45" i="11"/>
  <c r="E29" i="11"/>
  <c r="E33" i="11"/>
  <c r="E37" i="11"/>
  <c r="E41" i="11"/>
  <c r="E45" i="11"/>
  <c r="D48" i="11"/>
  <c r="D52" i="11"/>
  <c r="D56" i="11"/>
  <c r="D60" i="11"/>
  <c r="D64" i="11"/>
  <c r="D68" i="11"/>
  <c r="E50" i="11"/>
  <c r="E54" i="11"/>
  <c r="E58" i="11"/>
  <c r="E62" i="11"/>
  <c r="E66" i="11"/>
  <c r="D70" i="11"/>
  <c r="D74" i="11"/>
  <c r="D78" i="11"/>
  <c r="D82" i="11"/>
  <c r="D86" i="11"/>
  <c r="D90" i="11"/>
  <c r="E73" i="11"/>
  <c r="E77" i="11"/>
  <c r="E81" i="11"/>
  <c r="E85" i="11"/>
  <c r="E89" i="11"/>
  <c r="D92" i="11"/>
  <c r="D96" i="11"/>
  <c r="D100" i="11"/>
  <c r="D104" i="11"/>
  <c r="D108" i="11"/>
  <c r="D112" i="11"/>
  <c r="E93" i="11"/>
  <c r="G163" i="8"/>
  <c r="L163" i="8" s="1"/>
  <c r="E97" i="11"/>
  <c r="G167" i="8"/>
  <c r="E101" i="11"/>
  <c r="G171" i="8"/>
  <c r="E105" i="11"/>
  <c r="F175" i="8"/>
  <c r="E109" i="11"/>
  <c r="F179" i="8"/>
  <c r="E113" i="11"/>
  <c r="D116" i="11"/>
  <c r="D120" i="11"/>
  <c r="D124" i="11"/>
  <c r="D128" i="11"/>
  <c r="D132" i="11"/>
  <c r="E115" i="11"/>
  <c r="E119" i="11"/>
  <c r="E123" i="11"/>
  <c r="E127" i="11"/>
  <c r="E131" i="11"/>
  <c r="D135" i="11"/>
  <c r="D139" i="11"/>
  <c r="D143" i="11"/>
  <c r="D147" i="11"/>
  <c r="D151" i="11"/>
  <c r="D155" i="11"/>
  <c r="G203" i="8"/>
  <c r="E137" i="11"/>
  <c r="G207" i="8"/>
  <c r="E141" i="11"/>
  <c r="F211" i="8"/>
  <c r="E145" i="11"/>
  <c r="G215" i="8"/>
  <c r="E149" i="11"/>
  <c r="F219" i="8"/>
  <c r="E153" i="11"/>
  <c r="D157" i="11"/>
  <c r="D161" i="11"/>
  <c r="D165" i="11"/>
  <c r="D169" i="11"/>
  <c r="D173" i="11"/>
  <c r="D177" i="11"/>
  <c r="F224" i="8"/>
  <c r="E158" i="11"/>
  <c r="F228" i="8"/>
  <c r="E162" i="11"/>
  <c r="F232" i="8"/>
  <c r="E166" i="11"/>
  <c r="G236" i="8"/>
  <c r="E170" i="11"/>
  <c r="G240" i="8"/>
  <c r="E174" i="11"/>
  <c r="F244" i="8"/>
  <c r="E178" i="11"/>
  <c r="D180" i="11"/>
  <c r="D184" i="11"/>
  <c r="H254" i="8"/>
  <c r="N254" i="8" s="1"/>
  <c r="D188" i="11"/>
  <c r="D192" i="11"/>
  <c r="H262" i="8"/>
  <c r="D196" i="11"/>
  <c r="E180" i="11"/>
  <c r="E184" i="11"/>
  <c r="F254" i="8"/>
  <c r="E188" i="11"/>
  <c r="E192" i="11"/>
  <c r="F262" i="8"/>
  <c r="E196" i="11"/>
  <c r="D200" i="11"/>
  <c r="D204" i="11"/>
  <c r="D208" i="11"/>
  <c r="D212" i="11"/>
  <c r="D216" i="11"/>
  <c r="D220" i="11"/>
  <c r="F267" i="8"/>
  <c r="E201" i="11"/>
  <c r="G271" i="8"/>
  <c r="L271" i="8" s="1"/>
  <c r="E205" i="11"/>
  <c r="G275" i="8"/>
  <c r="E209" i="11"/>
  <c r="G279" i="8"/>
  <c r="E213" i="11"/>
  <c r="F283" i="8"/>
  <c r="E217" i="11"/>
  <c r="F287" i="8"/>
  <c r="E221" i="11"/>
  <c r="D224" i="11"/>
  <c r="D228" i="11"/>
  <c r="D232" i="11"/>
  <c r="D236" i="11"/>
  <c r="D240" i="11"/>
  <c r="D244" i="11"/>
  <c r="G292" i="8"/>
  <c r="E226" i="11"/>
  <c r="F296" i="8"/>
  <c r="E230" i="11"/>
  <c r="G300" i="8"/>
  <c r="E234" i="11"/>
  <c r="F304" i="8"/>
  <c r="E238" i="11"/>
  <c r="F308" i="8"/>
  <c r="E242" i="11"/>
  <c r="D246" i="11"/>
  <c r="D250" i="11"/>
  <c r="D254" i="11"/>
  <c r="D258" i="11"/>
  <c r="D262" i="11"/>
  <c r="E245" i="11"/>
  <c r="E249" i="11"/>
  <c r="E253" i="11"/>
  <c r="E257" i="11"/>
  <c r="E261" i="11"/>
  <c r="E265" i="11"/>
  <c r="D30" i="11"/>
  <c r="D34" i="11"/>
  <c r="H104" i="8"/>
  <c r="D38" i="11"/>
  <c r="D42" i="11"/>
  <c r="D46" i="11"/>
  <c r="E30" i="11"/>
  <c r="E34" i="11"/>
  <c r="G104" i="8"/>
  <c r="E38" i="11"/>
  <c r="E42" i="11"/>
  <c r="F112" i="8"/>
  <c r="E46" i="11"/>
  <c r="D49" i="11"/>
  <c r="D53" i="11"/>
  <c r="D57" i="11"/>
  <c r="D61" i="11"/>
  <c r="D65" i="11"/>
  <c r="D69" i="11"/>
  <c r="F117" i="8"/>
  <c r="E51" i="11"/>
  <c r="F121" i="8"/>
  <c r="E55" i="11"/>
  <c r="G125" i="8"/>
  <c r="E59" i="11"/>
  <c r="G129" i="8"/>
  <c r="E63" i="11"/>
  <c r="E67" i="11"/>
  <c r="D71" i="11"/>
  <c r="D75" i="11"/>
  <c r="D79" i="11"/>
  <c r="D83" i="11"/>
  <c r="D87" i="11"/>
  <c r="E70" i="11"/>
  <c r="E74" i="11"/>
  <c r="E78" i="11"/>
  <c r="E82" i="11"/>
  <c r="E86" i="11"/>
  <c r="E90" i="11"/>
  <c r="D93" i="11"/>
  <c r="D97" i="11"/>
  <c r="D101" i="11"/>
  <c r="D105" i="11"/>
  <c r="D109" i="11"/>
  <c r="D113" i="11"/>
  <c r="G160" i="8"/>
  <c r="E94" i="11"/>
  <c r="G164" i="8"/>
  <c r="L164" i="8" s="1"/>
  <c r="E98" i="11"/>
  <c r="G168" i="8"/>
  <c r="E102" i="11"/>
  <c r="G172" i="8"/>
  <c r="L172" i="8" s="1"/>
  <c r="E106" i="11"/>
  <c r="G176" i="8"/>
  <c r="E110" i="11"/>
  <c r="D117" i="11"/>
  <c r="D121" i="11"/>
  <c r="D125" i="11"/>
  <c r="D129" i="11"/>
  <c r="D133" i="11"/>
  <c r="G182" i="8"/>
  <c r="E116" i="11"/>
  <c r="F186" i="8"/>
  <c r="E120" i="11"/>
  <c r="F190" i="8"/>
  <c r="E124" i="11"/>
  <c r="G194" i="8"/>
  <c r="E128" i="11"/>
  <c r="F198" i="8"/>
  <c r="E132" i="11"/>
  <c r="D136" i="11"/>
  <c r="D140" i="11"/>
  <c r="D144" i="11"/>
  <c r="D148" i="11"/>
  <c r="D152" i="11"/>
  <c r="D156" i="11"/>
  <c r="E138" i="11"/>
  <c r="E142" i="11"/>
  <c r="E146" i="11"/>
  <c r="E150" i="11"/>
  <c r="E154" i="11"/>
  <c r="D158" i="11"/>
  <c r="D162" i="11"/>
  <c r="D166" i="11"/>
  <c r="D170" i="11"/>
  <c r="D174" i="11"/>
  <c r="D178" i="11"/>
  <c r="E159" i="11"/>
  <c r="E163" i="11"/>
  <c r="E167" i="11"/>
  <c r="E171" i="11"/>
  <c r="E175" i="11"/>
  <c r="E179" i="11"/>
  <c r="J247" i="8"/>
  <c r="D181" i="11"/>
  <c r="D185" i="11"/>
  <c r="J255" i="8"/>
  <c r="D189" i="11"/>
  <c r="D193" i="11"/>
  <c r="J263" i="8"/>
  <c r="D197" i="11"/>
  <c r="F247" i="8"/>
  <c r="E181" i="11"/>
  <c r="F251" i="8"/>
  <c r="E185" i="11"/>
  <c r="E189" i="11"/>
  <c r="F259" i="8"/>
  <c r="E193" i="11"/>
  <c r="F263" i="8"/>
  <c r="E197" i="11"/>
  <c r="D201" i="11"/>
  <c r="D205" i="11"/>
  <c r="D209" i="11"/>
  <c r="D213" i="11"/>
  <c r="D217" i="11"/>
  <c r="D221" i="11"/>
  <c r="E202" i="11"/>
  <c r="E206" i="11"/>
  <c r="E210" i="11"/>
  <c r="E214" i="11"/>
  <c r="E218" i="11"/>
  <c r="E222" i="11"/>
  <c r="D225" i="11"/>
  <c r="D229" i="11"/>
  <c r="D233" i="11"/>
  <c r="D237" i="11"/>
  <c r="D241" i="11"/>
  <c r="E223" i="11"/>
  <c r="E227" i="11"/>
  <c r="E231" i="11"/>
  <c r="E235" i="11"/>
  <c r="E239" i="11"/>
  <c r="E243" i="11"/>
  <c r="D247" i="11"/>
  <c r="D251" i="11"/>
  <c r="D255" i="11"/>
  <c r="D259" i="11"/>
  <c r="D263" i="11"/>
  <c r="G312" i="8"/>
  <c r="E246" i="11"/>
  <c r="F316" i="8"/>
  <c r="E250" i="11"/>
  <c r="F320" i="8"/>
  <c r="E254" i="11"/>
  <c r="F324" i="8"/>
  <c r="E258" i="11"/>
  <c r="G328" i="8"/>
  <c r="E262" i="11"/>
  <c r="E361" i="8"/>
  <c r="D361" i="8"/>
  <c r="D365" i="8"/>
  <c r="E369" i="8"/>
  <c r="E360" i="8"/>
  <c r="E365" i="8"/>
  <c r="D359" i="8"/>
  <c r="D362" i="8"/>
  <c r="D363" i="8"/>
  <c r="D367" i="8"/>
  <c r="E367" i="8"/>
  <c r="D368" i="8"/>
  <c r="D369" i="8"/>
  <c r="D360" i="8"/>
  <c r="D364" i="8"/>
  <c r="H246" i="8"/>
  <c r="D366" i="8"/>
  <c r="F246" i="8"/>
  <c r="E366" i="8"/>
  <c r="E359" i="8"/>
  <c r="E363" i="8"/>
  <c r="E368" i="8"/>
  <c r="E362" i="8"/>
  <c r="E364" i="8"/>
  <c r="G306" i="8"/>
  <c r="G285" i="8"/>
  <c r="F275" i="8"/>
  <c r="G287" i="8"/>
  <c r="L287" i="8" s="1"/>
  <c r="J266" i="8"/>
  <c r="J282" i="8"/>
  <c r="G283" i="8"/>
  <c r="G294" i="8"/>
  <c r="J310" i="8"/>
  <c r="F277" i="8"/>
  <c r="F213" i="8"/>
  <c r="G267" i="8"/>
  <c r="J288" i="8"/>
  <c r="F328" i="8"/>
  <c r="J330" i="8"/>
  <c r="J124" i="8"/>
  <c r="G217" i="8"/>
  <c r="J249" i="8"/>
  <c r="G221" i="8"/>
  <c r="G248" i="8"/>
  <c r="J217" i="8"/>
  <c r="G228" i="8"/>
  <c r="G269" i="8"/>
  <c r="G308" i="8"/>
  <c r="H222" i="8"/>
  <c r="H204" i="8"/>
  <c r="G273" i="8"/>
  <c r="F281" i="8"/>
  <c r="G296" i="8"/>
  <c r="F127" i="8"/>
  <c r="J154" i="8"/>
  <c r="H187" i="8"/>
  <c r="J253" i="8"/>
  <c r="J257" i="8"/>
  <c r="F298" i="8"/>
  <c r="J303" i="8"/>
  <c r="G314" i="8"/>
  <c r="G186" i="8"/>
  <c r="G234" i="8"/>
  <c r="F115" i="8"/>
  <c r="H176" i="8"/>
  <c r="F194" i="8"/>
  <c r="H223" i="8"/>
  <c r="J227" i="8"/>
  <c r="J231" i="8"/>
  <c r="H235" i="8"/>
  <c r="H239" i="8"/>
  <c r="H243" i="8"/>
  <c r="F271" i="8"/>
  <c r="J287" i="8"/>
  <c r="J133" i="8"/>
  <c r="G196" i="8"/>
  <c r="J212" i="8"/>
  <c r="H220" i="8"/>
  <c r="G304" i="8"/>
  <c r="J308" i="8"/>
  <c r="J311" i="8"/>
  <c r="J315" i="8"/>
  <c r="H319" i="8"/>
  <c r="H323" i="8"/>
  <c r="H327" i="8"/>
  <c r="H331" i="8"/>
  <c r="G121" i="8"/>
  <c r="L121" i="8" s="1"/>
  <c r="J102" i="8"/>
  <c r="G123" i="8"/>
  <c r="H138" i="8"/>
  <c r="J146" i="8"/>
  <c r="H150" i="8"/>
  <c r="J163" i="8"/>
  <c r="G190" i="8"/>
  <c r="J182" i="8"/>
  <c r="J186" i="8"/>
  <c r="J190" i="8"/>
  <c r="J194" i="8"/>
  <c r="J198" i="8"/>
  <c r="F203" i="8"/>
  <c r="H202" i="8"/>
  <c r="J206" i="8"/>
  <c r="J210" i="8"/>
  <c r="J214" i="8"/>
  <c r="F240" i="8"/>
  <c r="H251" i="8"/>
  <c r="H259" i="8"/>
  <c r="J329" i="8"/>
  <c r="G119" i="8"/>
  <c r="H141" i="8"/>
  <c r="F182" i="8"/>
  <c r="J183" i="8"/>
  <c r="J187" i="8"/>
  <c r="J191" i="8"/>
  <c r="H199" i="8"/>
  <c r="G211" i="8"/>
  <c r="G219" i="8"/>
  <c r="H231" i="8"/>
  <c r="J244" i="8"/>
  <c r="J251" i="8"/>
  <c r="H266" i="8"/>
  <c r="H270" i="8"/>
  <c r="J274" i="8"/>
  <c r="J278" i="8"/>
  <c r="H282" i="8"/>
  <c r="J286" i="8"/>
  <c r="H289" i="8"/>
  <c r="H297" i="8"/>
  <c r="H301" i="8"/>
  <c r="H309" i="8"/>
  <c r="J291" i="8"/>
  <c r="H307" i="8"/>
  <c r="F133" i="8"/>
  <c r="J128" i="8"/>
  <c r="H132" i="8"/>
  <c r="J140" i="8"/>
  <c r="J144" i="8"/>
  <c r="J148" i="8"/>
  <c r="H156" i="8"/>
  <c r="H158" i="8"/>
  <c r="J184" i="8"/>
  <c r="F188" i="8"/>
  <c r="J192" i="8"/>
  <c r="H181" i="8"/>
  <c r="H185" i="8"/>
  <c r="H189" i="8"/>
  <c r="H193" i="8"/>
  <c r="H197" i="8"/>
  <c r="J201" i="8"/>
  <c r="J205" i="8"/>
  <c r="J241" i="8"/>
  <c r="J245" i="8"/>
  <c r="J246" i="8"/>
  <c r="H247" i="8"/>
  <c r="J259" i="8"/>
  <c r="H286" i="8"/>
  <c r="G316" i="8"/>
  <c r="G117" i="8"/>
  <c r="F192" i="8"/>
  <c r="J196" i="8"/>
  <c r="F209" i="8"/>
  <c r="J262" i="8"/>
  <c r="J284" i="8"/>
  <c r="H288" i="8"/>
  <c r="G320" i="8"/>
  <c r="F125" i="8"/>
  <c r="J188" i="8"/>
  <c r="J200" i="8"/>
  <c r="G324" i="8"/>
  <c r="J250" i="8"/>
  <c r="J258" i="8"/>
  <c r="G102" i="8"/>
  <c r="G133" i="8"/>
  <c r="L133" i="8" s="1"/>
  <c r="J138" i="8"/>
  <c r="E41" i="8"/>
  <c r="J166" i="8"/>
  <c r="J170" i="8"/>
  <c r="J174" i="8"/>
  <c r="H178" i="8"/>
  <c r="J167" i="8"/>
  <c r="J171" i="8"/>
  <c r="H183" i="8"/>
  <c r="H191" i="8"/>
  <c r="J193" i="8"/>
  <c r="F201" i="8"/>
  <c r="J207" i="8"/>
  <c r="J213" i="8"/>
  <c r="J215" i="8"/>
  <c r="E43" i="8"/>
  <c r="J204" i="8"/>
  <c r="G224" i="8"/>
  <c r="G230" i="8"/>
  <c r="F236" i="8"/>
  <c r="H241" i="8"/>
  <c r="G244" i="8"/>
  <c r="G44" i="8"/>
  <c r="G246" i="8"/>
  <c r="J254" i="8"/>
  <c r="H258" i="8"/>
  <c r="G262" i="8"/>
  <c r="L262" i="8" s="1"/>
  <c r="G290" i="8"/>
  <c r="J295" i="8"/>
  <c r="J299" i="8"/>
  <c r="H311" i="8"/>
  <c r="J327" i="8"/>
  <c r="G330" i="8"/>
  <c r="J98" i="8"/>
  <c r="F131" i="8"/>
  <c r="J135" i="8"/>
  <c r="G40" i="8"/>
  <c r="J162" i="8"/>
  <c r="J181" i="8"/>
  <c r="J189" i="8"/>
  <c r="E42" i="8"/>
  <c r="F207" i="8"/>
  <c r="J211" i="8"/>
  <c r="F215" i="8"/>
  <c r="G226" i="8"/>
  <c r="F238" i="8"/>
  <c r="J242" i="8"/>
  <c r="E44" i="8"/>
  <c r="H250" i="8"/>
  <c r="G254" i="8"/>
  <c r="F258" i="8"/>
  <c r="G98" i="8"/>
  <c r="J110" i="8"/>
  <c r="G39" i="8"/>
  <c r="H118" i="8"/>
  <c r="H122" i="8"/>
  <c r="H126" i="8"/>
  <c r="H130" i="8"/>
  <c r="J134" i="8"/>
  <c r="J150" i="8"/>
  <c r="J160" i="8"/>
  <c r="J185" i="8"/>
  <c r="J203" i="8"/>
  <c r="F205" i="8"/>
  <c r="J209" i="8"/>
  <c r="G43" i="8"/>
  <c r="H214" i="8"/>
  <c r="H218" i="8"/>
  <c r="H227" i="8"/>
  <c r="G232" i="8"/>
  <c r="J239" i="8"/>
  <c r="G242" i="8"/>
  <c r="F250" i="8"/>
  <c r="N250" i="8" s="1"/>
  <c r="G252" i="8"/>
  <c r="L252" i="8" s="1"/>
  <c r="G256" i="8"/>
  <c r="F264" i="8"/>
  <c r="H284" i="8"/>
  <c r="E46" i="8"/>
  <c r="F292" i="8"/>
  <c r="F302" i="8"/>
  <c r="G47" i="8"/>
  <c r="H305" i="8"/>
  <c r="H315" i="8"/>
  <c r="J323" i="8"/>
  <c r="H329" i="8"/>
  <c r="G48" i="8"/>
  <c r="G96" i="8"/>
  <c r="J96" i="8"/>
  <c r="J100" i="8"/>
  <c r="G100" i="8"/>
  <c r="H152" i="8"/>
  <c r="J152" i="8"/>
  <c r="J108" i="8"/>
  <c r="G108" i="8"/>
  <c r="J137" i="8"/>
  <c r="H137" i="8"/>
  <c r="J141" i="8"/>
  <c r="E38" i="8"/>
  <c r="G38" i="8"/>
  <c r="F94" i="8"/>
  <c r="J106" i="8"/>
  <c r="F106" i="8"/>
  <c r="H114" i="8"/>
  <c r="J156" i="8"/>
  <c r="J142" i="8"/>
  <c r="H142" i="8"/>
  <c r="J94" i="8"/>
  <c r="F100" i="8"/>
  <c r="F108" i="8"/>
  <c r="J112" i="8"/>
  <c r="H134" i="8"/>
  <c r="E39" i="8"/>
  <c r="J132" i="8"/>
  <c r="J136" i="8"/>
  <c r="E40" i="8"/>
  <c r="H208" i="8"/>
  <c r="E45" i="8"/>
  <c r="G41" i="8"/>
  <c r="G45" i="8"/>
  <c r="H154" i="8"/>
  <c r="J202" i="8"/>
  <c r="J235" i="8"/>
  <c r="G250" i="8"/>
  <c r="G258" i="8"/>
  <c r="J285" i="8"/>
  <c r="F312" i="8"/>
  <c r="J331" i="8"/>
  <c r="G42" i="8"/>
  <c r="G46" i="8"/>
  <c r="H206" i="8"/>
  <c r="H210" i="8"/>
  <c r="E47" i="8"/>
  <c r="J208" i="8"/>
  <c r="J219" i="8"/>
  <c r="J223" i="8"/>
  <c r="J243" i="8"/>
  <c r="H245" i="8"/>
  <c r="H255" i="8"/>
  <c r="H263" i="8"/>
  <c r="H274" i="8"/>
  <c r="F318" i="8"/>
  <c r="G322" i="8"/>
  <c r="F326" i="8"/>
  <c r="J319" i="8"/>
  <c r="E48" i="8"/>
  <c r="G313" i="8"/>
  <c r="J313" i="8"/>
  <c r="H313" i="8"/>
  <c r="F313" i="8"/>
  <c r="H312" i="8"/>
  <c r="L312" i="8" s="1"/>
  <c r="H316" i="8"/>
  <c r="G317" i="8"/>
  <c r="H320" i="8"/>
  <c r="G321" i="8"/>
  <c r="H324" i="8"/>
  <c r="G325" i="8"/>
  <c r="H328" i="8"/>
  <c r="N328" i="8" s="1"/>
  <c r="J312" i="8"/>
  <c r="J316" i="8"/>
  <c r="F317" i="8"/>
  <c r="J320" i="8"/>
  <c r="F321" i="8"/>
  <c r="J324" i="8"/>
  <c r="F325" i="8"/>
  <c r="J328" i="8"/>
  <c r="G311" i="8"/>
  <c r="H314" i="8"/>
  <c r="N314" i="8" s="1"/>
  <c r="G315" i="8"/>
  <c r="H317" i="8"/>
  <c r="H318" i="8"/>
  <c r="G319" i="8"/>
  <c r="H321" i="8"/>
  <c r="H322" i="8"/>
  <c r="G323" i="8"/>
  <c r="H325" i="8"/>
  <c r="H326" i="8"/>
  <c r="G327" i="8"/>
  <c r="F311" i="8"/>
  <c r="J314" i="8"/>
  <c r="F315" i="8"/>
  <c r="J317" i="8"/>
  <c r="J318" i="8"/>
  <c r="F319" i="8"/>
  <c r="J321" i="8"/>
  <c r="J322" i="8"/>
  <c r="F323" i="8"/>
  <c r="J325" i="8"/>
  <c r="J326" i="8"/>
  <c r="F327" i="8"/>
  <c r="G329" i="8"/>
  <c r="F329" i="8"/>
  <c r="G331" i="8"/>
  <c r="F331" i="8"/>
  <c r="L331" i="8" s="1"/>
  <c r="H330" i="8"/>
  <c r="F300" i="8"/>
  <c r="H293" i="8"/>
  <c r="H290" i="8"/>
  <c r="G289" i="8"/>
  <c r="H291" i="8"/>
  <c r="H292" i="8"/>
  <c r="G293" i="8"/>
  <c r="H295" i="8"/>
  <c r="H296" i="8"/>
  <c r="N296" i="8" s="1"/>
  <c r="G297" i="8"/>
  <c r="H299" i="8"/>
  <c r="H300" i="8"/>
  <c r="G301" i="8"/>
  <c r="H303" i="8"/>
  <c r="H304" i="8"/>
  <c r="L304" i="8" s="1"/>
  <c r="G305" i="8"/>
  <c r="F289" i="8"/>
  <c r="J292" i="8"/>
  <c r="F293" i="8"/>
  <c r="J296" i="8"/>
  <c r="L296" i="8"/>
  <c r="F297" i="8"/>
  <c r="J300" i="8"/>
  <c r="F301" i="8"/>
  <c r="J304" i="8"/>
  <c r="F305" i="8"/>
  <c r="G307" i="8"/>
  <c r="F307" i="8"/>
  <c r="G309" i="8"/>
  <c r="F309" i="8"/>
  <c r="G291" i="8"/>
  <c r="H294" i="8"/>
  <c r="G295" i="8"/>
  <c r="H298" i="8"/>
  <c r="G299" i="8"/>
  <c r="H302" i="8"/>
  <c r="G303" i="8"/>
  <c r="H306" i="8"/>
  <c r="P306" i="8" s="1"/>
  <c r="J289" i="8"/>
  <c r="J290" i="8"/>
  <c r="F291" i="8"/>
  <c r="J293" i="8"/>
  <c r="J294" i="8"/>
  <c r="F295" i="8"/>
  <c r="J297" i="8"/>
  <c r="J298" i="8"/>
  <c r="F299" i="8"/>
  <c r="J301" i="8"/>
  <c r="J302" i="8"/>
  <c r="F303" i="8"/>
  <c r="J305" i="8"/>
  <c r="J306" i="8"/>
  <c r="J307" i="8"/>
  <c r="J309" i="8"/>
  <c r="H308" i="8"/>
  <c r="H310" i="8"/>
  <c r="F279" i="8"/>
  <c r="H278" i="8"/>
  <c r="J270" i="8"/>
  <c r="N287" i="8"/>
  <c r="G268" i="8"/>
  <c r="J268" i="8"/>
  <c r="H268" i="8"/>
  <c r="F268" i="8"/>
  <c r="H267" i="8"/>
  <c r="N267" i="8" s="1"/>
  <c r="P271" i="8"/>
  <c r="H271" i="8"/>
  <c r="G272" i="8"/>
  <c r="H275" i="8"/>
  <c r="G276" i="8"/>
  <c r="H279" i="8"/>
  <c r="G280" i="8"/>
  <c r="H283" i="8"/>
  <c r="J267" i="8"/>
  <c r="J271" i="8"/>
  <c r="F272" i="8"/>
  <c r="J275" i="8"/>
  <c r="F276" i="8"/>
  <c r="J279" i="8"/>
  <c r="F280" i="8"/>
  <c r="J283" i="8"/>
  <c r="G266" i="8"/>
  <c r="H269" i="8"/>
  <c r="G270" i="8"/>
  <c r="N271" i="8"/>
  <c r="H272" i="8"/>
  <c r="H273" i="8"/>
  <c r="G274" i="8"/>
  <c r="H276" i="8"/>
  <c r="H277" i="8"/>
  <c r="G278" i="8"/>
  <c r="H280" i="8"/>
  <c r="H281" i="8"/>
  <c r="G282" i="8"/>
  <c r="N283" i="8"/>
  <c r="F266" i="8"/>
  <c r="J269" i="8"/>
  <c r="F270" i="8"/>
  <c r="J272" i="8"/>
  <c r="J273" i="8"/>
  <c r="F274" i="8"/>
  <c r="J276" i="8"/>
  <c r="J277" i="8"/>
  <c r="F278" i="8"/>
  <c r="J280" i="8"/>
  <c r="J281" i="8"/>
  <c r="F282" i="8"/>
  <c r="N282" i="8" s="1"/>
  <c r="N284" i="8"/>
  <c r="G284" i="8"/>
  <c r="L284" i="8" s="1"/>
  <c r="F284" i="8"/>
  <c r="P284" i="8" s="1"/>
  <c r="N286" i="8"/>
  <c r="G286" i="8"/>
  <c r="P286" i="8" s="1"/>
  <c r="F286" i="8"/>
  <c r="N288" i="8"/>
  <c r="G288" i="8"/>
  <c r="P288" i="8" s="1"/>
  <c r="F288" i="8"/>
  <c r="H285" i="8"/>
  <c r="H287" i="8"/>
  <c r="F255" i="8"/>
  <c r="J264" i="8"/>
  <c r="P262" i="8"/>
  <c r="H248" i="8"/>
  <c r="G249" i="8"/>
  <c r="H252" i="8"/>
  <c r="N252" i="8" s="1"/>
  <c r="G253" i="8"/>
  <c r="H256" i="8"/>
  <c r="G257" i="8"/>
  <c r="H260" i="8"/>
  <c r="G261" i="8"/>
  <c r="N262" i="8"/>
  <c r="G265" i="8"/>
  <c r="F265" i="8"/>
  <c r="N265" i="8" s="1"/>
  <c r="J248" i="8"/>
  <c r="F249" i="8"/>
  <c r="J252" i="8"/>
  <c r="F253" i="8"/>
  <c r="J256" i="8"/>
  <c r="F257" i="8"/>
  <c r="J260" i="8"/>
  <c r="F261" i="8"/>
  <c r="H265" i="8"/>
  <c r="G247" i="8"/>
  <c r="H249" i="8"/>
  <c r="N251" i="8"/>
  <c r="G251" i="8"/>
  <c r="P251" i="8" s="1"/>
  <c r="H253" i="8"/>
  <c r="P253" i="8" s="1"/>
  <c r="N255" i="8"/>
  <c r="G255" i="8"/>
  <c r="P255" i="8" s="1"/>
  <c r="H257" i="8"/>
  <c r="G259" i="8"/>
  <c r="H261" i="8"/>
  <c r="P261" i="8" s="1"/>
  <c r="N263" i="8"/>
  <c r="G263" i="8"/>
  <c r="P263" i="8" s="1"/>
  <c r="J265" i="8"/>
  <c r="H264" i="8"/>
  <c r="G225" i="8"/>
  <c r="J225" i="8"/>
  <c r="H225" i="8"/>
  <c r="F225" i="8"/>
  <c r="H224" i="8"/>
  <c r="N224" i="8" s="1"/>
  <c r="H228" i="8"/>
  <c r="G229" i="8"/>
  <c r="H232" i="8"/>
  <c r="G233" i="8"/>
  <c r="H236" i="8"/>
  <c r="G237" i="8"/>
  <c r="H240" i="8"/>
  <c r="J224" i="8"/>
  <c r="J228" i="8"/>
  <c r="F229" i="8"/>
  <c r="J232" i="8"/>
  <c r="F233" i="8"/>
  <c r="J236" i="8"/>
  <c r="F237" i="8"/>
  <c r="J240" i="8"/>
  <c r="G223" i="8"/>
  <c r="H226" i="8"/>
  <c r="G227" i="8"/>
  <c r="H229" i="8"/>
  <c r="H230" i="8"/>
  <c r="G231" i="8"/>
  <c r="H233" i="8"/>
  <c r="H234" i="8"/>
  <c r="G235" i="8"/>
  <c r="H237" i="8"/>
  <c r="H238" i="8"/>
  <c r="G239" i="8"/>
  <c r="F223" i="8"/>
  <c r="J226" i="8"/>
  <c r="F227" i="8"/>
  <c r="J229" i="8"/>
  <c r="J230" i="8"/>
  <c r="F231" i="8"/>
  <c r="J233" i="8"/>
  <c r="J234" i="8"/>
  <c r="F235" i="8"/>
  <c r="J237" i="8"/>
  <c r="J238" i="8"/>
  <c r="F239" i="8"/>
  <c r="G241" i="8"/>
  <c r="F241" i="8"/>
  <c r="G243" i="8"/>
  <c r="F243" i="8"/>
  <c r="G245" i="8"/>
  <c r="F245" i="8"/>
  <c r="H242" i="8"/>
  <c r="H244" i="8"/>
  <c r="J221" i="8"/>
  <c r="H212" i="8"/>
  <c r="H216" i="8"/>
  <c r="G202" i="8"/>
  <c r="F202" i="8"/>
  <c r="G204" i="8"/>
  <c r="F204" i="8"/>
  <c r="G206" i="8"/>
  <c r="F206" i="8"/>
  <c r="G208" i="8"/>
  <c r="F208" i="8"/>
  <c r="G210" i="8"/>
  <c r="F210" i="8"/>
  <c r="G212" i="8"/>
  <c r="F212" i="8"/>
  <c r="G214" i="8"/>
  <c r="F214" i="8"/>
  <c r="J218" i="8"/>
  <c r="H201" i="8"/>
  <c r="H203" i="8"/>
  <c r="H205" i="8"/>
  <c r="H207" i="8"/>
  <c r="H209" i="8"/>
  <c r="H211" i="8"/>
  <c r="H213" i="8"/>
  <c r="H215" i="8"/>
  <c r="F216" i="8"/>
  <c r="H217" i="8"/>
  <c r="N217" i="8" s="1"/>
  <c r="P217" i="8"/>
  <c r="F218" i="8"/>
  <c r="H219" i="8"/>
  <c r="F220" i="8"/>
  <c r="H221" i="8"/>
  <c r="F222" i="8"/>
  <c r="J216" i="8"/>
  <c r="J220" i="8"/>
  <c r="J222" i="8"/>
  <c r="G216" i="8"/>
  <c r="G218" i="8"/>
  <c r="L218" i="8" s="1"/>
  <c r="G220" i="8"/>
  <c r="G222" i="8"/>
  <c r="F200" i="8"/>
  <c r="F184" i="8"/>
  <c r="F180" i="8"/>
  <c r="J180" i="8"/>
  <c r="H195" i="8"/>
  <c r="N197" i="8"/>
  <c r="N198" i="8"/>
  <c r="G181" i="8"/>
  <c r="F181" i="8"/>
  <c r="G183" i="8"/>
  <c r="F183" i="8"/>
  <c r="G185" i="8"/>
  <c r="F185" i="8"/>
  <c r="P185" i="8" s="1"/>
  <c r="G187" i="8"/>
  <c r="F187" i="8"/>
  <c r="P187" i="8" s="1"/>
  <c r="G189" i="8"/>
  <c r="F189" i="8"/>
  <c r="N189" i="8" s="1"/>
  <c r="G191" i="8"/>
  <c r="F191" i="8"/>
  <c r="G193" i="8"/>
  <c r="F193" i="8"/>
  <c r="N196" i="8"/>
  <c r="J195" i="8"/>
  <c r="J197" i="8"/>
  <c r="J199" i="8"/>
  <c r="H180" i="8"/>
  <c r="H182" i="8"/>
  <c r="H184" i="8"/>
  <c r="H186" i="8"/>
  <c r="P186" i="8" s="1"/>
  <c r="H188" i="8"/>
  <c r="H190" i="8"/>
  <c r="H192" i="8"/>
  <c r="H194" i="8"/>
  <c r="F195" i="8"/>
  <c r="N195" i="8" s="1"/>
  <c r="H196" i="8"/>
  <c r="P196" i="8"/>
  <c r="F197" i="8"/>
  <c r="H198" i="8"/>
  <c r="P198" i="8"/>
  <c r="F199" i="8"/>
  <c r="N199" i="8" s="1"/>
  <c r="H200" i="8"/>
  <c r="N200" i="8" s="1"/>
  <c r="P200" i="8"/>
  <c r="G195" i="8"/>
  <c r="G197" i="8"/>
  <c r="L197" i="8" s="1"/>
  <c r="G199" i="8"/>
  <c r="L199" i="8" s="1"/>
  <c r="H157" i="8"/>
  <c r="J157" i="8"/>
  <c r="F157" i="8"/>
  <c r="J158" i="8"/>
  <c r="P158" i="8"/>
  <c r="H159" i="8"/>
  <c r="F159" i="8"/>
  <c r="J159" i="8"/>
  <c r="G159" i="8"/>
  <c r="H161" i="8"/>
  <c r="J161" i="8"/>
  <c r="F161" i="8"/>
  <c r="N161" i="8" s="1"/>
  <c r="P164" i="8"/>
  <c r="J164" i="8"/>
  <c r="H165" i="8"/>
  <c r="P165" i="8" s="1"/>
  <c r="J168" i="8"/>
  <c r="H169" i="8"/>
  <c r="N169" i="8" s="1"/>
  <c r="J172" i="8"/>
  <c r="P173" i="8"/>
  <c r="H173" i="8"/>
  <c r="N176" i="8"/>
  <c r="L160" i="8"/>
  <c r="F160" i="8"/>
  <c r="N160" i="8"/>
  <c r="H162" i="8"/>
  <c r="F164" i="8"/>
  <c r="N164" i="8"/>
  <c r="F165" i="8"/>
  <c r="H166" i="8"/>
  <c r="F168" i="8"/>
  <c r="F169" i="8"/>
  <c r="H170" i="8"/>
  <c r="F172" i="8"/>
  <c r="P172" i="8" s="1"/>
  <c r="N172" i="8"/>
  <c r="F173" i="8"/>
  <c r="N173" i="8"/>
  <c r="H174" i="8"/>
  <c r="P175" i="8"/>
  <c r="H175" i="8"/>
  <c r="N175" i="8"/>
  <c r="G175" i="8"/>
  <c r="L176" i="8"/>
  <c r="P177" i="8"/>
  <c r="H177" i="8"/>
  <c r="N177" i="8"/>
  <c r="G177" i="8"/>
  <c r="L177" i="8" s="1"/>
  <c r="P179" i="8"/>
  <c r="H179" i="8"/>
  <c r="N179" i="8"/>
  <c r="G179" i="8"/>
  <c r="L179" i="8" s="1"/>
  <c r="P163" i="8"/>
  <c r="H163" i="8"/>
  <c r="G165" i="8"/>
  <c r="H167" i="8"/>
  <c r="P167" i="8" s="1"/>
  <c r="G169" i="8"/>
  <c r="L169" i="8" s="1"/>
  <c r="H171" i="8"/>
  <c r="G173" i="8"/>
  <c r="L173" i="8" s="1"/>
  <c r="F158" i="8"/>
  <c r="N158" i="8"/>
  <c r="H160" i="8"/>
  <c r="P160" i="8" s="1"/>
  <c r="F162" i="8"/>
  <c r="P162" i="8" s="1"/>
  <c r="N162" i="8"/>
  <c r="F163" i="8"/>
  <c r="N163" i="8"/>
  <c r="H164" i="8"/>
  <c r="J165" i="8"/>
  <c r="F166" i="8"/>
  <c r="P166" i="8" s="1"/>
  <c r="F167" i="8"/>
  <c r="H168" i="8"/>
  <c r="P168" i="8" s="1"/>
  <c r="J169" i="8"/>
  <c r="F170" i="8"/>
  <c r="F171" i="8"/>
  <c r="H172" i="8"/>
  <c r="J173" i="8"/>
  <c r="F174" i="8"/>
  <c r="J175" i="8"/>
  <c r="J177" i="8"/>
  <c r="J179" i="8"/>
  <c r="J176" i="8"/>
  <c r="J178" i="8"/>
  <c r="F176" i="8"/>
  <c r="P176" i="8" s="1"/>
  <c r="F178" i="8"/>
  <c r="N178" i="8" s="1"/>
  <c r="F138" i="8"/>
  <c r="G139" i="8"/>
  <c r="G143" i="8"/>
  <c r="P143" i="8" s="1"/>
  <c r="F143" i="8"/>
  <c r="N143" i="8" s="1"/>
  <c r="N145" i="8"/>
  <c r="G145" i="8"/>
  <c r="P145" i="8" s="1"/>
  <c r="F145" i="8"/>
  <c r="G147" i="8"/>
  <c r="F147" i="8"/>
  <c r="P147" i="8" s="1"/>
  <c r="G136" i="8"/>
  <c r="F139" i="8"/>
  <c r="G140" i="8"/>
  <c r="H143" i="8"/>
  <c r="H145" i="8"/>
  <c r="L145" i="8" s="1"/>
  <c r="H147" i="8"/>
  <c r="N147" i="8" s="1"/>
  <c r="G149" i="8"/>
  <c r="F149" i="8"/>
  <c r="G151" i="8"/>
  <c r="F151" i="8"/>
  <c r="N151" i="8" s="1"/>
  <c r="G153" i="8"/>
  <c r="L153" i="8" s="1"/>
  <c r="F153" i="8"/>
  <c r="P153" i="8" s="1"/>
  <c r="N155" i="8"/>
  <c r="G155" i="8"/>
  <c r="P155" i="8" s="1"/>
  <c r="F155" i="8"/>
  <c r="F136" i="8"/>
  <c r="N137" i="8"/>
  <c r="G137" i="8"/>
  <c r="H139" i="8"/>
  <c r="F140" i="8"/>
  <c r="G141" i="8"/>
  <c r="J143" i="8"/>
  <c r="G144" i="8"/>
  <c r="F144" i="8"/>
  <c r="J145" i="8"/>
  <c r="G146" i="8"/>
  <c r="F146" i="8"/>
  <c r="J147" i="8"/>
  <c r="G148" i="8"/>
  <c r="F148" i="8"/>
  <c r="H149" i="8"/>
  <c r="H151" i="8"/>
  <c r="H153" i="8"/>
  <c r="H155" i="8"/>
  <c r="H136" i="8"/>
  <c r="F137" i="8"/>
  <c r="N138" i="8"/>
  <c r="G138" i="8"/>
  <c r="P138" i="8" s="1"/>
  <c r="J139" i="8"/>
  <c r="H140" i="8"/>
  <c r="F141" i="8"/>
  <c r="N141" i="8" s="1"/>
  <c r="N142" i="8"/>
  <c r="G142" i="8"/>
  <c r="P142" i="8" s="1"/>
  <c r="H144" i="8"/>
  <c r="H146" i="8"/>
  <c r="H148" i="8"/>
  <c r="N148" i="8" s="1"/>
  <c r="J149" i="8"/>
  <c r="G150" i="8"/>
  <c r="F150" i="8"/>
  <c r="J151" i="8"/>
  <c r="G152" i="8"/>
  <c r="F152" i="8"/>
  <c r="P152" i="8" s="1"/>
  <c r="J153" i="8"/>
  <c r="G154" i="8"/>
  <c r="L154" i="8" s="1"/>
  <c r="F154" i="8"/>
  <c r="P154" i="8" s="1"/>
  <c r="J155" i="8"/>
  <c r="N156" i="8"/>
  <c r="G156" i="8"/>
  <c r="P156" i="8" s="1"/>
  <c r="F156" i="8"/>
  <c r="F129" i="8"/>
  <c r="N133" i="8"/>
  <c r="G116" i="8"/>
  <c r="G120" i="8"/>
  <c r="H123" i="8"/>
  <c r="G114" i="8"/>
  <c r="H116" i="8"/>
  <c r="H117" i="8"/>
  <c r="G118" i="8"/>
  <c r="H120" i="8"/>
  <c r="N120" i="8" s="1"/>
  <c r="H121" i="8"/>
  <c r="P121" i="8" s="1"/>
  <c r="N122" i="8"/>
  <c r="G122" i="8"/>
  <c r="L122" i="8" s="1"/>
  <c r="N123" i="8"/>
  <c r="H124" i="8"/>
  <c r="H125" i="8"/>
  <c r="G126" i="8"/>
  <c r="H128" i="8"/>
  <c r="H129" i="8"/>
  <c r="L129" i="8" s="1"/>
  <c r="N130" i="8"/>
  <c r="G130" i="8"/>
  <c r="L130" i="8" s="1"/>
  <c r="P132" i="8"/>
  <c r="F114" i="8"/>
  <c r="J116" i="8"/>
  <c r="J117" i="8"/>
  <c r="F118" i="8"/>
  <c r="J120" i="8"/>
  <c r="J121" i="8"/>
  <c r="F122" i="8"/>
  <c r="P122" i="8"/>
  <c r="P123" i="8"/>
  <c r="J125" i="8"/>
  <c r="F126" i="8"/>
  <c r="J129" i="8"/>
  <c r="F130" i="8"/>
  <c r="P130" i="8"/>
  <c r="N132" i="8"/>
  <c r="G132" i="8"/>
  <c r="L132" i="8" s="1"/>
  <c r="F132" i="8"/>
  <c r="N134" i="8"/>
  <c r="G134" i="8"/>
  <c r="L134" i="8" s="1"/>
  <c r="F134" i="8"/>
  <c r="P134" i="8" s="1"/>
  <c r="H115" i="8"/>
  <c r="H119" i="8"/>
  <c r="P119" i="8" s="1"/>
  <c r="G124" i="8"/>
  <c r="H127" i="8"/>
  <c r="G128" i="8"/>
  <c r="H131" i="8"/>
  <c r="N131" i="8" s="1"/>
  <c r="J114" i="8"/>
  <c r="J115" i="8"/>
  <c r="F116" i="8"/>
  <c r="J118" i="8"/>
  <c r="J119" i="8"/>
  <c r="F120" i="8"/>
  <c r="P120" i="8"/>
  <c r="J122" i="8"/>
  <c r="J123" i="8"/>
  <c r="F124" i="8"/>
  <c r="J126" i="8"/>
  <c r="J127" i="8"/>
  <c r="F128" i="8"/>
  <c r="J130" i="8"/>
  <c r="J131" i="8"/>
  <c r="H133" i="8"/>
  <c r="H135" i="8"/>
  <c r="F104" i="8"/>
  <c r="N104" i="8" s="1"/>
  <c r="F96" i="8"/>
  <c r="J104" i="8"/>
  <c r="G95" i="8"/>
  <c r="F95" i="8"/>
  <c r="G97" i="8"/>
  <c r="F97" i="8"/>
  <c r="G99" i="8"/>
  <c r="F99" i="8"/>
  <c r="G101" i="8"/>
  <c r="F101" i="8"/>
  <c r="G103" i="8"/>
  <c r="F103" i="8"/>
  <c r="G105" i="8"/>
  <c r="F105" i="8"/>
  <c r="G107" i="8"/>
  <c r="F107" i="8"/>
  <c r="G109" i="8"/>
  <c r="J109" i="8"/>
  <c r="F109" i="8"/>
  <c r="H95" i="8"/>
  <c r="L95" i="8" s="1"/>
  <c r="H97" i="8"/>
  <c r="H99" i="8"/>
  <c r="H101" i="8"/>
  <c r="H103" i="8"/>
  <c r="H105" i="8"/>
  <c r="H107" i="8"/>
  <c r="H109" i="8"/>
  <c r="J95" i="8"/>
  <c r="J97" i="8"/>
  <c r="J99" i="8"/>
  <c r="J101" i="8"/>
  <c r="J103" i="8"/>
  <c r="J105" i="8"/>
  <c r="J107" i="8"/>
  <c r="N113" i="8"/>
  <c r="J111" i="8"/>
  <c r="H96" i="8"/>
  <c r="H98" i="8"/>
  <c r="H100" i="8"/>
  <c r="H102" i="8"/>
  <c r="H106" i="8"/>
  <c r="H108" i="8"/>
  <c r="H110" i="8"/>
  <c r="N110" i="8" s="1"/>
  <c r="P110" i="8"/>
  <c r="F111" i="8"/>
  <c r="H112" i="8"/>
  <c r="F113" i="8"/>
  <c r="J113" i="8"/>
  <c r="H94" i="8"/>
  <c r="G111" i="8"/>
  <c r="G113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G91" i="8"/>
  <c r="E30" i="8"/>
  <c r="D30" i="8"/>
  <c r="E29" i="8"/>
  <c r="D29" i="8"/>
  <c r="P27" i="8"/>
  <c r="N27" i="8"/>
  <c r="J27" i="8"/>
  <c r="H27" i="8"/>
  <c r="G27" i="8"/>
  <c r="L27" i="8" s="1"/>
  <c r="F27" i="8"/>
  <c r="P26" i="8"/>
  <c r="N26" i="8"/>
  <c r="J26" i="8"/>
  <c r="H26" i="8"/>
  <c r="G26" i="8"/>
  <c r="L26" i="8" s="1"/>
  <c r="F26" i="8"/>
  <c r="P25" i="8"/>
  <c r="N25" i="8"/>
  <c r="J25" i="8"/>
  <c r="H25" i="8"/>
  <c r="G25" i="8"/>
  <c r="L25" i="8" s="1"/>
  <c r="F25" i="8"/>
  <c r="P24" i="8"/>
  <c r="N24" i="8"/>
  <c r="J24" i="8"/>
  <c r="H24" i="8"/>
  <c r="G24" i="8"/>
  <c r="L24" i="8" s="1"/>
  <c r="F24" i="8"/>
  <c r="P23" i="8"/>
  <c r="N23" i="8"/>
  <c r="J23" i="8"/>
  <c r="H23" i="8"/>
  <c r="G23" i="8"/>
  <c r="L23" i="8" s="1"/>
  <c r="F23" i="8"/>
  <c r="P22" i="8"/>
  <c r="N22" i="8"/>
  <c r="J22" i="8"/>
  <c r="H22" i="8"/>
  <c r="G22" i="8"/>
  <c r="L22" i="8" s="1"/>
  <c r="T22" i="8" s="1"/>
  <c r="F22" i="8"/>
  <c r="P21" i="8"/>
  <c r="N21" i="8"/>
  <c r="L21" i="8"/>
  <c r="T21" i="8" s="1"/>
  <c r="J21" i="8"/>
  <c r="H21" i="8"/>
  <c r="G21" i="8"/>
  <c r="F21" i="8"/>
  <c r="P20" i="8"/>
  <c r="N20" i="8"/>
  <c r="L20" i="8"/>
  <c r="J20" i="8"/>
  <c r="H20" i="8"/>
  <c r="G20" i="8"/>
  <c r="F20" i="8"/>
  <c r="J19" i="8"/>
  <c r="H19" i="8"/>
  <c r="G19" i="8"/>
  <c r="F19" i="8"/>
  <c r="N19" i="8" s="1"/>
  <c r="J18" i="8"/>
  <c r="H18" i="8"/>
  <c r="G18" i="8"/>
  <c r="F18" i="8"/>
  <c r="N18" i="8" s="1"/>
  <c r="J17" i="8"/>
  <c r="H17" i="8"/>
  <c r="G17" i="8"/>
  <c r="F17" i="8"/>
  <c r="N17" i="8" s="1"/>
  <c r="J16" i="8"/>
  <c r="H16" i="8"/>
  <c r="G16" i="8"/>
  <c r="F16" i="8"/>
  <c r="N16" i="8" s="1"/>
  <c r="J15" i="8"/>
  <c r="H15" i="8"/>
  <c r="G15" i="8"/>
  <c r="F15" i="8"/>
  <c r="N15" i="8" s="1"/>
  <c r="P14" i="8"/>
  <c r="N14" i="8"/>
  <c r="J14" i="8"/>
  <c r="H14" i="8"/>
  <c r="G14" i="8"/>
  <c r="L14" i="8" s="1"/>
  <c r="F14" i="8"/>
  <c r="J13" i="8"/>
  <c r="H13" i="8"/>
  <c r="G13" i="8"/>
  <c r="F13" i="8"/>
  <c r="N13" i="8" s="1"/>
  <c r="P12" i="8"/>
  <c r="N12" i="8"/>
  <c r="L12" i="8"/>
  <c r="T12" i="8" s="1"/>
  <c r="J12" i="8"/>
  <c r="H12" i="8"/>
  <c r="G12" i="8"/>
  <c r="F12" i="8"/>
  <c r="P11" i="8"/>
  <c r="N11" i="8"/>
  <c r="L11" i="8"/>
  <c r="J11" i="8"/>
  <c r="H11" i="8"/>
  <c r="G11" i="8"/>
  <c r="F11" i="8"/>
  <c r="P10" i="8"/>
  <c r="N10" i="8"/>
  <c r="J10" i="8"/>
  <c r="H10" i="8"/>
  <c r="G10" i="8"/>
  <c r="L10" i="8" s="1"/>
  <c r="F10" i="8"/>
  <c r="J9" i="8"/>
  <c r="H9" i="8"/>
  <c r="G9" i="8"/>
  <c r="F9" i="8"/>
  <c r="N9" i="8" s="1"/>
  <c r="J8" i="8"/>
  <c r="H8" i="8"/>
  <c r="G8" i="8"/>
  <c r="F8" i="8"/>
  <c r="J7" i="8"/>
  <c r="H7" i="8"/>
  <c r="G7" i="8"/>
  <c r="F7" i="8"/>
  <c r="N7" i="8" s="1"/>
  <c r="J6" i="8"/>
  <c r="H6" i="8"/>
  <c r="G6" i="8"/>
  <c r="F6" i="8"/>
  <c r="N6" i="8" s="1"/>
  <c r="J5" i="8"/>
  <c r="H5" i="8"/>
  <c r="H30" i="8" s="1"/>
  <c r="G5" i="8"/>
  <c r="F5" i="8"/>
  <c r="N5" i="8" s="1"/>
  <c r="T26" i="8" l="1"/>
  <c r="T23" i="8"/>
  <c r="T25" i="8"/>
  <c r="L171" i="8"/>
  <c r="E243" i="12"/>
  <c r="D233" i="12"/>
  <c r="E202" i="12"/>
  <c r="E185" i="12"/>
  <c r="E179" i="12"/>
  <c r="H179" i="12" s="1"/>
  <c r="E154" i="12"/>
  <c r="E192" i="12"/>
  <c r="R20" i="8"/>
  <c r="P277" i="8"/>
  <c r="L308" i="8"/>
  <c r="U308" i="8" s="1"/>
  <c r="E258" i="12"/>
  <c r="E250" i="12"/>
  <c r="D263" i="12"/>
  <c r="D247" i="12"/>
  <c r="E231" i="12"/>
  <c r="D237" i="12"/>
  <c r="E222" i="12"/>
  <c r="E206" i="12"/>
  <c r="D213" i="12"/>
  <c r="E197" i="12"/>
  <c r="E189" i="12"/>
  <c r="D189" i="12"/>
  <c r="E167" i="12"/>
  <c r="D174" i="12"/>
  <c r="D158" i="12"/>
  <c r="E142" i="12"/>
  <c r="D148" i="12"/>
  <c r="E132" i="12"/>
  <c r="E124" i="12"/>
  <c r="F124" i="12" s="1"/>
  <c r="E116" i="12"/>
  <c r="D125" i="12"/>
  <c r="D101" i="12"/>
  <c r="E86" i="12"/>
  <c r="E70" i="12"/>
  <c r="D75" i="12"/>
  <c r="D65" i="12"/>
  <c r="D49" i="12"/>
  <c r="E38" i="12"/>
  <c r="D46" i="12"/>
  <c r="D34" i="12"/>
  <c r="E257" i="12"/>
  <c r="D262" i="12"/>
  <c r="D246" i="12"/>
  <c r="D240" i="12"/>
  <c r="D224" i="12"/>
  <c r="D208" i="12"/>
  <c r="E184" i="12"/>
  <c r="D192" i="12"/>
  <c r="D180" i="12"/>
  <c r="D165" i="12"/>
  <c r="D143" i="12"/>
  <c r="E127" i="12"/>
  <c r="D132" i="12"/>
  <c r="D116" i="12"/>
  <c r="D112" i="12"/>
  <c r="D96" i="12"/>
  <c r="E81" i="12"/>
  <c r="D86" i="12"/>
  <c r="D70" i="12"/>
  <c r="E54" i="12"/>
  <c r="D60" i="12"/>
  <c r="E45" i="12"/>
  <c r="E29" i="12"/>
  <c r="D33" i="12"/>
  <c r="E260" i="12"/>
  <c r="E252" i="12"/>
  <c r="D265" i="12"/>
  <c r="D249" i="12"/>
  <c r="E233" i="12"/>
  <c r="D239" i="12"/>
  <c r="D223" i="12"/>
  <c r="E208" i="12"/>
  <c r="D215" i="12"/>
  <c r="E199" i="12"/>
  <c r="E183" i="12"/>
  <c r="D187" i="12"/>
  <c r="E169" i="12"/>
  <c r="J169" i="12" s="1"/>
  <c r="D176" i="12"/>
  <c r="D160" i="12"/>
  <c r="E144" i="12"/>
  <c r="D150" i="12"/>
  <c r="E134" i="12"/>
  <c r="E126" i="12"/>
  <c r="E118" i="12"/>
  <c r="D131" i="12"/>
  <c r="D115" i="12"/>
  <c r="D99" i="12"/>
  <c r="E84" i="12"/>
  <c r="E72" i="12"/>
  <c r="J72" i="12" s="1"/>
  <c r="D77" i="12"/>
  <c r="E65" i="12"/>
  <c r="E57" i="12"/>
  <c r="E49" i="12"/>
  <c r="J49" i="12" s="1"/>
  <c r="D59" i="12"/>
  <c r="D32" i="12"/>
  <c r="E255" i="12"/>
  <c r="D260" i="12"/>
  <c r="E244" i="12"/>
  <c r="E236" i="12"/>
  <c r="E228" i="12"/>
  <c r="D242" i="12"/>
  <c r="D226" i="12"/>
  <c r="D218" i="12"/>
  <c r="D202" i="12"/>
  <c r="D194" i="12"/>
  <c r="E176" i="12"/>
  <c r="E168" i="12"/>
  <c r="E160" i="12"/>
  <c r="D171" i="12"/>
  <c r="E155" i="12"/>
  <c r="E147" i="12"/>
  <c r="E139" i="12"/>
  <c r="D153" i="12"/>
  <c r="D137" i="12"/>
  <c r="E121" i="12"/>
  <c r="D126" i="12"/>
  <c r="E111" i="12"/>
  <c r="J111" i="12" s="1"/>
  <c r="E95" i="12"/>
  <c r="D110" i="12"/>
  <c r="D94" i="12"/>
  <c r="E75" i="12"/>
  <c r="N75" i="12" s="1"/>
  <c r="D80" i="12"/>
  <c r="E64" i="12"/>
  <c r="E48" i="12"/>
  <c r="D54" i="12"/>
  <c r="E39" i="12"/>
  <c r="D43" i="12"/>
  <c r="D259" i="12"/>
  <c r="E227" i="12"/>
  <c r="J227" i="12" s="1"/>
  <c r="E218" i="12"/>
  <c r="D209" i="12"/>
  <c r="D197" i="12"/>
  <c r="E163" i="12"/>
  <c r="D170" i="12"/>
  <c r="E138" i="12"/>
  <c r="D144" i="12"/>
  <c r="D121" i="12"/>
  <c r="E106" i="12"/>
  <c r="E98" i="12"/>
  <c r="D113" i="12"/>
  <c r="D97" i="12"/>
  <c r="E82" i="12"/>
  <c r="D87" i="12"/>
  <c r="D71" i="12"/>
  <c r="E59" i="12"/>
  <c r="E51" i="12"/>
  <c r="D61" i="12"/>
  <c r="E46" i="12"/>
  <c r="D42" i="12"/>
  <c r="D30" i="12"/>
  <c r="E253" i="12"/>
  <c r="D258" i="12"/>
  <c r="E242" i="12"/>
  <c r="E234" i="12"/>
  <c r="E226" i="12"/>
  <c r="D236" i="12"/>
  <c r="E221" i="12"/>
  <c r="E213" i="12"/>
  <c r="E205" i="12"/>
  <c r="D220" i="12"/>
  <c r="D204" i="12"/>
  <c r="E180" i="12"/>
  <c r="D188" i="12"/>
  <c r="E178" i="12"/>
  <c r="E170" i="12"/>
  <c r="E162" i="12"/>
  <c r="D177" i="12"/>
  <c r="D161" i="12"/>
  <c r="E149" i="12"/>
  <c r="E141" i="12"/>
  <c r="D155" i="12"/>
  <c r="D139" i="12"/>
  <c r="E123" i="12"/>
  <c r="D128" i="12"/>
  <c r="E113" i="12"/>
  <c r="E105" i="12"/>
  <c r="E97" i="12"/>
  <c r="D108" i="12"/>
  <c r="D92" i="12"/>
  <c r="E77" i="12"/>
  <c r="D82" i="12"/>
  <c r="E66" i="12"/>
  <c r="E50" i="12"/>
  <c r="D56" i="12"/>
  <c r="E41" i="12"/>
  <c r="D45" i="12"/>
  <c r="D29" i="12"/>
  <c r="D261" i="12"/>
  <c r="D245" i="12"/>
  <c r="E229" i="12"/>
  <c r="D235" i="12"/>
  <c r="E220" i="12"/>
  <c r="E204" i="12"/>
  <c r="D211" i="12"/>
  <c r="E195" i="12"/>
  <c r="D199" i="12"/>
  <c r="D183" i="12"/>
  <c r="E165" i="12"/>
  <c r="D172" i="12"/>
  <c r="E156" i="12"/>
  <c r="E140" i="12"/>
  <c r="D146" i="12"/>
  <c r="D127" i="12"/>
  <c r="E112" i="12"/>
  <c r="E104" i="12"/>
  <c r="F104" i="12" s="1"/>
  <c r="E96" i="12"/>
  <c r="D111" i="12"/>
  <c r="D95" i="12"/>
  <c r="E80" i="12"/>
  <c r="D89" i="12"/>
  <c r="D73" i="12"/>
  <c r="D55" i="12"/>
  <c r="E40" i="12"/>
  <c r="J40" i="12" s="1"/>
  <c r="E32" i="12"/>
  <c r="D44" i="12"/>
  <c r="D28" i="12"/>
  <c r="E251" i="12"/>
  <c r="D256" i="12"/>
  <c r="D238" i="12"/>
  <c r="E219" i="12"/>
  <c r="E211" i="12"/>
  <c r="E203" i="12"/>
  <c r="D214" i="12"/>
  <c r="E198" i="12"/>
  <c r="E190" i="12"/>
  <c r="E182" i="12"/>
  <c r="D190" i="12"/>
  <c r="D167" i="12"/>
  <c r="D149" i="12"/>
  <c r="E133" i="12"/>
  <c r="E117" i="12"/>
  <c r="D122" i="12"/>
  <c r="E107" i="12"/>
  <c r="F107" i="12" s="1"/>
  <c r="D106" i="12"/>
  <c r="E87" i="12"/>
  <c r="E71" i="12"/>
  <c r="D76" i="12"/>
  <c r="E60" i="12"/>
  <c r="D66" i="12"/>
  <c r="D50" i="12"/>
  <c r="E35" i="12"/>
  <c r="D39" i="12"/>
  <c r="L324" i="8"/>
  <c r="N316" i="8"/>
  <c r="E262" i="12"/>
  <c r="F262" i="12" s="1"/>
  <c r="E254" i="12"/>
  <c r="E246" i="12"/>
  <c r="D255" i="12"/>
  <c r="E239" i="12"/>
  <c r="E223" i="12"/>
  <c r="D229" i="12"/>
  <c r="E214" i="12"/>
  <c r="D221" i="12"/>
  <c r="D205" i="12"/>
  <c r="E193" i="12"/>
  <c r="D185" i="12"/>
  <c r="E175" i="12"/>
  <c r="E159" i="12"/>
  <c r="D166" i="12"/>
  <c r="E150" i="12"/>
  <c r="D156" i="12"/>
  <c r="D140" i="12"/>
  <c r="E128" i="12"/>
  <c r="E120" i="12"/>
  <c r="D133" i="12"/>
  <c r="D117" i="12"/>
  <c r="D109" i="12"/>
  <c r="D93" i="12"/>
  <c r="E78" i="12"/>
  <c r="G78" i="12" s="1"/>
  <c r="D83" i="12"/>
  <c r="E67" i="12"/>
  <c r="D57" i="12"/>
  <c r="E34" i="12"/>
  <c r="D38" i="12"/>
  <c r="E265" i="12"/>
  <c r="E249" i="12"/>
  <c r="D254" i="12"/>
  <c r="D232" i="12"/>
  <c r="D216" i="12"/>
  <c r="D200" i="12"/>
  <c r="E188" i="12"/>
  <c r="H188" i="12" s="1"/>
  <c r="D196" i="12"/>
  <c r="D173" i="12"/>
  <c r="D157" i="12"/>
  <c r="D151" i="12"/>
  <c r="H151" i="12" s="1"/>
  <c r="N151" i="12" s="1"/>
  <c r="D135" i="12"/>
  <c r="E119" i="12"/>
  <c r="D124" i="12"/>
  <c r="D104" i="12"/>
  <c r="E89" i="12"/>
  <c r="E73" i="12"/>
  <c r="D78" i="12"/>
  <c r="E62" i="12"/>
  <c r="D68" i="12"/>
  <c r="D52" i="12"/>
  <c r="E37" i="12"/>
  <c r="D41" i="12"/>
  <c r="E264" i="12"/>
  <c r="E256" i="12"/>
  <c r="E248" i="12"/>
  <c r="D257" i="12"/>
  <c r="E241" i="12"/>
  <c r="E225" i="12"/>
  <c r="D231" i="12"/>
  <c r="E216" i="12"/>
  <c r="E200" i="12"/>
  <c r="D207" i="12"/>
  <c r="E191" i="12"/>
  <c r="D195" i="12"/>
  <c r="E177" i="12"/>
  <c r="E161" i="12"/>
  <c r="D168" i="12"/>
  <c r="E152" i="12"/>
  <c r="H152" i="12" s="1"/>
  <c r="P152" i="12" s="1"/>
  <c r="E136" i="12"/>
  <c r="D142" i="12"/>
  <c r="E130" i="12"/>
  <c r="E122" i="12"/>
  <c r="H122" i="12" s="1"/>
  <c r="E114" i="12"/>
  <c r="D123" i="12"/>
  <c r="D107" i="12"/>
  <c r="D91" i="12"/>
  <c r="E76" i="12"/>
  <c r="D85" i="12"/>
  <c r="E69" i="12"/>
  <c r="E61" i="12"/>
  <c r="E53" i="12"/>
  <c r="D67" i="12"/>
  <c r="D51" i="12"/>
  <c r="D40" i="12"/>
  <c r="E263" i="12"/>
  <c r="E247" i="12"/>
  <c r="D252" i="12"/>
  <c r="E240" i="12"/>
  <c r="G240" i="12" s="1"/>
  <c r="L240" i="12" s="1"/>
  <c r="E232" i="12"/>
  <c r="E224" i="12"/>
  <c r="D234" i="12"/>
  <c r="D210" i="12"/>
  <c r="D186" i="12"/>
  <c r="E172" i="12"/>
  <c r="E164" i="12"/>
  <c r="D179" i="12"/>
  <c r="D163" i="12"/>
  <c r="E151" i="12"/>
  <c r="E143" i="12"/>
  <c r="E135" i="12"/>
  <c r="D145" i="12"/>
  <c r="E129" i="12"/>
  <c r="D134" i="12"/>
  <c r="D118" i="12"/>
  <c r="E103" i="12"/>
  <c r="E91" i="12"/>
  <c r="D102" i="12"/>
  <c r="E83" i="12"/>
  <c r="D88" i="12"/>
  <c r="D72" i="12"/>
  <c r="E56" i="12"/>
  <c r="D62" i="12"/>
  <c r="E47" i="12"/>
  <c r="E31" i="12"/>
  <c r="D35" i="12"/>
  <c r="P112" i="8"/>
  <c r="N117" i="8"/>
  <c r="L226" i="8"/>
  <c r="N228" i="8"/>
  <c r="N248" i="8"/>
  <c r="L269" i="8"/>
  <c r="U269" i="8" s="1"/>
  <c r="P310" i="8"/>
  <c r="N294" i="8"/>
  <c r="P254" i="8"/>
  <c r="T254" i="8" s="1"/>
  <c r="D251" i="12"/>
  <c r="E235" i="12"/>
  <c r="D241" i="12"/>
  <c r="D225" i="12"/>
  <c r="E210" i="12"/>
  <c r="D217" i="12"/>
  <c r="D201" i="12"/>
  <c r="E181" i="12"/>
  <c r="D193" i="12"/>
  <c r="D181" i="12"/>
  <c r="E171" i="12"/>
  <c r="D178" i="12"/>
  <c r="D162" i="12"/>
  <c r="E146" i="12"/>
  <c r="D152" i="12"/>
  <c r="D136" i="12"/>
  <c r="D129" i="12"/>
  <c r="E110" i="12"/>
  <c r="E102" i="12"/>
  <c r="E94" i="12"/>
  <c r="D105" i="12"/>
  <c r="E90" i="12"/>
  <c r="E74" i="12"/>
  <c r="D79" i="12"/>
  <c r="H79" i="12" s="1"/>
  <c r="P79" i="12" s="1"/>
  <c r="E63" i="12"/>
  <c r="E55" i="12"/>
  <c r="D69" i="12"/>
  <c r="D53" i="12"/>
  <c r="E42" i="12"/>
  <c r="E30" i="12"/>
  <c r="E261" i="12"/>
  <c r="E245" i="12"/>
  <c r="D250" i="12"/>
  <c r="E238" i="12"/>
  <c r="E230" i="12"/>
  <c r="D244" i="12"/>
  <c r="D228" i="12"/>
  <c r="E217" i="12"/>
  <c r="E209" i="12"/>
  <c r="E201" i="12"/>
  <c r="D212" i="12"/>
  <c r="E196" i="12"/>
  <c r="L254" i="8"/>
  <c r="D184" i="12"/>
  <c r="J184" i="12" s="1"/>
  <c r="E174" i="12"/>
  <c r="E166" i="12"/>
  <c r="E158" i="12"/>
  <c r="D169" i="12"/>
  <c r="E153" i="12"/>
  <c r="E145" i="12"/>
  <c r="E137" i="12"/>
  <c r="D147" i="12"/>
  <c r="J147" i="12" s="1"/>
  <c r="E131" i="12"/>
  <c r="E115" i="12"/>
  <c r="D120" i="12"/>
  <c r="E109" i="12"/>
  <c r="E101" i="12"/>
  <c r="E93" i="12"/>
  <c r="D100" i="12"/>
  <c r="E85" i="12"/>
  <c r="G85" i="12" s="1"/>
  <c r="L85" i="12" s="1"/>
  <c r="D90" i="12"/>
  <c r="D74" i="12"/>
  <c r="E58" i="12"/>
  <c r="D64" i="12"/>
  <c r="D48" i="12"/>
  <c r="E33" i="12"/>
  <c r="D37" i="12"/>
  <c r="D253" i="12"/>
  <c r="E237" i="12"/>
  <c r="D243" i="12"/>
  <c r="D227" i="12"/>
  <c r="E212" i="12"/>
  <c r="F212" i="12" s="1"/>
  <c r="D219" i="12"/>
  <c r="D203" i="12"/>
  <c r="E187" i="12"/>
  <c r="D191" i="12"/>
  <c r="E173" i="12"/>
  <c r="E157" i="12"/>
  <c r="D164" i="12"/>
  <c r="E148" i="12"/>
  <c r="D154" i="12"/>
  <c r="D138" i="12"/>
  <c r="D119" i="12"/>
  <c r="E108" i="12"/>
  <c r="E100" i="12"/>
  <c r="E92" i="12"/>
  <c r="D103" i="12"/>
  <c r="E88" i="12"/>
  <c r="F88" i="12" s="1"/>
  <c r="D81" i="12"/>
  <c r="D63" i="12"/>
  <c r="E44" i="12"/>
  <c r="E36" i="12"/>
  <c r="H36" i="12" s="1"/>
  <c r="E28" i="12"/>
  <c r="D36" i="12"/>
  <c r="E259" i="12"/>
  <c r="D264" i="12"/>
  <c r="D248" i="12"/>
  <c r="D230" i="12"/>
  <c r="E215" i="12"/>
  <c r="E207" i="12"/>
  <c r="N207" i="12" s="1"/>
  <c r="D222" i="12"/>
  <c r="D206" i="12"/>
  <c r="E194" i="12"/>
  <c r="E186" i="12"/>
  <c r="D198" i="12"/>
  <c r="D182" i="12"/>
  <c r="D175" i="12"/>
  <c r="D159" i="12"/>
  <c r="D141" i="12"/>
  <c r="E125" i="12"/>
  <c r="D130" i="12"/>
  <c r="D114" i="12"/>
  <c r="E99" i="12"/>
  <c r="D98" i="12"/>
  <c r="E79" i="12"/>
  <c r="D84" i="12"/>
  <c r="E68" i="12"/>
  <c r="E52" i="12"/>
  <c r="D58" i="12"/>
  <c r="E43" i="12"/>
  <c r="F43" i="12" s="1"/>
  <c r="D47" i="12"/>
  <c r="D31" i="12"/>
  <c r="D8" i="11"/>
  <c r="D12" i="11"/>
  <c r="D16" i="11"/>
  <c r="D20" i="11"/>
  <c r="D24" i="11"/>
  <c r="E5" i="11"/>
  <c r="G75" i="8"/>
  <c r="E9" i="11"/>
  <c r="F79" i="8"/>
  <c r="E13" i="11"/>
  <c r="G83" i="8"/>
  <c r="E17" i="11"/>
  <c r="F87" i="8"/>
  <c r="E21" i="11"/>
  <c r="F91" i="8"/>
  <c r="E25" i="11"/>
  <c r="F262" i="11"/>
  <c r="J262" i="11"/>
  <c r="G262" i="11"/>
  <c r="P262" i="11" s="1"/>
  <c r="H262" i="11"/>
  <c r="G258" i="12"/>
  <c r="F258" i="12"/>
  <c r="J246" i="11"/>
  <c r="F246" i="11"/>
  <c r="G246" i="11"/>
  <c r="H246" i="11"/>
  <c r="H239" i="12"/>
  <c r="H231" i="12"/>
  <c r="G231" i="12"/>
  <c r="G222" i="12"/>
  <c r="H214" i="12"/>
  <c r="G214" i="12"/>
  <c r="J206" i="11"/>
  <c r="P206" i="11"/>
  <c r="N206" i="11"/>
  <c r="H206" i="11"/>
  <c r="R206" i="11" s="1"/>
  <c r="G206" i="11"/>
  <c r="L206" i="11" s="1"/>
  <c r="F206" i="11"/>
  <c r="G197" i="11"/>
  <c r="L197" i="11" s="1"/>
  <c r="J197" i="11"/>
  <c r="U197" i="11" s="1"/>
  <c r="P197" i="11"/>
  <c r="H197" i="11"/>
  <c r="N197" i="11"/>
  <c r="F197" i="11"/>
  <c r="J185" i="12"/>
  <c r="J175" i="12"/>
  <c r="F167" i="12"/>
  <c r="G167" i="12"/>
  <c r="G159" i="11"/>
  <c r="F159" i="11"/>
  <c r="H159" i="11"/>
  <c r="J159" i="11"/>
  <c r="G150" i="11"/>
  <c r="H150" i="11"/>
  <c r="F150" i="11"/>
  <c r="J150" i="11"/>
  <c r="G142" i="11"/>
  <c r="J142" i="11"/>
  <c r="U142" i="11" s="1"/>
  <c r="H142" i="11"/>
  <c r="L142" i="11" s="1"/>
  <c r="F142" i="11"/>
  <c r="J132" i="11"/>
  <c r="U132" i="11" s="1"/>
  <c r="F132" i="11"/>
  <c r="H132" i="11"/>
  <c r="G132" i="11"/>
  <c r="L132" i="11" s="1"/>
  <c r="N132" i="11"/>
  <c r="P132" i="11"/>
  <c r="G128" i="12"/>
  <c r="F128" i="12"/>
  <c r="F116" i="11"/>
  <c r="N116" i="11" s="1"/>
  <c r="H116" i="11"/>
  <c r="J116" i="11"/>
  <c r="G116" i="11"/>
  <c r="P106" i="12"/>
  <c r="G102" i="12"/>
  <c r="J102" i="12"/>
  <c r="H102" i="12"/>
  <c r="F102" i="12"/>
  <c r="G74" i="12"/>
  <c r="F74" i="12"/>
  <c r="J74" i="12"/>
  <c r="G63" i="11"/>
  <c r="L63" i="11" s="1"/>
  <c r="N63" i="11"/>
  <c r="H63" i="11"/>
  <c r="R63" i="11" s="1"/>
  <c r="W63" i="11" s="1"/>
  <c r="P63" i="11"/>
  <c r="J63" i="11"/>
  <c r="U63" i="11" s="1"/>
  <c r="F63" i="11"/>
  <c r="H59" i="12"/>
  <c r="F46" i="11"/>
  <c r="H46" i="11"/>
  <c r="J46" i="11"/>
  <c r="G46" i="11"/>
  <c r="F42" i="11"/>
  <c r="H42" i="11"/>
  <c r="J42" i="11"/>
  <c r="G42" i="11"/>
  <c r="G265" i="12"/>
  <c r="J265" i="12"/>
  <c r="J249" i="12"/>
  <c r="H249" i="12"/>
  <c r="H238" i="12"/>
  <c r="P221" i="11"/>
  <c r="N221" i="11"/>
  <c r="F221" i="11"/>
  <c r="G221" i="11"/>
  <c r="L221" i="11" s="1"/>
  <c r="J221" i="11"/>
  <c r="U221" i="11" s="1"/>
  <c r="H221" i="11"/>
  <c r="F217" i="12"/>
  <c r="F205" i="11"/>
  <c r="H205" i="11"/>
  <c r="P205" i="11"/>
  <c r="J205" i="11"/>
  <c r="N205" i="11"/>
  <c r="G205" i="11"/>
  <c r="L205" i="11" s="1"/>
  <c r="D278" i="11"/>
  <c r="F188" i="12"/>
  <c r="G180" i="11"/>
  <c r="J180" i="11"/>
  <c r="E277" i="11"/>
  <c r="H180" i="11"/>
  <c r="F180" i="11"/>
  <c r="L180" i="11" s="1"/>
  <c r="R180" i="11" s="1"/>
  <c r="D277" i="11"/>
  <c r="J166" i="12"/>
  <c r="G166" i="12"/>
  <c r="G153" i="11"/>
  <c r="H153" i="11"/>
  <c r="F153" i="11"/>
  <c r="J153" i="11"/>
  <c r="G137" i="11"/>
  <c r="J137" i="11"/>
  <c r="H137" i="11"/>
  <c r="N137" i="11" s="1"/>
  <c r="F137" i="11"/>
  <c r="G123" i="12"/>
  <c r="G115" i="12"/>
  <c r="F115" i="12"/>
  <c r="H113" i="12"/>
  <c r="G113" i="12"/>
  <c r="H101" i="11"/>
  <c r="F101" i="11"/>
  <c r="N101" i="11"/>
  <c r="J101" i="11"/>
  <c r="P101" i="11"/>
  <c r="G101" i="11"/>
  <c r="L101" i="11" s="1"/>
  <c r="J97" i="12"/>
  <c r="H89" i="11"/>
  <c r="J89" i="11"/>
  <c r="N89" i="11"/>
  <c r="P89" i="11"/>
  <c r="G89" i="11"/>
  <c r="L89" i="11" s="1"/>
  <c r="F89" i="11"/>
  <c r="H81" i="11"/>
  <c r="P81" i="11"/>
  <c r="G81" i="11"/>
  <c r="L81" i="11" s="1"/>
  <c r="J81" i="11"/>
  <c r="N81" i="11"/>
  <c r="F81" i="11"/>
  <c r="F73" i="11"/>
  <c r="H73" i="11"/>
  <c r="L73" i="11" s="1"/>
  <c r="R73" i="11" s="1"/>
  <c r="J73" i="11"/>
  <c r="G73" i="11"/>
  <c r="D272" i="11"/>
  <c r="J62" i="11"/>
  <c r="G62" i="11"/>
  <c r="F62" i="11"/>
  <c r="H62" i="11"/>
  <c r="P54" i="11"/>
  <c r="G54" i="11"/>
  <c r="L54" i="11" s="1"/>
  <c r="F54" i="11"/>
  <c r="H54" i="11"/>
  <c r="N54" i="11"/>
  <c r="J54" i="11"/>
  <c r="U54" i="11" s="1"/>
  <c r="G45" i="11"/>
  <c r="L45" i="11" s="1"/>
  <c r="P45" i="11"/>
  <c r="F45" i="11"/>
  <c r="N45" i="11"/>
  <c r="J45" i="11"/>
  <c r="H45" i="11"/>
  <c r="G37" i="11"/>
  <c r="F37" i="11"/>
  <c r="J37" i="11"/>
  <c r="H37" i="11"/>
  <c r="G29" i="11"/>
  <c r="J29" i="11"/>
  <c r="F29" i="11"/>
  <c r="H29" i="11"/>
  <c r="F264" i="11"/>
  <c r="G264" i="11"/>
  <c r="H264" i="11"/>
  <c r="J264" i="11"/>
  <c r="G260" i="12"/>
  <c r="J248" i="11"/>
  <c r="G248" i="11"/>
  <c r="H248" i="11"/>
  <c r="P248" i="11" s="1"/>
  <c r="F248" i="11"/>
  <c r="G225" i="12"/>
  <c r="F225" i="12"/>
  <c r="F216" i="12"/>
  <c r="F208" i="11"/>
  <c r="H208" i="11"/>
  <c r="J208" i="11"/>
  <c r="G208" i="11"/>
  <c r="F200" i="11"/>
  <c r="E278" i="11"/>
  <c r="G200" i="11"/>
  <c r="J200" i="11"/>
  <c r="H200" i="11"/>
  <c r="N199" i="11"/>
  <c r="J199" i="11"/>
  <c r="H199" i="11"/>
  <c r="G199" i="11"/>
  <c r="L199" i="11" s="1"/>
  <c r="P199" i="11"/>
  <c r="F199" i="11"/>
  <c r="F191" i="12"/>
  <c r="G191" i="12"/>
  <c r="F183" i="12"/>
  <c r="G183" i="12"/>
  <c r="F161" i="12"/>
  <c r="H161" i="12"/>
  <c r="N161" i="12" s="1"/>
  <c r="G161" i="12"/>
  <c r="H144" i="12"/>
  <c r="J144" i="12"/>
  <c r="G144" i="12"/>
  <c r="F144" i="12"/>
  <c r="J136" i="11"/>
  <c r="G136" i="11"/>
  <c r="F136" i="11"/>
  <c r="H136" i="11"/>
  <c r="J134" i="12"/>
  <c r="G118" i="12"/>
  <c r="J118" i="12"/>
  <c r="F118" i="12"/>
  <c r="N112" i="12"/>
  <c r="G112" i="12"/>
  <c r="H112" i="12"/>
  <c r="P112" i="12" s="1"/>
  <c r="F112" i="12"/>
  <c r="N100" i="11"/>
  <c r="H100" i="11"/>
  <c r="J100" i="11"/>
  <c r="U100" i="11" s="1"/>
  <c r="F100" i="11"/>
  <c r="G100" i="11"/>
  <c r="L100" i="11" s="1"/>
  <c r="P100" i="11"/>
  <c r="N96" i="12"/>
  <c r="H84" i="12"/>
  <c r="J76" i="12"/>
  <c r="G61" i="11"/>
  <c r="H61" i="11"/>
  <c r="J61" i="11"/>
  <c r="F61" i="11"/>
  <c r="N57" i="12"/>
  <c r="F57" i="12"/>
  <c r="G57" i="12"/>
  <c r="J36" i="11"/>
  <c r="G36" i="11"/>
  <c r="P36" i="11" s="1"/>
  <c r="F36" i="11"/>
  <c r="H36" i="11"/>
  <c r="J32" i="12"/>
  <c r="G255" i="12"/>
  <c r="J255" i="12"/>
  <c r="F255" i="12"/>
  <c r="F247" i="12"/>
  <c r="G247" i="12"/>
  <c r="G232" i="11"/>
  <c r="F232" i="11"/>
  <c r="H232" i="11"/>
  <c r="J232" i="11"/>
  <c r="G228" i="12"/>
  <c r="F228" i="12"/>
  <c r="F219" i="12"/>
  <c r="G219" i="12"/>
  <c r="F207" i="11"/>
  <c r="J207" i="11"/>
  <c r="N207" i="11"/>
  <c r="G207" i="11"/>
  <c r="L207" i="11" s="1"/>
  <c r="H207" i="11"/>
  <c r="P207" i="11"/>
  <c r="G203" i="12"/>
  <c r="F190" i="11"/>
  <c r="H190" i="11"/>
  <c r="G190" i="11"/>
  <c r="J190" i="11"/>
  <c r="G186" i="11"/>
  <c r="L186" i="11" s="1"/>
  <c r="N186" i="11"/>
  <c r="F186" i="11"/>
  <c r="H186" i="11"/>
  <c r="J186" i="11"/>
  <c r="P186" i="11"/>
  <c r="J176" i="12"/>
  <c r="F164" i="11"/>
  <c r="G164" i="11"/>
  <c r="J164" i="11"/>
  <c r="H164" i="11"/>
  <c r="G160" i="12"/>
  <c r="F160" i="12"/>
  <c r="G147" i="11"/>
  <c r="H147" i="11"/>
  <c r="J147" i="11"/>
  <c r="F147" i="11"/>
  <c r="G143" i="11"/>
  <c r="H143" i="11"/>
  <c r="J143" i="11"/>
  <c r="F143" i="11"/>
  <c r="G129" i="11"/>
  <c r="F129" i="11"/>
  <c r="P129" i="11"/>
  <c r="J129" i="11"/>
  <c r="H129" i="11"/>
  <c r="L129" i="11"/>
  <c r="N129" i="11"/>
  <c r="P121" i="11"/>
  <c r="J121" i="11"/>
  <c r="H121" i="11"/>
  <c r="R121" i="11" s="1"/>
  <c r="N121" i="11"/>
  <c r="F121" i="11"/>
  <c r="G121" i="11"/>
  <c r="L121" i="11" s="1"/>
  <c r="P111" i="11"/>
  <c r="G111" i="11"/>
  <c r="L111" i="11" s="1"/>
  <c r="H111" i="11"/>
  <c r="R111" i="11" s="1"/>
  <c r="N111" i="11"/>
  <c r="F111" i="11"/>
  <c r="J111" i="11"/>
  <c r="U111" i="11" s="1"/>
  <c r="N103" i="11"/>
  <c r="J103" i="11"/>
  <c r="P103" i="11"/>
  <c r="G103" i="11"/>
  <c r="L103" i="11" s="1"/>
  <c r="H103" i="11"/>
  <c r="R103" i="11" s="1"/>
  <c r="F103" i="11"/>
  <c r="P95" i="11"/>
  <c r="F95" i="11"/>
  <c r="G95" i="11"/>
  <c r="L95" i="11" s="1"/>
  <c r="N95" i="11"/>
  <c r="H95" i="11"/>
  <c r="J95" i="11"/>
  <c r="P91" i="12"/>
  <c r="N91" i="12"/>
  <c r="G91" i="12"/>
  <c r="F91" i="12"/>
  <c r="G87" i="11"/>
  <c r="J87" i="11"/>
  <c r="H87" i="11"/>
  <c r="N87" i="11"/>
  <c r="P87" i="11"/>
  <c r="L87" i="11"/>
  <c r="T87" i="11" s="1"/>
  <c r="F87" i="11"/>
  <c r="F79" i="11"/>
  <c r="P79" i="11"/>
  <c r="J79" i="11"/>
  <c r="U79" i="11" s="1"/>
  <c r="N79" i="11"/>
  <c r="H79" i="11"/>
  <c r="G79" i="11"/>
  <c r="L79" i="11" s="1"/>
  <c r="G71" i="11"/>
  <c r="P71" i="11"/>
  <c r="J71" i="11"/>
  <c r="N71" i="11"/>
  <c r="L71" i="11"/>
  <c r="H71" i="11"/>
  <c r="F71" i="11"/>
  <c r="F68" i="11"/>
  <c r="J68" i="11"/>
  <c r="U68" i="11" s="1"/>
  <c r="N68" i="11"/>
  <c r="G68" i="11"/>
  <c r="L68" i="11" s="1"/>
  <c r="P68" i="11"/>
  <c r="H68" i="11"/>
  <c r="R68" i="11" s="1"/>
  <c r="G60" i="11"/>
  <c r="H60" i="11"/>
  <c r="F60" i="11"/>
  <c r="N60" i="11" s="1"/>
  <c r="J60" i="11"/>
  <c r="F52" i="11"/>
  <c r="H52" i="11"/>
  <c r="J52" i="11"/>
  <c r="G52" i="11"/>
  <c r="G43" i="11"/>
  <c r="J43" i="11"/>
  <c r="F43" i="11"/>
  <c r="H43" i="11"/>
  <c r="N43" i="11" s="1"/>
  <c r="F35" i="11"/>
  <c r="G35" i="11"/>
  <c r="J35" i="11"/>
  <c r="H35" i="11"/>
  <c r="N35" i="11" s="1"/>
  <c r="R10" i="8"/>
  <c r="T14" i="8"/>
  <c r="D5" i="11"/>
  <c r="D9" i="11"/>
  <c r="D13" i="11"/>
  <c r="D17" i="11"/>
  <c r="D21" i="11"/>
  <c r="D25" i="11"/>
  <c r="G72" i="8"/>
  <c r="E6" i="11"/>
  <c r="G76" i="8"/>
  <c r="E10" i="11"/>
  <c r="F80" i="8"/>
  <c r="E14" i="11"/>
  <c r="F84" i="8"/>
  <c r="E18" i="11"/>
  <c r="G88" i="8"/>
  <c r="E22" i="11"/>
  <c r="G92" i="8"/>
  <c r="E26" i="11"/>
  <c r="N190" i="8"/>
  <c r="N221" i="8"/>
  <c r="L259" i="8"/>
  <c r="R259" i="8" s="1"/>
  <c r="N248" i="11"/>
  <c r="G250" i="11"/>
  <c r="H250" i="11"/>
  <c r="J250" i="11"/>
  <c r="F250" i="11"/>
  <c r="G246" i="12"/>
  <c r="H246" i="12"/>
  <c r="F246" i="12"/>
  <c r="P246" i="12" s="1"/>
  <c r="G243" i="11"/>
  <c r="J243" i="11"/>
  <c r="F243" i="11"/>
  <c r="H243" i="11"/>
  <c r="F235" i="11"/>
  <c r="G235" i="11"/>
  <c r="H235" i="11"/>
  <c r="J235" i="11"/>
  <c r="J227" i="11"/>
  <c r="H227" i="11"/>
  <c r="G227" i="11"/>
  <c r="F227" i="11"/>
  <c r="H218" i="11"/>
  <c r="N218" i="11"/>
  <c r="F218" i="11"/>
  <c r="P218" i="11"/>
  <c r="G218" i="11"/>
  <c r="L218" i="11" s="1"/>
  <c r="J218" i="11"/>
  <c r="G210" i="12"/>
  <c r="F202" i="12"/>
  <c r="G202" i="12"/>
  <c r="J202" i="12"/>
  <c r="H202" i="12"/>
  <c r="H189" i="11"/>
  <c r="G189" i="11"/>
  <c r="L189" i="11" s="1"/>
  <c r="J189" i="11"/>
  <c r="P189" i="11"/>
  <c r="N189" i="11"/>
  <c r="F189" i="11"/>
  <c r="J175" i="11"/>
  <c r="F175" i="11"/>
  <c r="H175" i="11"/>
  <c r="N175" i="11" s="1"/>
  <c r="G175" i="11"/>
  <c r="J167" i="11"/>
  <c r="G167" i="11"/>
  <c r="F167" i="11"/>
  <c r="H167" i="11"/>
  <c r="L167" i="11" s="1"/>
  <c r="H159" i="12"/>
  <c r="G150" i="12"/>
  <c r="G132" i="12"/>
  <c r="F132" i="12"/>
  <c r="G120" i="12"/>
  <c r="J120" i="12"/>
  <c r="F120" i="12"/>
  <c r="P110" i="11"/>
  <c r="H110" i="11"/>
  <c r="J110" i="11"/>
  <c r="N110" i="11"/>
  <c r="F110" i="11"/>
  <c r="G110" i="11"/>
  <c r="L110" i="11" s="1"/>
  <c r="P106" i="11"/>
  <c r="N106" i="11"/>
  <c r="H106" i="11"/>
  <c r="J106" i="11"/>
  <c r="F106" i="11"/>
  <c r="G106" i="11"/>
  <c r="L106" i="11" s="1"/>
  <c r="T106" i="11" s="1"/>
  <c r="F94" i="11"/>
  <c r="H94" i="11"/>
  <c r="J94" i="11"/>
  <c r="G94" i="11"/>
  <c r="L94" i="11" s="1"/>
  <c r="N94" i="11"/>
  <c r="P94" i="11"/>
  <c r="P90" i="11"/>
  <c r="F90" i="11"/>
  <c r="H90" i="11"/>
  <c r="J90" i="11"/>
  <c r="N90" i="11"/>
  <c r="G90" i="11"/>
  <c r="L90" i="11" s="1"/>
  <c r="T90" i="11" s="1"/>
  <c r="N82" i="11"/>
  <c r="G82" i="11"/>
  <c r="L82" i="11" s="1"/>
  <c r="P82" i="11"/>
  <c r="F82" i="11"/>
  <c r="H82" i="11"/>
  <c r="J82" i="11"/>
  <c r="U82" i="11" s="1"/>
  <c r="G74" i="11"/>
  <c r="F74" i="11"/>
  <c r="H74" i="11"/>
  <c r="J74" i="11"/>
  <c r="H63" i="12"/>
  <c r="G51" i="11"/>
  <c r="H51" i="11"/>
  <c r="J51" i="11"/>
  <c r="F51" i="11"/>
  <c r="G46" i="12"/>
  <c r="F38" i="11"/>
  <c r="H38" i="11"/>
  <c r="J38" i="11"/>
  <c r="G38" i="11"/>
  <c r="G34" i="11"/>
  <c r="F34" i="11"/>
  <c r="H34" i="11"/>
  <c r="J34" i="11"/>
  <c r="J261" i="11"/>
  <c r="G261" i="11"/>
  <c r="F261" i="11"/>
  <c r="N261" i="11" s="1"/>
  <c r="H261" i="11"/>
  <c r="G253" i="11"/>
  <c r="J253" i="11"/>
  <c r="H253" i="11"/>
  <c r="F253" i="11"/>
  <c r="E280" i="11"/>
  <c r="G245" i="11"/>
  <c r="J245" i="11"/>
  <c r="F245" i="11"/>
  <c r="H245" i="11"/>
  <c r="G242" i="11"/>
  <c r="H242" i="11"/>
  <c r="P242" i="11" s="1"/>
  <c r="J242" i="11"/>
  <c r="F242" i="11"/>
  <c r="F238" i="11"/>
  <c r="G238" i="11"/>
  <c r="H238" i="11"/>
  <c r="J238" i="11"/>
  <c r="G226" i="11"/>
  <c r="H226" i="11"/>
  <c r="F226" i="11"/>
  <c r="J226" i="11"/>
  <c r="F221" i="12"/>
  <c r="H221" i="12"/>
  <c r="N221" i="12" s="1"/>
  <c r="J209" i="11"/>
  <c r="G209" i="11"/>
  <c r="H209" i="11"/>
  <c r="F209" i="11"/>
  <c r="G205" i="12"/>
  <c r="F192" i="11"/>
  <c r="J192" i="11"/>
  <c r="G192" i="11"/>
  <c r="H192" i="11"/>
  <c r="G180" i="12"/>
  <c r="J174" i="11"/>
  <c r="G174" i="11"/>
  <c r="H174" i="11"/>
  <c r="F174" i="11"/>
  <c r="F170" i="11"/>
  <c r="G170" i="11"/>
  <c r="J170" i="11"/>
  <c r="H170" i="11"/>
  <c r="G158" i="11"/>
  <c r="H158" i="11"/>
  <c r="J158" i="11"/>
  <c r="F158" i="11"/>
  <c r="F137" i="12"/>
  <c r="G137" i="12"/>
  <c r="D275" i="11"/>
  <c r="F127" i="11"/>
  <c r="G127" i="11"/>
  <c r="H127" i="11"/>
  <c r="J127" i="11"/>
  <c r="P119" i="11"/>
  <c r="F119" i="11"/>
  <c r="H119" i="11"/>
  <c r="G119" i="11"/>
  <c r="L119" i="11" s="1"/>
  <c r="J119" i="11"/>
  <c r="U119" i="11" s="1"/>
  <c r="N119" i="11"/>
  <c r="F105" i="11"/>
  <c r="N105" i="11"/>
  <c r="J105" i="11"/>
  <c r="P105" i="11"/>
  <c r="G105" i="11"/>
  <c r="L105" i="11" s="1"/>
  <c r="H105" i="11"/>
  <c r="N81" i="12"/>
  <c r="J73" i="12"/>
  <c r="F73" i="12"/>
  <c r="G73" i="12"/>
  <c r="G54" i="12"/>
  <c r="J54" i="12"/>
  <c r="H54" i="12"/>
  <c r="F54" i="12"/>
  <c r="N45" i="12"/>
  <c r="G37" i="12"/>
  <c r="F37" i="12"/>
  <c r="G29" i="12"/>
  <c r="F29" i="12"/>
  <c r="J252" i="11"/>
  <c r="F252" i="11"/>
  <c r="G252" i="11"/>
  <c r="H252" i="11"/>
  <c r="D280" i="11"/>
  <c r="F237" i="11"/>
  <c r="H237" i="11"/>
  <c r="J237" i="11"/>
  <c r="G237" i="11"/>
  <c r="F229" i="11"/>
  <c r="H229" i="11"/>
  <c r="G229" i="11"/>
  <c r="J229" i="11"/>
  <c r="N220" i="11"/>
  <c r="J220" i="11"/>
  <c r="G220" i="11"/>
  <c r="L220" i="11" s="1"/>
  <c r="P220" i="11"/>
  <c r="F220" i="11"/>
  <c r="H220" i="11"/>
  <c r="G212" i="11"/>
  <c r="H212" i="11"/>
  <c r="F212" i="11"/>
  <c r="J212" i="11"/>
  <c r="F204" i="11"/>
  <c r="L204" i="11" s="1"/>
  <c r="J204" i="11"/>
  <c r="G204" i="11"/>
  <c r="H204" i="11"/>
  <c r="F195" i="12"/>
  <c r="G195" i="12"/>
  <c r="L195" i="12" s="1"/>
  <c r="G187" i="11"/>
  <c r="L187" i="11" s="1"/>
  <c r="H187" i="11"/>
  <c r="P187" i="11"/>
  <c r="F187" i="11"/>
  <c r="N187" i="11"/>
  <c r="J187" i="11"/>
  <c r="G173" i="11"/>
  <c r="J173" i="11"/>
  <c r="F173" i="11"/>
  <c r="H173" i="11"/>
  <c r="J165" i="11"/>
  <c r="F165" i="11"/>
  <c r="H165" i="11"/>
  <c r="G165" i="11"/>
  <c r="J157" i="11"/>
  <c r="E276" i="11"/>
  <c r="H157" i="11"/>
  <c r="G157" i="11"/>
  <c r="F157" i="11"/>
  <c r="G156" i="11"/>
  <c r="H156" i="11"/>
  <c r="F156" i="11"/>
  <c r="J156" i="11"/>
  <c r="G148" i="11"/>
  <c r="F148" i="11"/>
  <c r="J148" i="11"/>
  <c r="H148" i="11"/>
  <c r="N148" i="11" s="1"/>
  <c r="G140" i="12"/>
  <c r="G126" i="11"/>
  <c r="H126" i="11"/>
  <c r="J126" i="11"/>
  <c r="F126" i="11"/>
  <c r="G122" i="11"/>
  <c r="J122" i="11"/>
  <c r="F122" i="11"/>
  <c r="H122" i="11"/>
  <c r="P122" i="11" s="1"/>
  <c r="J100" i="12"/>
  <c r="P80" i="11"/>
  <c r="F80" i="11"/>
  <c r="J80" i="11"/>
  <c r="G80" i="11"/>
  <c r="L80" i="11" s="1"/>
  <c r="H80" i="11"/>
  <c r="N80" i="11"/>
  <c r="N65" i="11"/>
  <c r="J65" i="11"/>
  <c r="F65" i="11"/>
  <c r="G65" i="11"/>
  <c r="L65" i="11" s="1"/>
  <c r="H65" i="11"/>
  <c r="P65" i="11"/>
  <c r="J61" i="12"/>
  <c r="G61" i="12"/>
  <c r="G49" i="11"/>
  <c r="J49" i="11"/>
  <c r="F49" i="11"/>
  <c r="H49" i="11"/>
  <c r="H40" i="12"/>
  <c r="G36" i="12"/>
  <c r="D270" i="11"/>
  <c r="J259" i="11"/>
  <c r="G259" i="11"/>
  <c r="F259" i="11"/>
  <c r="H259" i="11"/>
  <c r="J251" i="11"/>
  <c r="G251" i="11"/>
  <c r="H251" i="11"/>
  <c r="F251" i="11"/>
  <c r="G236" i="11"/>
  <c r="F236" i="11"/>
  <c r="H236" i="11"/>
  <c r="N236" i="11" s="1"/>
  <c r="J236" i="11"/>
  <c r="F232" i="12"/>
  <c r="J211" i="11"/>
  <c r="F211" i="11"/>
  <c r="H211" i="11"/>
  <c r="N211" i="11" s="1"/>
  <c r="G211" i="11"/>
  <c r="F207" i="12"/>
  <c r="H194" i="12"/>
  <c r="G194" i="12"/>
  <c r="F194" i="12"/>
  <c r="H190" i="12"/>
  <c r="G168" i="11"/>
  <c r="J168" i="11"/>
  <c r="H168" i="11"/>
  <c r="F168" i="11"/>
  <c r="H164" i="12"/>
  <c r="F164" i="12"/>
  <c r="J164" i="12"/>
  <c r="G164" i="12"/>
  <c r="G151" i="11"/>
  <c r="P151" i="11"/>
  <c r="F151" i="11"/>
  <c r="H151" i="11"/>
  <c r="L151" i="11"/>
  <c r="J151" i="11"/>
  <c r="N151" i="11"/>
  <c r="F147" i="12"/>
  <c r="H135" i="11"/>
  <c r="J135" i="11"/>
  <c r="F135" i="11"/>
  <c r="E275" i="11"/>
  <c r="G135" i="11"/>
  <c r="F129" i="12"/>
  <c r="G129" i="12"/>
  <c r="J121" i="12"/>
  <c r="G121" i="12"/>
  <c r="N111" i="12"/>
  <c r="F111" i="12"/>
  <c r="G95" i="12"/>
  <c r="L95" i="12" s="1"/>
  <c r="J87" i="12"/>
  <c r="G87" i="12"/>
  <c r="F87" i="12"/>
  <c r="J79" i="12"/>
  <c r="G79" i="12"/>
  <c r="F79" i="12"/>
  <c r="J71" i="12"/>
  <c r="G71" i="12"/>
  <c r="F71" i="12"/>
  <c r="H71" i="12"/>
  <c r="P71" i="12" s="1"/>
  <c r="F60" i="12"/>
  <c r="G52" i="12"/>
  <c r="F52" i="12"/>
  <c r="J52" i="12"/>
  <c r="H52" i="12"/>
  <c r="J35" i="12"/>
  <c r="F35" i="12"/>
  <c r="T11" i="8"/>
  <c r="D6" i="11"/>
  <c r="D10" i="11"/>
  <c r="D14" i="11"/>
  <c r="D18" i="11"/>
  <c r="D22" i="11"/>
  <c r="D26" i="11"/>
  <c r="E7" i="11"/>
  <c r="F77" i="8"/>
  <c r="E11" i="11"/>
  <c r="F81" i="8"/>
  <c r="E15" i="11"/>
  <c r="F85" i="8"/>
  <c r="E19" i="11"/>
  <c r="F89" i="8"/>
  <c r="E23" i="11"/>
  <c r="F93" i="8"/>
  <c r="E27" i="11"/>
  <c r="N211" i="8"/>
  <c r="N244" i="8"/>
  <c r="L232" i="8"/>
  <c r="R232" i="8" s="1"/>
  <c r="L320" i="8"/>
  <c r="N247" i="8"/>
  <c r="P164" i="11"/>
  <c r="N212" i="11"/>
  <c r="P147" i="11"/>
  <c r="L36" i="11"/>
  <c r="R36" i="11" s="1"/>
  <c r="N42" i="11"/>
  <c r="G254" i="11"/>
  <c r="F254" i="11"/>
  <c r="H254" i="11"/>
  <c r="J254" i="11"/>
  <c r="G250" i="12"/>
  <c r="F250" i="12"/>
  <c r="H243" i="12"/>
  <c r="J235" i="12"/>
  <c r="H227" i="12"/>
  <c r="F218" i="12"/>
  <c r="G210" i="11"/>
  <c r="H210" i="11"/>
  <c r="F210" i="11"/>
  <c r="J210" i="11"/>
  <c r="G202" i="11"/>
  <c r="F202" i="11"/>
  <c r="H202" i="11"/>
  <c r="J202" i="11"/>
  <c r="H193" i="11"/>
  <c r="G193" i="11"/>
  <c r="J193" i="11"/>
  <c r="F193" i="11"/>
  <c r="G189" i="12"/>
  <c r="L189" i="12" s="1"/>
  <c r="H181" i="11"/>
  <c r="G181" i="11"/>
  <c r="J181" i="11"/>
  <c r="F181" i="11"/>
  <c r="H179" i="11"/>
  <c r="G179" i="11"/>
  <c r="J179" i="11"/>
  <c r="F179" i="11"/>
  <c r="F171" i="12"/>
  <c r="J171" i="12"/>
  <c r="H171" i="12"/>
  <c r="G171" i="12"/>
  <c r="F154" i="12"/>
  <c r="G146" i="11"/>
  <c r="F146" i="11"/>
  <c r="H146" i="11"/>
  <c r="J146" i="11"/>
  <c r="G138" i="12"/>
  <c r="H138" i="12"/>
  <c r="J124" i="11"/>
  <c r="H124" i="11"/>
  <c r="F124" i="11"/>
  <c r="G124" i="11"/>
  <c r="G120" i="11"/>
  <c r="L120" i="11" s="1"/>
  <c r="J120" i="11"/>
  <c r="U120" i="11" s="1"/>
  <c r="P120" i="11"/>
  <c r="F120" i="11"/>
  <c r="N120" i="11"/>
  <c r="H120" i="11"/>
  <c r="R120" i="11" s="1"/>
  <c r="F110" i="12"/>
  <c r="F98" i="12"/>
  <c r="J98" i="12"/>
  <c r="F94" i="12"/>
  <c r="N86" i="11"/>
  <c r="H86" i="11"/>
  <c r="F86" i="11"/>
  <c r="J86" i="11"/>
  <c r="G86" i="11"/>
  <c r="L86" i="11" s="1"/>
  <c r="P86" i="11"/>
  <c r="F78" i="11"/>
  <c r="H78" i="11"/>
  <c r="R78" i="11" s="1"/>
  <c r="N78" i="11"/>
  <c r="J78" i="11"/>
  <c r="G78" i="11"/>
  <c r="L78" i="11" s="1"/>
  <c r="P78" i="11"/>
  <c r="P70" i="11"/>
  <c r="N70" i="11"/>
  <c r="H70" i="11"/>
  <c r="F70" i="11"/>
  <c r="J70" i="11"/>
  <c r="E272" i="11"/>
  <c r="G70" i="11"/>
  <c r="L70" i="11" s="1"/>
  <c r="G67" i="11"/>
  <c r="L67" i="11" s="1"/>
  <c r="J67" i="11"/>
  <c r="H67" i="11"/>
  <c r="P67" i="11"/>
  <c r="F67" i="11"/>
  <c r="N67" i="11"/>
  <c r="G55" i="11"/>
  <c r="L55" i="11" s="1"/>
  <c r="P55" i="11"/>
  <c r="F55" i="11"/>
  <c r="N55" i="11"/>
  <c r="J55" i="11"/>
  <c r="U55" i="11" s="1"/>
  <c r="H55" i="11"/>
  <c r="R55" i="11" s="1"/>
  <c r="W55" i="11" s="1"/>
  <c r="J51" i="12"/>
  <c r="G38" i="12"/>
  <c r="G30" i="11"/>
  <c r="F30" i="11"/>
  <c r="H30" i="11"/>
  <c r="J30" i="11"/>
  <c r="G261" i="12"/>
  <c r="J261" i="12"/>
  <c r="F261" i="12"/>
  <c r="H261" i="12"/>
  <c r="J253" i="12"/>
  <c r="G245" i="12"/>
  <c r="H242" i="12"/>
  <c r="F230" i="11"/>
  <c r="H230" i="11"/>
  <c r="J230" i="11"/>
  <c r="G230" i="11"/>
  <c r="F226" i="12"/>
  <c r="H226" i="12"/>
  <c r="N226" i="12" s="1"/>
  <c r="J213" i="11"/>
  <c r="G213" i="11"/>
  <c r="H213" i="11"/>
  <c r="F213" i="11"/>
  <c r="G209" i="12"/>
  <c r="F209" i="12"/>
  <c r="J209" i="12"/>
  <c r="G196" i="12"/>
  <c r="H192" i="12"/>
  <c r="J192" i="12"/>
  <c r="G192" i="12"/>
  <c r="F192" i="12"/>
  <c r="F184" i="11"/>
  <c r="H184" i="11"/>
  <c r="G184" i="11"/>
  <c r="J184" i="11"/>
  <c r="H178" i="11"/>
  <c r="N178" i="11" s="1"/>
  <c r="F178" i="11"/>
  <c r="J178" i="11"/>
  <c r="G178" i="11"/>
  <c r="H174" i="12"/>
  <c r="F174" i="12"/>
  <c r="H162" i="12"/>
  <c r="F162" i="12"/>
  <c r="N162" i="12" s="1"/>
  <c r="G158" i="12"/>
  <c r="F158" i="12"/>
  <c r="G145" i="11"/>
  <c r="H145" i="11"/>
  <c r="F145" i="11"/>
  <c r="J145" i="11"/>
  <c r="G141" i="11"/>
  <c r="H141" i="11"/>
  <c r="N141" i="11" s="1"/>
  <c r="F141" i="11"/>
  <c r="J141" i="11"/>
  <c r="J127" i="12"/>
  <c r="G127" i="12"/>
  <c r="F127" i="12"/>
  <c r="H127" i="12"/>
  <c r="J119" i="12"/>
  <c r="G119" i="12"/>
  <c r="L119" i="12" s="1"/>
  <c r="N119" i="12"/>
  <c r="F119" i="12"/>
  <c r="H119" i="12"/>
  <c r="P119" i="12" s="1"/>
  <c r="N109" i="11"/>
  <c r="F109" i="11"/>
  <c r="J109" i="11"/>
  <c r="P109" i="11"/>
  <c r="G109" i="11"/>
  <c r="L109" i="11" s="1"/>
  <c r="H109" i="11"/>
  <c r="F105" i="12"/>
  <c r="H105" i="12"/>
  <c r="N105" i="12" s="1"/>
  <c r="G105" i="12"/>
  <c r="P93" i="11"/>
  <c r="G93" i="11"/>
  <c r="L93" i="11" s="1"/>
  <c r="F93" i="11"/>
  <c r="N93" i="11"/>
  <c r="H93" i="11"/>
  <c r="J93" i="11"/>
  <c r="U93" i="11" s="1"/>
  <c r="G85" i="11"/>
  <c r="L85" i="11" s="1"/>
  <c r="F85" i="11"/>
  <c r="N85" i="11"/>
  <c r="H85" i="11"/>
  <c r="J85" i="11"/>
  <c r="U85" i="11" s="1"/>
  <c r="P85" i="11"/>
  <c r="H77" i="11"/>
  <c r="J77" i="11"/>
  <c r="P77" i="11"/>
  <c r="G77" i="11"/>
  <c r="L77" i="11" s="1"/>
  <c r="F77" i="11"/>
  <c r="N77" i="11"/>
  <c r="G66" i="12"/>
  <c r="H66" i="12"/>
  <c r="N66" i="12" s="1"/>
  <c r="J66" i="12"/>
  <c r="G58" i="12"/>
  <c r="H58" i="12"/>
  <c r="F58" i="12"/>
  <c r="P58" i="12" s="1"/>
  <c r="J58" i="12"/>
  <c r="G50" i="12"/>
  <c r="H50" i="12"/>
  <c r="D271" i="11"/>
  <c r="J41" i="11"/>
  <c r="G41" i="11"/>
  <c r="H41" i="11"/>
  <c r="F41" i="11"/>
  <c r="G33" i="11"/>
  <c r="F33" i="11"/>
  <c r="H33" i="11"/>
  <c r="J33" i="11"/>
  <c r="F256" i="11"/>
  <c r="L256" i="11" s="1"/>
  <c r="R256" i="11" s="1"/>
  <c r="H256" i="11"/>
  <c r="J256" i="11"/>
  <c r="G256" i="11"/>
  <c r="G252" i="12"/>
  <c r="D280" i="12"/>
  <c r="J237" i="12"/>
  <c r="G237" i="12"/>
  <c r="J229" i="12"/>
  <c r="F229" i="12"/>
  <c r="N220" i="12"/>
  <c r="G220" i="12"/>
  <c r="L220" i="12" s="1"/>
  <c r="H220" i="12"/>
  <c r="P220" i="12"/>
  <c r="J220" i="12"/>
  <c r="F220" i="12"/>
  <c r="J212" i="12"/>
  <c r="F204" i="12"/>
  <c r="G195" i="11"/>
  <c r="L195" i="11" s="1"/>
  <c r="H195" i="11"/>
  <c r="R195" i="11" s="1"/>
  <c r="P195" i="11"/>
  <c r="F195" i="11"/>
  <c r="N195" i="11"/>
  <c r="J195" i="11"/>
  <c r="U195" i="11" s="1"/>
  <c r="W195" i="11" s="1"/>
  <c r="F187" i="12"/>
  <c r="J187" i="12"/>
  <c r="G187" i="12"/>
  <c r="L187" i="12" s="1"/>
  <c r="P187" i="12"/>
  <c r="N187" i="12"/>
  <c r="H187" i="12"/>
  <c r="H173" i="12"/>
  <c r="J173" i="12"/>
  <c r="H165" i="12"/>
  <c r="J165" i="12"/>
  <c r="G157" i="12"/>
  <c r="H156" i="12"/>
  <c r="F156" i="12"/>
  <c r="G156" i="12"/>
  <c r="J156" i="12"/>
  <c r="F148" i="12"/>
  <c r="G140" i="11"/>
  <c r="J140" i="11"/>
  <c r="H140" i="11"/>
  <c r="F140" i="11"/>
  <c r="G130" i="12"/>
  <c r="H130" i="12"/>
  <c r="L130" i="12"/>
  <c r="J130" i="12"/>
  <c r="H126" i="12"/>
  <c r="F126" i="12"/>
  <c r="H114" i="12"/>
  <c r="J108" i="11"/>
  <c r="F108" i="11"/>
  <c r="G108" i="11"/>
  <c r="L108" i="11" s="1"/>
  <c r="N108" i="11"/>
  <c r="P108" i="11"/>
  <c r="H108" i="11"/>
  <c r="J104" i="11"/>
  <c r="G104" i="11"/>
  <c r="F104" i="11"/>
  <c r="H104" i="11"/>
  <c r="G92" i="11"/>
  <c r="L92" i="11" s="1"/>
  <c r="T92" i="11" s="1"/>
  <c r="J92" i="11"/>
  <c r="P92" i="11"/>
  <c r="F92" i="11"/>
  <c r="H92" i="11"/>
  <c r="N92" i="11"/>
  <c r="G88" i="11"/>
  <c r="L88" i="11" s="1"/>
  <c r="P88" i="11"/>
  <c r="F88" i="11"/>
  <c r="H88" i="11"/>
  <c r="N88" i="11"/>
  <c r="J88" i="11"/>
  <c r="G80" i="12"/>
  <c r="F80" i="12"/>
  <c r="N72" i="12"/>
  <c r="H72" i="12"/>
  <c r="P72" i="12"/>
  <c r="F69" i="11"/>
  <c r="N69" i="11"/>
  <c r="H69" i="11"/>
  <c r="J69" i="11"/>
  <c r="P69" i="11"/>
  <c r="G69" i="11"/>
  <c r="L69" i="11" s="1"/>
  <c r="H65" i="12"/>
  <c r="G65" i="12"/>
  <c r="G53" i="11"/>
  <c r="L53" i="11" s="1"/>
  <c r="T53" i="11" s="1"/>
  <c r="F53" i="11"/>
  <c r="N53" i="11"/>
  <c r="H53" i="11"/>
  <c r="P53" i="11"/>
  <c r="J53" i="11"/>
  <c r="G49" i="12"/>
  <c r="H44" i="11"/>
  <c r="P44" i="11"/>
  <c r="N44" i="11"/>
  <c r="J44" i="11"/>
  <c r="G44" i="11"/>
  <c r="L44" i="11" s="1"/>
  <c r="F44" i="11"/>
  <c r="J40" i="11"/>
  <c r="G40" i="11"/>
  <c r="F40" i="11"/>
  <c r="H40" i="11"/>
  <c r="E270" i="11"/>
  <c r="J28" i="11"/>
  <c r="G28" i="11"/>
  <c r="F28" i="11"/>
  <c r="H28" i="11"/>
  <c r="G259" i="12"/>
  <c r="J259" i="12"/>
  <c r="F259" i="12"/>
  <c r="H259" i="12"/>
  <c r="J251" i="12"/>
  <c r="H251" i="12"/>
  <c r="P240" i="12"/>
  <c r="F240" i="12"/>
  <c r="G236" i="12"/>
  <c r="J236" i="12"/>
  <c r="G224" i="11"/>
  <c r="H224" i="11"/>
  <c r="F224" i="11"/>
  <c r="J224" i="11"/>
  <c r="G215" i="11"/>
  <c r="L215" i="11" s="1"/>
  <c r="J215" i="11"/>
  <c r="H215" i="11"/>
  <c r="P215" i="11"/>
  <c r="F215" i="11"/>
  <c r="N215" i="11"/>
  <c r="G211" i="12"/>
  <c r="F211" i="12"/>
  <c r="F198" i="11"/>
  <c r="G198" i="11"/>
  <c r="L198" i="11" s="1"/>
  <c r="H198" i="11"/>
  <c r="J198" i="11"/>
  <c r="P198" i="11"/>
  <c r="N198" i="11"/>
  <c r="G194" i="11"/>
  <c r="F194" i="11"/>
  <c r="H194" i="11"/>
  <c r="J194" i="11"/>
  <c r="G182" i="11"/>
  <c r="J182" i="11"/>
  <c r="H182" i="11"/>
  <c r="F182" i="11"/>
  <c r="H172" i="12"/>
  <c r="F172" i="12"/>
  <c r="J172" i="12"/>
  <c r="G172" i="12"/>
  <c r="G168" i="12"/>
  <c r="F168" i="12"/>
  <c r="F155" i="11"/>
  <c r="G155" i="11"/>
  <c r="H155" i="11"/>
  <c r="N155" i="11" s="1"/>
  <c r="J155" i="11"/>
  <c r="F151" i="12"/>
  <c r="P151" i="12"/>
  <c r="G151" i="12"/>
  <c r="F139" i="11"/>
  <c r="G139" i="11"/>
  <c r="H139" i="11"/>
  <c r="J139" i="11"/>
  <c r="J135" i="12"/>
  <c r="G135" i="12"/>
  <c r="P133" i="11"/>
  <c r="J133" i="11"/>
  <c r="H133" i="11"/>
  <c r="N133" i="11"/>
  <c r="F133" i="11"/>
  <c r="G133" i="11"/>
  <c r="L133" i="11" s="1"/>
  <c r="H125" i="11"/>
  <c r="G125" i="11"/>
  <c r="F125" i="11"/>
  <c r="L125" i="11" s="1"/>
  <c r="R125" i="11" s="1"/>
  <c r="J125" i="11"/>
  <c r="H117" i="11"/>
  <c r="F117" i="11"/>
  <c r="J117" i="11"/>
  <c r="G117" i="11"/>
  <c r="P107" i="11"/>
  <c r="G107" i="11"/>
  <c r="L107" i="11" s="1"/>
  <c r="H107" i="11"/>
  <c r="N107" i="11"/>
  <c r="F107" i="11"/>
  <c r="J107" i="11"/>
  <c r="U107" i="11" s="1"/>
  <c r="F99" i="11"/>
  <c r="G99" i="11"/>
  <c r="L99" i="11" s="1"/>
  <c r="J99" i="11"/>
  <c r="N99" i="11"/>
  <c r="P99" i="11"/>
  <c r="H99" i="11"/>
  <c r="R99" i="11" s="1"/>
  <c r="G83" i="11"/>
  <c r="F83" i="11"/>
  <c r="H83" i="11"/>
  <c r="J83" i="11"/>
  <c r="G75" i="11"/>
  <c r="L75" i="11" s="1"/>
  <c r="P75" i="11"/>
  <c r="F75" i="11"/>
  <c r="N75" i="11"/>
  <c r="J75" i="11"/>
  <c r="U75" i="11" s="1"/>
  <c r="H75" i="11"/>
  <c r="J64" i="11"/>
  <c r="P64" i="11"/>
  <c r="H64" i="11"/>
  <c r="N64" i="11"/>
  <c r="G64" i="11"/>
  <c r="L64" i="11" s="1"/>
  <c r="F64" i="11"/>
  <c r="G56" i="12"/>
  <c r="F56" i="12"/>
  <c r="F48" i="11"/>
  <c r="H48" i="11"/>
  <c r="E271" i="11"/>
  <c r="J48" i="11"/>
  <c r="G48" i="11"/>
  <c r="G47" i="11"/>
  <c r="L47" i="11" s="1"/>
  <c r="H47" i="11"/>
  <c r="F47" i="11"/>
  <c r="P47" i="11"/>
  <c r="J47" i="11"/>
  <c r="N47" i="11"/>
  <c r="F39" i="11"/>
  <c r="H39" i="11"/>
  <c r="G39" i="11"/>
  <c r="J39" i="11"/>
  <c r="G31" i="11"/>
  <c r="H31" i="11"/>
  <c r="J31" i="11"/>
  <c r="F31" i="11"/>
  <c r="R24" i="8"/>
  <c r="T27" i="8"/>
  <c r="D7" i="11"/>
  <c r="D11" i="11"/>
  <c r="D15" i="11"/>
  <c r="D19" i="11"/>
  <c r="D23" i="11"/>
  <c r="D27" i="11"/>
  <c r="F74" i="8"/>
  <c r="E8" i="11"/>
  <c r="G78" i="8"/>
  <c r="E12" i="11"/>
  <c r="F82" i="8"/>
  <c r="E16" i="11"/>
  <c r="F86" i="8"/>
  <c r="E20" i="11"/>
  <c r="E24" i="11"/>
  <c r="L174" i="8"/>
  <c r="U174" i="8" s="1"/>
  <c r="N219" i="8"/>
  <c r="N256" i="8"/>
  <c r="N73" i="11"/>
  <c r="N51" i="11"/>
  <c r="L254" i="11"/>
  <c r="P73" i="11"/>
  <c r="L226" i="11"/>
  <c r="R226" i="11" s="1"/>
  <c r="L243" i="11"/>
  <c r="U243" i="11" s="1"/>
  <c r="F258" i="11"/>
  <c r="G258" i="11"/>
  <c r="H258" i="11"/>
  <c r="J258" i="11"/>
  <c r="H254" i="12"/>
  <c r="F239" i="11"/>
  <c r="J239" i="11"/>
  <c r="G239" i="11"/>
  <c r="H239" i="11"/>
  <c r="H231" i="11"/>
  <c r="J231" i="11"/>
  <c r="F231" i="11"/>
  <c r="G231" i="11"/>
  <c r="H223" i="11"/>
  <c r="G223" i="11"/>
  <c r="F223" i="11"/>
  <c r="J223" i="11"/>
  <c r="E279" i="11"/>
  <c r="N222" i="11"/>
  <c r="J222" i="11"/>
  <c r="H222" i="11"/>
  <c r="G222" i="11"/>
  <c r="L222" i="11" s="1"/>
  <c r="P222" i="11"/>
  <c r="F222" i="11"/>
  <c r="J214" i="11"/>
  <c r="G214" i="11"/>
  <c r="H214" i="11"/>
  <c r="F214" i="11"/>
  <c r="F206" i="12"/>
  <c r="J206" i="12"/>
  <c r="F197" i="12"/>
  <c r="H197" i="12"/>
  <c r="J197" i="12"/>
  <c r="G197" i="12"/>
  <c r="L197" i="12" s="1"/>
  <c r="P197" i="12"/>
  <c r="N197" i="12"/>
  <c r="F193" i="12"/>
  <c r="G193" i="12"/>
  <c r="J193" i="12"/>
  <c r="J185" i="11"/>
  <c r="P185" i="11"/>
  <c r="N185" i="11"/>
  <c r="F185" i="11"/>
  <c r="H185" i="11"/>
  <c r="G185" i="11"/>
  <c r="L185" i="11" s="1"/>
  <c r="J181" i="12"/>
  <c r="F179" i="12"/>
  <c r="G179" i="12"/>
  <c r="J171" i="11"/>
  <c r="F171" i="11"/>
  <c r="H171" i="11"/>
  <c r="G171" i="11"/>
  <c r="J163" i="11"/>
  <c r="H163" i="11"/>
  <c r="G163" i="11"/>
  <c r="F163" i="11"/>
  <c r="G154" i="11"/>
  <c r="H154" i="11"/>
  <c r="J154" i="11"/>
  <c r="F154" i="11"/>
  <c r="J146" i="12"/>
  <c r="G138" i="11"/>
  <c r="H138" i="11"/>
  <c r="J138" i="11"/>
  <c r="F138" i="11"/>
  <c r="L138" i="11" s="1"/>
  <c r="R138" i="11" s="1"/>
  <c r="J128" i="11"/>
  <c r="H128" i="11"/>
  <c r="G128" i="11"/>
  <c r="F128" i="11"/>
  <c r="J124" i="12"/>
  <c r="F102" i="11"/>
  <c r="G102" i="11"/>
  <c r="L102" i="11" s="1"/>
  <c r="P102" i="11"/>
  <c r="N102" i="11"/>
  <c r="H102" i="11"/>
  <c r="J102" i="11"/>
  <c r="U102" i="11" s="1"/>
  <c r="P98" i="11"/>
  <c r="F98" i="11"/>
  <c r="H98" i="11"/>
  <c r="N98" i="11"/>
  <c r="J98" i="11"/>
  <c r="G98" i="11"/>
  <c r="L98" i="11" s="1"/>
  <c r="G86" i="12"/>
  <c r="L78" i="12"/>
  <c r="F78" i="12"/>
  <c r="J70" i="12"/>
  <c r="H70" i="12"/>
  <c r="N70" i="12" s="1"/>
  <c r="J67" i="12"/>
  <c r="H67" i="12"/>
  <c r="P67" i="12" s="1"/>
  <c r="G67" i="12"/>
  <c r="L67" i="12" s="1"/>
  <c r="F67" i="12"/>
  <c r="N67" i="12"/>
  <c r="F59" i="11"/>
  <c r="H59" i="11"/>
  <c r="J59" i="11"/>
  <c r="G59" i="11"/>
  <c r="J55" i="12"/>
  <c r="H55" i="12"/>
  <c r="P55" i="12" s="1"/>
  <c r="J42" i="12"/>
  <c r="H30" i="12"/>
  <c r="F30" i="12"/>
  <c r="G265" i="11"/>
  <c r="F265" i="11"/>
  <c r="H265" i="11"/>
  <c r="J265" i="11"/>
  <c r="J257" i="11"/>
  <c r="F257" i="11"/>
  <c r="H257" i="11"/>
  <c r="G257" i="11"/>
  <c r="J249" i="11"/>
  <c r="G249" i="11"/>
  <c r="H249" i="11"/>
  <c r="F249" i="11"/>
  <c r="G234" i="11"/>
  <c r="J234" i="11"/>
  <c r="F234" i="11"/>
  <c r="H234" i="11"/>
  <c r="G230" i="12"/>
  <c r="F230" i="12"/>
  <c r="H230" i="12"/>
  <c r="J230" i="12"/>
  <c r="J217" i="11"/>
  <c r="H217" i="11"/>
  <c r="P217" i="11"/>
  <c r="N217" i="11"/>
  <c r="F217" i="11"/>
  <c r="G217" i="11"/>
  <c r="L217" i="11" s="1"/>
  <c r="H213" i="12"/>
  <c r="G201" i="11"/>
  <c r="J201" i="11"/>
  <c r="H201" i="11"/>
  <c r="F201" i="11"/>
  <c r="F196" i="11"/>
  <c r="N196" i="11"/>
  <c r="H196" i="11"/>
  <c r="J196" i="11"/>
  <c r="G196" i="11"/>
  <c r="L196" i="11" s="1"/>
  <c r="P196" i="11"/>
  <c r="F188" i="11"/>
  <c r="G188" i="11"/>
  <c r="J188" i="11"/>
  <c r="H188" i="11"/>
  <c r="F184" i="12"/>
  <c r="G178" i="12"/>
  <c r="F178" i="12"/>
  <c r="J166" i="11"/>
  <c r="H166" i="11"/>
  <c r="F166" i="11"/>
  <c r="G166" i="11"/>
  <c r="H162" i="11"/>
  <c r="F162" i="11"/>
  <c r="J162" i="11"/>
  <c r="G162" i="11"/>
  <c r="D276" i="11"/>
  <c r="H149" i="11"/>
  <c r="F149" i="11"/>
  <c r="J149" i="11"/>
  <c r="G149" i="11"/>
  <c r="F145" i="12"/>
  <c r="G131" i="11"/>
  <c r="L131" i="11" s="1"/>
  <c r="J131" i="11"/>
  <c r="N131" i="11"/>
  <c r="P131" i="11"/>
  <c r="F131" i="11"/>
  <c r="H131" i="11"/>
  <c r="G123" i="11"/>
  <c r="L123" i="11" s="1"/>
  <c r="P123" i="11"/>
  <c r="F123" i="11"/>
  <c r="H123" i="11"/>
  <c r="J123" i="11"/>
  <c r="N123" i="11"/>
  <c r="H115" i="11"/>
  <c r="F115" i="11"/>
  <c r="J115" i="11"/>
  <c r="G115" i="11"/>
  <c r="F113" i="11"/>
  <c r="J113" i="11"/>
  <c r="P113" i="11"/>
  <c r="G113" i="11"/>
  <c r="L113" i="11" s="1"/>
  <c r="N113" i="11"/>
  <c r="H113" i="11"/>
  <c r="H109" i="12"/>
  <c r="P109" i="12" s="1"/>
  <c r="H97" i="11"/>
  <c r="R97" i="11" s="1"/>
  <c r="P97" i="11"/>
  <c r="N97" i="11"/>
  <c r="G97" i="11"/>
  <c r="L97" i="11" s="1"/>
  <c r="J97" i="11"/>
  <c r="U97" i="11" s="1"/>
  <c r="W97" i="11" s="1"/>
  <c r="F97" i="11"/>
  <c r="J93" i="12"/>
  <c r="F93" i="12"/>
  <c r="N93" i="12"/>
  <c r="J85" i="12"/>
  <c r="H85" i="12"/>
  <c r="N85" i="12" s="1"/>
  <c r="F85" i="12"/>
  <c r="G77" i="12"/>
  <c r="F66" i="11"/>
  <c r="P66" i="11"/>
  <c r="H66" i="11"/>
  <c r="R66" i="11" s="1"/>
  <c r="V66" i="11" s="1"/>
  <c r="J66" i="11"/>
  <c r="N66" i="11"/>
  <c r="G66" i="11"/>
  <c r="L66" i="11" s="1"/>
  <c r="T66" i="11" s="1"/>
  <c r="G58" i="11"/>
  <c r="J58" i="11"/>
  <c r="H58" i="11"/>
  <c r="F58" i="11"/>
  <c r="F50" i="11"/>
  <c r="P50" i="11" s="1"/>
  <c r="H50" i="11"/>
  <c r="J50" i="11"/>
  <c r="G50" i="11"/>
  <c r="D271" i="12"/>
  <c r="H41" i="12"/>
  <c r="H33" i="12"/>
  <c r="G33" i="12"/>
  <c r="G260" i="11"/>
  <c r="F260" i="11"/>
  <c r="H260" i="11"/>
  <c r="J260" i="11"/>
  <c r="J256" i="12"/>
  <c r="G256" i="12"/>
  <c r="F256" i="12"/>
  <c r="F241" i="11"/>
  <c r="G241" i="11"/>
  <c r="H241" i="11"/>
  <c r="J241" i="11"/>
  <c r="F233" i="11"/>
  <c r="J233" i="11"/>
  <c r="G233" i="11"/>
  <c r="H233" i="11"/>
  <c r="G225" i="11"/>
  <c r="J225" i="11"/>
  <c r="H225" i="11"/>
  <c r="F225" i="11"/>
  <c r="D279" i="11"/>
  <c r="F216" i="11"/>
  <c r="N216" i="11"/>
  <c r="G216" i="11"/>
  <c r="L216" i="11" s="1"/>
  <c r="T216" i="11" s="1"/>
  <c r="H216" i="11"/>
  <c r="P216" i="11"/>
  <c r="J216" i="11"/>
  <c r="F208" i="12"/>
  <c r="H208" i="12"/>
  <c r="G208" i="12"/>
  <c r="E278" i="12"/>
  <c r="G200" i="12"/>
  <c r="P199" i="12"/>
  <c r="G199" i="12"/>
  <c r="N199" i="12"/>
  <c r="G191" i="11"/>
  <c r="H191" i="11"/>
  <c r="F191" i="11"/>
  <c r="J191" i="11"/>
  <c r="G183" i="11"/>
  <c r="F183" i="11"/>
  <c r="H183" i="11"/>
  <c r="J183" i="11"/>
  <c r="J177" i="11"/>
  <c r="F177" i="11"/>
  <c r="H177" i="11"/>
  <c r="G177" i="11"/>
  <c r="J169" i="11"/>
  <c r="F169" i="11"/>
  <c r="H169" i="11"/>
  <c r="G169" i="11"/>
  <c r="H161" i="11"/>
  <c r="N161" i="11" s="1"/>
  <c r="G161" i="11"/>
  <c r="J161" i="11"/>
  <c r="F161" i="11"/>
  <c r="G152" i="11"/>
  <c r="N152" i="11"/>
  <c r="P152" i="11"/>
  <c r="J152" i="11"/>
  <c r="L152" i="11"/>
  <c r="H152" i="11"/>
  <c r="F152" i="11"/>
  <c r="G144" i="11"/>
  <c r="H144" i="11"/>
  <c r="F144" i="11"/>
  <c r="J144" i="11"/>
  <c r="H136" i="12"/>
  <c r="G134" i="11"/>
  <c r="L134" i="11" s="1"/>
  <c r="F134" i="11"/>
  <c r="J134" i="11"/>
  <c r="P134" i="11"/>
  <c r="N134" i="11"/>
  <c r="H134" i="11"/>
  <c r="G130" i="11"/>
  <c r="L130" i="11" s="1"/>
  <c r="H130" i="11"/>
  <c r="F130" i="11"/>
  <c r="J130" i="11"/>
  <c r="N130" i="11"/>
  <c r="P130" i="11"/>
  <c r="F118" i="11"/>
  <c r="H118" i="11"/>
  <c r="J118" i="11"/>
  <c r="G118" i="11"/>
  <c r="F114" i="11"/>
  <c r="H114" i="11"/>
  <c r="J114" i="11"/>
  <c r="E274" i="11"/>
  <c r="G114" i="11"/>
  <c r="N112" i="11"/>
  <c r="J112" i="11"/>
  <c r="F112" i="11"/>
  <c r="G112" i="11"/>
  <c r="L112" i="11" s="1"/>
  <c r="P112" i="11"/>
  <c r="H112" i="11"/>
  <c r="G108" i="12"/>
  <c r="G96" i="11"/>
  <c r="L96" i="11" s="1"/>
  <c r="P96" i="11"/>
  <c r="H96" i="11"/>
  <c r="F96" i="11"/>
  <c r="J96" i="11"/>
  <c r="U96" i="11" s="1"/>
  <c r="N96" i="11"/>
  <c r="G92" i="12"/>
  <c r="P92" i="12"/>
  <c r="F92" i="12"/>
  <c r="H92" i="12"/>
  <c r="D273" i="11"/>
  <c r="G84" i="11"/>
  <c r="H84" i="11"/>
  <c r="F84" i="11"/>
  <c r="L84" i="11" s="1"/>
  <c r="R84" i="11" s="1"/>
  <c r="J84" i="11"/>
  <c r="G76" i="11"/>
  <c r="L76" i="11" s="1"/>
  <c r="J76" i="11"/>
  <c r="H76" i="11"/>
  <c r="F76" i="11"/>
  <c r="P76" i="11"/>
  <c r="N76" i="11"/>
  <c r="G72" i="11"/>
  <c r="P72" i="11"/>
  <c r="H72" i="11"/>
  <c r="F72" i="11"/>
  <c r="J72" i="11"/>
  <c r="L72" i="11"/>
  <c r="N72" i="11"/>
  <c r="H69" i="12"/>
  <c r="P69" i="12"/>
  <c r="F69" i="12"/>
  <c r="N57" i="11"/>
  <c r="F57" i="11"/>
  <c r="P57" i="11"/>
  <c r="G57" i="11"/>
  <c r="L57" i="11" s="1"/>
  <c r="J57" i="11"/>
  <c r="H57" i="11"/>
  <c r="P53" i="12"/>
  <c r="F53" i="12"/>
  <c r="H44" i="12"/>
  <c r="J32" i="11"/>
  <c r="G32" i="11"/>
  <c r="F32" i="11"/>
  <c r="H32" i="11"/>
  <c r="G263" i="11"/>
  <c r="J263" i="11"/>
  <c r="F263" i="11"/>
  <c r="H263" i="11"/>
  <c r="J255" i="11"/>
  <c r="H255" i="11"/>
  <c r="G255" i="11"/>
  <c r="F255" i="11"/>
  <c r="G247" i="11"/>
  <c r="F247" i="11"/>
  <c r="J247" i="11"/>
  <c r="H247" i="11"/>
  <c r="J244" i="11"/>
  <c r="G244" i="11"/>
  <c r="H244" i="11"/>
  <c r="F244" i="11"/>
  <c r="F240" i="11"/>
  <c r="N240" i="11"/>
  <c r="G240" i="11"/>
  <c r="L240" i="11" s="1"/>
  <c r="P240" i="11"/>
  <c r="J240" i="11"/>
  <c r="H240" i="11"/>
  <c r="F228" i="11"/>
  <c r="J228" i="11"/>
  <c r="G228" i="11"/>
  <c r="H228" i="11"/>
  <c r="G224" i="12"/>
  <c r="F224" i="12"/>
  <c r="J224" i="12"/>
  <c r="F219" i="11"/>
  <c r="N219" i="11"/>
  <c r="J219" i="11"/>
  <c r="G219" i="11"/>
  <c r="L219" i="11" s="1"/>
  <c r="T219" i="11" s="1"/>
  <c r="H219" i="11"/>
  <c r="P219" i="11"/>
  <c r="F215" i="12"/>
  <c r="J215" i="12"/>
  <c r="G215" i="12"/>
  <c r="F203" i="11"/>
  <c r="J203" i="11"/>
  <c r="H203" i="11"/>
  <c r="N203" i="11" s="1"/>
  <c r="G203" i="11"/>
  <c r="J198" i="12"/>
  <c r="G198" i="12"/>
  <c r="F198" i="12"/>
  <c r="P186" i="12"/>
  <c r="F186" i="12"/>
  <c r="J182" i="12"/>
  <c r="G182" i="12"/>
  <c r="H176" i="11"/>
  <c r="F176" i="11"/>
  <c r="J176" i="11"/>
  <c r="G176" i="11"/>
  <c r="F172" i="11"/>
  <c r="G172" i="11"/>
  <c r="J172" i="11"/>
  <c r="H172" i="11"/>
  <c r="F160" i="11"/>
  <c r="J160" i="11"/>
  <c r="G160" i="11"/>
  <c r="H160" i="11"/>
  <c r="G155" i="12"/>
  <c r="G143" i="12"/>
  <c r="J143" i="12"/>
  <c r="J139" i="12"/>
  <c r="H139" i="12"/>
  <c r="G139" i="12"/>
  <c r="F139" i="12"/>
  <c r="H133" i="12"/>
  <c r="P133" i="12"/>
  <c r="F133" i="12"/>
  <c r="J125" i="12"/>
  <c r="F125" i="12"/>
  <c r="F117" i="12"/>
  <c r="D274" i="11"/>
  <c r="G99" i="12"/>
  <c r="F99" i="12"/>
  <c r="G91" i="11"/>
  <c r="F91" i="11"/>
  <c r="J91" i="11"/>
  <c r="N91" i="11"/>
  <c r="P91" i="11"/>
  <c r="H91" i="11"/>
  <c r="E273" i="11"/>
  <c r="F83" i="12"/>
  <c r="G75" i="12"/>
  <c r="F75" i="12"/>
  <c r="G64" i="12"/>
  <c r="F64" i="12"/>
  <c r="P64" i="12"/>
  <c r="F56" i="11"/>
  <c r="P56" i="11"/>
  <c r="N56" i="11"/>
  <c r="G56" i="11"/>
  <c r="L56" i="11" s="1"/>
  <c r="H56" i="11"/>
  <c r="J56" i="11"/>
  <c r="E271" i="12"/>
  <c r="F48" i="12"/>
  <c r="J39" i="12"/>
  <c r="G39" i="12"/>
  <c r="G31" i="12"/>
  <c r="F31" i="12"/>
  <c r="N246" i="8"/>
  <c r="R14" i="8"/>
  <c r="V14" i="8" s="1"/>
  <c r="R23" i="8"/>
  <c r="R27" i="8"/>
  <c r="J360" i="8"/>
  <c r="T10" i="8"/>
  <c r="V10" i="8" s="1"/>
  <c r="R12" i="8"/>
  <c r="V12" i="8" s="1"/>
  <c r="T20" i="8"/>
  <c r="V20" i="8" s="1"/>
  <c r="R22" i="8"/>
  <c r="V22" i="8" s="1"/>
  <c r="T24" i="8"/>
  <c r="R26" i="8"/>
  <c r="G30" i="8"/>
  <c r="R11" i="8"/>
  <c r="R21" i="8"/>
  <c r="V21" i="8" s="1"/>
  <c r="R25" i="8"/>
  <c r="V25" i="8" s="1"/>
  <c r="W120" i="11"/>
  <c r="G363" i="8"/>
  <c r="N259" i="8"/>
  <c r="G359" i="8"/>
  <c r="G362" i="8"/>
  <c r="G360" i="8"/>
  <c r="G361" i="8"/>
  <c r="H362" i="8"/>
  <c r="H363" i="8"/>
  <c r="F363" i="8"/>
  <c r="G364" i="8"/>
  <c r="F367" i="8"/>
  <c r="F359" i="8"/>
  <c r="P246" i="8"/>
  <c r="G366" i="8"/>
  <c r="F364" i="8"/>
  <c r="J366" i="8"/>
  <c r="J364" i="8"/>
  <c r="H367" i="8"/>
  <c r="J369" i="8"/>
  <c r="J367" i="8"/>
  <c r="F361" i="8"/>
  <c r="H364" i="8"/>
  <c r="F368" i="8"/>
  <c r="J365" i="8"/>
  <c r="J359" i="8"/>
  <c r="H360" i="8"/>
  <c r="H369" i="8"/>
  <c r="H366" i="8"/>
  <c r="E358" i="8"/>
  <c r="H361" i="8"/>
  <c r="F362" i="8"/>
  <c r="G368" i="8"/>
  <c r="F369" i="8"/>
  <c r="G369" i="8"/>
  <c r="J361" i="8"/>
  <c r="H368" i="8"/>
  <c r="H365" i="8"/>
  <c r="D358" i="8"/>
  <c r="H359" i="8"/>
  <c r="F360" i="8"/>
  <c r="J362" i="8"/>
  <c r="J363" i="8"/>
  <c r="F365" i="8"/>
  <c r="G365" i="8"/>
  <c r="L246" i="8"/>
  <c r="R246" i="8" s="1"/>
  <c r="G367" i="8"/>
  <c r="J368" i="8"/>
  <c r="F366" i="8"/>
  <c r="H29" i="8"/>
  <c r="G29" i="8"/>
  <c r="U10" i="8"/>
  <c r="U11" i="8"/>
  <c r="W11" i="8" s="1"/>
  <c r="U12" i="8"/>
  <c r="U14" i="8"/>
  <c r="U20" i="8"/>
  <c r="W20" i="8" s="1"/>
  <c r="U21" i="8"/>
  <c r="U22" i="8"/>
  <c r="U23" i="8"/>
  <c r="W23" i="8" s="1"/>
  <c r="U24" i="8"/>
  <c r="U25" i="8"/>
  <c r="U26" i="8"/>
  <c r="U27" i="8"/>
  <c r="L275" i="8"/>
  <c r="R275" i="8" s="1"/>
  <c r="N182" i="8"/>
  <c r="P213" i="8"/>
  <c r="L223" i="8"/>
  <c r="P292" i="8"/>
  <c r="L315" i="8"/>
  <c r="U315" i="8" s="1"/>
  <c r="R199" i="8"/>
  <c r="N305" i="8"/>
  <c r="F75" i="8"/>
  <c r="P114" i="8"/>
  <c r="L127" i="8"/>
  <c r="U127" i="8" s="1"/>
  <c r="U160" i="8"/>
  <c r="L235" i="8"/>
  <c r="R235" i="8" s="1"/>
  <c r="L309" i="8"/>
  <c r="R309" i="8" s="1"/>
  <c r="N220" i="8"/>
  <c r="L247" i="8"/>
  <c r="R247" i="8" s="1"/>
  <c r="P250" i="8"/>
  <c r="F72" i="8"/>
  <c r="R122" i="8"/>
  <c r="L170" i="8"/>
  <c r="U170" i="8" s="1"/>
  <c r="R176" i="8"/>
  <c r="P194" i="8"/>
  <c r="P209" i="8"/>
  <c r="L204" i="8"/>
  <c r="R204" i="8" s="1"/>
  <c r="L227" i="8"/>
  <c r="R227" i="8" s="1"/>
  <c r="L255" i="8"/>
  <c r="U255" i="8" s="1"/>
  <c r="L307" i="8"/>
  <c r="R307" i="8" s="1"/>
  <c r="G87" i="8"/>
  <c r="N239" i="8"/>
  <c r="P234" i="8"/>
  <c r="F83" i="8"/>
  <c r="H75" i="8"/>
  <c r="J79" i="8"/>
  <c r="J83" i="8"/>
  <c r="J87" i="8"/>
  <c r="J91" i="8"/>
  <c r="P222" i="8"/>
  <c r="P259" i="8"/>
  <c r="L289" i="8"/>
  <c r="N319" i="8"/>
  <c r="L292" i="8"/>
  <c r="U292" i="8" s="1"/>
  <c r="H72" i="8"/>
  <c r="J72" i="8"/>
  <c r="J88" i="8"/>
  <c r="R134" i="8"/>
  <c r="L118" i="8"/>
  <c r="U118" i="8" s="1"/>
  <c r="L214" i="8"/>
  <c r="R214" i="8" s="1"/>
  <c r="L210" i="8"/>
  <c r="R210" i="8" s="1"/>
  <c r="N202" i="8"/>
  <c r="L249" i="8"/>
  <c r="R249" i="8" s="1"/>
  <c r="L323" i="8"/>
  <c r="R323" i="8" s="1"/>
  <c r="L311" i="8"/>
  <c r="H83" i="8"/>
  <c r="H91" i="8"/>
  <c r="P91" i="8" s="1"/>
  <c r="J84" i="8"/>
  <c r="H92" i="8"/>
  <c r="J80" i="8"/>
  <c r="J77" i="8"/>
  <c r="H93" i="8"/>
  <c r="H78" i="8"/>
  <c r="G84" i="8"/>
  <c r="H89" i="8"/>
  <c r="L89" i="8" s="1"/>
  <c r="R89" i="8" s="1"/>
  <c r="J92" i="8"/>
  <c r="P150" i="8"/>
  <c r="N203" i="8"/>
  <c r="L243" i="8"/>
  <c r="R243" i="8" s="1"/>
  <c r="N240" i="8"/>
  <c r="L266" i="8"/>
  <c r="L297" i="8"/>
  <c r="U297" i="8" s="1"/>
  <c r="N327" i="8"/>
  <c r="N188" i="8"/>
  <c r="N183" i="8"/>
  <c r="N204" i="8"/>
  <c r="N245" i="8"/>
  <c r="N241" i="8"/>
  <c r="N231" i="8"/>
  <c r="N232" i="8"/>
  <c r="P247" i="8"/>
  <c r="N214" i="8"/>
  <c r="L250" i="8"/>
  <c r="R250" i="8" s="1"/>
  <c r="L270" i="8"/>
  <c r="R270" i="8" s="1"/>
  <c r="H73" i="8"/>
  <c r="H81" i="8"/>
  <c r="L81" i="8" s="1"/>
  <c r="R81" i="8" s="1"/>
  <c r="H85" i="8"/>
  <c r="L124" i="8"/>
  <c r="U124" i="8" s="1"/>
  <c r="L125" i="8"/>
  <c r="U125" i="8" s="1"/>
  <c r="P208" i="8"/>
  <c r="P207" i="8"/>
  <c r="L258" i="8"/>
  <c r="R258" i="8" s="1"/>
  <c r="G77" i="8"/>
  <c r="J81" i="8"/>
  <c r="J85" i="8"/>
  <c r="G89" i="8"/>
  <c r="G93" i="8"/>
  <c r="G73" i="8"/>
  <c r="J76" i="8"/>
  <c r="R130" i="8"/>
  <c r="N191" i="8"/>
  <c r="P206" i="8"/>
  <c r="N212" i="8"/>
  <c r="N243" i="8"/>
  <c r="G81" i="8"/>
  <c r="G85" i="8"/>
  <c r="J89" i="8"/>
  <c r="J93" i="8"/>
  <c r="G37" i="8"/>
  <c r="P192" i="8"/>
  <c r="P184" i="8"/>
  <c r="L207" i="8"/>
  <c r="U207" i="8" s="1"/>
  <c r="N309" i="8"/>
  <c r="J75" i="8"/>
  <c r="L233" i="8"/>
  <c r="U233" i="8" s="1"/>
  <c r="P205" i="8"/>
  <c r="J74" i="8"/>
  <c r="G82" i="8"/>
  <c r="E37" i="8"/>
  <c r="P108" i="8"/>
  <c r="P100" i="8"/>
  <c r="P124" i="8"/>
  <c r="T132" i="8"/>
  <c r="P221" i="8"/>
  <c r="P219" i="8"/>
  <c r="P245" i="8"/>
  <c r="P258" i="8"/>
  <c r="L288" i="8"/>
  <c r="T288" i="8" s="1"/>
  <c r="L286" i="8"/>
  <c r="R286" i="8" s="1"/>
  <c r="N274" i="8"/>
  <c r="N302" i="8"/>
  <c r="P290" i="8"/>
  <c r="H90" i="8"/>
  <c r="F71" i="8"/>
  <c r="H76" i="8"/>
  <c r="H88" i="8"/>
  <c r="N118" i="8"/>
  <c r="L137" i="8"/>
  <c r="R137" i="8" s="1"/>
  <c r="L212" i="8"/>
  <c r="R212" i="8" s="1"/>
  <c r="P297" i="8"/>
  <c r="N312" i="8"/>
  <c r="G80" i="8"/>
  <c r="F92" i="8"/>
  <c r="L92" i="8" s="1"/>
  <c r="R92" i="8" s="1"/>
  <c r="P104" i="8"/>
  <c r="N116" i="8"/>
  <c r="L136" i="8"/>
  <c r="N149" i="8"/>
  <c r="U171" i="8"/>
  <c r="L220" i="8"/>
  <c r="R220" i="8" s="1"/>
  <c r="P215" i="8"/>
  <c r="L236" i="8"/>
  <c r="R236" i="8" s="1"/>
  <c r="N258" i="8"/>
  <c r="N275" i="8"/>
  <c r="L293" i="8"/>
  <c r="U293" i="8" s="1"/>
  <c r="P308" i="8"/>
  <c r="P291" i="8"/>
  <c r="N331" i="8"/>
  <c r="P210" i="8"/>
  <c r="P312" i="8"/>
  <c r="G71" i="8"/>
  <c r="G74" i="8"/>
  <c r="F76" i="8"/>
  <c r="H80" i="8"/>
  <c r="H82" i="8"/>
  <c r="F88" i="8"/>
  <c r="F90" i="8"/>
  <c r="H79" i="8"/>
  <c r="N79" i="8" s="1"/>
  <c r="P116" i="8"/>
  <c r="P118" i="8"/>
  <c r="T118" i="8" s="1"/>
  <c r="L142" i="8"/>
  <c r="T142" i="8" s="1"/>
  <c r="P140" i="8"/>
  <c r="L143" i="8"/>
  <c r="U143" i="8" s="1"/>
  <c r="P182" i="8"/>
  <c r="P193" i="8"/>
  <c r="P181" i="8"/>
  <c r="L195" i="8"/>
  <c r="R195" i="8" s="1"/>
  <c r="P214" i="8"/>
  <c r="N210" i="8"/>
  <c r="N208" i="8"/>
  <c r="L245" i="8"/>
  <c r="U245" i="8" s="1"/>
  <c r="P243" i="8"/>
  <c r="L228" i="8"/>
  <c r="U228" i="8" s="1"/>
  <c r="N225" i="8"/>
  <c r="N291" i="8"/>
  <c r="P309" i="8"/>
  <c r="T309" i="8" s="1"/>
  <c r="N297" i="8"/>
  <c r="P331" i="8"/>
  <c r="P322" i="8"/>
  <c r="N311" i="8"/>
  <c r="H86" i="8"/>
  <c r="N86" i="8" s="1"/>
  <c r="H71" i="8"/>
  <c r="J82" i="8"/>
  <c r="J86" i="8"/>
  <c r="G90" i="8"/>
  <c r="L116" i="8"/>
  <c r="U116" i="8" s="1"/>
  <c r="F78" i="8"/>
  <c r="J71" i="8"/>
  <c r="L111" i="8"/>
  <c r="U111" i="8" s="1"/>
  <c r="N97" i="8"/>
  <c r="L104" i="8"/>
  <c r="T104" i="8" s="1"/>
  <c r="P128" i="8"/>
  <c r="L155" i="8"/>
  <c r="R155" i="8" s="1"/>
  <c r="L180" i="8"/>
  <c r="L208" i="8"/>
  <c r="R208" i="8" s="1"/>
  <c r="P241" i="8"/>
  <c r="N226" i="8"/>
  <c r="L278" i="8"/>
  <c r="U278" i="8" s="1"/>
  <c r="N299" i="8"/>
  <c r="P301" i="8"/>
  <c r="N295" i="8"/>
  <c r="P329" i="8"/>
  <c r="L329" i="8"/>
  <c r="U329" i="8" s="1"/>
  <c r="N329" i="8"/>
  <c r="L316" i="8"/>
  <c r="U316" i="8" s="1"/>
  <c r="P314" i="8"/>
  <c r="P311" i="8"/>
  <c r="P325" i="8"/>
  <c r="L321" i="8"/>
  <c r="R321" i="8" s="1"/>
  <c r="N320" i="8"/>
  <c r="P317" i="8"/>
  <c r="P316" i="8"/>
  <c r="L314" i="8"/>
  <c r="U314" i="8" s="1"/>
  <c r="N313" i="8"/>
  <c r="N325" i="8"/>
  <c r="L317" i="8"/>
  <c r="P328" i="8"/>
  <c r="L318" i="8"/>
  <c r="U318" i="8" s="1"/>
  <c r="L327" i="8"/>
  <c r="N323" i="8"/>
  <c r="L319" i="8"/>
  <c r="N315" i="8"/>
  <c r="L328" i="8"/>
  <c r="N326" i="8"/>
  <c r="R324" i="8"/>
  <c r="N321" i="8"/>
  <c r="L326" i="8"/>
  <c r="P326" i="8"/>
  <c r="R331" i="8"/>
  <c r="L330" i="8"/>
  <c r="N324" i="8"/>
  <c r="U324" i="8"/>
  <c r="U320" i="8"/>
  <c r="L325" i="8"/>
  <c r="N322" i="8"/>
  <c r="R320" i="8"/>
  <c r="N317" i="8"/>
  <c r="L322" i="8"/>
  <c r="R322" i="8" s="1"/>
  <c r="L313" i="8"/>
  <c r="P324" i="8"/>
  <c r="P313" i="8"/>
  <c r="N330" i="8"/>
  <c r="P320" i="8"/>
  <c r="P327" i="8"/>
  <c r="P323" i="8"/>
  <c r="P319" i="8"/>
  <c r="P315" i="8"/>
  <c r="P330" i="8"/>
  <c r="U331" i="8"/>
  <c r="P321" i="8"/>
  <c r="U312" i="8"/>
  <c r="N318" i="8"/>
  <c r="P318" i="8"/>
  <c r="R312" i="8"/>
  <c r="L305" i="8"/>
  <c r="P305" i="8"/>
  <c r="N303" i="8"/>
  <c r="L300" i="8"/>
  <c r="U300" i="8" s="1"/>
  <c r="P299" i="8"/>
  <c r="L295" i="8"/>
  <c r="R295" i="8" s="1"/>
  <c r="P294" i="8"/>
  <c r="N293" i="8"/>
  <c r="N308" i="8"/>
  <c r="N304" i="8"/>
  <c r="L303" i="8"/>
  <c r="U303" i="8" s="1"/>
  <c r="P300" i="8"/>
  <c r="L299" i="8"/>
  <c r="U299" i="8" s="1"/>
  <c r="N292" i="8"/>
  <c r="L291" i="8"/>
  <c r="L290" i="8"/>
  <c r="R290" i="8" s="1"/>
  <c r="U304" i="8"/>
  <c r="P293" i="8"/>
  <c r="P289" i="8"/>
  <c r="N289" i="8"/>
  <c r="P307" i="8"/>
  <c r="P296" i="8"/>
  <c r="T296" i="8" s="1"/>
  <c r="N300" i="8"/>
  <c r="N307" i="8"/>
  <c r="N301" i="8"/>
  <c r="P303" i="8"/>
  <c r="P295" i="8"/>
  <c r="P302" i="8"/>
  <c r="L301" i="8"/>
  <c r="L306" i="8"/>
  <c r="R306" i="8" s="1"/>
  <c r="L298" i="8"/>
  <c r="R298" i="8" s="1"/>
  <c r="L294" i="8"/>
  <c r="R308" i="8"/>
  <c r="P298" i="8"/>
  <c r="U296" i="8"/>
  <c r="L310" i="8"/>
  <c r="R310" i="8" s="1"/>
  <c r="N306" i="8"/>
  <c r="R304" i="8"/>
  <c r="N298" i="8"/>
  <c r="R296" i="8"/>
  <c r="N310" i="8"/>
  <c r="N290" i="8"/>
  <c r="L302" i="8"/>
  <c r="P304" i="8"/>
  <c r="L279" i="8"/>
  <c r="R279" i="8" s="1"/>
  <c r="L276" i="8"/>
  <c r="U276" i="8" s="1"/>
  <c r="N269" i="8"/>
  <c r="P269" i="8"/>
  <c r="L267" i="8"/>
  <c r="U267" i="8" s="1"/>
  <c r="P267" i="8"/>
  <c r="P266" i="8"/>
  <c r="N266" i="8"/>
  <c r="P280" i="8"/>
  <c r="P272" i="8"/>
  <c r="N268" i="8"/>
  <c r="T284" i="8"/>
  <c r="U287" i="8"/>
  <c r="U284" i="8"/>
  <c r="N280" i="8"/>
  <c r="L272" i="8"/>
  <c r="P283" i="8"/>
  <c r="L273" i="8"/>
  <c r="R273" i="8" s="1"/>
  <c r="R287" i="8"/>
  <c r="P287" i="8"/>
  <c r="T287" i="8" s="1"/>
  <c r="L282" i="8"/>
  <c r="N278" i="8"/>
  <c r="L274" i="8"/>
  <c r="N270" i="8"/>
  <c r="L283" i="8"/>
  <c r="T271" i="8"/>
  <c r="N281" i="8"/>
  <c r="N276" i="8"/>
  <c r="L281" i="8"/>
  <c r="P281" i="8"/>
  <c r="L285" i="8"/>
  <c r="N279" i="8"/>
  <c r="R269" i="8"/>
  <c r="U271" i="8"/>
  <c r="L280" i="8"/>
  <c r="N277" i="8"/>
  <c r="N272" i="8"/>
  <c r="L277" i="8"/>
  <c r="R277" i="8" s="1"/>
  <c r="L268" i="8"/>
  <c r="P279" i="8"/>
  <c r="P268" i="8"/>
  <c r="N285" i="8"/>
  <c r="P275" i="8"/>
  <c r="P282" i="8"/>
  <c r="P278" i="8"/>
  <c r="P274" i="8"/>
  <c r="P270" i="8"/>
  <c r="P285" i="8"/>
  <c r="P276" i="8"/>
  <c r="N273" i="8"/>
  <c r="R271" i="8"/>
  <c r="P273" i="8"/>
  <c r="R284" i="8"/>
  <c r="L263" i="8"/>
  <c r="R263" i="8" s="1"/>
  <c r="N257" i="8"/>
  <c r="L251" i="8"/>
  <c r="R251" i="8" s="1"/>
  <c r="P249" i="8"/>
  <c r="L248" i="8"/>
  <c r="U248" i="8" s="1"/>
  <c r="N261" i="8"/>
  <c r="P257" i="8"/>
  <c r="L257" i="8"/>
  <c r="R257" i="8" s="1"/>
  <c r="L253" i="8"/>
  <c r="R253" i="8" s="1"/>
  <c r="N249" i="8"/>
  <c r="N264" i="8"/>
  <c r="L264" i="8"/>
  <c r="P260" i="8"/>
  <c r="T262" i="8"/>
  <c r="L265" i="8"/>
  <c r="U265" i="8" s="1"/>
  <c r="L261" i="8"/>
  <c r="R261" i="8" s="1"/>
  <c r="P256" i="8"/>
  <c r="N253" i="8"/>
  <c r="U262" i="8"/>
  <c r="U246" i="8"/>
  <c r="R262" i="8"/>
  <c r="L260" i="8"/>
  <c r="L256" i="8"/>
  <c r="R256" i="8" s="1"/>
  <c r="R252" i="8"/>
  <c r="P252" i="8"/>
  <c r="T252" i="8" s="1"/>
  <c r="N260" i="8"/>
  <c r="P265" i="8"/>
  <c r="U252" i="8"/>
  <c r="P248" i="8"/>
  <c r="P264" i="8"/>
  <c r="U254" i="8"/>
  <c r="R254" i="8"/>
  <c r="L241" i="8"/>
  <c r="R241" i="8" s="1"/>
  <c r="P226" i="8"/>
  <c r="P224" i="8"/>
  <c r="P223" i="8"/>
  <c r="N223" i="8"/>
  <c r="L244" i="8"/>
  <c r="U244" i="8" s="1"/>
  <c r="P237" i="8"/>
  <c r="P229" i="8"/>
  <c r="P228" i="8"/>
  <c r="L224" i="8"/>
  <c r="N237" i="8"/>
  <c r="L229" i="8"/>
  <c r="P240" i="8"/>
  <c r="L230" i="8"/>
  <c r="R230" i="8" s="1"/>
  <c r="U226" i="8"/>
  <c r="P244" i="8"/>
  <c r="L239" i="8"/>
  <c r="N235" i="8"/>
  <c r="L231" i="8"/>
  <c r="N227" i="8"/>
  <c r="L240" i="8"/>
  <c r="N238" i="8"/>
  <c r="N233" i="8"/>
  <c r="L238" i="8"/>
  <c r="P238" i="8"/>
  <c r="L242" i="8"/>
  <c r="N236" i="8"/>
  <c r="R226" i="8"/>
  <c r="U232" i="8"/>
  <c r="L237" i="8"/>
  <c r="N234" i="8"/>
  <c r="N229" i="8"/>
  <c r="L234" i="8"/>
  <c r="R234" i="8" s="1"/>
  <c r="L225" i="8"/>
  <c r="P236" i="8"/>
  <c r="P225" i="8"/>
  <c r="N242" i="8"/>
  <c r="P232" i="8"/>
  <c r="P239" i="8"/>
  <c r="P235" i="8"/>
  <c r="P231" i="8"/>
  <c r="P227" i="8"/>
  <c r="P242" i="8"/>
  <c r="P233" i="8"/>
  <c r="N230" i="8"/>
  <c r="P230" i="8"/>
  <c r="N222" i="8"/>
  <c r="L222" i="8"/>
  <c r="R222" i="8" s="1"/>
  <c r="L216" i="8"/>
  <c r="U216" i="8" s="1"/>
  <c r="L215" i="8"/>
  <c r="U215" i="8" s="1"/>
  <c r="P212" i="8"/>
  <c r="P211" i="8"/>
  <c r="N207" i="8"/>
  <c r="L206" i="8"/>
  <c r="U206" i="8" s="1"/>
  <c r="N206" i="8"/>
  <c r="P204" i="8"/>
  <c r="P202" i="8"/>
  <c r="L202" i="8"/>
  <c r="P216" i="8"/>
  <c r="P203" i="8"/>
  <c r="P220" i="8"/>
  <c r="N216" i="8"/>
  <c r="L211" i="8"/>
  <c r="R211" i="8" s="1"/>
  <c r="L203" i="8"/>
  <c r="R203" i="8" s="1"/>
  <c r="P218" i="8"/>
  <c r="U218" i="8"/>
  <c r="R218" i="8"/>
  <c r="L213" i="8"/>
  <c r="L205" i="8"/>
  <c r="N213" i="8"/>
  <c r="N205" i="8"/>
  <c r="L219" i="8"/>
  <c r="R219" i="8" s="1"/>
  <c r="L217" i="8"/>
  <c r="L221" i="8"/>
  <c r="L201" i="8"/>
  <c r="N218" i="8"/>
  <c r="L209" i="8"/>
  <c r="P201" i="8"/>
  <c r="N215" i="8"/>
  <c r="N209" i="8"/>
  <c r="N201" i="8"/>
  <c r="P180" i="8"/>
  <c r="N180" i="8"/>
  <c r="U199" i="8"/>
  <c r="N194" i="8"/>
  <c r="L192" i="8"/>
  <c r="U192" i="8" s="1"/>
  <c r="P190" i="8"/>
  <c r="L188" i="8"/>
  <c r="U188" i="8" s="1"/>
  <c r="P188" i="8"/>
  <c r="N186" i="8"/>
  <c r="L184" i="8"/>
  <c r="R184" i="8" s="1"/>
  <c r="T200" i="8"/>
  <c r="U200" i="8"/>
  <c r="P189" i="8"/>
  <c r="R200" i="8"/>
  <c r="L198" i="8"/>
  <c r="R198" i="8" s="1"/>
  <c r="L196" i="8"/>
  <c r="R196" i="8" s="1"/>
  <c r="U197" i="8"/>
  <c r="L193" i="8"/>
  <c r="L191" i="8"/>
  <c r="L189" i="8"/>
  <c r="L187" i="8"/>
  <c r="L185" i="8"/>
  <c r="L183" i="8"/>
  <c r="L181" i="8"/>
  <c r="L190" i="8"/>
  <c r="R190" i="8" s="1"/>
  <c r="L182" i="8"/>
  <c r="R182" i="8" s="1"/>
  <c r="P191" i="8"/>
  <c r="P183" i="8"/>
  <c r="P195" i="8"/>
  <c r="R197" i="8"/>
  <c r="P199" i="8"/>
  <c r="T199" i="8" s="1"/>
  <c r="P197" i="8"/>
  <c r="T197" i="8" s="1"/>
  <c r="N193" i="8"/>
  <c r="N187" i="8"/>
  <c r="N185" i="8"/>
  <c r="N181" i="8"/>
  <c r="L194" i="8"/>
  <c r="R194" i="8" s="1"/>
  <c r="L186" i="8"/>
  <c r="N192" i="8"/>
  <c r="N184" i="8"/>
  <c r="U179" i="8"/>
  <c r="U173" i="8"/>
  <c r="N170" i="8"/>
  <c r="T158" i="8"/>
  <c r="P171" i="8"/>
  <c r="N171" i="8"/>
  <c r="P170" i="8"/>
  <c r="P169" i="8"/>
  <c r="T169" i="8" s="1"/>
  <c r="L167" i="8"/>
  <c r="R167" i="8" s="1"/>
  <c r="L165" i="8"/>
  <c r="U165" i="8" s="1"/>
  <c r="N165" i="8"/>
  <c r="T162" i="8"/>
  <c r="L159" i="8"/>
  <c r="U159" i="8" s="1"/>
  <c r="L157" i="8"/>
  <c r="P161" i="8"/>
  <c r="T177" i="8"/>
  <c r="P157" i="8"/>
  <c r="L161" i="8"/>
  <c r="U176" i="8"/>
  <c r="N174" i="8"/>
  <c r="R172" i="8"/>
  <c r="N167" i="8"/>
  <c r="L166" i="8"/>
  <c r="R166" i="8" s="1"/>
  <c r="R160" i="8"/>
  <c r="P178" i="8"/>
  <c r="R177" i="8"/>
  <c r="P174" i="8"/>
  <c r="U172" i="8"/>
  <c r="W172" i="8" s="1"/>
  <c r="U164" i="8"/>
  <c r="P159" i="8"/>
  <c r="N157" i="8"/>
  <c r="T176" i="8"/>
  <c r="L168" i="8"/>
  <c r="R168" i="8" s="1"/>
  <c r="T163" i="8"/>
  <c r="L178" i="8"/>
  <c r="U178" i="8" s="1"/>
  <c r="T172" i="8"/>
  <c r="N168" i="8"/>
  <c r="T164" i="8"/>
  <c r="T160" i="8"/>
  <c r="T173" i="8"/>
  <c r="T179" i="8"/>
  <c r="U163" i="8"/>
  <c r="U177" i="8"/>
  <c r="U169" i="8"/>
  <c r="N166" i="8"/>
  <c r="R164" i="8"/>
  <c r="R171" i="8"/>
  <c r="R163" i="8"/>
  <c r="R179" i="8"/>
  <c r="R162" i="8"/>
  <c r="R173" i="8"/>
  <c r="R169" i="8"/>
  <c r="L175" i="8"/>
  <c r="T175" i="8" s="1"/>
  <c r="U162" i="8"/>
  <c r="W162" i="8" s="1"/>
  <c r="N159" i="8"/>
  <c r="R158" i="8"/>
  <c r="U158" i="8"/>
  <c r="L156" i="8"/>
  <c r="R156" i="8" s="1"/>
  <c r="N150" i="8"/>
  <c r="N140" i="8"/>
  <c r="L138" i="8"/>
  <c r="R138" i="8" s="1"/>
  <c r="L149" i="8"/>
  <c r="R149" i="8" s="1"/>
  <c r="L148" i="8"/>
  <c r="U148" i="8" s="1"/>
  <c r="P146" i="8"/>
  <c r="U145" i="8"/>
  <c r="P144" i="8"/>
  <c r="L140" i="8"/>
  <c r="U140" i="8" s="1"/>
  <c r="L139" i="8"/>
  <c r="R139" i="8" s="1"/>
  <c r="N136" i="8"/>
  <c r="L152" i="8"/>
  <c r="L144" i="8"/>
  <c r="R144" i="8" s="1"/>
  <c r="L141" i="8"/>
  <c r="L151" i="8"/>
  <c r="N139" i="8"/>
  <c r="R154" i="8"/>
  <c r="P149" i="8"/>
  <c r="P151" i="8"/>
  <c r="N154" i="8"/>
  <c r="T154" i="8" s="1"/>
  <c r="L150" i="8"/>
  <c r="P137" i="8"/>
  <c r="P148" i="8"/>
  <c r="N146" i="8"/>
  <c r="P136" i="8"/>
  <c r="U154" i="8"/>
  <c r="N153" i="8"/>
  <c r="T153" i="8" s="1"/>
  <c r="R145" i="8"/>
  <c r="L147" i="8"/>
  <c r="T147" i="8" s="1"/>
  <c r="L146" i="8"/>
  <c r="R146" i="8" s="1"/>
  <c r="U153" i="8"/>
  <c r="N152" i="8"/>
  <c r="P141" i="8"/>
  <c r="R153" i="8"/>
  <c r="N144" i="8"/>
  <c r="P139" i="8"/>
  <c r="T145" i="8"/>
  <c r="P126" i="8"/>
  <c r="L117" i="8"/>
  <c r="R117" i="8" s="1"/>
  <c r="N114" i="8"/>
  <c r="L114" i="8"/>
  <c r="L128" i="8"/>
  <c r="R128" i="8" s="1"/>
  <c r="P125" i="8"/>
  <c r="N125" i="8"/>
  <c r="P117" i="8"/>
  <c r="P135" i="8"/>
  <c r="L126" i="8"/>
  <c r="U126" i="8" s="1"/>
  <c r="N135" i="8"/>
  <c r="R132" i="8"/>
  <c r="U134" i="8"/>
  <c r="U130" i="8"/>
  <c r="U122" i="8"/>
  <c r="N128" i="8"/>
  <c r="N124" i="8"/>
  <c r="P131" i="8"/>
  <c r="U129" i="8"/>
  <c r="R129" i="8"/>
  <c r="R121" i="8"/>
  <c r="N115" i="8"/>
  <c r="U132" i="8"/>
  <c r="N129" i="8"/>
  <c r="N121" i="8"/>
  <c r="T121" i="8" s="1"/>
  <c r="T134" i="8"/>
  <c r="P127" i="8"/>
  <c r="U133" i="8"/>
  <c r="T130" i="8"/>
  <c r="N126" i="8"/>
  <c r="T122" i="8"/>
  <c r="L120" i="8"/>
  <c r="T120" i="8" s="1"/>
  <c r="L131" i="8"/>
  <c r="R131" i="8" s="1"/>
  <c r="L119" i="8"/>
  <c r="R133" i="8"/>
  <c r="U121" i="8"/>
  <c r="P115" i="8"/>
  <c r="L135" i="8"/>
  <c r="P133" i="8"/>
  <c r="T133" i="8" s="1"/>
  <c r="N127" i="8"/>
  <c r="N119" i="8"/>
  <c r="L123" i="8"/>
  <c r="T123" i="8" s="1"/>
  <c r="P129" i="8"/>
  <c r="L115" i="8"/>
  <c r="L113" i="8"/>
  <c r="R113" i="8" s="1"/>
  <c r="P96" i="8"/>
  <c r="P95" i="8"/>
  <c r="N109" i="8"/>
  <c r="N107" i="8"/>
  <c r="N105" i="8"/>
  <c r="N103" i="8"/>
  <c r="N101" i="8"/>
  <c r="N99" i="8"/>
  <c r="N106" i="8"/>
  <c r="L106" i="8"/>
  <c r="N98" i="8"/>
  <c r="L98" i="8"/>
  <c r="R98" i="8" s="1"/>
  <c r="L109" i="8"/>
  <c r="R109" i="8" s="1"/>
  <c r="P97" i="8"/>
  <c r="N94" i="8"/>
  <c r="L94" i="8"/>
  <c r="L112" i="8"/>
  <c r="L107" i="8"/>
  <c r="U107" i="8" s="1"/>
  <c r="L103" i="8"/>
  <c r="L101" i="8"/>
  <c r="R101" i="8" s="1"/>
  <c r="L97" i="8"/>
  <c r="P98" i="8"/>
  <c r="P107" i="8"/>
  <c r="N102" i="8"/>
  <c r="L102" i="8"/>
  <c r="R102" i="8" s="1"/>
  <c r="U95" i="8"/>
  <c r="N112" i="8"/>
  <c r="P103" i="8"/>
  <c r="P99" i="8"/>
  <c r="P106" i="8"/>
  <c r="P105" i="8"/>
  <c r="L110" i="8"/>
  <c r="N96" i="8"/>
  <c r="L96" i="8"/>
  <c r="R96" i="8" s="1"/>
  <c r="L105" i="8"/>
  <c r="U105" i="8" s="1"/>
  <c r="L99" i="8"/>
  <c r="P101" i="8"/>
  <c r="P113" i="8"/>
  <c r="P111" i="8"/>
  <c r="N108" i="8"/>
  <c r="L108" i="8"/>
  <c r="R108" i="8" s="1"/>
  <c r="N100" i="8"/>
  <c r="L100" i="8"/>
  <c r="R100" i="8" s="1"/>
  <c r="P109" i="8"/>
  <c r="R95" i="8"/>
  <c r="N95" i="8"/>
  <c r="N111" i="8"/>
  <c r="P102" i="8"/>
  <c r="P94" i="8"/>
  <c r="G86" i="8"/>
  <c r="G79" i="8"/>
  <c r="F73" i="8"/>
  <c r="J90" i="8"/>
  <c r="H87" i="8"/>
  <c r="H84" i="8"/>
  <c r="J78" i="8"/>
  <c r="J73" i="8"/>
  <c r="H74" i="8"/>
  <c r="H77" i="8"/>
  <c r="J29" i="8"/>
  <c r="N8" i="8"/>
  <c r="N29" i="8" s="1"/>
  <c r="L5" i="8"/>
  <c r="U5" i="8" s="1"/>
  <c r="L6" i="8"/>
  <c r="L8" i="8"/>
  <c r="L9" i="8"/>
  <c r="L13" i="8"/>
  <c r="L15" i="8"/>
  <c r="L17" i="8"/>
  <c r="L19" i="8"/>
  <c r="F30" i="8"/>
  <c r="P5" i="8"/>
  <c r="P6" i="8"/>
  <c r="P7" i="8"/>
  <c r="P8" i="8"/>
  <c r="P9" i="8"/>
  <c r="P13" i="8"/>
  <c r="P15" i="8"/>
  <c r="P16" i="8"/>
  <c r="P17" i="8"/>
  <c r="P18" i="8"/>
  <c r="P19" i="8"/>
  <c r="F29" i="8"/>
  <c r="J30" i="8"/>
  <c r="L7" i="8"/>
  <c r="L16" i="8"/>
  <c r="L18" i="8"/>
  <c r="U18" i="8" s="1"/>
  <c r="W126" i="6"/>
  <c r="W96" i="6"/>
  <c r="G194" i="6"/>
  <c r="G193" i="6"/>
  <c r="D194" i="6"/>
  <c r="D193" i="6"/>
  <c r="G179" i="6"/>
  <c r="G178" i="6"/>
  <c r="G177" i="6"/>
  <c r="D178" i="6"/>
  <c r="D177" i="6"/>
  <c r="G161" i="6"/>
  <c r="G160" i="6"/>
  <c r="D162" i="6"/>
  <c r="D161" i="6"/>
  <c r="D160" i="6"/>
  <c r="R174" i="8" l="1"/>
  <c r="P51" i="11"/>
  <c r="L51" i="11"/>
  <c r="R51" i="11" s="1"/>
  <c r="N233" i="11"/>
  <c r="L59" i="11"/>
  <c r="L239" i="12"/>
  <c r="R239" i="12" s="1"/>
  <c r="D47" i="13"/>
  <c r="N68" i="12"/>
  <c r="E68" i="13"/>
  <c r="F68" i="13" s="1"/>
  <c r="F68" i="12"/>
  <c r="E99" i="13"/>
  <c r="D141" i="13"/>
  <c r="D198" i="13"/>
  <c r="J198" i="13" s="1"/>
  <c r="H198" i="12"/>
  <c r="P198" i="12" s="1"/>
  <c r="T198" i="12" s="1"/>
  <c r="N198" i="12"/>
  <c r="L198" i="12"/>
  <c r="D222" i="13"/>
  <c r="H222" i="13" s="1"/>
  <c r="P222" i="13" s="1"/>
  <c r="N222" i="12"/>
  <c r="D248" i="13"/>
  <c r="J248" i="13" s="1"/>
  <c r="H248" i="12"/>
  <c r="N248" i="12" s="1"/>
  <c r="J248" i="12"/>
  <c r="E270" i="12"/>
  <c r="E28" i="13"/>
  <c r="J28" i="13" s="1"/>
  <c r="J28" i="12"/>
  <c r="D81" i="13"/>
  <c r="J81" i="13" s="1"/>
  <c r="E100" i="13"/>
  <c r="G100" i="12"/>
  <c r="H100" i="12"/>
  <c r="F100" i="12"/>
  <c r="D154" i="13"/>
  <c r="E173" i="13"/>
  <c r="G173" i="13" s="1"/>
  <c r="G173" i="12"/>
  <c r="F173" i="12"/>
  <c r="D219" i="13"/>
  <c r="H219" i="13" s="1"/>
  <c r="P219" i="13" s="1"/>
  <c r="H219" i="12"/>
  <c r="N219" i="12" s="1"/>
  <c r="J219" i="12"/>
  <c r="E237" i="13"/>
  <c r="H237" i="13" s="1"/>
  <c r="F237" i="12"/>
  <c r="H237" i="12"/>
  <c r="D48" i="13"/>
  <c r="D271" i="13" s="1"/>
  <c r="D90" i="13"/>
  <c r="H90" i="12"/>
  <c r="J90" i="12"/>
  <c r="E101" i="13"/>
  <c r="G101" i="12"/>
  <c r="G273" i="12" s="1"/>
  <c r="N101" i="12"/>
  <c r="H101" i="12"/>
  <c r="P101" i="12" s="1"/>
  <c r="F101" i="12"/>
  <c r="J131" i="12"/>
  <c r="E131" i="13"/>
  <c r="H131" i="12"/>
  <c r="F131" i="12"/>
  <c r="G131" i="12"/>
  <c r="L131" i="12" s="1"/>
  <c r="E153" i="13"/>
  <c r="G153" i="12"/>
  <c r="F153" i="12"/>
  <c r="N153" i="12" s="1"/>
  <c r="E174" i="13"/>
  <c r="J174" i="12"/>
  <c r="U174" i="12" s="1"/>
  <c r="G174" i="12"/>
  <c r="D212" i="13"/>
  <c r="D228" i="13"/>
  <c r="J228" i="13" s="1"/>
  <c r="J228" i="12"/>
  <c r="H228" i="12"/>
  <c r="D250" i="13"/>
  <c r="J250" i="13" s="1"/>
  <c r="H250" i="12"/>
  <c r="J250" i="12"/>
  <c r="E42" i="13"/>
  <c r="F42" i="13" s="1"/>
  <c r="G42" i="12"/>
  <c r="F42" i="12"/>
  <c r="E63" i="13"/>
  <c r="H63" i="13" s="1"/>
  <c r="P63" i="12"/>
  <c r="G63" i="12"/>
  <c r="L63" i="12" s="1"/>
  <c r="F63" i="12"/>
  <c r="F271" i="12" s="1"/>
  <c r="D105" i="13"/>
  <c r="J105" i="12"/>
  <c r="D129" i="13"/>
  <c r="H129" i="12"/>
  <c r="P129" i="12" s="1"/>
  <c r="D162" i="13"/>
  <c r="D193" i="13"/>
  <c r="H193" i="12"/>
  <c r="E210" i="13"/>
  <c r="F210" i="13" s="1"/>
  <c r="H210" i="12"/>
  <c r="F210" i="12"/>
  <c r="J210" i="12"/>
  <c r="D251" i="13"/>
  <c r="J47" i="12"/>
  <c r="E47" i="13"/>
  <c r="N47" i="12"/>
  <c r="F47" i="12"/>
  <c r="J88" i="12"/>
  <c r="D88" i="13"/>
  <c r="H103" i="12"/>
  <c r="N103" i="12" s="1"/>
  <c r="E103" i="13"/>
  <c r="H103" i="13" s="1"/>
  <c r="G103" i="12"/>
  <c r="F103" i="12"/>
  <c r="D145" i="13"/>
  <c r="H145" i="13" s="1"/>
  <c r="J145" i="12"/>
  <c r="D163" i="13"/>
  <c r="H163" i="13" s="1"/>
  <c r="H163" i="12"/>
  <c r="P163" i="12" s="1"/>
  <c r="D186" i="13"/>
  <c r="G232" i="12"/>
  <c r="E232" i="13"/>
  <c r="F232" i="13" s="1"/>
  <c r="J232" i="12"/>
  <c r="F263" i="12"/>
  <c r="E263" i="13"/>
  <c r="J263" i="13" s="1"/>
  <c r="J263" i="12"/>
  <c r="G263" i="12"/>
  <c r="G53" i="12"/>
  <c r="L53" i="12" s="1"/>
  <c r="E53" i="13"/>
  <c r="E76" i="13"/>
  <c r="N76" i="13" s="1"/>
  <c r="G76" i="12"/>
  <c r="F76" i="12"/>
  <c r="E274" i="12"/>
  <c r="E114" i="13"/>
  <c r="F114" i="12"/>
  <c r="F136" i="12"/>
  <c r="N136" i="12" s="1"/>
  <c r="E136" i="13"/>
  <c r="J136" i="13" s="1"/>
  <c r="H177" i="12"/>
  <c r="E177" i="13"/>
  <c r="G177" i="13" s="1"/>
  <c r="F177" i="12"/>
  <c r="J177" i="12"/>
  <c r="H200" i="12"/>
  <c r="N200" i="12" s="1"/>
  <c r="E200" i="13"/>
  <c r="G200" i="13" s="1"/>
  <c r="F200" i="12"/>
  <c r="F241" i="12"/>
  <c r="E241" i="13"/>
  <c r="F241" i="13" s="1"/>
  <c r="H241" i="12"/>
  <c r="J264" i="12"/>
  <c r="E264" i="13"/>
  <c r="F264" i="12"/>
  <c r="H264" i="12"/>
  <c r="N264" i="12" s="1"/>
  <c r="D68" i="13"/>
  <c r="J89" i="12"/>
  <c r="E89" i="13"/>
  <c r="H89" i="13" s="1"/>
  <c r="N89" i="13" s="1"/>
  <c r="H89" i="12"/>
  <c r="F89" i="12"/>
  <c r="D135" i="13"/>
  <c r="D275" i="13" s="1"/>
  <c r="D196" i="13"/>
  <c r="D232" i="13"/>
  <c r="H232" i="13" s="1"/>
  <c r="N232" i="13" s="1"/>
  <c r="D38" i="13"/>
  <c r="D83" i="13"/>
  <c r="H83" i="13" s="1"/>
  <c r="D117" i="13"/>
  <c r="J117" i="12"/>
  <c r="D140" i="13"/>
  <c r="F159" i="12"/>
  <c r="E159" i="13"/>
  <c r="G159" i="13" s="1"/>
  <c r="J159" i="12"/>
  <c r="E276" i="12"/>
  <c r="D205" i="13"/>
  <c r="J205" i="13" s="1"/>
  <c r="H205" i="12"/>
  <c r="D278" i="12"/>
  <c r="J205" i="12"/>
  <c r="U205" i="12" s="1"/>
  <c r="F223" i="12"/>
  <c r="L223" i="12" s="1"/>
  <c r="U223" i="12" s="1"/>
  <c r="E223" i="13"/>
  <c r="J223" i="12"/>
  <c r="H223" i="12"/>
  <c r="J254" i="12"/>
  <c r="E254" i="13"/>
  <c r="G254" i="13" s="1"/>
  <c r="G254" i="12"/>
  <c r="D39" i="13"/>
  <c r="J60" i="12"/>
  <c r="E60" i="13"/>
  <c r="D106" i="13"/>
  <c r="D273" i="13" s="1"/>
  <c r="E133" i="13"/>
  <c r="G133" i="13" s="1"/>
  <c r="G133" i="12"/>
  <c r="L133" i="12" s="1"/>
  <c r="J133" i="12"/>
  <c r="N133" i="12"/>
  <c r="T133" i="12" s="1"/>
  <c r="E182" i="13"/>
  <c r="F182" i="12"/>
  <c r="N182" i="12" s="1"/>
  <c r="E203" i="13"/>
  <c r="G203" i="13" s="1"/>
  <c r="J203" i="12"/>
  <c r="F203" i="12"/>
  <c r="N203" i="12" s="1"/>
  <c r="D256" i="13"/>
  <c r="H256" i="12"/>
  <c r="H32" i="12"/>
  <c r="E32" i="13"/>
  <c r="J32" i="13" s="1"/>
  <c r="D89" i="13"/>
  <c r="H96" i="12"/>
  <c r="E96" i="13"/>
  <c r="J96" i="12"/>
  <c r="F96" i="12"/>
  <c r="G96" i="12"/>
  <c r="D146" i="13"/>
  <c r="E165" i="13"/>
  <c r="G165" i="12"/>
  <c r="F165" i="12"/>
  <c r="N165" i="12" s="1"/>
  <c r="D211" i="13"/>
  <c r="E229" i="13"/>
  <c r="G229" i="12"/>
  <c r="P229" i="12" s="1"/>
  <c r="H229" i="12"/>
  <c r="D45" i="13"/>
  <c r="E66" i="13"/>
  <c r="G66" i="13" s="1"/>
  <c r="P66" i="12"/>
  <c r="F66" i="12"/>
  <c r="H108" i="12"/>
  <c r="D108" i="13"/>
  <c r="D128" i="13"/>
  <c r="H128" i="13" s="1"/>
  <c r="H128" i="12"/>
  <c r="E141" i="13"/>
  <c r="G141" i="13" s="1"/>
  <c r="G141" i="12"/>
  <c r="F141" i="12"/>
  <c r="J141" i="12"/>
  <c r="H141" i="12"/>
  <c r="E162" i="13"/>
  <c r="G162" i="12"/>
  <c r="J162" i="12"/>
  <c r="E180" i="13"/>
  <c r="G180" i="13" s="1"/>
  <c r="F180" i="12"/>
  <c r="J180" i="12"/>
  <c r="E213" i="13"/>
  <c r="F213" i="13" s="1"/>
  <c r="G213" i="12"/>
  <c r="F213" i="12"/>
  <c r="F234" i="12"/>
  <c r="N234" i="12" s="1"/>
  <c r="E234" i="13"/>
  <c r="G234" i="12"/>
  <c r="J234" i="12"/>
  <c r="D30" i="13"/>
  <c r="E51" i="13"/>
  <c r="G51" i="12"/>
  <c r="F51" i="12"/>
  <c r="G82" i="12"/>
  <c r="L82" i="12" s="1"/>
  <c r="U82" i="12" s="1"/>
  <c r="E82" i="13"/>
  <c r="J82" i="12"/>
  <c r="H106" i="12"/>
  <c r="N106" i="12" s="1"/>
  <c r="E106" i="13"/>
  <c r="G106" i="13" s="1"/>
  <c r="F106" i="12"/>
  <c r="J106" i="12"/>
  <c r="G106" i="12"/>
  <c r="D170" i="13"/>
  <c r="E218" i="13"/>
  <c r="G218" i="13" s="1"/>
  <c r="L218" i="13" s="1"/>
  <c r="G218" i="12"/>
  <c r="H218" i="12"/>
  <c r="N218" i="12" s="1"/>
  <c r="J218" i="12"/>
  <c r="E39" i="13"/>
  <c r="J39" i="13" s="1"/>
  <c r="F39" i="12"/>
  <c r="H39" i="12"/>
  <c r="P39" i="12" s="1"/>
  <c r="D80" i="13"/>
  <c r="E95" i="13"/>
  <c r="N95" i="12"/>
  <c r="T95" i="12" s="1"/>
  <c r="J95" i="12"/>
  <c r="H95" i="12"/>
  <c r="P95" i="12" s="1"/>
  <c r="F95" i="12"/>
  <c r="D137" i="13"/>
  <c r="J137" i="12"/>
  <c r="H137" i="12"/>
  <c r="L137" i="12" s="1"/>
  <c r="R137" i="12" s="1"/>
  <c r="E155" i="13"/>
  <c r="G155" i="13" s="1"/>
  <c r="F155" i="12"/>
  <c r="J155" i="12"/>
  <c r="U155" i="12" s="1"/>
  <c r="E176" i="13"/>
  <c r="F176" i="13" s="1"/>
  <c r="G176" i="12"/>
  <c r="F176" i="12"/>
  <c r="H176" i="12"/>
  <c r="N176" i="12" s="1"/>
  <c r="D226" i="13"/>
  <c r="E244" i="13"/>
  <c r="F244" i="13" s="1"/>
  <c r="G244" i="12"/>
  <c r="F244" i="12"/>
  <c r="J59" i="12"/>
  <c r="D59" i="13"/>
  <c r="D77" i="13"/>
  <c r="D115" i="13"/>
  <c r="E134" i="13"/>
  <c r="F134" i="12"/>
  <c r="P134" i="12"/>
  <c r="G134" i="12"/>
  <c r="L134" i="12" s="1"/>
  <c r="D176" i="13"/>
  <c r="H176" i="13" s="1"/>
  <c r="E199" i="13"/>
  <c r="J199" i="12"/>
  <c r="F199" i="12"/>
  <c r="H199" i="12"/>
  <c r="D239" i="13"/>
  <c r="J239" i="13" s="1"/>
  <c r="E252" i="13"/>
  <c r="F252" i="13" s="1"/>
  <c r="F252" i="12"/>
  <c r="H252" i="12"/>
  <c r="P252" i="12" s="1"/>
  <c r="E45" i="13"/>
  <c r="G45" i="12"/>
  <c r="L45" i="12" s="1"/>
  <c r="J45" i="12"/>
  <c r="F45" i="12"/>
  <c r="P45" i="12"/>
  <c r="H45" i="12"/>
  <c r="D86" i="13"/>
  <c r="J86" i="13" s="1"/>
  <c r="D116" i="13"/>
  <c r="D165" i="13"/>
  <c r="J165" i="13" s="1"/>
  <c r="D208" i="13"/>
  <c r="J208" i="12"/>
  <c r="D262" i="13"/>
  <c r="J38" i="12"/>
  <c r="E38" i="13"/>
  <c r="G38" i="13" s="1"/>
  <c r="E70" i="13"/>
  <c r="E272" i="12"/>
  <c r="F70" i="12"/>
  <c r="F272" i="12" s="1"/>
  <c r="G70" i="12"/>
  <c r="F116" i="12"/>
  <c r="E116" i="13"/>
  <c r="G116" i="13" s="1"/>
  <c r="G116" i="12"/>
  <c r="E142" i="13"/>
  <c r="J142" i="12"/>
  <c r="G142" i="12"/>
  <c r="F142" i="12"/>
  <c r="H142" i="12"/>
  <c r="P142" i="12" s="1"/>
  <c r="D189" i="13"/>
  <c r="E206" i="13"/>
  <c r="J206" i="13" s="1"/>
  <c r="H206" i="12"/>
  <c r="G206" i="12"/>
  <c r="D247" i="13"/>
  <c r="H247" i="13" s="1"/>
  <c r="J247" i="12"/>
  <c r="H247" i="12"/>
  <c r="J154" i="12"/>
  <c r="E154" i="13"/>
  <c r="H154" i="13" s="1"/>
  <c r="J233" i="12"/>
  <c r="D233" i="13"/>
  <c r="L194" i="12"/>
  <c r="R194" i="12" s="1"/>
  <c r="N194" i="12"/>
  <c r="P182" i="11"/>
  <c r="P165" i="12"/>
  <c r="L243" i="12"/>
  <c r="R254" i="11"/>
  <c r="J129" i="12"/>
  <c r="J101" i="12"/>
  <c r="W68" i="11"/>
  <c r="G241" i="12"/>
  <c r="E280" i="12"/>
  <c r="E273" i="12"/>
  <c r="H135" i="12"/>
  <c r="D273" i="12"/>
  <c r="H80" i="12"/>
  <c r="J170" i="12"/>
  <c r="J163" i="12"/>
  <c r="E243" i="13"/>
  <c r="J243" i="12"/>
  <c r="F243" i="12"/>
  <c r="G243" i="12"/>
  <c r="P243" i="12" s="1"/>
  <c r="V26" i="8"/>
  <c r="V27" i="8"/>
  <c r="T96" i="11"/>
  <c r="T131" i="11"/>
  <c r="N138" i="11"/>
  <c r="H240" i="12"/>
  <c r="F72" i="12"/>
  <c r="L52" i="12"/>
  <c r="U52" i="12" s="1"/>
  <c r="T151" i="11"/>
  <c r="P237" i="11"/>
  <c r="N193" i="11"/>
  <c r="L129" i="12"/>
  <c r="R129" i="12" s="1"/>
  <c r="T220" i="11"/>
  <c r="P209" i="11"/>
  <c r="H43" i="12"/>
  <c r="L43" i="12" s="1"/>
  <c r="E43" i="13"/>
  <c r="D84" i="13"/>
  <c r="D274" i="12"/>
  <c r="D114" i="13"/>
  <c r="D159" i="13"/>
  <c r="H186" i="12"/>
  <c r="E186" i="13"/>
  <c r="P207" i="12"/>
  <c r="E207" i="13"/>
  <c r="F207" i="13" s="1"/>
  <c r="D264" i="13"/>
  <c r="J264" i="13" s="1"/>
  <c r="E36" i="13"/>
  <c r="F36" i="13" s="1"/>
  <c r="E88" i="13"/>
  <c r="G88" i="12"/>
  <c r="F108" i="12"/>
  <c r="E108" i="13"/>
  <c r="G148" i="12"/>
  <c r="E148" i="13"/>
  <c r="D191" i="13"/>
  <c r="J191" i="13" s="1"/>
  <c r="H212" i="12"/>
  <c r="E212" i="13"/>
  <c r="D253" i="13"/>
  <c r="J64" i="12"/>
  <c r="D64" i="13"/>
  <c r="E85" i="13"/>
  <c r="F109" i="12"/>
  <c r="E109" i="13"/>
  <c r="H109" i="13" s="1"/>
  <c r="D147" i="13"/>
  <c r="D169" i="13"/>
  <c r="D184" i="13"/>
  <c r="G201" i="12"/>
  <c r="E201" i="13"/>
  <c r="F201" i="12"/>
  <c r="J244" i="12"/>
  <c r="D244" i="13"/>
  <c r="J245" i="12"/>
  <c r="E245" i="13"/>
  <c r="J245" i="13" s="1"/>
  <c r="H53" i="12"/>
  <c r="D53" i="13"/>
  <c r="L53" i="13" s="1"/>
  <c r="N79" i="12"/>
  <c r="D79" i="13"/>
  <c r="G94" i="12"/>
  <c r="E94" i="13"/>
  <c r="J136" i="12"/>
  <c r="D136" i="13"/>
  <c r="H178" i="12"/>
  <c r="D178" i="13"/>
  <c r="E277" i="12"/>
  <c r="E181" i="13"/>
  <c r="J225" i="12"/>
  <c r="D225" i="13"/>
  <c r="D62" i="13"/>
  <c r="J83" i="12"/>
  <c r="E83" i="13"/>
  <c r="H118" i="12"/>
  <c r="L118" i="12" s="1"/>
  <c r="U118" i="12" s="1"/>
  <c r="D118" i="13"/>
  <c r="E135" i="13"/>
  <c r="E275" i="13" s="1"/>
  <c r="D179" i="13"/>
  <c r="D210" i="13"/>
  <c r="E240" i="13"/>
  <c r="D40" i="13"/>
  <c r="E61" i="13"/>
  <c r="F61" i="12"/>
  <c r="D91" i="13"/>
  <c r="J91" i="12"/>
  <c r="H91" i="12"/>
  <c r="F122" i="12"/>
  <c r="N122" i="12" s="1"/>
  <c r="E122" i="13"/>
  <c r="J122" i="13" s="1"/>
  <c r="J122" i="12"/>
  <c r="G152" i="12"/>
  <c r="L152" i="12" s="1"/>
  <c r="E152" i="13"/>
  <c r="J152" i="12"/>
  <c r="F152" i="12"/>
  <c r="D195" i="13"/>
  <c r="N195" i="12"/>
  <c r="J216" i="12"/>
  <c r="E216" i="13"/>
  <c r="G216" i="12"/>
  <c r="D257" i="13"/>
  <c r="D41" i="13"/>
  <c r="G62" i="12"/>
  <c r="E62" i="13"/>
  <c r="F62" i="12"/>
  <c r="D104" i="13"/>
  <c r="D151" i="13"/>
  <c r="H151" i="13" s="1"/>
  <c r="N151" i="13" s="1"/>
  <c r="J188" i="12"/>
  <c r="E188" i="13"/>
  <c r="G188" i="12"/>
  <c r="D254" i="13"/>
  <c r="J34" i="12"/>
  <c r="E34" i="13"/>
  <c r="J34" i="13" s="1"/>
  <c r="H34" i="12"/>
  <c r="F34" i="12"/>
  <c r="E78" i="13"/>
  <c r="G78" i="13" s="1"/>
  <c r="L78" i="13" s="1"/>
  <c r="D133" i="13"/>
  <c r="D156" i="13"/>
  <c r="J156" i="13" s="1"/>
  <c r="F175" i="12"/>
  <c r="E175" i="13"/>
  <c r="G175" i="12"/>
  <c r="D221" i="13"/>
  <c r="J239" i="12"/>
  <c r="E239" i="13"/>
  <c r="F239" i="13" s="1"/>
  <c r="G239" i="12"/>
  <c r="F239" i="12"/>
  <c r="P239" i="12" s="1"/>
  <c r="E262" i="13"/>
  <c r="G262" i="13" s="1"/>
  <c r="J262" i="12"/>
  <c r="G262" i="12"/>
  <c r="H35" i="12"/>
  <c r="E35" i="13"/>
  <c r="H76" i="12"/>
  <c r="D76" i="13"/>
  <c r="J107" i="12"/>
  <c r="E107" i="13"/>
  <c r="D149" i="13"/>
  <c r="G190" i="12"/>
  <c r="E190" i="13"/>
  <c r="F190" i="13" s="1"/>
  <c r="N190" i="13" s="1"/>
  <c r="H211" i="12"/>
  <c r="N211" i="12" s="1"/>
  <c r="E211" i="13"/>
  <c r="G251" i="12"/>
  <c r="E251" i="13"/>
  <c r="E40" i="13"/>
  <c r="F40" i="12"/>
  <c r="E80" i="13"/>
  <c r="G80" i="13" s="1"/>
  <c r="J104" i="12"/>
  <c r="E104" i="13"/>
  <c r="F140" i="12"/>
  <c r="P140" i="12" s="1"/>
  <c r="E140" i="13"/>
  <c r="H140" i="12"/>
  <c r="D183" i="13"/>
  <c r="H204" i="12"/>
  <c r="E204" i="13"/>
  <c r="E278" i="13" s="1"/>
  <c r="D245" i="13"/>
  <c r="J41" i="12"/>
  <c r="E41" i="13"/>
  <c r="H41" i="13" s="1"/>
  <c r="D82" i="13"/>
  <c r="J82" i="13" s="1"/>
  <c r="E97" i="13"/>
  <c r="H97" i="12"/>
  <c r="N97" i="12" s="1"/>
  <c r="G97" i="12"/>
  <c r="L97" i="12" s="1"/>
  <c r="P123" i="12"/>
  <c r="E123" i="13"/>
  <c r="J123" i="12"/>
  <c r="H123" i="12"/>
  <c r="H149" i="12"/>
  <c r="E149" i="13"/>
  <c r="J149" i="12"/>
  <c r="H170" i="12"/>
  <c r="E170" i="13"/>
  <c r="F170" i="12"/>
  <c r="D204" i="13"/>
  <c r="J221" i="12"/>
  <c r="E221" i="13"/>
  <c r="G242" i="12"/>
  <c r="E242" i="13"/>
  <c r="F242" i="13" s="1"/>
  <c r="H42" i="12"/>
  <c r="D42" i="13"/>
  <c r="G59" i="12"/>
  <c r="E59" i="13"/>
  <c r="D97" i="13"/>
  <c r="H97" i="13" s="1"/>
  <c r="N97" i="13" s="1"/>
  <c r="D121" i="13"/>
  <c r="G163" i="12"/>
  <c r="E163" i="13"/>
  <c r="F227" i="12"/>
  <c r="E227" i="13"/>
  <c r="H227" i="13" s="1"/>
  <c r="L54" i="12"/>
  <c r="D54" i="13"/>
  <c r="N54" i="13" s="1"/>
  <c r="E75" i="13"/>
  <c r="P111" i="12"/>
  <c r="E111" i="13"/>
  <c r="F111" i="13" s="1"/>
  <c r="J153" i="12"/>
  <c r="D153" i="13"/>
  <c r="H153" i="13" s="1"/>
  <c r="D171" i="13"/>
  <c r="J194" i="12"/>
  <c r="D194" i="13"/>
  <c r="D242" i="13"/>
  <c r="D260" i="13"/>
  <c r="F49" i="12"/>
  <c r="E49" i="13"/>
  <c r="H49" i="13" s="1"/>
  <c r="E72" i="13"/>
  <c r="D131" i="13"/>
  <c r="D150" i="13"/>
  <c r="J150" i="12"/>
  <c r="H169" i="12"/>
  <c r="E169" i="13"/>
  <c r="H215" i="12"/>
  <c r="N215" i="12" s="1"/>
  <c r="D215" i="13"/>
  <c r="H233" i="12"/>
  <c r="E233" i="13"/>
  <c r="H233" i="13" s="1"/>
  <c r="F260" i="12"/>
  <c r="E260" i="13"/>
  <c r="F260" i="13" s="1"/>
  <c r="H260" i="12"/>
  <c r="D60" i="13"/>
  <c r="F81" i="12"/>
  <c r="E81" i="13"/>
  <c r="G81" i="13" s="1"/>
  <c r="L81" i="13" s="1"/>
  <c r="J81" i="12"/>
  <c r="H132" i="12"/>
  <c r="D132" i="13"/>
  <c r="N132" i="13" s="1"/>
  <c r="J132" i="12"/>
  <c r="H180" i="12"/>
  <c r="P180" i="12" s="1"/>
  <c r="D180" i="13"/>
  <c r="H224" i="12"/>
  <c r="P224" i="12" s="1"/>
  <c r="D224" i="13"/>
  <c r="H257" i="12"/>
  <c r="E257" i="13"/>
  <c r="J257" i="13" s="1"/>
  <c r="G257" i="12"/>
  <c r="J257" i="12"/>
  <c r="D49" i="13"/>
  <c r="H86" i="12"/>
  <c r="P86" i="12" s="1"/>
  <c r="E86" i="13"/>
  <c r="E124" i="13"/>
  <c r="J158" i="12"/>
  <c r="D158" i="13"/>
  <c r="F189" i="12"/>
  <c r="E189" i="13"/>
  <c r="P222" i="12"/>
  <c r="E222" i="13"/>
  <c r="J222" i="12"/>
  <c r="H222" i="12"/>
  <c r="D263" i="13"/>
  <c r="E179" i="13"/>
  <c r="G179" i="13" s="1"/>
  <c r="L84" i="8"/>
  <c r="U84" i="8" s="1"/>
  <c r="V23" i="8"/>
  <c r="N64" i="12"/>
  <c r="P75" i="12"/>
  <c r="G107" i="12"/>
  <c r="L107" i="12" s="1"/>
  <c r="N172" i="11"/>
  <c r="N186" i="12"/>
  <c r="N228" i="11"/>
  <c r="U57" i="11"/>
  <c r="P108" i="12"/>
  <c r="R152" i="11"/>
  <c r="G41" i="12"/>
  <c r="P85" i="12"/>
  <c r="T85" i="12" s="1"/>
  <c r="G109" i="12"/>
  <c r="L109" i="12" s="1"/>
  <c r="J178" i="12"/>
  <c r="J86" i="12"/>
  <c r="G124" i="12"/>
  <c r="J179" i="12"/>
  <c r="R185" i="11"/>
  <c r="U185" i="11"/>
  <c r="W185" i="11" s="1"/>
  <c r="N31" i="11"/>
  <c r="R64" i="11"/>
  <c r="U99" i="11"/>
  <c r="W99" i="11" s="1"/>
  <c r="F135" i="12"/>
  <c r="J151" i="12"/>
  <c r="J240" i="12"/>
  <c r="N240" i="12"/>
  <c r="G72" i="12"/>
  <c r="L72" i="12" s="1"/>
  <c r="J80" i="12"/>
  <c r="J148" i="12"/>
  <c r="J204" i="12"/>
  <c r="L127" i="12"/>
  <c r="F242" i="12"/>
  <c r="H253" i="12"/>
  <c r="T86" i="11"/>
  <c r="P189" i="12"/>
  <c r="L60" i="11"/>
  <c r="R60" i="11" s="1"/>
  <c r="J43" i="12"/>
  <c r="N168" i="11"/>
  <c r="J190" i="12"/>
  <c r="F36" i="12"/>
  <c r="G40" i="12"/>
  <c r="G104" i="12"/>
  <c r="D272" i="12"/>
  <c r="G81" i="12"/>
  <c r="L81" i="12" s="1"/>
  <c r="H262" i="12"/>
  <c r="W111" i="11"/>
  <c r="G122" i="12"/>
  <c r="F169" i="12"/>
  <c r="H216" i="12"/>
  <c r="G233" i="12"/>
  <c r="F97" i="12"/>
  <c r="F123" i="12"/>
  <c r="F149" i="12"/>
  <c r="G34" i="12"/>
  <c r="P34" i="12" s="1"/>
  <c r="L205" i="12"/>
  <c r="U226" i="11"/>
  <c r="W226" i="11" s="1"/>
  <c r="L38" i="11"/>
  <c r="R38" i="11" s="1"/>
  <c r="N250" i="11"/>
  <c r="L164" i="11"/>
  <c r="R164" i="11" s="1"/>
  <c r="T207" i="11"/>
  <c r="N200" i="11"/>
  <c r="P208" i="11"/>
  <c r="P264" i="11"/>
  <c r="N62" i="11"/>
  <c r="D58" i="13"/>
  <c r="E79" i="13"/>
  <c r="J79" i="13" s="1"/>
  <c r="D130" i="13"/>
  <c r="D175" i="13"/>
  <c r="E194" i="13"/>
  <c r="E215" i="13"/>
  <c r="H215" i="13" s="1"/>
  <c r="N215" i="13" s="1"/>
  <c r="E259" i="13"/>
  <c r="G259" i="13" s="1"/>
  <c r="G44" i="12"/>
  <c r="L44" i="12" s="1"/>
  <c r="E44" i="13"/>
  <c r="J44" i="13" s="1"/>
  <c r="D103" i="13"/>
  <c r="D119" i="13"/>
  <c r="D164" i="13"/>
  <c r="E187" i="13"/>
  <c r="D227" i="13"/>
  <c r="J227" i="13" s="1"/>
  <c r="D37" i="13"/>
  <c r="E58" i="13"/>
  <c r="H58" i="13" s="1"/>
  <c r="D100" i="13"/>
  <c r="D120" i="13"/>
  <c r="D274" i="13" s="1"/>
  <c r="E137" i="13"/>
  <c r="E158" i="13"/>
  <c r="E209" i="13"/>
  <c r="E230" i="13"/>
  <c r="H230" i="13" s="1"/>
  <c r="E261" i="13"/>
  <c r="D69" i="13"/>
  <c r="N69" i="13" s="1"/>
  <c r="H74" i="12"/>
  <c r="P74" i="12" s="1"/>
  <c r="E74" i="13"/>
  <c r="E102" i="13"/>
  <c r="H102" i="13" s="1"/>
  <c r="P102" i="13" s="1"/>
  <c r="D152" i="13"/>
  <c r="N152" i="13" s="1"/>
  <c r="E171" i="13"/>
  <c r="G171" i="13" s="1"/>
  <c r="D201" i="13"/>
  <c r="H201" i="13" s="1"/>
  <c r="D241" i="13"/>
  <c r="D35" i="13"/>
  <c r="E56" i="13"/>
  <c r="N56" i="13" s="1"/>
  <c r="D102" i="13"/>
  <c r="H134" i="12"/>
  <c r="D134" i="13"/>
  <c r="H143" i="12"/>
  <c r="E143" i="13"/>
  <c r="G143" i="13" s="1"/>
  <c r="E164" i="13"/>
  <c r="H234" i="12"/>
  <c r="D234" i="13"/>
  <c r="J252" i="12"/>
  <c r="D252" i="13"/>
  <c r="H51" i="12"/>
  <c r="D51" i="13"/>
  <c r="G69" i="12"/>
  <c r="L69" i="12" s="1"/>
  <c r="E69" i="13"/>
  <c r="D107" i="13"/>
  <c r="P130" i="12"/>
  <c r="E130" i="13"/>
  <c r="D168" i="13"/>
  <c r="H191" i="12"/>
  <c r="N191" i="12" s="1"/>
  <c r="E191" i="13"/>
  <c r="H191" i="13" s="1"/>
  <c r="D231" i="13"/>
  <c r="G248" i="12"/>
  <c r="E248" i="13"/>
  <c r="J37" i="12"/>
  <c r="E37" i="13"/>
  <c r="F37" i="13" s="1"/>
  <c r="J78" i="12"/>
  <c r="D78" i="13"/>
  <c r="H124" i="12"/>
  <c r="D124" i="13"/>
  <c r="D276" i="12"/>
  <c r="D157" i="13"/>
  <c r="D200" i="13"/>
  <c r="H200" i="13" s="1"/>
  <c r="F249" i="12"/>
  <c r="E249" i="13"/>
  <c r="H57" i="12"/>
  <c r="P57" i="12" s="1"/>
  <c r="D57" i="13"/>
  <c r="D93" i="13"/>
  <c r="H120" i="12"/>
  <c r="L120" i="12" s="1"/>
  <c r="E120" i="13"/>
  <c r="H150" i="12"/>
  <c r="E150" i="13"/>
  <c r="G150" i="13" s="1"/>
  <c r="D185" i="13"/>
  <c r="H185" i="13" s="1"/>
  <c r="N185" i="13" s="1"/>
  <c r="F214" i="12"/>
  <c r="E214" i="13"/>
  <c r="H255" i="12"/>
  <c r="L255" i="12" s="1"/>
  <c r="U255" i="12" s="1"/>
  <c r="D255" i="13"/>
  <c r="D50" i="13"/>
  <c r="H50" i="13" s="1"/>
  <c r="E71" i="13"/>
  <c r="D122" i="13"/>
  <c r="H122" i="13" s="1"/>
  <c r="D167" i="13"/>
  <c r="E198" i="13"/>
  <c r="E219" i="13"/>
  <c r="D28" i="13"/>
  <c r="D55" i="13"/>
  <c r="D95" i="13"/>
  <c r="J112" i="12"/>
  <c r="E112" i="13"/>
  <c r="E156" i="13"/>
  <c r="F156" i="13" s="1"/>
  <c r="D199" i="13"/>
  <c r="E220" i="13"/>
  <c r="N220" i="13" s="1"/>
  <c r="D261" i="13"/>
  <c r="J261" i="13" s="1"/>
  <c r="J56" i="12"/>
  <c r="D56" i="13"/>
  <c r="F77" i="12"/>
  <c r="E77" i="13"/>
  <c r="J77" i="13" s="1"/>
  <c r="E105" i="13"/>
  <c r="D139" i="13"/>
  <c r="H139" i="13" s="1"/>
  <c r="D161" i="13"/>
  <c r="E178" i="13"/>
  <c r="J178" i="13" s="1"/>
  <c r="D220" i="13"/>
  <c r="D236" i="13"/>
  <c r="D258" i="13"/>
  <c r="J46" i="12"/>
  <c r="E46" i="13"/>
  <c r="N71" i="12"/>
  <c r="D71" i="13"/>
  <c r="D113" i="13"/>
  <c r="D144" i="13"/>
  <c r="D197" i="13"/>
  <c r="D259" i="13"/>
  <c r="G48" i="12"/>
  <c r="E48" i="13"/>
  <c r="G48" i="13" s="1"/>
  <c r="D94" i="13"/>
  <c r="D126" i="13"/>
  <c r="E139" i="13"/>
  <c r="E160" i="13"/>
  <c r="D202" i="13"/>
  <c r="E228" i="13"/>
  <c r="E255" i="13"/>
  <c r="E57" i="13"/>
  <c r="F57" i="13" s="1"/>
  <c r="G84" i="12"/>
  <c r="E84" i="13"/>
  <c r="H84" i="13" s="1"/>
  <c r="E118" i="13"/>
  <c r="E144" i="13"/>
  <c r="D187" i="13"/>
  <c r="H187" i="13" s="1"/>
  <c r="E208" i="13"/>
  <c r="D249" i="13"/>
  <c r="D33" i="13"/>
  <c r="E54" i="13"/>
  <c r="G54" i="13" s="1"/>
  <c r="D96" i="13"/>
  <c r="E127" i="13"/>
  <c r="F127" i="13" s="1"/>
  <c r="D192" i="13"/>
  <c r="D240" i="13"/>
  <c r="J240" i="13" s="1"/>
  <c r="D270" i="12"/>
  <c r="D34" i="13"/>
  <c r="D65" i="13"/>
  <c r="D101" i="13"/>
  <c r="E132" i="13"/>
  <c r="D174" i="13"/>
  <c r="E197" i="13"/>
  <c r="H197" i="13" s="1"/>
  <c r="D237" i="13"/>
  <c r="E250" i="13"/>
  <c r="F185" i="12"/>
  <c r="E185" i="13"/>
  <c r="G185" i="13" s="1"/>
  <c r="L185" i="13" s="1"/>
  <c r="L252" i="11"/>
  <c r="N238" i="11"/>
  <c r="P245" i="11"/>
  <c r="P253" i="11"/>
  <c r="U218" i="11"/>
  <c r="N190" i="11"/>
  <c r="P37" i="11"/>
  <c r="T54" i="11"/>
  <c r="U73" i="11"/>
  <c r="W73" i="11" s="1"/>
  <c r="L153" i="11"/>
  <c r="U153" i="11" s="1"/>
  <c r="R221" i="11"/>
  <c r="W221" i="11" s="1"/>
  <c r="H31" i="12"/>
  <c r="D31" i="13"/>
  <c r="J31" i="13" s="1"/>
  <c r="E52" i="13"/>
  <c r="D98" i="13"/>
  <c r="H98" i="13" s="1"/>
  <c r="H125" i="12"/>
  <c r="E125" i="13"/>
  <c r="H182" i="12"/>
  <c r="D182" i="13"/>
  <c r="D206" i="13"/>
  <c r="D230" i="13"/>
  <c r="J36" i="12"/>
  <c r="D36" i="13"/>
  <c r="N63" i="12"/>
  <c r="D63" i="13"/>
  <c r="E92" i="13"/>
  <c r="D138" i="13"/>
  <c r="H138" i="13" s="1"/>
  <c r="F157" i="12"/>
  <c r="E157" i="13"/>
  <c r="H203" i="12"/>
  <c r="D203" i="13"/>
  <c r="D243" i="13"/>
  <c r="J33" i="12"/>
  <c r="E33" i="13"/>
  <c r="D74" i="13"/>
  <c r="H93" i="12"/>
  <c r="P93" i="12" s="1"/>
  <c r="E93" i="13"/>
  <c r="H93" i="13" s="1"/>
  <c r="J115" i="12"/>
  <c r="E115" i="13"/>
  <c r="H145" i="12"/>
  <c r="L145" i="12" s="1"/>
  <c r="E145" i="13"/>
  <c r="H166" i="12"/>
  <c r="E166" i="13"/>
  <c r="H196" i="12"/>
  <c r="P196" i="12" s="1"/>
  <c r="E196" i="13"/>
  <c r="G196" i="13" s="1"/>
  <c r="L196" i="13" s="1"/>
  <c r="P217" i="12"/>
  <c r="E217" i="13"/>
  <c r="J238" i="12"/>
  <c r="E238" i="13"/>
  <c r="G30" i="12"/>
  <c r="P30" i="12" s="1"/>
  <c r="E30" i="13"/>
  <c r="J30" i="13" s="1"/>
  <c r="G55" i="12"/>
  <c r="E55" i="13"/>
  <c r="P55" i="13" s="1"/>
  <c r="P90" i="12"/>
  <c r="E90" i="13"/>
  <c r="G110" i="12"/>
  <c r="E110" i="13"/>
  <c r="F110" i="13" s="1"/>
  <c r="F146" i="12"/>
  <c r="P146" i="12" s="1"/>
  <c r="E146" i="13"/>
  <c r="J146" i="13" s="1"/>
  <c r="D181" i="13"/>
  <c r="D217" i="13"/>
  <c r="G235" i="12"/>
  <c r="E235" i="13"/>
  <c r="G235" i="13" s="1"/>
  <c r="E31" i="13"/>
  <c r="D72" i="13"/>
  <c r="E91" i="13"/>
  <c r="E129" i="13"/>
  <c r="H129" i="13" s="1"/>
  <c r="P129" i="13" s="1"/>
  <c r="E151" i="13"/>
  <c r="E172" i="13"/>
  <c r="E224" i="13"/>
  <c r="E247" i="13"/>
  <c r="D67" i="13"/>
  <c r="D85" i="13"/>
  <c r="H85" i="13" s="1"/>
  <c r="D123" i="13"/>
  <c r="D142" i="13"/>
  <c r="H142" i="13" s="1"/>
  <c r="J161" i="12"/>
  <c r="E161" i="13"/>
  <c r="H161" i="13" s="1"/>
  <c r="D207" i="13"/>
  <c r="H225" i="12"/>
  <c r="E225" i="13"/>
  <c r="E256" i="13"/>
  <c r="D52" i="13"/>
  <c r="E73" i="13"/>
  <c r="E119" i="13"/>
  <c r="H119" i="13" s="1"/>
  <c r="P119" i="13" s="1"/>
  <c r="D173" i="13"/>
  <c r="D216" i="13"/>
  <c r="J216" i="13" s="1"/>
  <c r="F265" i="12"/>
  <c r="L265" i="12" s="1"/>
  <c r="U265" i="12" s="1"/>
  <c r="E265" i="13"/>
  <c r="E67" i="13"/>
  <c r="F67" i="13" s="1"/>
  <c r="D109" i="13"/>
  <c r="J128" i="12"/>
  <c r="E128" i="13"/>
  <c r="D166" i="13"/>
  <c r="E193" i="13"/>
  <c r="D229" i="13"/>
  <c r="E246" i="13"/>
  <c r="D66" i="13"/>
  <c r="H66" i="13" s="1"/>
  <c r="E87" i="13"/>
  <c r="H117" i="12"/>
  <c r="E117" i="13"/>
  <c r="H117" i="13" s="1"/>
  <c r="D190" i="13"/>
  <c r="H190" i="13" s="1"/>
  <c r="D214" i="13"/>
  <c r="D238" i="13"/>
  <c r="D44" i="13"/>
  <c r="H73" i="12"/>
  <c r="D73" i="13"/>
  <c r="J73" i="13" s="1"/>
  <c r="D111" i="13"/>
  <c r="D127" i="13"/>
  <c r="H127" i="13" s="1"/>
  <c r="L172" i="12"/>
  <c r="R172" i="12" s="1"/>
  <c r="D172" i="13"/>
  <c r="J195" i="12"/>
  <c r="E195" i="13"/>
  <c r="D235" i="13"/>
  <c r="D29" i="13"/>
  <c r="F50" i="12"/>
  <c r="E50" i="13"/>
  <c r="G50" i="13" s="1"/>
  <c r="N92" i="12"/>
  <c r="D92" i="13"/>
  <c r="H92" i="13" s="1"/>
  <c r="N92" i="13" s="1"/>
  <c r="J113" i="12"/>
  <c r="E113" i="13"/>
  <c r="H155" i="12"/>
  <c r="D155" i="13"/>
  <c r="D177" i="13"/>
  <c r="D188" i="13"/>
  <c r="F205" i="12"/>
  <c r="E205" i="13"/>
  <c r="G226" i="12"/>
  <c r="E226" i="13"/>
  <c r="G226" i="13" s="1"/>
  <c r="F253" i="12"/>
  <c r="E253" i="13"/>
  <c r="H61" i="12"/>
  <c r="D61" i="13"/>
  <c r="H87" i="12"/>
  <c r="N87" i="12" s="1"/>
  <c r="D87" i="13"/>
  <c r="J87" i="13" s="1"/>
  <c r="G98" i="12"/>
  <c r="E98" i="13"/>
  <c r="F138" i="12"/>
  <c r="L138" i="12" s="1"/>
  <c r="R138" i="12" s="1"/>
  <c r="E138" i="13"/>
  <c r="H209" i="12"/>
  <c r="L209" i="12" s="1"/>
  <c r="D209" i="13"/>
  <c r="D43" i="13"/>
  <c r="E64" i="13"/>
  <c r="D110" i="13"/>
  <c r="J110" i="13" s="1"/>
  <c r="F121" i="12"/>
  <c r="E121" i="13"/>
  <c r="H147" i="12"/>
  <c r="L147" i="12" s="1"/>
  <c r="E147" i="13"/>
  <c r="H168" i="12"/>
  <c r="E168" i="13"/>
  <c r="H168" i="13" s="1"/>
  <c r="P218" i="12"/>
  <c r="D218" i="13"/>
  <c r="H236" i="12"/>
  <c r="E236" i="13"/>
  <c r="D32" i="13"/>
  <c r="J65" i="12"/>
  <c r="E65" i="13"/>
  <c r="F65" i="13" s="1"/>
  <c r="J99" i="12"/>
  <c r="D99" i="13"/>
  <c r="G126" i="12"/>
  <c r="P126" i="12" s="1"/>
  <c r="E126" i="13"/>
  <c r="J126" i="13" s="1"/>
  <c r="H160" i="12"/>
  <c r="D160" i="13"/>
  <c r="J183" i="12"/>
  <c r="E183" i="13"/>
  <c r="J183" i="13" s="1"/>
  <c r="D223" i="13"/>
  <c r="H265" i="12"/>
  <c r="D265" i="13"/>
  <c r="J29" i="12"/>
  <c r="E29" i="13"/>
  <c r="J29" i="13" s="1"/>
  <c r="L70" i="12"/>
  <c r="D70" i="13"/>
  <c r="D112" i="13"/>
  <c r="D143" i="13"/>
  <c r="G184" i="12"/>
  <c r="P184" i="12" s="1"/>
  <c r="E184" i="13"/>
  <c r="L246" i="12"/>
  <c r="D246" i="13"/>
  <c r="D46" i="13"/>
  <c r="J75" i="12"/>
  <c r="U75" i="12" s="1"/>
  <c r="D75" i="13"/>
  <c r="D125" i="13"/>
  <c r="D148" i="13"/>
  <c r="J167" i="12"/>
  <c r="E167" i="13"/>
  <c r="F167" i="13" s="1"/>
  <c r="J213" i="12"/>
  <c r="D213" i="13"/>
  <c r="H213" i="13" s="1"/>
  <c r="F231" i="12"/>
  <c r="L231" i="12" s="1"/>
  <c r="E231" i="13"/>
  <c r="G231" i="13" s="1"/>
  <c r="H258" i="12"/>
  <c r="L258" i="12" s="1"/>
  <c r="E258" i="13"/>
  <c r="E192" i="13"/>
  <c r="J192" i="13" s="1"/>
  <c r="E202" i="13"/>
  <c r="T70" i="11"/>
  <c r="R70" i="11"/>
  <c r="L149" i="12"/>
  <c r="U180" i="11"/>
  <c r="W180" i="11" s="1"/>
  <c r="N265" i="12"/>
  <c r="E24" i="12"/>
  <c r="D15" i="12"/>
  <c r="J15" i="12" s="1"/>
  <c r="N50" i="12"/>
  <c r="W78" i="11"/>
  <c r="D18" i="12"/>
  <c r="J18" i="12" s="1"/>
  <c r="E10" i="12"/>
  <c r="D9" i="12"/>
  <c r="U45" i="11"/>
  <c r="F99" i="13"/>
  <c r="J194" i="13"/>
  <c r="H194" i="13"/>
  <c r="G187" i="13"/>
  <c r="L187" i="13" s="1"/>
  <c r="F187" i="13"/>
  <c r="J187" i="13"/>
  <c r="G58" i="13"/>
  <c r="J101" i="13"/>
  <c r="F101" i="13"/>
  <c r="H101" i="13"/>
  <c r="G101" i="13"/>
  <c r="J137" i="13"/>
  <c r="G137" i="13"/>
  <c r="F137" i="13"/>
  <c r="H137" i="13"/>
  <c r="J158" i="13"/>
  <c r="H158" i="13"/>
  <c r="F31" i="13"/>
  <c r="H31" i="13"/>
  <c r="G31" i="13"/>
  <c r="F91" i="13"/>
  <c r="J91" i="13"/>
  <c r="H91" i="13"/>
  <c r="G91" i="13"/>
  <c r="G129" i="13"/>
  <c r="L129" i="13"/>
  <c r="J151" i="13"/>
  <c r="G151" i="13"/>
  <c r="F151" i="13"/>
  <c r="P151" i="13"/>
  <c r="G172" i="13"/>
  <c r="F172" i="13"/>
  <c r="G224" i="13"/>
  <c r="F224" i="13"/>
  <c r="G247" i="13"/>
  <c r="J61" i="13"/>
  <c r="F61" i="13"/>
  <c r="G61" i="13"/>
  <c r="H61" i="13"/>
  <c r="G122" i="13"/>
  <c r="F122" i="13"/>
  <c r="G152" i="13"/>
  <c r="H152" i="13"/>
  <c r="J152" i="13"/>
  <c r="F152" i="13"/>
  <c r="H216" i="13"/>
  <c r="N216" i="13" s="1"/>
  <c r="G216" i="13"/>
  <c r="L216" i="13" s="1"/>
  <c r="F216" i="13"/>
  <c r="F256" i="13"/>
  <c r="J256" i="13"/>
  <c r="H256" i="13"/>
  <c r="G256" i="13"/>
  <c r="F73" i="13"/>
  <c r="G73" i="13"/>
  <c r="H73" i="13"/>
  <c r="G119" i="13"/>
  <c r="H265" i="13"/>
  <c r="J265" i="13"/>
  <c r="J67" i="13"/>
  <c r="P67" i="13"/>
  <c r="G67" i="13"/>
  <c r="L67" i="13" s="1"/>
  <c r="G128" i="13"/>
  <c r="F128" i="13"/>
  <c r="G175" i="13"/>
  <c r="F175" i="13"/>
  <c r="G239" i="13"/>
  <c r="F262" i="13"/>
  <c r="J262" i="13"/>
  <c r="H262" i="13"/>
  <c r="J133" i="13"/>
  <c r="N133" i="13"/>
  <c r="F133" i="13"/>
  <c r="H133" i="13"/>
  <c r="P133" i="13" s="1"/>
  <c r="J182" i="13"/>
  <c r="H182" i="13"/>
  <c r="G182" i="13"/>
  <c r="F182" i="13"/>
  <c r="G198" i="13"/>
  <c r="L198" i="13" s="1"/>
  <c r="F198" i="13"/>
  <c r="F203" i="13"/>
  <c r="J203" i="13"/>
  <c r="H203" i="13"/>
  <c r="G219" i="13"/>
  <c r="F219" i="13"/>
  <c r="J96" i="13"/>
  <c r="F96" i="13"/>
  <c r="G96" i="13"/>
  <c r="G156" i="13"/>
  <c r="H156" i="13"/>
  <c r="F165" i="13"/>
  <c r="G165" i="13"/>
  <c r="J220" i="13"/>
  <c r="P220" i="13"/>
  <c r="H220" i="13"/>
  <c r="F220" i="13"/>
  <c r="G220" i="13"/>
  <c r="L220" i="13" s="1"/>
  <c r="G229" i="13"/>
  <c r="F229" i="13"/>
  <c r="H229" i="13"/>
  <c r="P229" i="13" s="1"/>
  <c r="J229" i="13"/>
  <c r="F66" i="13"/>
  <c r="N105" i="13"/>
  <c r="F105" i="13"/>
  <c r="F141" i="13"/>
  <c r="H178" i="13"/>
  <c r="G178" i="13"/>
  <c r="E277" i="13"/>
  <c r="J180" i="13"/>
  <c r="H180" i="13"/>
  <c r="F180" i="13"/>
  <c r="N213" i="13"/>
  <c r="G213" i="13"/>
  <c r="J213" i="13"/>
  <c r="F234" i="13"/>
  <c r="J234" i="13"/>
  <c r="H234" i="13"/>
  <c r="N234" i="13" s="1"/>
  <c r="G234" i="13"/>
  <c r="H51" i="13"/>
  <c r="J218" i="13"/>
  <c r="F39" i="13"/>
  <c r="H39" i="13"/>
  <c r="G39" i="13"/>
  <c r="N95" i="13"/>
  <c r="J139" i="13"/>
  <c r="F139" i="13"/>
  <c r="G139" i="13"/>
  <c r="J155" i="13"/>
  <c r="F155" i="13"/>
  <c r="H155" i="13"/>
  <c r="G160" i="13"/>
  <c r="J160" i="13"/>
  <c r="J176" i="13"/>
  <c r="G176" i="13"/>
  <c r="H228" i="13"/>
  <c r="H255" i="13"/>
  <c r="G255" i="13"/>
  <c r="F255" i="13"/>
  <c r="J255" i="13"/>
  <c r="J57" i="13"/>
  <c r="G118" i="13"/>
  <c r="J118" i="13"/>
  <c r="G134" i="13"/>
  <c r="P134" i="13"/>
  <c r="F134" i="13"/>
  <c r="H134" i="13"/>
  <c r="J134" i="13"/>
  <c r="H144" i="13"/>
  <c r="J144" i="13"/>
  <c r="G199" i="13"/>
  <c r="L199" i="13"/>
  <c r="F199" i="13"/>
  <c r="P199" i="13"/>
  <c r="J208" i="13"/>
  <c r="F208" i="13"/>
  <c r="H252" i="13"/>
  <c r="G252" i="13"/>
  <c r="J252" i="13"/>
  <c r="J45" i="13"/>
  <c r="F45" i="13"/>
  <c r="G45" i="13"/>
  <c r="H45" i="13"/>
  <c r="H54" i="13"/>
  <c r="F54" i="13"/>
  <c r="L54" i="13"/>
  <c r="J127" i="13"/>
  <c r="G127" i="13"/>
  <c r="F70" i="13"/>
  <c r="G70" i="13"/>
  <c r="L70" i="13" s="1"/>
  <c r="N70" i="13"/>
  <c r="G132" i="13"/>
  <c r="L132" i="13" s="1"/>
  <c r="H132" i="13"/>
  <c r="P132" i="13"/>
  <c r="F132" i="13"/>
  <c r="J132" i="13"/>
  <c r="G142" i="13"/>
  <c r="F142" i="13"/>
  <c r="G197" i="13"/>
  <c r="F197" i="13"/>
  <c r="J197" i="13"/>
  <c r="U125" i="11"/>
  <c r="W125" i="11" s="1"/>
  <c r="H48" i="12"/>
  <c r="L48" i="12" s="1"/>
  <c r="G83" i="12"/>
  <c r="L256" i="12"/>
  <c r="H77" i="12"/>
  <c r="T113" i="11"/>
  <c r="F55" i="12"/>
  <c r="E20" i="12"/>
  <c r="D11" i="12"/>
  <c r="P56" i="12"/>
  <c r="N56" i="12"/>
  <c r="P125" i="11"/>
  <c r="T215" i="11"/>
  <c r="U44" i="11"/>
  <c r="D275" i="12"/>
  <c r="H245" i="12"/>
  <c r="F38" i="12"/>
  <c r="G154" i="12"/>
  <c r="U254" i="11"/>
  <c r="E15" i="12"/>
  <c r="E7" i="12"/>
  <c r="G60" i="12"/>
  <c r="P68" i="12"/>
  <c r="H62" i="12"/>
  <c r="L62" i="12" s="1"/>
  <c r="P38" i="11"/>
  <c r="F46" i="12"/>
  <c r="T94" i="11"/>
  <c r="H116" i="12"/>
  <c r="N159" i="12"/>
  <c r="R189" i="11"/>
  <c r="N243" i="11"/>
  <c r="L43" i="11"/>
  <c r="U43" i="11" s="1"/>
  <c r="D21" i="12"/>
  <c r="D5" i="12"/>
  <c r="G32" i="12"/>
  <c r="J84" i="12"/>
  <c r="R199" i="11"/>
  <c r="D279" i="12"/>
  <c r="L113" i="12"/>
  <c r="N149" i="12"/>
  <c r="J201" i="12"/>
  <c r="N217" i="12"/>
  <c r="G238" i="12"/>
  <c r="L46" i="11"/>
  <c r="F82" i="12"/>
  <c r="L90" i="12"/>
  <c r="G90" i="12"/>
  <c r="P185" i="12"/>
  <c r="E21" i="12"/>
  <c r="E13" i="12"/>
  <c r="E5" i="12"/>
  <c r="D12" i="12"/>
  <c r="L161" i="11"/>
  <c r="G52" i="13"/>
  <c r="F52" i="13"/>
  <c r="G36" i="13"/>
  <c r="H88" i="13"/>
  <c r="P88" i="13" s="1"/>
  <c r="G88" i="13"/>
  <c r="F88" i="13"/>
  <c r="F92" i="13"/>
  <c r="G92" i="13"/>
  <c r="J92" i="13"/>
  <c r="F85" i="13"/>
  <c r="P85" i="13"/>
  <c r="G85" i="13"/>
  <c r="H196" i="13"/>
  <c r="G201" i="13"/>
  <c r="F201" i="13"/>
  <c r="J201" i="13"/>
  <c r="F217" i="13"/>
  <c r="J217" i="13"/>
  <c r="F238" i="13"/>
  <c r="J238" i="13"/>
  <c r="H238" i="13"/>
  <c r="N238" i="13" s="1"/>
  <c r="G238" i="13"/>
  <c r="H245" i="13"/>
  <c r="N245" i="13" s="1"/>
  <c r="G245" i="13"/>
  <c r="F245" i="13"/>
  <c r="J55" i="13"/>
  <c r="N55" i="13"/>
  <c r="G55" i="13"/>
  <c r="G90" i="13"/>
  <c r="N90" i="13"/>
  <c r="H94" i="13"/>
  <c r="P94" i="13" s="1"/>
  <c r="N94" i="13"/>
  <c r="F94" i="13"/>
  <c r="G94" i="13"/>
  <c r="J94" i="13"/>
  <c r="G110" i="13"/>
  <c r="H110" i="13"/>
  <c r="L110" i="13"/>
  <c r="F146" i="13"/>
  <c r="F181" i="13"/>
  <c r="J181" i="13"/>
  <c r="J235" i="13"/>
  <c r="G56" i="13"/>
  <c r="L56" i="13" s="1"/>
  <c r="F56" i="13"/>
  <c r="H56" i="13"/>
  <c r="H164" i="13"/>
  <c r="G164" i="13"/>
  <c r="H76" i="13"/>
  <c r="P76" i="13" s="1"/>
  <c r="F87" i="13"/>
  <c r="G87" i="13"/>
  <c r="L87" i="13" s="1"/>
  <c r="N87" i="13"/>
  <c r="H87" i="13"/>
  <c r="P87" i="13" s="1"/>
  <c r="H40" i="13"/>
  <c r="J40" i="13"/>
  <c r="F80" i="13"/>
  <c r="G64" i="13"/>
  <c r="P64" i="13"/>
  <c r="F64" i="13"/>
  <c r="J64" i="13"/>
  <c r="F75" i="13"/>
  <c r="J75" i="13"/>
  <c r="G75" i="13"/>
  <c r="L75" i="13" s="1"/>
  <c r="H75" i="13"/>
  <c r="N75" i="13" s="1"/>
  <c r="P75" i="13"/>
  <c r="F72" i="13"/>
  <c r="G72" i="13"/>
  <c r="H124" i="13"/>
  <c r="J124" i="13"/>
  <c r="J154" i="13"/>
  <c r="F185" i="13"/>
  <c r="J185" i="13"/>
  <c r="L85" i="8"/>
  <c r="U85" i="8" s="1"/>
  <c r="W14" i="8"/>
  <c r="R248" i="11"/>
  <c r="V24" i="8"/>
  <c r="R153" i="11"/>
  <c r="J31" i="12"/>
  <c r="G47" i="12"/>
  <c r="L47" i="12" s="1"/>
  <c r="J48" i="12"/>
  <c r="H64" i="12"/>
  <c r="R64" i="12" s="1"/>
  <c r="H75" i="12"/>
  <c r="H83" i="12"/>
  <c r="L83" i="12" s="1"/>
  <c r="U83" i="12" s="1"/>
  <c r="H99" i="12"/>
  <c r="H107" i="12"/>
  <c r="G117" i="12"/>
  <c r="G125" i="12"/>
  <c r="F143" i="12"/>
  <c r="G186" i="12"/>
  <c r="L186" i="12" s="1"/>
  <c r="R186" i="12" s="1"/>
  <c r="U240" i="11"/>
  <c r="G28" i="12"/>
  <c r="F44" i="12"/>
  <c r="N53" i="12"/>
  <c r="J53" i="12"/>
  <c r="N69" i="12"/>
  <c r="J69" i="12"/>
  <c r="P84" i="11"/>
  <c r="J92" i="12"/>
  <c r="J108" i="12"/>
  <c r="N108" i="12"/>
  <c r="G136" i="12"/>
  <c r="J200" i="12"/>
  <c r="F33" i="12"/>
  <c r="L33" i="12" s="1"/>
  <c r="F41" i="12"/>
  <c r="J77" i="12"/>
  <c r="G93" i="12"/>
  <c r="L93" i="12" s="1"/>
  <c r="J109" i="12"/>
  <c r="T123" i="11"/>
  <c r="G145" i="12"/>
  <c r="P145" i="12" s="1"/>
  <c r="H184" i="12"/>
  <c r="N257" i="11"/>
  <c r="J30" i="12"/>
  <c r="J270" i="12" s="1"/>
  <c r="N55" i="12"/>
  <c r="P70" i="12"/>
  <c r="H78" i="12"/>
  <c r="N78" i="12" s="1"/>
  <c r="F86" i="12"/>
  <c r="N86" i="12"/>
  <c r="P138" i="11"/>
  <c r="H146" i="12"/>
  <c r="F181" i="12"/>
  <c r="F254" i="12"/>
  <c r="P254" i="12" s="1"/>
  <c r="P46" i="11"/>
  <c r="D23" i="12"/>
  <c r="D7" i="12"/>
  <c r="T47" i="11"/>
  <c r="H56" i="12"/>
  <c r="R133" i="11"/>
  <c r="J168" i="12"/>
  <c r="U168" i="12" s="1"/>
  <c r="J211" i="12"/>
  <c r="F236" i="12"/>
  <c r="F251" i="12"/>
  <c r="H49" i="12"/>
  <c r="F65" i="12"/>
  <c r="U69" i="11"/>
  <c r="L80" i="12"/>
  <c r="U108" i="11"/>
  <c r="G114" i="12"/>
  <c r="P114" i="12" s="1"/>
  <c r="J126" i="12"/>
  <c r="F130" i="12"/>
  <c r="N130" i="12"/>
  <c r="T130" i="12" s="1"/>
  <c r="H148" i="12"/>
  <c r="N148" i="12" s="1"/>
  <c r="H157" i="12"/>
  <c r="G204" i="12"/>
  <c r="G212" i="12"/>
  <c r="P212" i="12" s="1"/>
  <c r="N33" i="11"/>
  <c r="J50" i="12"/>
  <c r="T77" i="11"/>
  <c r="H158" i="12"/>
  <c r="P158" i="12" s="1"/>
  <c r="F196" i="12"/>
  <c r="J226" i="12"/>
  <c r="J242" i="12"/>
  <c r="F245" i="12"/>
  <c r="G253" i="12"/>
  <c r="P253" i="12" s="1"/>
  <c r="H38" i="12"/>
  <c r="U78" i="11"/>
  <c r="J94" i="12"/>
  <c r="H98" i="12"/>
  <c r="J110" i="12"/>
  <c r="J138" i="12"/>
  <c r="N138" i="12"/>
  <c r="H154" i="12"/>
  <c r="P154" i="12" s="1"/>
  <c r="F163" i="12"/>
  <c r="H189" i="12"/>
  <c r="G227" i="12"/>
  <c r="H235" i="12"/>
  <c r="P243" i="11"/>
  <c r="L248" i="11"/>
  <c r="T248" i="11" s="1"/>
  <c r="L200" i="11"/>
  <c r="R200" i="11" s="1"/>
  <c r="L62" i="11"/>
  <c r="U62" i="11" s="1"/>
  <c r="D26" i="12"/>
  <c r="J26" i="12" s="1"/>
  <c r="D10" i="12"/>
  <c r="G35" i="12"/>
  <c r="P35" i="12" s="1"/>
  <c r="G43" i="12"/>
  <c r="H60" i="12"/>
  <c r="P60" i="12" s="1"/>
  <c r="H68" i="12"/>
  <c r="G68" i="12"/>
  <c r="L68" i="12" s="1"/>
  <c r="R68" i="12" s="1"/>
  <c r="J103" i="12"/>
  <c r="G111" i="12"/>
  <c r="L111" i="12" s="1"/>
  <c r="H121" i="12"/>
  <c r="N121" i="12" s="1"/>
  <c r="G147" i="12"/>
  <c r="P147" i="12" s="1"/>
  <c r="F190" i="12"/>
  <c r="J207" i="12"/>
  <c r="H207" i="12"/>
  <c r="H232" i="12"/>
  <c r="H88" i="12"/>
  <c r="R88" i="12" s="1"/>
  <c r="H104" i="12"/>
  <c r="L104" i="12" s="1"/>
  <c r="U104" i="12" s="1"/>
  <c r="J140" i="12"/>
  <c r="U187" i="11"/>
  <c r="R187" i="11"/>
  <c r="H195" i="12"/>
  <c r="P195" i="12" s="1"/>
  <c r="F248" i="12"/>
  <c r="G264" i="12"/>
  <c r="H29" i="12"/>
  <c r="L29" i="12" s="1"/>
  <c r="U29" i="12" s="1"/>
  <c r="H37" i="12"/>
  <c r="N37" i="12" s="1"/>
  <c r="P54" i="12"/>
  <c r="J62" i="12"/>
  <c r="H81" i="12"/>
  <c r="P81" i="12" s="1"/>
  <c r="T81" i="12" s="1"/>
  <c r="P89" i="12"/>
  <c r="N89" i="12"/>
  <c r="T105" i="11"/>
  <c r="R119" i="11"/>
  <c r="W119" i="11" s="1"/>
  <c r="H153" i="12"/>
  <c r="D277" i="12"/>
  <c r="N205" i="12"/>
  <c r="P205" i="12"/>
  <c r="P221" i="12"/>
  <c r="H46" i="12"/>
  <c r="J63" i="12"/>
  <c r="U63" i="12" s="1"/>
  <c r="J116" i="12"/>
  <c r="P120" i="12"/>
  <c r="N120" i="12"/>
  <c r="T120" i="12" s="1"/>
  <c r="P132" i="12"/>
  <c r="F150" i="12"/>
  <c r="G159" i="12"/>
  <c r="J246" i="12"/>
  <c r="P257" i="11"/>
  <c r="E22" i="12"/>
  <c r="E14" i="12"/>
  <c r="E6" i="12"/>
  <c r="D17" i="12"/>
  <c r="J17" i="12" s="1"/>
  <c r="R95" i="11"/>
  <c r="T129" i="11"/>
  <c r="N147" i="11"/>
  <c r="J160" i="12"/>
  <c r="H244" i="12"/>
  <c r="H263" i="12"/>
  <c r="F32" i="12"/>
  <c r="N32" i="12" s="1"/>
  <c r="J57" i="12"/>
  <c r="U57" i="12" s="1"/>
  <c r="P76" i="12"/>
  <c r="F84" i="12"/>
  <c r="P84" i="12" s="1"/>
  <c r="R100" i="11"/>
  <c r="W100" i="11" s="1"/>
  <c r="L136" i="11"/>
  <c r="U136" i="11" s="1"/>
  <c r="G169" i="12"/>
  <c r="G177" i="12"/>
  <c r="H183" i="12"/>
  <c r="L183" i="12" s="1"/>
  <c r="J191" i="12"/>
  <c r="U199" i="11"/>
  <c r="F233" i="12"/>
  <c r="N241" i="12"/>
  <c r="J241" i="12"/>
  <c r="J260" i="12"/>
  <c r="P97" i="12"/>
  <c r="T101" i="11"/>
  <c r="F113" i="12"/>
  <c r="H115" i="12"/>
  <c r="N123" i="12"/>
  <c r="N131" i="12"/>
  <c r="G170" i="12"/>
  <c r="H201" i="12"/>
  <c r="N201" i="12" s="1"/>
  <c r="G217" i="12"/>
  <c r="L217" i="12" s="1"/>
  <c r="T217" i="12" s="1"/>
  <c r="H217" i="12"/>
  <c r="F238" i="12"/>
  <c r="G249" i="12"/>
  <c r="P249" i="12" s="1"/>
  <c r="F257" i="12"/>
  <c r="L257" i="12" s="1"/>
  <c r="U257" i="12" s="1"/>
  <c r="F59" i="12"/>
  <c r="H82" i="12"/>
  <c r="P82" i="12" s="1"/>
  <c r="F90" i="12"/>
  <c r="N90" i="12"/>
  <c r="T90" i="12" s="1"/>
  <c r="H167" i="12"/>
  <c r="N167" i="12" s="1"/>
  <c r="H175" i="12"/>
  <c r="G185" i="12"/>
  <c r="L185" i="12" s="1"/>
  <c r="T185" i="12" s="1"/>
  <c r="J214" i="12"/>
  <c r="F222" i="12"/>
  <c r="G223" i="12"/>
  <c r="E279" i="12"/>
  <c r="J231" i="12"/>
  <c r="J258" i="12"/>
  <c r="D24" i="12"/>
  <c r="J24" i="12" s="1"/>
  <c r="D8" i="12"/>
  <c r="J43" i="13"/>
  <c r="F43" i="13"/>
  <c r="F125" i="13"/>
  <c r="G125" i="13"/>
  <c r="J186" i="13"/>
  <c r="H186" i="13"/>
  <c r="G186" i="13"/>
  <c r="F186" i="13"/>
  <c r="G207" i="13"/>
  <c r="L207" i="13" s="1"/>
  <c r="J207" i="13"/>
  <c r="H207" i="13"/>
  <c r="N207" i="13" s="1"/>
  <c r="P207" i="13"/>
  <c r="H108" i="13"/>
  <c r="F108" i="13"/>
  <c r="G148" i="13"/>
  <c r="H148" i="13"/>
  <c r="F148" i="13"/>
  <c r="J148" i="13"/>
  <c r="J157" i="13"/>
  <c r="H157" i="13"/>
  <c r="J212" i="13"/>
  <c r="H212" i="13"/>
  <c r="J33" i="13"/>
  <c r="H33" i="13"/>
  <c r="F93" i="13"/>
  <c r="J109" i="13"/>
  <c r="F109" i="13"/>
  <c r="G109" i="13"/>
  <c r="J115" i="13"/>
  <c r="F115" i="13"/>
  <c r="G145" i="13"/>
  <c r="F145" i="13"/>
  <c r="H166" i="13"/>
  <c r="G166" i="13"/>
  <c r="H74" i="13"/>
  <c r="G74" i="13"/>
  <c r="J103" i="13"/>
  <c r="J143" i="13"/>
  <c r="H143" i="13"/>
  <c r="F143" i="13"/>
  <c r="G232" i="13"/>
  <c r="H263" i="13"/>
  <c r="G263" i="13"/>
  <c r="F263" i="13"/>
  <c r="J53" i="13"/>
  <c r="F53" i="13"/>
  <c r="G53" i="13"/>
  <c r="H53" i="13"/>
  <c r="P53" i="13" s="1"/>
  <c r="F69" i="13"/>
  <c r="G69" i="13"/>
  <c r="L69" i="13" s="1"/>
  <c r="G130" i="13"/>
  <c r="L130" i="13" s="1"/>
  <c r="J130" i="13"/>
  <c r="G136" i="13"/>
  <c r="F136" i="13"/>
  <c r="H136" i="13"/>
  <c r="G191" i="13"/>
  <c r="F191" i="13"/>
  <c r="J200" i="13"/>
  <c r="F200" i="13"/>
  <c r="H241" i="13"/>
  <c r="N241" i="13" s="1"/>
  <c r="G241" i="13"/>
  <c r="J241" i="13"/>
  <c r="H248" i="13"/>
  <c r="G248" i="13"/>
  <c r="F248" i="13"/>
  <c r="F264" i="13"/>
  <c r="G264" i="13"/>
  <c r="J37" i="13"/>
  <c r="G37" i="13"/>
  <c r="H37" i="13"/>
  <c r="F249" i="13"/>
  <c r="G249" i="13"/>
  <c r="N120" i="13"/>
  <c r="J120" i="13"/>
  <c r="P120" i="13"/>
  <c r="F150" i="13"/>
  <c r="H150" i="13"/>
  <c r="J150" i="13"/>
  <c r="H159" i="13"/>
  <c r="H214" i="13"/>
  <c r="G214" i="13"/>
  <c r="G223" i="13"/>
  <c r="F223" i="13"/>
  <c r="J223" i="13"/>
  <c r="H223" i="13"/>
  <c r="H254" i="13"/>
  <c r="J35" i="13"/>
  <c r="G35" i="13"/>
  <c r="H35" i="13"/>
  <c r="F35" i="13"/>
  <c r="J107" i="13"/>
  <c r="F107" i="13"/>
  <c r="H107" i="13"/>
  <c r="N107" i="13" s="1"/>
  <c r="J117" i="13"/>
  <c r="G117" i="13"/>
  <c r="F117" i="13"/>
  <c r="L117" i="13" s="1"/>
  <c r="J190" i="13"/>
  <c r="G190" i="13"/>
  <c r="G211" i="13"/>
  <c r="H211" i="13"/>
  <c r="F251" i="13"/>
  <c r="G251" i="13"/>
  <c r="G104" i="13"/>
  <c r="H104" i="13"/>
  <c r="G140" i="13"/>
  <c r="H140" i="13"/>
  <c r="F140" i="13"/>
  <c r="J140" i="13"/>
  <c r="G195" i="13"/>
  <c r="L195" i="13" s="1"/>
  <c r="F195" i="13"/>
  <c r="J195" i="13"/>
  <c r="H195" i="13"/>
  <c r="J204" i="13"/>
  <c r="J41" i="13"/>
  <c r="L41" i="13"/>
  <c r="G41" i="13"/>
  <c r="F41" i="13"/>
  <c r="F50" i="13"/>
  <c r="J50" i="13"/>
  <c r="F97" i="13"/>
  <c r="P97" i="13"/>
  <c r="G97" i="13"/>
  <c r="L97" i="13" s="1"/>
  <c r="J97" i="13"/>
  <c r="J113" i="13"/>
  <c r="P113" i="13"/>
  <c r="H113" i="13"/>
  <c r="N113" i="13"/>
  <c r="F123" i="13"/>
  <c r="H123" i="13"/>
  <c r="J149" i="13"/>
  <c r="G149" i="13"/>
  <c r="H170" i="13"/>
  <c r="G170" i="13"/>
  <c r="G205" i="13"/>
  <c r="F205" i="13"/>
  <c r="G221" i="13"/>
  <c r="L221" i="13" s="1"/>
  <c r="F221" i="13"/>
  <c r="J221" i="13"/>
  <c r="H221" i="13"/>
  <c r="H226" i="13"/>
  <c r="J242" i="13"/>
  <c r="H242" i="13"/>
  <c r="G242" i="13"/>
  <c r="F253" i="13"/>
  <c r="J253" i="13"/>
  <c r="J59" i="13"/>
  <c r="G59" i="13"/>
  <c r="G98" i="13"/>
  <c r="G138" i="13"/>
  <c r="J138" i="13"/>
  <c r="F138" i="13"/>
  <c r="F163" i="13"/>
  <c r="J163" i="13"/>
  <c r="G163" i="13"/>
  <c r="G227" i="13"/>
  <c r="F227" i="13"/>
  <c r="J111" i="13"/>
  <c r="H111" i="13"/>
  <c r="P111" i="13"/>
  <c r="G111" i="13"/>
  <c r="N111" i="13"/>
  <c r="H121" i="13"/>
  <c r="P121" i="13" s="1"/>
  <c r="N121" i="13"/>
  <c r="F147" i="13"/>
  <c r="G147" i="13"/>
  <c r="G168" i="13"/>
  <c r="F168" i="13"/>
  <c r="J168" i="13"/>
  <c r="J236" i="13"/>
  <c r="H236" i="13"/>
  <c r="F49" i="13"/>
  <c r="H65" i="13"/>
  <c r="P65" i="13"/>
  <c r="G126" i="13"/>
  <c r="F126" i="13"/>
  <c r="H126" i="13"/>
  <c r="N126" i="13" s="1"/>
  <c r="F169" i="13"/>
  <c r="J169" i="13"/>
  <c r="G169" i="13"/>
  <c r="H169" i="13"/>
  <c r="F183" i="13"/>
  <c r="H183" i="13"/>
  <c r="D279" i="13"/>
  <c r="G233" i="13"/>
  <c r="F233" i="13"/>
  <c r="J233" i="13"/>
  <c r="G260" i="13"/>
  <c r="J260" i="13"/>
  <c r="H260" i="13"/>
  <c r="F29" i="13"/>
  <c r="L29" i="13" s="1"/>
  <c r="H29" i="13"/>
  <c r="F81" i="13"/>
  <c r="H81" i="13"/>
  <c r="J184" i="13"/>
  <c r="H184" i="13"/>
  <c r="G184" i="13"/>
  <c r="F184" i="13"/>
  <c r="H257" i="13"/>
  <c r="F257" i="13"/>
  <c r="G257" i="13"/>
  <c r="N86" i="13"/>
  <c r="G86" i="13"/>
  <c r="F86" i="13"/>
  <c r="J167" i="13"/>
  <c r="H167" i="13"/>
  <c r="G167" i="13"/>
  <c r="G189" i="13"/>
  <c r="F189" i="13"/>
  <c r="J189" i="13"/>
  <c r="H189" i="13"/>
  <c r="G222" i="13"/>
  <c r="F222" i="13"/>
  <c r="F231" i="13"/>
  <c r="J231" i="13"/>
  <c r="H231" i="13"/>
  <c r="N231" i="13" s="1"/>
  <c r="F258" i="13"/>
  <c r="H258" i="13"/>
  <c r="G258" i="13"/>
  <c r="J258" i="13"/>
  <c r="N125" i="11"/>
  <c r="T125" i="11" s="1"/>
  <c r="V125" i="11" s="1"/>
  <c r="E26" i="12"/>
  <c r="E18" i="12"/>
  <c r="D25" i="12"/>
  <c r="R35" i="11"/>
  <c r="D16" i="12"/>
  <c r="H16" i="12" s="1"/>
  <c r="F79" i="13"/>
  <c r="G79" i="13"/>
  <c r="H79" i="13"/>
  <c r="G215" i="13"/>
  <c r="L215" i="13" s="1"/>
  <c r="F215" i="13"/>
  <c r="J215" i="13"/>
  <c r="P215" i="13"/>
  <c r="H259" i="13"/>
  <c r="J259" i="13"/>
  <c r="F259" i="13"/>
  <c r="N100" i="13"/>
  <c r="G100" i="13"/>
  <c r="L100" i="13" s="1"/>
  <c r="H100" i="13"/>
  <c r="P100" i="13"/>
  <c r="J100" i="13"/>
  <c r="F100" i="13"/>
  <c r="J173" i="13"/>
  <c r="J131" i="13"/>
  <c r="N131" i="13"/>
  <c r="F131" i="13"/>
  <c r="G131" i="13"/>
  <c r="H131" i="13"/>
  <c r="J153" i="13"/>
  <c r="G153" i="13"/>
  <c r="F153" i="13"/>
  <c r="J174" i="13"/>
  <c r="H174" i="13"/>
  <c r="G174" i="13"/>
  <c r="F174" i="13"/>
  <c r="G30" i="13"/>
  <c r="H30" i="13"/>
  <c r="F30" i="13"/>
  <c r="F135" i="13"/>
  <c r="G135" i="13"/>
  <c r="F240" i="13"/>
  <c r="P240" i="13"/>
  <c r="N240" i="13"/>
  <c r="H240" i="13"/>
  <c r="G240" i="13"/>
  <c r="J161" i="13"/>
  <c r="G161" i="13"/>
  <c r="F161" i="13"/>
  <c r="G225" i="13"/>
  <c r="F225" i="13"/>
  <c r="H225" i="13"/>
  <c r="J188" i="13"/>
  <c r="H188" i="13"/>
  <c r="G188" i="13"/>
  <c r="F188" i="13"/>
  <c r="F34" i="13"/>
  <c r="H34" i="13"/>
  <c r="H78" i="13"/>
  <c r="P78" i="13" s="1"/>
  <c r="F78" i="13"/>
  <c r="N78" i="13"/>
  <c r="G193" i="13"/>
  <c r="F193" i="13"/>
  <c r="J193" i="13"/>
  <c r="H193" i="13"/>
  <c r="H246" i="13"/>
  <c r="G246" i="13"/>
  <c r="J246" i="13"/>
  <c r="F246" i="13"/>
  <c r="F71" i="13"/>
  <c r="G71" i="13"/>
  <c r="H71" i="13"/>
  <c r="N71" i="13" s="1"/>
  <c r="J71" i="13"/>
  <c r="D270" i="13"/>
  <c r="G112" i="13"/>
  <c r="F112" i="13"/>
  <c r="H112" i="13"/>
  <c r="J112" i="13"/>
  <c r="G250" i="13"/>
  <c r="F250" i="13"/>
  <c r="L182" i="12"/>
  <c r="R182" i="12" s="1"/>
  <c r="F28" i="12"/>
  <c r="J44" i="12"/>
  <c r="N166" i="11"/>
  <c r="T102" i="11"/>
  <c r="G146" i="12"/>
  <c r="H181" i="12"/>
  <c r="T222" i="11"/>
  <c r="E12" i="12"/>
  <c r="D27" i="12"/>
  <c r="T75" i="11"/>
  <c r="E275" i="12"/>
  <c r="P251" i="12"/>
  <c r="R93" i="11"/>
  <c r="W93" i="11" s="1"/>
  <c r="J196" i="12"/>
  <c r="U196" i="12" s="1"/>
  <c r="H94" i="12"/>
  <c r="H110" i="12"/>
  <c r="P110" i="12" s="1"/>
  <c r="F235" i="12"/>
  <c r="P235" i="12" s="1"/>
  <c r="E23" i="12"/>
  <c r="D14" i="12"/>
  <c r="U259" i="8"/>
  <c r="W259" i="8" s="1"/>
  <c r="V11" i="8"/>
  <c r="H47" i="12"/>
  <c r="T56" i="11"/>
  <c r="L64" i="12"/>
  <c r="U64" i="12" s="1"/>
  <c r="L75" i="12"/>
  <c r="N99" i="12"/>
  <c r="J186" i="12"/>
  <c r="L215" i="12"/>
  <c r="T215" i="12" s="1"/>
  <c r="H28" i="12"/>
  <c r="R72" i="11"/>
  <c r="T76" i="11"/>
  <c r="T130" i="11"/>
  <c r="L169" i="11"/>
  <c r="N208" i="12"/>
  <c r="R113" i="11"/>
  <c r="V113" i="11" s="1"/>
  <c r="U113" i="11"/>
  <c r="W113" i="11" s="1"/>
  <c r="N154" i="11"/>
  <c r="G181" i="12"/>
  <c r="G277" i="12" s="1"/>
  <c r="P204" i="11"/>
  <c r="E16" i="12"/>
  <c r="E8" i="12"/>
  <c r="D19" i="12"/>
  <c r="J19" i="12" s="1"/>
  <c r="T64" i="11"/>
  <c r="V64" i="11" s="1"/>
  <c r="N168" i="12"/>
  <c r="T198" i="11"/>
  <c r="P40" i="11"/>
  <c r="R69" i="11"/>
  <c r="W69" i="11" s="1"/>
  <c r="J114" i="12"/>
  <c r="N140" i="11"/>
  <c r="J157" i="12"/>
  <c r="T109" i="11"/>
  <c r="L174" i="12"/>
  <c r="U67" i="11"/>
  <c r="J189" i="12"/>
  <c r="U189" i="12" s="1"/>
  <c r="N204" i="11"/>
  <c r="L122" i="11"/>
  <c r="U122" i="11" s="1"/>
  <c r="N46" i="11"/>
  <c r="E27" i="12"/>
  <c r="E19" i="12"/>
  <c r="E11" i="12"/>
  <c r="D22" i="12"/>
  <c r="D6" i="12"/>
  <c r="J68" i="12"/>
  <c r="L71" i="12"/>
  <c r="H111" i="12"/>
  <c r="R111" i="12" s="1"/>
  <c r="G207" i="12"/>
  <c r="L207" i="12" s="1"/>
  <c r="T207" i="12" s="1"/>
  <c r="T65" i="11"/>
  <c r="P148" i="11"/>
  <c r="G89" i="12"/>
  <c r="L89" i="12" s="1"/>
  <c r="G221" i="12"/>
  <c r="L221" i="12" s="1"/>
  <c r="R221" i="12" s="1"/>
  <c r="P34" i="11"/>
  <c r="T82" i="11"/>
  <c r="N142" i="12"/>
  <c r="D13" i="12"/>
  <c r="L35" i="11"/>
  <c r="U35" i="11" s="1"/>
  <c r="R71" i="11"/>
  <c r="R87" i="11"/>
  <c r="V87" i="11" s="1"/>
  <c r="U103" i="11"/>
  <c r="W103" i="11" s="1"/>
  <c r="T121" i="11"/>
  <c r="V121" i="11" s="1"/>
  <c r="L208" i="11"/>
  <c r="L225" i="12"/>
  <c r="R225" i="12" s="1"/>
  <c r="P29" i="11"/>
  <c r="L37" i="11"/>
  <c r="R37" i="11" s="1"/>
  <c r="R45" i="11"/>
  <c r="W45" i="11" s="1"/>
  <c r="R54" i="11"/>
  <c r="V54" i="11" s="1"/>
  <c r="T81" i="11"/>
  <c r="T89" i="11"/>
  <c r="G149" i="12"/>
  <c r="P149" i="12" s="1"/>
  <c r="N153" i="11"/>
  <c r="F166" i="12"/>
  <c r="T205" i="11"/>
  <c r="J217" i="12"/>
  <c r="U217" i="12" s="1"/>
  <c r="H185" i="12"/>
  <c r="N185" i="12" s="1"/>
  <c r="E25" i="12"/>
  <c r="E17" i="12"/>
  <c r="E9" i="12"/>
  <c r="D20" i="12"/>
  <c r="L34" i="11"/>
  <c r="R34" i="11" s="1"/>
  <c r="N68" i="13"/>
  <c r="G28" i="13"/>
  <c r="G44" i="13"/>
  <c r="H44" i="13"/>
  <c r="N44" i="13" s="1"/>
  <c r="F44" i="13"/>
  <c r="G209" i="13"/>
  <c r="F209" i="13"/>
  <c r="J209" i="13"/>
  <c r="H209" i="13"/>
  <c r="J230" i="13"/>
  <c r="G230" i="13"/>
  <c r="F230" i="13"/>
  <c r="H261" i="13"/>
  <c r="G261" i="13"/>
  <c r="F261" i="13"/>
  <c r="G42" i="13"/>
  <c r="F63" i="13"/>
  <c r="G102" i="13"/>
  <c r="F102" i="13"/>
  <c r="F171" i="13"/>
  <c r="J171" i="13"/>
  <c r="H171" i="13"/>
  <c r="L171" i="13" s="1"/>
  <c r="F83" i="13"/>
  <c r="G83" i="13"/>
  <c r="G62" i="13"/>
  <c r="H62" i="13"/>
  <c r="J62" i="13"/>
  <c r="F62" i="13"/>
  <c r="G60" i="13"/>
  <c r="J60" i="13"/>
  <c r="H60" i="13"/>
  <c r="F60" i="13"/>
  <c r="G32" i="13"/>
  <c r="F77" i="13"/>
  <c r="H77" i="13"/>
  <c r="G77" i="13"/>
  <c r="G46" i="13"/>
  <c r="H46" i="13"/>
  <c r="J46" i="13"/>
  <c r="F46" i="13"/>
  <c r="P82" i="13"/>
  <c r="H82" i="13"/>
  <c r="N82" i="13" s="1"/>
  <c r="G82" i="13"/>
  <c r="L82" i="13" s="1"/>
  <c r="F82" i="13"/>
  <c r="F48" i="13"/>
  <c r="F84" i="13"/>
  <c r="J84" i="13"/>
  <c r="G84" i="13"/>
  <c r="F38" i="13"/>
  <c r="H192" i="13"/>
  <c r="F192" i="13"/>
  <c r="F179" i="13"/>
  <c r="J179" i="13"/>
  <c r="H179" i="13"/>
  <c r="J202" i="13"/>
  <c r="H202" i="13"/>
  <c r="G202" i="13"/>
  <c r="F202" i="13"/>
  <c r="G243" i="13"/>
  <c r="J243" i="13"/>
  <c r="F243" i="13"/>
  <c r="L99" i="12"/>
  <c r="R99" i="12" s="1"/>
  <c r="P213" i="12"/>
  <c r="L146" i="12"/>
  <c r="U146" i="12" s="1"/>
  <c r="L229" i="12"/>
  <c r="U229" i="12" s="1"/>
  <c r="N180" i="12"/>
  <c r="L142" i="12"/>
  <c r="P202" i="12"/>
  <c r="L74" i="12"/>
  <c r="R74" i="12" s="1"/>
  <c r="N83" i="12"/>
  <c r="N117" i="12"/>
  <c r="L199" i="12"/>
  <c r="T220" i="12"/>
  <c r="L51" i="12"/>
  <c r="U51" i="12" s="1"/>
  <c r="L88" i="12"/>
  <c r="U88" i="12" s="1"/>
  <c r="L46" i="12"/>
  <c r="L244" i="12"/>
  <c r="U244" i="12" s="1"/>
  <c r="N183" i="12"/>
  <c r="P83" i="12"/>
  <c r="L204" i="12"/>
  <c r="N58" i="12"/>
  <c r="N171" i="12"/>
  <c r="N246" i="12"/>
  <c r="T246" i="12" s="1"/>
  <c r="N228" i="12"/>
  <c r="N177" i="12"/>
  <c r="P191" i="12"/>
  <c r="P265" i="12"/>
  <c r="L102" i="12"/>
  <c r="R102" i="12" s="1"/>
  <c r="N223" i="12"/>
  <c r="L253" i="12"/>
  <c r="R253" i="12" s="1"/>
  <c r="N94" i="12"/>
  <c r="L98" i="12"/>
  <c r="R98" i="12" s="1"/>
  <c r="L100" i="12"/>
  <c r="L216" i="12"/>
  <c r="U216" i="12" s="1"/>
  <c r="N216" i="12"/>
  <c r="N102" i="12"/>
  <c r="P215" i="12"/>
  <c r="N44" i="12"/>
  <c r="P77" i="12"/>
  <c r="L77" i="12"/>
  <c r="N124" i="12"/>
  <c r="L124" i="12"/>
  <c r="U124" i="12" s="1"/>
  <c r="L206" i="12"/>
  <c r="P206" i="12"/>
  <c r="L56" i="12"/>
  <c r="P65" i="12"/>
  <c r="L105" i="12"/>
  <c r="T119" i="12"/>
  <c r="P94" i="12"/>
  <c r="P87" i="12"/>
  <c r="P103" i="12"/>
  <c r="U111" i="12"/>
  <c r="L121" i="12"/>
  <c r="N100" i="12"/>
  <c r="N113" i="12"/>
  <c r="N231" i="12"/>
  <c r="P99" i="12"/>
  <c r="N107" i="12"/>
  <c r="L200" i="12"/>
  <c r="R200" i="12" s="1"/>
  <c r="N77" i="12"/>
  <c r="N206" i="12"/>
  <c r="P80" i="12"/>
  <c r="P105" i="12"/>
  <c r="P226" i="12"/>
  <c r="N253" i="12"/>
  <c r="P51" i="12"/>
  <c r="N98" i="12"/>
  <c r="L110" i="12"/>
  <c r="R110" i="12" s="1"/>
  <c r="R189" i="12"/>
  <c r="N189" i="12"/>
  <c r="L103" i="12"/>
  <c r="P121" i="12"/>
  <c r="N36" i="12"/>
  <c r="L36" i="12"/>
  <c r="N137" i="12"/>
  <c r="N132" i="12"/>
  <c r="L132" i="12"/>
  <c r="U132" i="12" s="1"/>
  <c r="L57" i="12"/>
  <c r="N76" i="12"/>
  <c r="L76" i="12"/>
  <c r="N152" i="12"/>
  <c r="T152" i="12" s="1"/>
  <c r="P113" i="12"/>
  <c r="P131" i="12"/>
  <c r="N82" i="12"/>
  <c r="P102" i="12"/>
  <c r="L106" i="12"/>
  <c r="L224" i="12"/>
  <c r="R224" i="12" s="1"/>
  <c r="P44" i="12"/>
  <c r="L92" i="12"/>
  <c r="N109" i="12"/>
  <c r="T109" i="12" s="1"/>
  <c r="N230" i="12"/>
  <c r="L230" i="12"/>
  <c r="U230" i="12" s="1"/>
  <c r="P78" i="12"/>
  <c r="T78" i="12" s="1"/>
  <c r="L151" i="12"/>
  <c r="L65" i="12"/>
  <c r="N65" i="12"/>
  <c r="N80" i="12"/>
  <c r="T80" i="12" s="1"/>
  <c r="L114" i="12"/>
  <c r="N212" i="12"/>
  <c r="L66" i="12"/>
  <c r="T66" i="12" s="1"/>
  <c r="L196" i="12"/>
  <c r="N196" i="12"/>
  <c r="P98" i="12"/>
  <c r="N110" i="12"/>
  <c r="L218" i="12"/>
  <c r="L79" i="12"/>
  <c r="T79" i="12" s="1"/>
  <c r="N129" i="12"/>
  <c r="T129" i="12" s="1"/>
  <c r="P88" i="12"/>
  <c r="N88" i="12"/>
  <c r="P159" i="12"/>
  <c r="P219" i="12"/>
  <c r="P96" i="12"/>
  <c r="P216" i="12"/>
  <c r="L222" i="12"/>
  <c r="R222" i="12" s="1"/>
  <c r="L108" i="12"/>
  <c r="L55" i="12"/>
  <c r="L86" i="12"/>
  <c r="L126" i="12"/>
  <c r="U130" i="12"/>
  <c r="R130" i="12"/>
  <c r="N51" i="12"/>
  <c r="L87" i="12"/>
  <c r="U87" i="12" s="1"/>
  <c r="R45" i="12"/>
  <c r="R54" i="12"/>
  <c r="N54" i="12"/>
  <c r="T54" i="12" s="1"/>
  <c r="U81" i="12"/>
  <c r="L219" i="12"/>
  <c r="P32" i="12"/>
  <c r="L96" i="12"/>
  <c r="L112" i="12"/>
  <c r="T112" i="12" s="1"/>
  <c r="L123" i="12"/>
  <c r="R123" i="12" s="1"/>
  <c r="T64" i="12"/>
  <c r="T75" i="12"/>
  <c r="P208" i="12"/>
  <c r="L208" i="12"/>
  <c r="R208" i="12" s="1"/>
  <c r="T67" i="12"/>
  <c r="T240" i="12"/>
  <c r="T195" i="12"/>
  <c r="L264" i="12"/>
  <c r="R264" i="12" s="1"/>
  <c r="T63" i="12"/>
  <c r="L203" i="12"/>
  <c r="L228" i="12"/>
  <c r="L143" i="12"/>
  <c r="T69" i="12"/>
  <c r="P256" i="12"/>
  <c r="N178" i="12"/>
  <c r="T197" i="12"/>
  <c r="T151" i="12"/>
  <c r="N204" i="12"/>
  <c r="R220" i="12"/>
  <c r="N158" i="12"/>
  <c r="P141" i="12"/>
  <c r="L159" i="12"/>
  <c r="R159" i="12" s="1"/>
  <c r="U134" i="12"/>
  <c r="L161" i="12"/>
  <c r="R161" i="12" s="1"/>
  <c r="U113" i="12"/>
  <c r="U222" i="12"/>
  <c r="L155" i="12"/>
  <c r="L117" i="12"/>
  <c r="T93" i="12"/>
  <c r="N30" i="12"/>
  <c r="L251" i="12"/>
  <c r="R251" i="12" s="1"/>
  <c r="P204" i="12"/>
  <c r="U220" i="12"/>
  <c r="N261" i="12"/>
  <c r="P36" i="12"/>
  <c r="N160" i="12"/>
  <c r="P228" i="12"/>
  <c r="L122" i="12"/>
  <c r="U122" i="12" s="1"/>
  <c r="R204" i="11"/>
  <c r="U204" i="11"/>
  <c r="T204" i="11"/>
  <c r="R252" i="11"/>
  <c r="U252" i="11"/>
  <c r="T37" i="11"/>
  <c r="U37" i="11"/>
  <c r="U169" i="11"/>
  <c r="R169" i="11"/>
  <c r="R260" i="11"/>
  <c r="N48" i="12"/>
  <c r="J273" i="11"/>
  <c r="U107" i="12"/>
  <c r="L139" i="12"/>
  <c r="U139" i="12" s="1"/>
  <c r="P139" i="12"/>
  <c r="R215" i="12"/>
  <c r="P32" i="11"/>
  <c r="L32" i="11"/>
  <c r="N32" i="11"/>
  <c r="H274" i="11"/>
  <c r="R114" i="11"/>
  <c r="U130" i="11"/>
  <c r="G278" i="12"/>
  <c r="N225" i="11"/>
  <c r="P225" i="11"/>
  <c r="N33" i="12"/>
  <c r="U85" i="12"/>
  <c r="N115" i="11"/>
  <c r="P115" i="11"/>
  <c r="L115" i="11"/>
  <c r="R123" i="11"/>
  <c r="V123" i="11" s="1"/>
  <c r="V131" i="11"/>
  <c r="N188" i="11"/>
  <c r="T70" i="12"/>
  <c r="L163" i="11"/>
  <c r="P163" i="11"/>
  <c r="N163" i="11"/>
  <c r="L179" i="12"/>
  <c r="R179" i="12" s="1"/>
  <c r="N179" i="12"/>
  <c r="P258" i="11"/>
  <c r="U167" i="11"/>
  <c r="H271" i="11"/>
  <c r="N117" i="11"/>
  <c r="L117" i="11"/>
  <c r="P135" i="12"/>
  <c r="L135" i="12"/>
  <c r="L259" i="12"/>
  <c r="R259" i="12" s="1"/>
  <c r="N259" i="12"/>
  <c r="P259" i="12"/>
  <c r="N173" i="12"/>
  <c r="L173" i="12"/>
  <c r="R173" i="12" s="1"/>
  <c r="N252" i="12"/>
  <c r="L252" i="12"/>
  <c r="R252" i="12" s="1"/>
  <c r="L162" i="12"/>
  <c r="L178" i="11"/>
  <c r="P178" i="11"/>
  <c r="N184" i="11"/>
  <c r="P230" i="11"/>
  <c r="L230" i="11"/>
  <c r="N230" i="11"/>
  <c r="P179" i="11"/>
  <c r="N179" i="11"/>
  <c r="L179" i="11"/>
  <c r="L181" i="11"/>
  <c r="N181" i="11"/>
  <c r="P181" i="11"/>
  <c r="L210" i="11"/>
  <c r="N210" i="11"/>
  <c r="F19" i="11"/>
  <c r="L19" i="11" s="1"/>
  <c r="J19" i="11"/>
  <c r="G19" i="11"/>
  <c r="H19" i="11"/>
  <c r="G15" i="11"/>
  <c r="F15" i="11"/>
  <c r="J15" i="11"/>
  <c r="H15" i="11"/>
  <c r="L15" i="11" s="1"/>
  <c r="L140" i="12"/>
  <c r="R140" i="12" s="1"/>
  <c r="N156" i="11"/>
  <c r="L156" i="11"/>
  <c r="G276" i="11"/>
  <c r="L37" i="12"/>
  <c r="R37" i="12" s="1"/>
  <c r="P73" i="12"/>
  <c r="L73" i="12"/>
  <c r="P158" i="11"/>
  <c r="N158" i="11"/>
  <c r="P174" i="11"/>
  <c r="L174" i="11"/>
  <c r="N174" i="11"/>
  <c r="N74" i="11"/>
  <c r="P74" i="11"/>
  <c r="L74" i="11"/>
  <c r="P167" i="11"/>
  <c r="N167" i="11"/>
  <c r="L262" i="12"/>
  <c r="U262" i="12" s="1"/>
  <c r="P262" i="12"/>
  <c r="L232" i="11"/>
  <c r="P232" i="11"/>
  <c r="L247" i="12"/>
  <c r="U170" i="12"/>
  <c r="N59" i="12"/>
  <c r="P128" i="12"/>
  <c r="L128" i="12"/>
  <c r="N128" i="12"/>
  <c r="L150" i="11"/>
  <c r="P150" i="11"/>
  <c r="N150" i="11"/>
  <c r="P258" i="12"/>
  <c r="N258" i="12"/>
  <c r="G13" i="11"/>
  <c r="F13" i="11"/>
  <c r="J13" i="11"/>
  <c r="H13" i="11"/>
  <c r="N118" i="11"/>
  <c r="N93" i="8"/>
  <c r="W26" i="8"/>
  <c r="W12" i="8"/>
  <c r="U34" i="11"/>
  <c r="W34" i="11" s="1"/>
  <c r="P31" i="12"/>
  <c r="L31" i="12"/>
  <c r="N125" i="12"/>
  <c r="P143" i="12"/>
  <c r="L176" i="11"/>
  <c r="N176" i="11"/>
  <c r="P176" i="11"/>
  <c r="U215" i="12"/>
  <c r="U219" i="11"/>
  <c r="L244" i="11"/>
  <c r="U244" i="11" s="1"/>
  <c r="N244" i="11"/>
  <c r="P244" i="11"/>
  <c r="P255" i="11"/>
  <c r="N255" i="11"/>
  <c r="L255" i="11"/>
  <c r="U76" i="11"/>
  <c r="T112" i="11"/>
  <c r="G274" i="11"/>
  <c r="N114" i="11"/>
  <c r="P114" i="11"/>
  <c r="L114" i="11"/>
  <c r="F274" i="11"/>
  <c r="L118" i="11"/>
  <c r="P118" i="11"/>
  <c r="R134" i="11"/>
  <c r="T134" i="11"/>
  <c r="U134" i="11"/>
  <c r="L191" i="11"/>
  <c r="N191" i="11"/>
  <c r="U216" i="11"/>
  <c r="L241" i="11"/>
  <c r="U241" i="11" s="1"/>
  <c r="N256" i="12"/>
  <c r="L260" i="11"/>
  <c r="P260" i="11"/>
  <c r="N260" i="11"/>
  <c r="P33" i="12"/>
  <c r="L41" i="12"/>
  <c r="R41" i="12" s="1"/>
  <c r="P58" i="11"/>
  <c r="N58" i="11"/>
  <c r="L58" i="11"/>
  <c r="P166" i="11"/>
  <c r="N184" i="12"/>
  <c r="T196" i="11"/>
  <c r="T217" i="11"/>
  <c r="R217" i="11"/>
  <c r="V217" i="11" s="1"/>
  <c r="R230" i="12"/>
  <c r="L249" i="11"/>
  <c r="P249" i="11"/>
  <c r="N249" i="11"/>
  <c r="L30" i="12"/>
  <c r="R30" i="12" s="1"/>
  <c r="L42" i="12"/>
  <c r="R42" i="12" s="1"/>
  <c r="L193" i="12"/>
  <c r="N193" i="12"/>
  <c r="H279" i="11"/>
  <c r="L239" i="11"/>
  <c r="N239" i="11"/>
  <c r="P156" i="11"/>
  <c r="N170" i="11"/>
  <c r="P142" i="11"/>
  <c r="L50" i="11"/>
  <c r="P154" i="11"/>
  <c r="N139" i="11"/>
  <c r="P139" i="11"/>
  <c r="L139" i="11"/>
  <c r="L168" i="12"/>
  <c r="P168" i="12"/>
  <c r="N172" i="12"/>
  <c r="P172" i="12"/>
  <c r="P194" i="11"/>
  <c r="L194" i="11"/>
  <c r="L236" i="12"/>
  <c r="F270" i="11"/>
  <c r="N28" i="11"/>
  <c r="L28" i="11"/>
  <c r="P28" i="11"/>
  <c r="P173" i="12"/>
  <c r="N237" i="12"/>
  <c r="L237" i="12"/>
  <c r="P237" i="12"/>
  <c r="P162" i="12"/>
  <c r="N174" i="12"/>
  <c r="P174" i="12"/>
  <c r="R174" i="12"/>
  <c r="L242" i="12"/>
  <c r="P242" i="12"/>
  <c r="N242" i="12"/>
  <c r="J272" i="11"/>
  <c r="P138" i="12"/>
  <c r="P250" i="12"/>
  <c r="L158" i="11"/>
  <c r="P43" i="12"/>
  <c r="N43" i="12"/>
  <c r="U43" i="12"/>
  <c r="P52" i="12"/>
  <c r="N52" i="12"/>
  <c r="R95" i="12"/>
  <c r="P236" i="11"/>
  <c r="L236" i="11"/>
  <c r="P61" i="12"/>
  <c r="L61" i="12"/>
  <c r="P104" i="12"/>
  <c r="N140" i="12"/>
  <c r="H276" i="11"/>
  <c r="N157" i="11"/>
  <c r="N165" i="11"/>
  <c r="L165" i="11"/>
  <c r="P165" i="11"/>
  <c r="N173" i="11"/>
  <c r="L173" i="11"/>
  <c r="T187" i="11"/>
  <c r="R195" i="12"/>
  <c r="R220" i="11"/>
  <c r="V220" i="11" s="1"/>
  <c r="U220" i="11"/>
  <c r="L229" i="11"/>
  <c r="L210" i="12"/>
  <c r="N210" i="12"/>
  <c r="P210" i="12"/>
  <c r="L235" i="11"/>
  <c r="U235" i="11" s="1"/>
  <c r="N235" i="11"/>
  <c r="F22" i="11"/>
  <c r="H22" i="11"/>
  <c r="L22" i="11" s="1"/>
  <c r="J22" i="11"/>
  <c r="G22" i="11"/>
  <c r="F18" i="11"/>
  <c r="H18" i="11"/>
  <c r="N18" i="11" s="1"/>
  <c r="J18" i="11"/>
  <c r="G18" i="11"/>
  <c r="F6" i="11"/>
  <c r="H6" i="11"/>
  <c r="N6" i="11" s="1"/>
  <c r="J6" i="11"/>
  <c r="G6" i="11"/>
  <c r="N52" i="11"/>
  <c r="L52" i="11"/>
  <c r="U52" i="11" s="1"/>
  <c r="P52" i="11"/>
  <c r="L91" i="12"/>
  <c r="R91" i="12" s="1"/>
  <c r="P263" i="12"/>
  <c r="N61" i="11"/>
  <c r="L61" i="11"/>
  <c r="U61" i="11" s="1"/>
  <c r="P61" i="11"/>
  <c r="N144" i="12"/>
  <c r="L144" i="12"/>
  <c r="R144" i="12" s="1"/>
  <c r="P144" i="12"/>
  <c r="U248" i="11"/>
  <c r="L249" i="12"/>
  <c r="N249" i="12"/>
  <c r="P159" i="11"/>
  <c r="L159" i="11"/>
  <c r="P214" i="12"/>
  <c r="N214" i="12"/>
  <c r="L214" i="12"/>
  <c r="R214" i="12" s="1"/>
  <c r="N246" i="11"/>
  <c r="P246" i="11"/>
  <c r="L246" i="11"/>
  <c r="L234" i="11"/>
  <c r="P202" i="11"/>
  <c r="W25" i="8"/>
  <c r="W21" i="8"/>
  <c r="U38" i="11"/>
  <c r="W38" i="11" s="1"/>
  <c r="N31" i="12"/>
  <c r="U47" i="12"/>
  <c r="L91" i="11"/>
  <c r="R91" i="11" s="1"/>
  <c r="G273" i="11"/>
  <c r="P117" i="12"/>
  <c r="P125" i="12"/>
  <c r="L125" i="12"/>
  <c r="L160" i="11"/>
  <c r="P160" i="11"/>
  <c r="N160" i="11"/>
  <c r="L172" i="11"/>
  <c r="P172" i="11"/>
  <c r="N224" i="12"/>
  <c r="T224" i="12" s="1"/>
  <c r="L228" i="11"/>
  <c r="P228" i="11"/>
  <c r="T240" i="11"/>
  <c r="L263" i="11"/>
  <c r="N263" i="11"/>
  <c r="P263" i="11"/>
  <c r="T57" i="11"/>
  <c r="U72" i="11"/>
  <c r="T72" i="11"/>
  <c r="R96" i="11"/>
  <c r="V96" i="11" s="1"/>
  <c r="N144" i="11"/>
  <c r="P144" i="11"/>
  <c r="N169" i="11"/>
  <c r="P169" i="11"/>
  <c r="L177" i="11"/>
  <c r="U177" i="11" s="1"/>
  <c r="P177" i="11"/>
  <c r="N177" i="11"/>
  <c r="P183" i="11"/>
  <c r="N183" i="11"/>
  <c r="L183" i="11"/>
  <c r="J278" i="12"/>
  <c r="U256" i="12"/>
  <c r="P41" i="12"/>
  <c r="N41" i="12"/>
  <c r="R109" i="12"/>
  <c r="U131" i="11"/>
  <c r="L162" i="11"/>
  <c r="P162" i="11"/>
  <c r="N162" i="11"/>
  <c r="L178" i="12"/>
  <c r="U178" i="12" s="1"/>
  <c r="P178" i="12"/>
  <c r="U196" i="11"/>
  <c r="P201" i="11"/>
  <c r="N201" i="11"/>
  <c r="U217" i="11"/>
  <c r="P230" i="12"/>
  <c r="N42" i="12"/>
  <c r="U59" i="11"/>
  <c r="R70" i="12"/>
  <c r="U86" i="12"/>
  <c r="T98" i="11"/>
  <c r="R124" i="12"/>
  <c r="P124" i="12"/>
  <c r="P179" i="12"/>
  <c r="P193" i="12"/>
  <c r="R197" i="12"/>
  <c r="R222" i="11"/>
  <c r="V222" i="11" s="1"/>
  <c r="J279" i="11"/>
  <c r="P239" i="11"/>
  <c r="L254" i="12"/>
  <c r="L170" i="11"/>
  <c r="P117" i="11"/>
  <c r="G20" i="12"/>
  <c r="F20" i="12"/>
  <c r="J20" i="12"/>
  <c r="G8" i="11"/>
  <c r="F8" i="11"/>
  <c r="H8" i="11"/>
  <c r="J8" i="11"/>
  <c r="N39" i="11"/>
  <c r="L39" i="11"/>
  <c r="P39" i="11"/>
  <c r="J271" i="11"/>
  <c r="U64" i="11"/>
  <c r="W64" i="11" s="1"/>
  <c r="N135" i="12"/>
  <c r="R151" i="12"/>
  <c r="P211" i="12"/>
  <c r="L211" i="12"/>
  <c r="R211" i="12"/>
  <c r="U80" i="12"/>
  <c r="T88" i="11"/>
  <c r="L104" i="11"/>
  <c r="N104" i="11"/>
  <c r="N273" i="11" s="1"/>
  <c r="N156" i="12"/>
  <c r="R229" i="12"/>
  <c r="N229" i="12"/>
  <c r="L50" i="12"/>
  <c r="R50" i="12" s="1"/>
  <c r="P50" i="12"/>
  <c r="L192" i="12"/>
  <c r="R192" i="12" s="1"/>
  <c r="N192" i="12"/>
  <c r="P192" i="12"/>
  <c r="U209" i="12"/>
  <c r="R209" i="12"/>
  <c r="T67" i="11"/>
  <c r="F272" i="11"/>
  <c r="U86" i="11"/>
  <c r="P146" i="11"/>
  <c r="L154" i="12"/>
  <c r="N159" i="11"/>
  <c r="P234" i="11"/>
  <c r="N208" i="11"/>
  <c r="R71" i="12"/>
  <c r="L40" i="12"/>
  <c r="R40" i="12" s="1"/>
  <c r="N40" i="12"/>
  <c r="P40" i="12"/>
  <c r="P37" i="12"/>
  <c r="N73" i="12"/>
  <c r="P192" i="11"/>
  <c r="N192" i="11"/>
  <c r="P226" i="11"/>
  <c r="N226" i="11"/>
  <c r="T226" i="11" s="1"/>
  <c r="V226" i="11" s="1"/>
  <c r="F280" i="11"/>
  <c r="N245" i="11"/>
  <c r="L245" i="11"/>
  <c r="N253" i="11"/>
  <c r="L253" i="11"/>
  <c r="N46" i="12"/>
  <c r="P46" i="12"/>
  <c r="P104" i="11"/>
  <c r="P273" i="11" s="1"/>
  <c r="N164" i="11"/>
  <c r="T164" i="11" s="1"/>
  <c r="V164" i="11" s="1"/>
  <c r="L238" i="11"/>
  <c r="R238" i="11" s="1"/>
  <c r="G26" i="12"/>
  <c r="J22" i="12"/>
  <c r="F22" i="12"/>
  <c r="G10" i="11"/>
  <c r="F10" i="11"/>
  <c r="H10" i="11"/>
  <c r="J10" i="11"/>
  <c r="G6" i="12"/>
  <c r="F6" i="12"/>
  <c r="D269" i="11"/>
  <c r="T71" i="11"/>
  <c r="U87" i="11"/>
  <c r="U121" i="11"/>
  <c r="W121" i="11" s="1"/>
  <c r="R129" i="11"/>
  <c r="P122" i="12"/>
  <c r="P136" i="11"/>
  <c r="N136" i="11"/>
  <c r="L169" i="12"/>
  <c r="R169" i="12" s="1"/>
  <c r="N169" i="12"/>
  <c r="P169" i="12"/>
  <c r="R89" i="11"/>
  <c r="L115" i="12"/>
  <c r="R115" i="12" s="1"/>
  <c r="P115" i="12"/>
  <c r="R205" i="11"/>
  <c r="L238" i="12"/>
  <c r="N239" i="12"/>
  <c r="U138" i="11"/>
  <c r="W138" i="11" s="1"/>
  <c r="L154" i="11"/>
  <c r="L201" i="11"/>
  <c r="L148" i="11"/>
  <c r="T73" i="11"/>
  <c r="V73" i="11" s="1"/>
  <c r="R142" i="11"/>
  <c r="U84" i="11"/>
  <c r="W84" i="11" s="1"/>
  <c r="R243" i="11"/>
  <c r="P48" i="12"/>
  <c r="R56" i="11"/>
  <c r="V56" i="11" s="1"/>
  <c r="R75" i="12"/>
  <c r="V75" i="12" s="1"/>
  <c r="U133" i="12"/>
  <c r="N139" i="12"/>
  <c r="N143" i="12"/>
  <c r="L203" i="11"/>
  <c r="N28" i="12"/>
  <c r="R69" i="12"/>
  <c r="R112" i="11"/>
  <c r="U112" i="11"/>
  <c r="J274" i="11"/>
  <c r="T152" i="11"/>
  <c r="V152" i="11" s="1"/>
  <c r="P200" i="12"/>
  <c r="R50" i="11"/>
  <c r="U66" i="11"/>
  <c r="W66" i="11" s="1"/>
  <c r="R85" i="12"/>
  <c r="U93" i="12"/>
  <c r="U109" i="12"/>
  <c r="U123" i="11"/>
  <c r="N265" i="11"/>
  <c r="P265" i="11"/>
  <c r="L265" i="11"/>
  <c r="P42" i="12"/>
  <c r="N59" i="11"/>
  <c r="R59" i="11"/>
  <c r="U67" i="12"/>
  <c r="U70" i="12"/>
  <c r="U78" i="12"/>
  <c r="U98" i="11"/>
  <c r="U256" i="11"/>
  <c r="W256" i="11" s="1"/>
  <c r="P210" i="11"/>
  <c r="N50" i="11"/>
  <c r="P173" i="11"/>
  <c r="L48" i="11"/>
  <c r="R48" i="11" s="1"/>
  <c r="P35" i="11"/>
  <c r="N229" i="11"/>
  <c r="G24" i="12"/>
  <c r="H24" i="12"/>
  <c r="F24" i="12"/>
  <c r="G12" i="11"/>
  <c r="F12" i="11"/>
  <c r="H12" i="11"/>
  <c r="J12" i="11"/>
  <c r="L31" i="11"/>
  <c r="P31" i="11"/>
  <c r="R47" i="11"/>
  <c r="R75" i="11"/>
  <c r="P83" i="11"/>
  <c r="N83" i="11"/>
  <c r="L83" i="11"/>
  <c r="T107" i="11"/>
  <c r="N182" i="11"/>
  <c r="L182" i="11"/>
  <c r="R198" i="11"/>
  <c r="V198" i="11" s="1"/>
  <c r="U215" i="11"/>
  <c r="R240" i="12"/>
  <c r="N251" i="12"/>
  <c r="J270" i="11"/>
  <c r="R53" i="11"/>
  <c r="V53" i="11" s="1"/>
  <c r="R88" i="11"/>
  <c r="U92" i="11"/>
  <c r="L156" i="12"/>
  <c r="P156" i="12"/>
  <c r="R77" i="11"/>
  <c r="V77" i="11" s="1"/>
  <c r="R109" i="11"/>
  <c r="R127" i="12"/>
  <c r="N127" i="12"/>
  <c r="P127" i="12"/>
  <c r="L141" i="11"/>
  <c r="U141" i="11" s="1"/>
  <c r="P141" i="11"/>
  <c r="N145" i="11"/>
  <c r="P145" i="11"/>
  <c r="L145" i="11"/>
  <c r="P209" i="12"/>
  <c r="N209" i="12"/>
  <c r="P261" i="12"/>
  <c r="L261" i="12"/>
  <c r="L227" i="12"/>
  <c r="U227" i="12" s="1"/>
  <c r="N227" i="12"/>
  <c r="P227" i="12"/>
  <c r="P175" i="11"/>
  <c r="P116" i="11"/>
  <c r="H27" i="12"/>
  <c r="G27" i="12"/>
  <c r="F15" i="12"/>
  <c r="G11" i="11"/>
  <c r="H11" i="11"/>
  <c r="F11" i="11"/>
  <c r="J11" i="11"/>
  <c r="N60" i="12"/>
  <c r="G275" i="11"/>
  <c r="H275" i="11"/>
  <c r="N147" i="12"/>
  <c r="P164" i="12"/>
  <c r="P49" i="11"/>
  <c r="N49" i="11"/>
  <c r="L49" i="11"/>
  <c r="T45" i="12"/>
  <c r="U73" i="12"/>
  <c r="L153" i="12"/>
  <c r="L180" i="12"/>
  <c r="L192" i="11"/>
  <c r="R192" i="11"/>
  <c r="L209" i="11"/>
  <c r="N209" i="11"/>
  <c r="R167" i="11"/>
  <c r="T189" i="11"/>
  <c r="V189" i="11" s="1"/>
  <c r="N262" i="12"/>
  <c r="N232" i="11"/>
  <c r="L116" i="11"/>
  <c r="R116" i="11" s="1"/>
  <c r="N244" i="12"/>
  <c r="N247" i="12"/>
  <c r="R255" i="12"/>
  <c r="P255" i="12"/>
  <c r="N255" i="12"/>
  <c r="L177" i="12"/>
  <c r="U177" i="12" s="1"/>
  <c r="N260" i="12"/>
  <c r="P260" i="12"/>
  <c r="L264" i="11"/>
  <c r="N264" i="11"/>
  <c r="N29" i="11"/>
  <c r="L29" i="11"/>
  <c r="T45" i="11"/>
  <c r="P62" i="11"/>
  <c r="R101" i="11"/>
  <c r="V101" i="11" s="1"/>
  <c r="N115" i="12"/>
  <c r="L170" i="12"/>
  <c r="R170" i="12" s="1"/>
  <c r="N170" i="12"/>
  <c r="P170" i="12"/>
  <c r="L188" i="12"/>
  <c r="L175" i="12"/>
  <c r="N175" i="12"/>
  <c r="P223" i="12"/>
  <c r="L144" i="11"/>
  <c r="P191" i="11"/>
  <c r="L225" i="11"/>
  <c r="U225" i="11" s="1"/>
  <c r="L257" i="11"/>
  <c r="L166" i="11"/>
  <c r="T108" i="11"/>
  <c r="N126" i="12"/>
  <c r="T187" i="12"/>
  <c r="T195" i="11"/>
  <c r="V195" i="11" s="1"/>
  <c r="U204" i="12"/>
  <c r="P256" i="11"/>
  <c r="N256" i="11"/>
  <c r="T85" i="11"/>
  <c r="R119" i="12"/>
  <c r="V119" i="12" s="1"/>
  <c r="L184" i="11"/>
  <c r="U184" i="11" s="1"/>
  <c r="P184" i="11"/>
  <c r="P213" i="11"/>
  <c r="N213" i="11"/>
  <c r="L213" i="11"/>
  <c r="P171" i="12"/>
  <c r="R243" i="12"/>
  <c r="U243" i="12"/>
  <c r="W243" i="12" s="1"/>
  <c r="U36" i="11"/>
  <c r="W36" i="11" s="1"/>
  <c r="F23" i="11"/>
  <c r="H23" i="11"/>
  <c r="G23" i="11"/>
  <c r="P23" i="11" s="1"/>
  <c r="J23" i="11"/>
  <c r="F19" i="12"/>
  <c r="F275" i="11"/>
  <c r="P135" i="11"/>
  <c r="L135" i="11"/>
  <c r="N135" i="11"/>
  <c r="L168" i="11"/>
  <c r="P168" i="11"/>
  <c r="P194" i="12"/>
  <c r="U207" i="12"/>
  <c r="P251" i="11"/>
  <c r="N251" i="11"/>
  <c r="L251" i="11"/>
  <c r="P259" i="11"/>
  <c r="L259" i="11"/>
  <c r="U259" i="11" s="1"/>
  <c r="U65" i="11"/>
  <c r="U80" i="11"/>
  <c r="T80" i="11"/>
  <c r="N126" i="11"/>
  <c r="L126" i="11"/>
  <c r="U37" i="12"/>
  <c r="N62" i="12"/>
  <c r="U105" i="11"/>
  <c r="L127" i="11"/>
  <c r="N127" i="11"/>
  <c r="U221" i="12"/>
  <c r="P238" i="11"/>
  <c r="G280" i="11"/>
  <c r="U90" i="11"/>
  <c r="R94" i="11"/>
  <c r="V94" i="11" s="1"/>
  <c r="U106" i="11"/>
  <c r="T110" i="11"/>
  <c r="R110" i="11"/>
  <c r="R120" i="12"/>
  <c r="L175" i="11"/>
  <c r="N202" i="12"/>
  <c r="T218" i="11"/>
  <c r="R218" i="11"/>
  <c r="W218" i="11" s="1"/>
  <c r="P235" i="11"/>
  <c r="L140" i="11"/>
  <c r="R140" i="11" s="1"/>
  <c r="F26" i="11"/>
  <c r="L26" i="11" s="1"/>
  <c r="H26" i="11"/>
  <c r="J26" i="11"/>
  <c r="G26" i="11"/>
  <c r="P26" i="11"/>
  <c r="G14" i="11"/>
  <c r="F14" i="11"/>
  <c r="H14" i="11"/>
  <c r="J14" i="11"/>
  <c r="P43" i="11"/>
  <c r="P60" i="11"/>
  <c r="T60" i="11" s="1"/>
  <c r="V60" i="11" s="1"/>
  <c r="T79" i="11"/>
  <c r="T95" i="11"/>
  <c r="U129" i="11"/>
  <c r="W129" i="11" s="1"/>
  <c r="L143" i="11"/>
  <c r="N143" i="11"/>
  <c r="L147" i="11"/>
  <c r="R147" i="11" s="1"/>
  <c r="T186" i="11"/>
  <c r="P118" i="12"/>
  <c r="N118" i="12"/>
  <c r="L191" i="12"/>
  <c r="J278" i="11"/>
  <c r="N37" i="11"/>
  <c r="R81" i="11"/>
  <c r="V81" i="11" s="1"/>
  <c r="U101" i="11"/>
  <c r="P137" i="11"/>
  <c r="R149" i="12"/>
  <c r="F277" i="11"/>
  <c r="N180" i="11"/>
  <c r="G277" i="11"/>
  <c r="P188" i="12"/>
  <c r="U205" i="11"/>
  <c r="N238" i="12"/>
  <c r="N257" i="12"/>
  <c r="N74" i="12"/>
  <c r="T197" i="11"/>
  <c r="G17" i="11"/>
  <c r="H17" i="11"/>
  <c r="J17" i="11"/>
  <c r="F17" i="11"/>
  <c r="G13" i="12"/>
  <c r="F13" i="12"/>
  <c r="L82" i="8"/>
  <c r="R82" i="8" s="1"/>
  <c r="W24" i="8"/>
  <c r="W10" i="8"/>
  <c r="U200" i="11"/>
  <c r="W200" i="11" s="1"/>
  <c r="R122" i="11"/>
  <c r="W122" i="11" s="1"/>
  <c r="U56" i="11"/>
  <c r="H273" i="11"/>
  <c r="F273" i="11"/>
  <c r="R133" i="12"/>
  <c r="U198" i="12"/>
  <c r="P203" i="11"/>
  <c r="R219" i="11"/>
  <c r="V219" i="11" s="1"/>
  <c r="R240" i="11"/>
  <c r="V240" i="11" s="1"/>
  <c r="N247" i="11"/>
  <c r="P247" i="11"/>
  <c r="L247" i="11"/>
  <c r="R247" i="11" s="1"/>
  <c r="R57" i="11"/>
  <c r="U69" i="12"/>
  <c r="R76" i="11"/>
  <c r="R130" i="11"/>
  <c r="V130" i="11" s="1"/>
  <c r="U152" i="11"/>
  <c r="W152" i="11" s="1"/>
  <c r="P161" i="11"/>
  <c r="T161" i="11" s="1"/>
  <c r="U183" i="11"/>
  <c r="R216" i="11"/>
  <c r="V216" i="11" s="1"/>
  <c r="P233" i="11"/>
  <c r="L233" i="11"/>
  <c r="P241" i="11"/>
  <c r="R256" i="12"/>
  <c r="R93" i="12"/>
  <c r="T97" i="11"/>
  <c r="V97" i="11" s="1"/>
  <c r="R131" i="11"/>
  <c r="L149" i="11"/>
  <c r="P149" i="11"/>
  <c r="N149" i="11"/>
  <c r="P188" i="11"/>
  <c r="L188" i="11"/>
  <c r="R196" i="11"/>
  <c r="N234" i="11"/>
  <c r="P59" i="11"/>
  <c r="R67" i="12"/>
  <c r="R78" i="12"/>
  <c r="R86" i="12"/>
  <c r="R98" i="11"/>
  <c r="R102" i="11"/>
  <c r="P128" i="11"/>
  <c r="L128" i="11"/>
  <c r="U128" i="11" s="1"/>
  <c r="N128" i="11"/>
  <c r="L214" i="11"/>
  <c r="P214" i="11"/>
  <c r="N214" i="11"/>
  <c r="U222" i="11"/>
  <c r="N223" i="11"/>
  <c r="L223" i="11"/>
  <c r="P223" i="11"/>
  <c r="F279" i="11"/>
  <c r="N231" i="11"/>
  <c r="L231" i="11"/>
  <c r="P231" i="11"/>
  <c r="N241" i="11"/>
  <c r="N259" i="11"/>
  <c r="P126" i="11"/>
  <c r="U70" i="11"/>
  <c r="W70" i="11" s="1"/>
  <c r="G20" i="11"/>
  <c r="F20" i="11"/>
  <c r="H20" i="11"/>
  <c r="J20" i="11"/>
  <c r="J16" i="12"/>
  <c r="G271" i="11"/>
  <c r="N48" i="11"/>
  <c r="F271" i="11"/>
  <c r="P48" i="11"/>
  <c r="T99" i="11"/>
  <c r="V99" i="11" s="1"/>
  <c r="R139" i="11"/>
  <c r="U151" i="12"/>
  <c r="U198" i="11"/>
  <c r="G270" i="11"/>
  <c r="N40" i="11"/>
  <c r="L40" i="11"/>
  <c r="T44" i="11"/>
  <c r="R44" i="11"/>
  <c r="U53" i="11"/>
  <c r="U88" i="11"/>
  <c r="W88" i="11" s="1"/>
  <c r="R108" i="11"/>
  <c r="F274" i="12"/>
  <c r="N114" i="12"/>
  <c r="U156" i="12"/>
  <c r="L165" i="12"/>
  <c r="R187" i="12"/>
  <c r="U187" i="12"/>
  <c r="L212" i="12"/>
  <c r="U212" i="12" s="1"/>
  <c r="P41" i="11"/>
  <c r="L41" i="11"/>
  <c r="L58" i="12"/>
  <c r="U119" i="12"/>
  <c r="L226" i="12"/>
  <c r="L30" i="11"/>
  <c r="U30" i="11" s="1"/>
  <c r="P30" i="11"/>
  <c r="N30" i="11"/>
  <c r="R67" i="11"/>
  <c r="R86" i="11"/>
  <c r="V86" i="11" s="1"/>
  <c r="T120" i="11"/>
  <c r="V120" i="11" s="1"/>
  <c r="L171" i="12"/>
  <c r="R171" i="12" s="1"/>
  <c r="L193" i="11"/>
  <c r="N243" i="12"/>
  <c r="N250" i="12"/>
  <c r="L250" i="12"/>
  <c r="N254" i="11"/>
  <c r="P254" i="11"/>
  <c r="N84" i="11"/>
  <c r="P211" i="11"/>
  <c r="N34" i="11"/>
  <c r="L137" i="11"/>
  <c r="P127" i="11"/>
  <c r="R43" i="12"/>
  <c r="U71" i="12"/>
  <c r="U151" i="11"/>
  <c r="N164" i="12"/>
  <c r="L164" i="12"/>
  <c r="U194" i="12"/>
  <c r="R207" i="12"/>
  <c r="V207" i="12" s="1"/>
  <c r="L211" i="11"/>
  <c r="R211" i="11" s="1"/>
  <c r="R65" i="11"/>
  <c r="V65" i="11" s="1"/>
  <c r="T88" i="12"/>
  <c r="N122" i="11"/>
  <c r="L157" i="11"/>
  <c r="F276" i="11"/>
  <c r="P157" i="11"/>
  <c r="J276" i="11"/>
  <c r="U157" i="11"/>
  <c r="P212" i="11"/>
  <c r="U229" i="11"/>
  <c r="N252" i="11"/>
  <c r="P252" i="11"/>
  <c r="U264" i="12"/>
  <c r="P62" i="12"/>
  <c r="P170" i="11"/>
  <c r="U192" i="11"/>
  <c r="R205" i="12"/>
  <c r="L242" i="11"/>
  <c r="N242" i="11"/>
  <c r="H280" i="11"/>
  <c r="N38" i="11"/>
  <c r="R63" i="12"/>
  <c r="V63" i="12" s="1"/>
  <c r="R82" i="11"/>
  <c r="R90" i="11"/>
  <c r="V90" i="11" s="1"/>
  <c r="R106" i="11"/>
  <c r="V106" i="11" s="1"/>
  <c r="U120" i="12"/>
  <c r="L202" i="12"/>
  <c r="L227" i="11"/>
  <c r="P227" i="11"/>
  <c r="N227" i="11"/>
  <c r="P250" i="11"/>
  <c r="L250" i="11"/>
  <c r="P180" i="11"/>
  <c r="P153" i="11"/>
  <c r="T153" i="11" s="1"/>
  <c r="P143" i="11"/>
  <c r="U186" i="11"/>
  <c r="P190" i="11"/>
  <c r="L190" i="11"/>
  <c r="U207" i="11"/>
  <c r="U219" i="12"/>
  <c r="P244" i="12"/>
  <c r="P247" i="12"/>
  <c r="N36" i="11"/>
  <c r="T36" i="11" s="1"/>
  <c r="V36" i="11" s="1"/>
  <c r="R152" i="12"/>
  <c r="P161" i="12"/>
  <c r="P183" i="12"/>
  <c r="W199" i="11"/>
  <c r="G278" i="11"/>
  <c r="N225" i="12"/>
  <c r="P225" i="12"/>
  <c r="L260" i="12"/>
  <c r="H277" i="11"/>
  <c r="N188" i="12"/>
  <c r="R249" i="12"/>
  <c r="R257" i="12"/>
  <c r="L34" i="12"/>
  <c r="N34" i="12"/>
  <c r="L42" i="11"/>
  <c r="U42" i="11" s="1"/>
  <c r="P42" i="11"/>
  <c r="T63" i="11"/>
  <c r="V63" i="11" s="1"/>
  <c r="R197" i="11"/>
  <c r="T222" i="12"/>
  <c r="N262" i="11"/>
  <c r="L262" i="11"/>
  <c r="G21" i="11"/>
  <c r="F21" i="11"/>
  <c r="J21" i="11"/>
  <c r="H21" i="11"/>
  <c r="F17" i="12"/>
  <c r="N41" i="11"/>
  <c r="P193" i="11"/>
  <c r="P140" i="11"/>
  <c r="N171" i="11"/>
  <c r="L171" i="11"/>
  <c r="P171" i="11"/>
  <c r="T185" i="11"/>
  <c r="V185" i="11" s="1"/>
  <c r="U197" i="12"/>
  <c r="G279" i="11"/>
  <c r="L258" i="11"/>
  <c r="R258" i="11" s="1"/>
  <c r="N258" i="11"/>
  <c r="G24" i="11"/>
  <c r="F24" i="11"/>
  <c r="H24" i="11"/>
  <c r="J24" i="11"/>
  <c r="G16" i="11"/>
  <c r="F16" i="11"/>
  <c r="H16" i="11"/>
  <c r="P16" i="11" s="1"/>
  <c r="J16" i="11"/>
  <c r="F12" i="12"/>
  <c r="U47" i="11"/>
  <c r="W47" i="11" s="1"/>
  <c r="R107" i="11"/>
  <c r="T133" i="11"/>
  <c r="V133" i="11" s="1"/>
  <c r="U133" i="11"/>
  <c r="W133" i="11" s="1"/>
  <c r="J275" i="12"/>
  <c r="P155" i="11"/>
  <c r="L155" i="11"/>
  <c r="R155" i="11" s="1"/>
  <c r="N194" i="11"/>
  <c r="R215" i="11"/>
  <c r="V215" i="11" s="1"/>
  <c r="P224" i="11"/>
  <c r="N224" i="11"/>
  <c r="L224" i="11"/>
  <c r="R224" i="11" s="1"/>
  <c r="U240" i="12"/>
  <c r="H270" i="11"/>
  <c r="T69" i="11"/>
  <c r="R80" i="12"/>
  <c r="R92" i="11"/>
  <c r="V92" i="11" s="1"/>
  <c r="L33" i="11"/>
  <c r="P33" i="11"/>
  <c r="U77" i="11"/>
  <c r="R85" i="11"/>
  <c r="T93" i="11"/>
  <c r="V93" i="11" s="1"/>
  <c r="R105" i="12"/>
  <c r="U105" i="12"/>
  <c r="U109" i="11"/>
  <c r="U127" i="12"/>
  <c r="R196" i="12"/>
  <c r="T55" i="11"/>
  <c r="V55" i="11" s="1"/>
  <c r="G272" i="11"/>
  <c r="H272" i="11"/>
  <c r="T78" i="11"/>
  <c r="V78" i="11" s="1"/>
  <c r="P124" i="11"/>
  <c r="L124" i="11"/>
  <c r="L146" i="11"/>
  <c r="N146" i="11"/>
  <c r="U171" i="12"/>
  <c r="N202" i="11"/>
  <c r="L202" i="11"/>
  <c r="R202" i="11" s="1"/>
  <c r="G27" i="11"/>
  <c r="H27" i="11"/>
  <c r="N27" i="11" s="1"/>
  <c r="F27" i="11"/>
  <c r="J27" i="11"/>
  <c r="G11" i="12"/>
  <c r="F11" i="12"/>
  <c r="H11" i="12"/>
  <c r="F7" i="11"/>
  <c r="G7" i="11"/>
  <c r="H7" i="11"/>
  <c r="J7" i="11"/>
  <c r="R52" i="12"/>
  <c r="U95" i="12"/>
  <c r="W95" i="12" s="1"/>
  <c r="U129" i="12"/>
  <c r="J275" i="11"/>
  <c r="R151" i="11"/>
  <c r="V151" i="11" s="1"/>
  <c r="R80" i="11"/>
  <c r="U195" i="12"/>
  <c r="L212" i="11"/>
  <c r="P229" i="11"/>
  <c r="L237" i="11"/>
  <c r="U45" i="12"/>
  <c r="U54" i="12"/>
  <c r="R105" i="11"/>
  <c r="T119" i="11"/>
  <c r="H277" i="12"/>
  <c r="J280" i="11"/>
  <c r="P261" i="11"/>
  <c r="L261" i="11"/>
  <c r="R46" i="12"/>
  <c r="U94" i="11"/>
  <c r="W94" i="11" s="1"/>
  <c r="U110" i="11"/>
  <c r="U189" i="11"/>
  <c r="R246" i="12"/>
  <c r="G18" i="12"/>
  <c r="T68" i="11"/>
  <c r="V68" i="11" s="1"/>
  <c r="U71" i="11"/>
  <c r="R79" i="11"/>
  <c r="F273" i="12"/>
  <c r="U95" i="11"/>
  <c r="T103" i="11"/>
  <c r="V103" i="11" s="1"/>
  <c r="T111" i="11"/>
  <c r="V111" i="11" s="1"/>
  <c r="R186" i="11"/>
  <c r="R207" i="11"/>
  <c r="V207" i="11" s="1"/>
  <c r="T100" i="11"/>
  <c r="V100" i="11" s="1"/>
  <c r="R112" i="12"/>
  <c r="U152" i="12"/>
  <c r="T199" i="11"/>
  <c r="V199" i="11" s="1"/>
  <c r="P200" i="11"/>
  <c r="H278" i="11"/>
  <c r="F278" i="11"/>
  <c r="U81" i="11"/>
  <c r="U89" i="11"/>
  <c r="W89" i="11" s="1"/>
  <c r="R113" i="12"/>
  <c r="U115" i="12"/>
  <c r="J277" i="11"/>
  <c r="T221" i="11"/>
  <c r="V221" i="11" s="1"/>
  <c r="U249" i="12"/>
  <c r="U74" i="12"/>
  <c r="R132" i="11"/>
  <c r="W132" i="11" s="1"/>
  <c r="T132" i="11"/>
  <c r="N142" i="11"/>
  <c r="T206" i="11"/>
  <c r="V206" i="11" s="1"/>
  <c r="U206" i="11"/>
  <c r="W206" i="11" s="1"/>
  <c r="R231" i="12"/>
  <c r="G25" i="11"/>
  <c r="J25" i="11"/>
  <c r="F25" i="11"/>
  <c r="H25" i="11"/>
  <c r="G9" i="11"/>
  <c r="J9" i="11"/>
  <c r="F9" i="11"/>
  <c r="H9" i="11"/>
  <c r="G5" i="11"/>
  <c r="F5" i="11"/>
  <c r="H5" i="11"/>
  <c r="J5" i="11"/>
  <c r="N124" i="11"/>
  <c r="N237" i="11"/>
  <c r="V70" i="11"/>
  <c r="W22" i="8"/>
  <c r="V248" i="11"/>
  <c r="J358" i="8"/>
  <c r="W27" i="8"/>
  <c r="W254" i="11"/>
  <c r="W142" i="11"/>
  <c r="D371" i="8"/>
  <c r="D370" i="8"/>
  <c r="D372" i="8" s="1"/>
  <c r="E371" i="8"/>
  <c r="E370" i="8"/>
  <c r="E372" i="8" s="1"/>
  <c r="T259" i="8"/>
  <c r="V259" i="8" s="1"/>
  <c r="N364" i="8"/>
  <c r="N366" i="8"/>
  <c r="N360" i="8"/>
  <c r="N367" i="8"/>
  <c r="N368" i="8"/>
  <c r="N369" i="8"/>
  <c r="P360" i="8"/>
  <c r="P366" i="8"/>
  <c r="P359" i="8"/>
  <c r="N361" i="8"/>
  <c r="N365" i="8"/>
  <c r="P367" i="8"/>
  <c r="P368" i="8"/>
  <c r="P369" i="8"/>
  <c r="G358" i="8"/>
  <c r="R94" i="8"/>
  <c r="L359" i="8"/>
  <c r="P362" i="8"/>
  <c r="R157" i="8"/>
  <c r="L362" i="8"/>
  <c r="N363" i="8"/>
  <c r="R201" i="8"/>
  <c r="L364" i="8"/>
  <c r="P365" i="8"/>
  <c r="U180" i="8"/>
  <c r="L363" i="8"/>
  <c r="H358" i="8"/>
  <c r="U266" i="8"/>
  <c r="L367" i="8"/>
  <c r="U311" i="8"/>
  <c r="L369" i="8"/>
  <c r="U223" i="8"/>
  <c r="L365" i="8"/>
  <c r="N359" i="8"/>
  <c r="U114" i="8"/>
  <c r="L360" i="8"/>
  <c r="P361" i="8"/>
  <c r="N362" i="8"/>
  <c r="P363" i="8"/>
  <c r="P364" i="8"/>
  <c r="T246" i="8"/>
  <c r="V246" i="8" s="1"/>
  <c r="U136" i="8"/>
  <c r="L361" i="8"/>
  <c r="F358" i="8"/>
  <c r="R289" i="8"/>
  <c r="L368" i="8"/>
  <c r="L366" i="8"/>
  <c r="R255" i="8"/>
  <c r="W255" i="8" s="1"/>
  <c r="T255" i="8"/>
  <c r="U309" i="8"/>
  <c r="W309" i="8" s="1"/>
  <c r="R315" i="8"/>
  <c r="W315" i="8" s="1"/>
  <c r="U275" i="8"/>
  <c r="W275" i="8" s="1"/>
  <c r="R223" i="8"/>
  <c r="L93" i="8"/>
  <c r="R93" i="8" s="1"/>
  <c r="U227" i="8"/>
  <c r="W227" i="8" s="1"/>
  <c r="W176" i="8"/>
  <c r="U208" i="8"/>
  <c r="W208" i="8" s="1"/>
  <c r="R245" i="8"/>
  <c r="W245" i="8" s="1"/>
  <c r="N82" i="8"/>
  <c r="T292" i="8"/>
  <c r="W199" i="8"/>
  <c r="W134" i="8"/>
  <c r="V176" i="8"/>
  <c r="U235" i="8"/>
  <c r="W235" i="8" s="1"/>
  <c r="U155" i="8"/>
  <c r="W155" i="8" s="1"/>
  <c r="R111" i="8"/>
  <c r="W111" i="8" s="1"/>
  <c r="V134" i="8"/>
  <c r="T155" i="8"/>
  <c r="V155" i="8" s="1"/>
  <c r="V199" i="8"/>
  <c r="U289" i="8"/>
  <c r="L75" i="8"/>
  <c r="R75" i="8" s="1"/>
  <c r="N81" i="8"/>
  <c r="T143" i="8"/>
  <c r="U137" i="8"/>
  <c r="W137" i="8" s="1"/>
  <c r="W171" i="8"/>
  <c r="U195" i="8"/>
  <c r="W195" i="8" s="1"/>
  <c r="P93" i="8"/>
  <c r="N72" i="8"/>
  <c r="N89" i="8"/>
  <c r="L91" i="8"/>
  <c r="R91" i="8" s="1"/>
  <c r="P72" i="8"/>
  <c r="U139" i="8"/>
  <c r="W139" i="8" s="1"/>
  <c r="T275" i="8"/>
  <c r="V275" i="8" s="1"/>
  <c r="R118" i="8"/>
  <c r="V118" i="8" s="1"/>
  <c r="U243" i="8"/>
  <c r="W243" i="8" s="1"/>
  <c r="U249" i="8"/>
  <c r="W249" i="8" s="1"/>
  <c r="U286" i="8"/>
  <c r="W286" i="8" s="1"/>
  <c r="P75" i="8"/>
  <c r="U113" i="8"/>
  <c r="W113" i="8" s="1"/>
  <c r="R116" i="8"/>
  <c r="W116" i="8" s="1"/>
  <c r="T286" i="8"/>
  <c r="V286" i="8" s="1"/>
  <c r="P82" i="8"/>
  <c r="L83" i="8"/>
  <c r="U83" i="8" s="1"/>
  <c r="U204" i="8"/>
  <c r="W204" i="8" s="1"/>
  <c r="T210" i="8"/>
  <c r="V210" i="8" s="1"/>
  <c r="P81" i="8"/>
  <c r="T115" i="8"/>
  <c r="T127" i="8"/>
  <c r="R127" i="8"/>
  <c r="W127" i="8" s="1"/>
  <c r="U247" i="8"/>
  <c r="W247" i="8" s="1"/>
  <c r="T247" i="8"/>
  <c r="V247" i="8" s="1"/>
  <c r="T214" i="8"/>
  <c r="V214" i="8" s="1"/>
  <c r="T331" i="8"/>
  <c r="V331" i="8" s="1"/>
  <c r="L72" i="8"/>
  <c r="R72" i="8" s="1"/>
  <c r="R244" i="8"/>
  <c r="W244" i="8" s="1"/>
  <c r="L76" i="8"/>
  <c r="U76" i="8" s="1"/>
  <c r="L71" i="8"/>
  <c r="V122" i="8"/>
  <c r="U307" i="8"/>
  <c r="W307" i="8" s="1"/>
  <c r="U323" i="8"/>
  <c r="W323" i="8" s="1"/>
  <c r="T245" i="8"/>
  <c r="U128" i="8"/>
  <c r="W128" i="8" s="1"/>
  <c r="N85" i="8"/>
  <c r="N75" i="8"/>
  <c r="V132" i="8"/>
  <c r="R170" i="8"/>
  <c r="W170" i="8" s="1"/>
  <c r="R192" i="8"/>
  <c r="W192" i="8" s="1"/>
  <c r="U253" i="8"/>
  <c r="W253" i="8" s="1"/>
  <c r="R329" i="8"/>
  <c r="W329" i="8" s="1"/>
  <c r="R311" i="8"/>
  <c r="N91" i="8"/>
  <c r="N73" i="8"/>
  <c r="R125" i="8"/>
  <c r="W125" i="8" s="1"/>
  <c r="W122" i="8"/>
  <c r="R143" i="8"/>
  <c r="V143" i="8" s="1"/>
  <c r="W154" i="8"/>
  <c r="T170" i="8"/>
  <c r="T195" i="8"/>
  <c r="V195" i="8" s="1"/>
  <c r="R215" i="8"/>
  <c r="W215" i="8" s="1"/>
  <c r="U210" i="8"/>
  <c r="W210" i="8" s="1"/>
  <c r="T263" i="8"/>
  <c r="V263" i="8" s="1"/>
  <c r="T291" i="8"/>
  <c r="N71" i="8"/>
  <c r="P80" i="8"/>
  <c r="T312" i="8"/>
  <c r="V312" i="8" s="1"/>
  <c r="P89" i="8"/>
  <c r="P83" i="8"/>
  <c r="R233" i="8"/>
  <c r="W233" i="8" s="1"/>
  <c r="R266" i="8"/>
  <c r="U295" i="8"/>
  <c r="W295" i="8" s="1"/>
  <c r="P78" i="8"/>
  <c r="P85" i="8"/>
  <c r="U75" i="8"/>
  <c r="W75" i="8" s="1"/>
  <c r="T137" i="8"/>
  <c r="V137" i="8" s="1"/>
  <c r="U157" i="8"/>
  <c r="U214" i="8"/>
  <c r="W214" i="8" s="1"/>
  <c r="U270" i="8"/>
  <c r="W270" i="8" s="1"/>
  <c r="T299" i="8"/>
  <c r="T116" i="8"/>
  <c r="N88" i="8"/>
  <c r="T243" i="8"/>
  <c r="V243" i="8" s="1"/>
  <c r="T148" i="8"/>
  <c r="R148" i="8"/>
  <c r="W148" i="8" s="1"/>
  <c r="T220" i="8"/>
  <c r="V220" i="8" s="1"/>
  <c r="R297" i="8"/>
  <c r="R292" i="8"/>
  <c r="U220" i="8"/>
  <c r="W220" i="8" s="1"/>
  <c r="T297" i="8"/>
  <c r="T192" i="8"/>
  <c r="T232" i="8"/>
  <c r="V232" i="8" s="1"/>
  <c r="T250" i="8"/>
  <c r="V250" i="8" s="1"/>
  <c r="T249" i="8"/>
  <c r="V249" i="8" s="1"/>
  <c r="T149" i="8"/>
  <c r="V149" i="8" s="1"/>
  <c r="U306" i="8"/>
  <c r="W306" i="8" s="1"/>
  <c r="N83" i="8"/>
  <c r="V130" i="8"/>
  <c r="T124" i="8"/>
  <c r="W130" i="8"/>
  <c r="U149" i="8"/>
  <c r="W149" i="8" s="1"/>
  <c r="T223" i="8"/>
  <c r="U258" i="8"/>
  <c r="W258" i="8" s="1"/>
  <c r="P73" i="8"/>
  <c r="R124" i="8"/>
  <c r="W124" i="8" s="1"/>
  <c r="T167" i="8"/>
  <c r="V167" i="8" s="1"/>
  <c r="T161" i="8"/>
  <c r="U167" i="8"/>
  <c r="W167" i="8" s="1"/>
  <c r="R207" i="8"/>
  <c r="W207" i="8" s="1"/>
  <c r="U241" i="8"/>
  <c r="W241" i="8" s="1"/>
  <c r="T226" i="8"/>
  <c r="V226" i="8" s="1"/>
  <c r="T258" i="8"/>
  <c r="V258" i="8" s="1"/>
  <c r="T207" i="8"/>
  <c r="W158" i="8"/>
  <c r="T171" i="8"/>
  <c r="V171" i="8" s="1"/>
  <c r="T216" i="8"/>
  <c r="T204" i="8"/>
  <c r="V204" i="8" s="1"/>
  <c r="U236" i="8"/>
  <c r="W236" i="8" s="1"/>
  <c r="T269" i="8"/>
  <c r="V269" i="8" s="1"/>
  <c r="T294" i="8"/>
  <c r="U250" i="8"/>
  <c r="W250" i="8" s="1"/>
  <c r="N78" i="8"/>
  <c r="P92" i="8"/>
  <c r="T125" i="8"/>
  <c r="T304" i="8"/>
  <c r="V304" i="8" s="1"/>
  <c r="L90" i="8"/>
  <c r="R90" i="8" s="1"/>
  <c r="L88" i="8"/>
  <c r="U88" i="8" s="1"/>
  <c r="P76" i="8"/>
  <c r="T241" i="8"/>
  <c r="V241" i="8" s="1"/>
  <c r="T305" i="8"/>
  <c r="U156" i="8"/>
  <c r="W156" i="8" s="1"/>
  <c r="N92" i="8"/>
  <c r="R142" i="8"/>
  <c r="V142" i="8" s="1"/>
  <c r="R136" i="8"/>
  <c r="V154" i="8"/>
  <c r="U184" i="8"/>
  <c r="W184" i="8" s="1"/>
  <c r="R293" i="8"/>
  <c r="W293" i="8" s="1"/>
  <c r="T140" i="8"/>
  <c r="U298" i="8"/>
  <c r="W298" i="8" s="1"/>
  <c r="W324" i="8"/>
  <c r="P90" i="8"/>
  <c r="L79" i="8"/>
  <c r="U79" i="8" s="1"/>
  <c r="U104" i="8"/>
  <c r="T156" i="8"/>
  <c r="V156" i="8" s="1"/>
  <c r="W145" i="8"/>
  <c r="T159" i="8"/>
  <c r="R180" i="8"/>
  <c r="T180" i="8"/>
  <c r="R216" i="8"/>
  <c r="T206" i="8"/>
  <c r="T212" i="8"/>
  <c r="V212" i="8" s="1"/>
  <c r="R228" i="8"/>
  <c r="W228" i="8" s="1"/>
  <c r="R267" i="8"/>
  <c r="W267" i="8" s="1"/>
  <c r="T268" i="8"/>
  <c r="U288" i="8"/>
  <c r="R278" i="8"/>
  <c r="W278" i="8" s="1"/>
  <c r="T266" i="8"/>
  <c r="T316" i="8"/>
  <c r="P88" i="8"/>
  <c r="U89" i="8"/>
  <c r="W89" i="8" s="1"/>
  <c r="R265" i="8"/>
  <c r="W265" i="8" s="1"/>
  <c r="R288" i="8"/>
  <c r="V288" i="8" s="1"/>
  <c r="T267" i="8"/>
  <c r="L80" i="8"/>
  <c r="U80" i="8" s="1"/>
  <c r="P86" i="8"/>
  <c r="N90" i="8"/>
  <c r="U101" i="8"/>
  <c r="W101" i="8" s="1"/>
  <c r="U109" i="8"/>
  <c r="W109" i="8" s="1"/>
  <c r="R104" i="8"/>
  <c r="V104" i="8" s="1"/>
  <c r="U117" i="8"/>
  <c r="W117" i="8" s="1"/>
  <c r="U138" i="8"/>
  <c r="W138" i="8" s="1"/>
  <c r="R140" i="8"/>
  <c r="W140" i="8" s="1"/>
  <c r="W177" i="8"/>
  <c r="R159" i="8"/>
  <c r="T215" i="8"/>
  <c r="T218" i="8"/>
  <c r="V218" i="8" s="1"/>
  <c r="U212" i="8"/>
  <c r="W212" i="8" s="1"/>
  <c r="T202" i="8"/>
  <c r="T251" i="8"/>
  <c r="V251" i="8" s="1"/>
  <c r="T257" i="8"/>
  <c r="V257" i="8" s="1"/>
  <c r="R291" i="8"/>
  <c r="T295" i="8"/>
  <c r="V295" i="8" s="1"/>
  <c r="T308" i="8"/>
  <c r="V308" i="8" s="1"/>
  <c r="R316" i="8"/>
  <c r="W316" i="8" s="1"/>
  <c r="W331" i="8"/>
  <c r="V153" i="8"/>
  <c r="N80" i="8"/>
  <c r="P79" i="8"/>
  <c r="V162" i="8"/>
  <c r="R248" i="8"/>
  <c r="W248" i="8" s="1"/>
  <c r="T276" i="8"/>
  <c r="U290" i="8"/>
  <c r="W290" i="8" s="1"/>
  <c r="R299" i="8"/>
  <c r="R305" i="8"/>
  <c r="V309" i="8"/>
  <c r="L78" i="8"/>
  <c r="R78" i="8" s="1"/>
  <c r="N76" i="8"/>
  <c r="L86" i="8"/>
  <c r="T95" i="8"/>
  <c r="V95" i="8" s="1"/>
  <c r="T128" i="8"/>
  <c r="V128" i="8" s="1"/>
  <c r="U142" i="8"/>
  <c r="U202" i="8"/>
  <c r="T224" i="8"/>
  <c r="U263" i="8"/>
  <c r="W263" i="8" s="1"/>
  <c r="V284" i="8"/>
  <c r="V271" i="8"/>
  <c r="T328" i="8"/>
  <c r="W308" i="8"/>
  <c r="U291" i="8"/>
  <c r="T314" i="8"/>
  <c r="T311" i="8"/>
  <c r="T329" i="8"/>
  <c r="T113" i="8"/>
  <c r="V113" i="8" s="1"/>
  <c r="W153" i="8"/>
  <c r="V145" i="8"/>
  <c r="V158" i="8"/>
  <c r="T188" i="8"/>
  <c r="T237" i="8"/>
  <c r="T244" i="8"/>
  <c r="T228" i="8"/>
  <c r="U251" i="8"/>
  <c r="W251" i="8" s="1"/>
  <c r="T270" i="8"/>
  <c r="V270" i="8" s="1"/>
  <c r="T293" i="8"/>
  <c r="T321" i="8"/>
  <c r="V321" i="8" s="1"/>
  <c r="T325" i="8"/>
  <c r="R314" i="8"/>
  <c r="W314" i="8" s="1"/>
  <c r="T208" i="8"/>
  <c r="V208" i="8" s="1"/>
  <c r="P71" i="8"/>
  <c r="T320" i="8"/>
  <c r="V320" i="8" s="1"/>
  <c r="R318" i="8"/>
  <c r="W318" i="8" s="1"/>
  <c r="T324" i="8"/>
  <c r="V324" i="8" s="1"/>
  <c r="T323" i="8"/>
  <c r="V323" i="8" s="1"/>
  <c r="U321" i="8"/>
  <c r="W321" i="8" s="1"/>
  <c r="T317" i="8"/>
  <c r="T315" i="8"/>
  <c r="T313" i="8"/>
  <c r="T322" i="8"/>
  <c r="V322" i="8" s="1"/>
  <c r="U328" i="8"/>
  <c r="U325" i="8"/>
  <c r="T326" i="8"/>
  <c r="R325" i="8"/>
  <c r="R313" i="8"/>
  <c r="U330" i="8"/>
  <c r="T330" i="8"/>
  <c r="R330" i="8"/>
  <c r="R317" i="8"/>
  <c r="T327" i="8"/>
  <c r="R327" i="8"/>
  <c r="U327" i="8"/>
  <c r="U322" i="8"/>
  <c r="W322" i="8" s="1"/>
  <c r="U313" i="8"/>
  <c r="R326" i="8"/>
  <c r="W312" i="8"/>
  <c r="W320" i="8"/>
  <c r="U317" i="8"/>
  <c r="T319" i="8"/>
  <c r="U319" i="8"/>
  <c r="R319" i="8"/>
  <c r="U326" i="8"/>
  <c r="T318" i="8"/>
  <c r="R328" i="8"/>
  <c r="T307" i="8"/>
  <c r="V307" i="8" s="1"/>
  <c r="U305" i="8"/>
  <c r="R303" i="8"/>
  <c r="W303" i="8" s="1"/>
  <c r="R300" i="8"/>
  <c r="W300" i="8" s="1"/>
  <c r="T303" i="8"/>
  <c r="T302" i="8"/>
  <c r="T300" i="8"/>
  <c r="V296" i="8"/>
  <c r="W296" i="8"/>
  <c r="T290" i="8"/>
  <c r="V290" i="8" s="1"/>
  <c r="T289" i="8"/>
  <c r="U302" i="8"/>
  <c r="T298" i="8"/>
  <c r="V298" i="8" s="1"/>
  <c r="R294" i="8"/>
  <c r="W304" i="8"/>
  <c r="T310" i="8"/>
  <c r="V310" i="8" s="1"/>
  <c r="U310" i="8"/>
  <c r="W310" i="8" s="1"/>
  <c r="T301" i="8"/>
  <c r="R301" i="8"/>
  <c r="U294" i="8"/>
  <c r="T306" i="8"/>
  <c r="V306" i="8" s="1"/>
  <c r="R302" i="8"/>
  <c r="U301" i="8"/>
  <c r="T280" i="8"/>
  <c r="T279" i="8"/>
  <c r="V279" i="8" s="1"/>
  <c r="U279" i="8"/>
  <c r="W279" i="8" s="1"/>
  <c r="R276" i="8"/>
  <c r="W269" i="8"/>
  <c r="T283" i="8"/>
  <c r="T278" i="8"/>
  <c r="U273" i="8"/>
  <c r="W273" i="8" s="1"/>
  <c r="T272" i="8"/>
  <c r="V287" i="8"/>
  <c r="W284" i="8"/>
  <c r="W287" i="8"/>
  <c r="T277" i="8"/>
  <c r="V277" i="8" s="1"/>
  <c r="U283" i="8"/>
  <c r="U280" i="8"/>
  <c r="T281" i="8"/>
  <c r="R280" i="8"/>
  <c r="R268" i="8"/>
  <c r="W271" i="8"/>
  <c r="U285" i="8"/>
  <c r="T285" i="8"/>
  <c r="R285" i="8"/>
  <c r="R272" i="8"/>
  <c r="T282" i="8"/>
  <c r="R282" i="8"/>
  <c r="U282" i="8"/>
  <c r="U277" i="8"/>
  <c r="W277" i="8" s="1"/>
  <c r="U268" i="8"/>
  <c r="R281" i="8"/>
  <c r="U272" i="8"/>
  <c r="T274" i="8"/>
  <c r="U274" i="8"/>
  <c r="R274" i="8"/>
  <c r="U281" i="8"/>
  <c r="T273" i="8"/>
  <c r="V273" i="8" s="1"/>
  <c r="R283" i="8"/>
  <c r="U256" i="8"/>
  <c r="W256" i="8" s="1"/>
  <c r="W254" i="8"/>
  <c r="T253" i="8"/>
  <c r="V253" i="8" s="1"/>
  <c r="T248" i="8"/>
  <c r="V262" i="8"/>
  <c r="U257" i="8"/>
  <c r="W257" i="8" s="1"/>
  <c r="V252" i="8"/>
  <c r="W252" i="8"/>
  <c r="T260" i="8"/>
  <c r="R260" i="8"/>
  <c r="T264" i="8"/>
  <c r="U264" i="8"/>
  <c r="V254" i="8"/>
  <c r="U260" i="8"/>
  <c r="W246" i="8"/>
  <c r="T261" i="8"/>
  <c r="V261" i="8" s="1"/>
  <c r="U261" i="8"/>
  <c r="W261" i="8" s="1"/>
  <c r="T256" i="8"/>
  <c r="V256" i="8" s="1"/>
  <c r="W262" i="8"/>
  <c r="T265" i="8"/>
  <c r="R264" i="8"/>
  <c r="T235" i="8"/>
  <c r="V235" i="8" s="1"/>
  <c r="T229" i="8"/>
  <c r="T227" i="8"/>
  <c r="V227" i="8" s="1"/>
  <c r="R224" i="8"/>
  <c r="U224" i="8"/>
  <c r="T240" i="8"/>
  <c r="T236" i="8"/>
  <c r="V236" i="8" s="1"/>
  <c r="T233" i="8"/>
  <c r="U230" i="8"/>
  <c r="W230" i="8" s="1"/>
  <c r="W226" i="8"/>
  <c r="T225" i="8"/>
  <c r="T234" i="8"/>
  <c r="V234" i="8" s="1"/>
  <c r="U240" i="8"/>
  <c r="U237" i="8"/>
  <c r="T238" i="8"/>
  <c r="R237" i="8"/>
  <c r="R225" i="8"/>
  <c r="U242" i="8"/>
  <c r="T242" i="8"/>
  <c r="R242" i="8"/>
  <c r="R229" i="8"/>
  <c r="T239" i="8"/>
  <c r="R239" i="8"/>
  <c r="U239" i="8"/>
  <c r="U234" i="8"/>
  <c r="W234" i="8" s="1"/>
  <c r="U225" i="8"/>
  <c r="R238" i="8"/>
  <c r="W232" i="8"/>
  <c r="U229" i="8"/>
  <c r="T231" i="8"/>
  <c r="U231" i="8"/>
  <c r="R231" i="8"/>
  <c r="U238" i="8"/>
  <c r="T230" i="8"/>
  <c r="V230" i="8" s="1"/>
  <c r="R240" i="8"/>
  <c r="U222" i="8"/>
  <c r="W222" i="8" s="1"/>
  <c r="T222" i="8"/>
  <c r="V222" i="8" s="1"/>
  <c r="R206" i="8"/>
  <c r="W206" i="8" s="1"/>
  <c r="R202" i="8"/>
  <c r="T221" i="8"/>
  <c r="U221" i="8"/>
  <c r="U205" i="8"/>
  <c r="T205" i="8"/>
  <c r="T217" i="8"/>
  <c r="U217" i="8"/>
  <c r="R221" i="8"/>
  <c r="U213" i="8"/>
  <c r="T213" i="8"/>
  <c r="R205" i="8"/>
  <c r="U201" i="8"/>
  <c r="T201" i="8"/>
  <c r="T219" i="8"/>
  <c r="V219" i="8" s="1"/>
  <c r="U219" i="8"/>
  <c r="W219" i="8" s="1"/>
  <c r="U211" i="8"/>
  <c r="W211" i="8" s="1"/>
  <c r="T211" i="8"/>
  <c r="V211" i="8" s="1"/>
  <c r="W218" i="8"/>
  <c r="U209" i="8"/>
  <c r="T209" i="8"/>
  <c r="R217" i="8"/>
  <c r="R213" i="8"/>
  <c r="U203" i="8"/>
  <c r="W203" i="8" s="1"/>
  <c r="T203" i="8"/>
  <c r="V203" i="8" s="1"/>
  <c r="R209" i="8"/>
  <c r="V200" i="8"/>
  <c r="R188" i="8"/>
  <c r="W188" i="8" s="1"/>
  <c r="T184" i="8"/>
  <c r="V184" i="8" s="1"/>
  <c r="U186" i="8"/>
  <c r="T186" i="8"/>
  <c r="V197" i="8"/>
  <c r="T183" i="8"/>
  <c r="R183" i="8"/>
  <c r="U183" i="8"/>
  <c r="T191" i="8"/>
  <c r="R191" i="8"/>
  <c r="U191" i="8"/>
  <c r="R186" i="8"/>
  <c r="V186" i="8" s="1"/>
  <c r="T194" i="8"/>
  <c r="V194" i="8" s="1"/>
  <c r="U194" i="8"/>
  <c r="W194" i="8" s="1"/>
  <c r="U182" i="8"/>
  <c r="W182" i="8" s="1"/>
  <c r="T182" i="8"/>
  <c r="V182" i="8" s="1"/>
  <c r="T185" i="8"/>
  <c r="R185" i="8"/>
  <c r="U185" i="8"/>
  <c r="T193" i="8"/>
  <c r="R193" i="8"/>
  <c r="U193" i="8"/>
  <c r="T198" i="8"/>
  <c r="V198" i="8" s="1"/>
  <c r="U198" i="8"/>
  <c r="W198" i="8" s="1"/>
  <c r="U190" i="8"/>
  <c r="W190" i="8" s="1"/>
  <c r="T190" i="8"/>
  <c r="V190" i="8" s="1"/>
  <c r="T187" i="8"/>
  <c r="U187" i="8"/>
  <c r="R187" i="8"/>
  <c r="W197" i="8"/>
  <c r="T181" i="8"/>
  <c r="R181" i="8"/>
  <c r="U181" i="8"/>
  <c r="T189" i="8"/>
  <c r="R189" i="8"/>
  <c r="U189" i="8"/>
  <c r="T196" i="8"/>
  <c r="V196" i="8" s="1"/>
  <c r="U196" i="8"/>
  <c r="W196" i="8" s="1"/>
  <c r="W200" i="8"/>
  <c r="T165" i="8"/>
  <c r="V160" i="8"/>
  <c r="R175" i="8"/>
  <c r="V175" i="8" s="1"/>
  <c r="T174" i="8"/>
  <c r="V174" i="8" s="1"/>
  <c r="V169" i="8"/>
  <c r="W169" i="8"/>
  <c r="U168" i="8"/>
  <c r="W168" i="8" s="1"/>
  <c r="R165" i="8"/>
  <c r="V164" i="8"/>
  <c r="W164" i="8"/>
  <c r="U161" i="8"/>
  <c r="R161" i="8"/>
  <c r="T157" i="8"/>
  <c r="W160" i="8"/>
  <c r="T178" i="8"/>
  <c r="R178" i="8"/>
  <c r="T166" i="8"/>
  <c r="V166" i="8" s="1"/>
  <c r="U166" i="8"/>
  <c r="W166" i="8" s="1"/>
  <c r="W174" i="8"/>
  <c r="V173" i="8"/>
  <c r="V179" i="8"/>
  <c r="W179" i="8"/>
  <c r="W173" i="8"/>
  <c r="V177" i="8"/>
  <c r="V163" i="8"/>
  <c r="W163" i="8"/>
  <c r="T168" i="8"/>
  <c r="V168" i="8" s="1"/>
  <c r="U175" i="8"/>
  <c r="V172" i="8"/>
  <c r="T138" i="8"/>
  <c r="V138" i="8" s="1"/>
  <c r="T136" i="8"/>
  <c r="T151" i="8"/>
  <c r="T139" i="8"/>
  <c r="V139" i="8" s="1"/>
  <c r="T150" i="8"/>
  <c r="R150" i="8"/>
  <c r="U150" i="8"/>
  <c r="R151" i="8"/>
  <c r="U147" i="8"/>
  <c r="T141" i="8"/>
  <c r="U141" i="8"/>
  <c r="R141" i="8"/>
  <c r="T146" i="8"/>
  <c r="V146" i="8" s="1"/>
  <c r="U146" i="8"/>
  <c r="W146" i="8" s="1"/>
  <c r="T144" i="8"/>
  <c r="V144" i="8" s="1"/>
  <c r="U144" i="8"/>
  <c r="W144" i="8" s="1"/>
  <c r="T152" i="8"/>
  <c r="U152" i="8"/>
  <c r="R152" i="8"/>
  <c r="U151" i="8"/>
  <c r="W151" i="8" s="1"/>
  <c r="R147" i="8"/>
  <c r="V147" i="8" s="1"/>
  <c r="T129" i="8"/>
  <c r="T117" i="8"/>
  <c r="V117" i="8" s="1"/>
  <c r="R114" i="8"/>
  <c r="T114" i="8"/>
  <c r="W133" i="8"/>
  <c r="W132" i="8"/>
  <c r="T131" i="8"/>
  <c r="V131" i="8" s="1"/>
  <c r="U131" i="8"/>
  <c r="W131" i="8" s="1"/>
  <c r="V129" i="8"/>
  <c r="U123" i="8"/>
  <c r="R123" i="8"/>
  <c r="V123" i="8" s="1"/>
  <c r="W121" i="8"/>
  <c r="V133" i="8"/>
  <c r="T126" i="8"/>
  <c r="R126" i="8"/>
  <c r="R115" i="8"/>
  <c r="T135" i="8"/>
  <c r="U135" i="8"/>
  <c r="T119" i="8"/>
  <c r="R120" i="8"/>
  <c r="V120" i="8" s="1"/>
  <c r="R119" i="8"/>
  <c r="W129" i="8"/>
  <c r="U115" i="8"/>
  <c r="V121" i="8"/>
  <c r="U120" i="8"/>
  <c r="U119" i="8"/>
  <c r="R135" i="8"/>
  <c r="T111" i="8"/>
  <c r="R107" i="8"/>
  <c r="W107" i="8" s="1"/>
  <c r="T99" i="8"/>
  <c r="T97" i="8"/>
  <c r="R97" i="8"/>
  <c r="W95" i="8"/>
  <c r="T103" i="8"/>
  <c r="T112" i="8"/>
  <c r="U112" i="8"/>
  <c r="T110" i="8"/>
  <c r="U110" i="8"/>
  <c r="T107" i="8"/>
  <c r="T108" i="8"/>
  <c r="V108" i="8" s="1"/>
  <c r="U108" i="8"/>
  <c r="W108" i="8" s="1"/>
  <c r="T105" i="8"/>
  <c r="T96" i="8"/>
  <c r="V96" i="8" s="1"/>
  <c r="U96" i="8"/>
  <c r="W96" i="8" s="1"/>
  <c r="R110" i="8"/>
  <c r="U103" i="8"/>
  <c r="R99" i="8"/>
  <c r="T98" i="8"/>
  <c r="V98" i="8" s="1"/>
  <c r="U98" i="8"/>
  <c r="W98" i="8" s="1"/>
  <c r="T102" i="8"/>
  <c r="V102" i="8" s="1"/>
  <c r="U102" i="8"/>
  <c r="W102" i="8" s="1"/>
  <c r="R112" i="8"/>
  <c r="T106" i="8"/>
  <c r="U106" i="8"/>
  <c r="R103" i="8"/>
  <c r="T100" i="8"/>
  <c r="V100" i="8" s="1"/>
  <c r="U100" i="8"/>
  <c r="W100" i="8" s="1"/>
  <c r="R105" i="8"/>
  <c r="T101" i="8"/>
  <c r="V101" i="8" s="1"/>
  <c r="U97" i="8"/>
  <c r="T94" i="8"/>
  <c r="U94" i="8"/>
  <c r="T109" i="8"/>
  <c r="V109" i="8" s="1"/>
  <c r="U99" i="8"/>
  <c r="R106" i="8"/>
  <c r="U92" i="8"/>
  <c r="W92" i="8" s="1"/>
  <c r="N84" i="8"/>
  <c r="P84" i="8"/>
  <c r="U81" i="8"/>
  <c r="W81" i="8" s="1"/>
  <c r="L73" i="8"/>
  <c r="P87" i="8"/>
  <c r="N87" i="8"/>
  <c r="L87" i="8"/>
  <c r="R87" i="8" s="1"/>
  <c r="L77" i="8"/>
  <c r="U77" i="8" s="1"/>
  <c r="N74" i="8"/>
  <c r="P74" i="8"/>
  <c r="P77" i="8"/>
  <c r="N77" i="8"/>
  <c r="L74" i="8"/>
  <c r="R84" i="8"/>
  <c r="N30" i="8"/>
  <c r="T7" i="8"/>
  <c r="R7" i="8"/>
  <c r="T17" i="8"/>
  <c r="R17" i="8"/>
  <c r="R8" i="8"/>
  <c r="T8" i="8"/>
  <c r="W18" i="8"/>
  <c r="U8" i="8"/>
  <c r="T16" i="8"/>
  <c r="R16" i="8"/>
  <c r="T19" i="8"/>
  <c r="R19" i="8"/>
  <c r="T9" i="8"/>
  <c r="R9" i="8"/>
  <c r="U19" i="8"/>
  <c r="U9" i="8"/>
  <c r="P29" i="8"/>
  <c r="P30" i="8"/>
  <c r="T15" i="8"/>
  <c r="R15" i="8"/>
  <c r="T6" i="8"/>
  <c r="R6" i="8"/>
  <c r="U16" i="8"/>
  <c r="W16" i="8" s="1"/>
  <c r="U17" i="8"/>
  <c r="W17" i="8" s="1"/>
  <c r="U7" i="8"/>
  <c r="R18" i="8"/>
  <c r="T18" i="8"/>
  <c r="T13" i="8"/>
  <c r="R13" i="8"/>
  <c r="L30" i="8"/>
  <c r="T5" i="8"/>
  <c r="R5" i="8"/>
  <c r="L29" i="8"/>
  <c r="U13" i="8"/>
  <c r="U15" i="8"/>
  <c r="U6" i="8"/>
  <c r="I66" i="6"/>
  <c r="K66" i="6"/>
  <c r="M66" i="6"/>
  <c r="O66" i="6"/>
  <c r="Q66" i="6"/>
  <c r="S66" i="6"/>
  <c r="F37" i="6"/>
  <c r="E42" i="6"/>
  <c r="E43" i="6"/>
  <c r="E44" i="6"/>
  <c r="E45" i="6"/>
  <c r="E77" i="6" s="1"/>
  <c r="E107" i="6" s="1"/>
  <c r="E46" i="6"/>
  <c r="E47" i="6"/>
  <c r="E79" i="6" s="1"/>
  <c r="E109" i="6" s="1"/>
  <c r="E48" i="6"/>
  <c r="E49" i="6"/>
  <c r="E81" i="6" s="1"/>
  <c r="E111" i="6" s="1"/>
  <c r="E50" i="6"/>
  <c r="E82" i="6" s="1"/>
  <c r="E112" i="6" s="1"/>
  <c r="E51" i="6"/>
  <c r="G51" i="6" s="1"/>
  <c r="E52" i="6"/>
  <c r="E53" i="6"/>
  <c r="E85" i="6" s="1"/>
  <c r="E115" i="6" s="1"/>
  <c r="E54" i="6"/>
  <c r="E55" i="6"/>
  <c r="F55" i="6" s="1"/>
  <c r="E56" i="6"/>
  <c r="E88" i="6" s="1"/>
  <c r="E57" i="6"/>
  <c r="E89" i="6" s="1"/>
  <c r="E119" i="6" s="1"/>
  <c r="E58" i="6"/>
  <c r="E90" i="6" s="1"/>
  <c r="E120" i="6" s="1"/>
  <c r="E59" i="6"/>
  <c r="E91" i="6" s="1"/>
  <c r="E121" i="6" s="1"/>
  <c r="E60" i="6"/>
  <c r="E92" i="6" s="1"/>
  <c r="F92" i="6" s="1"/>
  <c r="E61" i="6"/>
  <c r="F61" i="6" s="1"/>
  <c r="E62" i="6"/>
  <c r="E94" i="6" s="1"/>
  <c r="E124" i="6" s="1"/>
  <c r="E63" i="6"/>
  <c r="E95" i="6" s="1"/>
  <c r="E125" i="6" s="1"/>
  <c r="E41" i="6"/>
  <c r="E73" i="6" s="1"/>
  <c r="E103" i="6" s="1"/>
  <c r="D42" i="6"/>
  <c r="D74" i="6" s="1"/>
  <c r="D104" i="6" s="1"/>
  <c r="D43" i="6"/>
  <c r="D75" i="6" s="1"/>
  <c r="D105" i="6" s="1"/>
  <c r="D44" i="6"/>
  <c r="D76" i="6" s="1"/>
  <c r="D106" i="6" s="1"/>
  <c r="D45" i="6"/>
  <c r="D77" i="6" s="1"/>
  <c r="D46" i="6"/>
  <c r="D78" i="6" s="1"/>
  <c r="D108" i="6" s="1"/>
  <c r="D47" i="6"/>
  <c r="D79" i="6" s="1"/>
  <c r="D48" i="6"/>
  <c r="D80" i="6" s="1"/>
  <c r="D49" i="6"/>
  <c r="D81" i="6" s="1"/>
  <c r="D50" i="6"/>
  <c r="D82" i="6" s="1"/>
  <c r="D112" i="6" s="1"/>
  <c r="D51" i="6"/>
  <c r="D83" i="6" s="1"/>
  <c r="D113" i="6" s="1"/>
  <c r="D52" i="6"/>
  <c r="D84" i="6" s="1"/>
  <c r="D53" i="6"/>
  <c r="D85" i="6" s="1"/>
  <c r="D115" i="6" s="1"/>
  <c r="D54" i="6"/>
  <c r="D86" i="6" s="1"/>
  <c r="D116" i="6" s="1"/>
  <c r="D55" i="6"/>
  <c r="D87" i="6" s="1"/>
  <c r="D56" i="6"/>
  <c r="D88" i="6" s="1"/>
  <c r="D57" i="6"/>
  <c r="D89" i="6" s="1"/>
  <c r="D58" i="6"/>
  <c r="D90" i="6" s="1"/>
  <c r="D120" i="6" s="1"/>
  <c r="D59" i="6"/>
  <c r="D91" i="6" s="1"/>
  <c r="D60" i="6"/>
  <c r="D92" i="6" s="1"/>
  <c r="D61" i="6"/>
  <c r="D93" i="6" s="1"/>
  <c r="D62" i="6"/>
  <c r="D94" i="6" s="1"/>
  <c r="D124" i="6" s="1"/>
  <c r="D63" i="6"/>
  <c r="D95" i="6" s="1"/>
  <c r="D41" i="6"/>
  <c r="D73" i="6" s="1"/>
  <c r="W64" i="6"/>
  <c r="F6" i="6"/>
  <c r="E31" i="6"/>
  <c r="D31" i="6"/>
  <c r="E30" i="6"/>
  <c r="D30" i="6"/>
  <c r="P28" i="6"/>
  <c r="N28" i="6"/>
  <c r="J28" i="6"/>
  <c r="H28" i="6"/>
  <c r="G28" i="6"/>
  <c r="L28" i="6" s="1"/>
  <c r="F28" i="6"/>
  <c r="P27" i="6"/>
  <c r="N27" i="6"/>
  <c r="J27" i="6"/>
  <c r="H27" i="6"/>
  <c r="G27" i="6"/>
  <c r="L27" i="6" s="1"/>
  <c r="F27" i="6"/>
  <c r="P26" i="6"/>
  <c r="N26" i="6"/>
  <c r="J26" i="6"/>
  <c r="H26" i="6"/>
  <c r="G26" i="6"/>
  <c r="L26" i="6" s="1"/>
  <c r="F26" i="6"/>
  <c r="P25" i="6"/>
  <c r="N25" i="6"/>
  <c r="J25" i="6"/>
  <c r="H25" i="6"/>
  <c r="G25" i="6"/>
  <c r="L25" i="6" s="1"/>
  <c r="F25" i="6"/>
  <c r="P24" i="6"/>
  <c r="N24" i="6"/>
  <c r="J24" i="6"/>
  <c r="H24" i="6"/>
  <c r="G24" i="6"/>
  <c r="L24" i="6" s="1"/>
  <c r="F24" i="6"/>
  <c r="P23" i="6"/>
  <c r="N23" i="6"/>
  <c r="J23" i="6"/>
  <c r="H23" i="6"/>
  <c r="G23" i="6"/>
  <c r="L23" i="6" s="1"/>
  <c r="F23" i="6"/>
  <c r="P22" i="6"/>
  <c r="N22" i="6"/>
  <c r="J22" i="6"/>
  <c r="H22" i="6"/>
  <c r="G22" i="6"/>
  <c r="L22" i="6" s="1"/>
  <c r="F22" i="6"/>
  <c r="P21" i="6"/>
  <c r="N21" i="6"/>
  <c r="J21" i="6"/>
  <c r="H21" i="6"/>
  <c r="G21" i="6"/>
  <c r="L21" i="6" s="1"/>
  <c r="F21" i="6"/>
  <c r="J20" i="6"/>
  <c r="H20" i="6"/>
  <c r="G20" i="6"/>
  <c r="F20" i="6"/>
  <c r="J19" i="6"/>
  <c r="H19" i="6"/>
  <c r="G19" i="6"/>
  <c r="F19" i="6"/>
  <c r="J18" i="6"/>
  <c r="H18" i="6"/>
  <c r="G18" i="6"/>
  <c r="F18" i="6"/>
  <c r="J17" i="6"/>
  <c r="H17" i="6"/>
  <c r="G17" i="6"/>
  <c r="F17" i="6"/>
  <c r="J16" i="6"/>
  <c r="H16" i="6"/>
  <c r="G16" i="6"/>
  <c r="F16" i="6"/>
  <c r="P15" i="6"/>
  <c r="N15" i="6"/>
  <c r="J15" i="6"/>
  <c r="H15" i="6"/>
  <c r="G15" i="6"/>
  <c r="L15" i="6" s="1"/>
  <c r="F15" i="6"/>
  <c r="J14" i="6"/>
  <c r="H14" i="6"/>
  <c r="G14" i="6"/>
  <c r="F14" i="6"/>
  <c r="P13" i="6"/>
  <c r="N13" i="6"/>
  <c r="J13" i="6"/>
  <c r="H13" i="6"/>
  <c r="G13" i="6"/>
  <c r="L13" i="6" s="1"/>
  <c r="F13" i="6"/>
  <c r="P12" i="6"/>
  <c r="N12" i="6"/>
  <c r="J12" i="6"/>
  <c r="H12" i="6"/>
  <c r="G12" i="6"/>
  <c r="L12" i="6" s="1"/>
  <c r="F12" i="6"/>
  <c r="P11" i="6"/>
  <c r="N11" i="6"/>
  <c r="J11" i="6"/>
  <c r="H11" i="6"/>
  <c r="G11" i="6"/>
  <c r="L11" i="6" s="1"/>
  <c r="F11" i="6"/>
  <c r="J10" i="6"/>
  <c r="H10" i="6"/>
  <c r="G10" i="6"/>
  <c r="F10" i="6"/>
  <c r="J9" i="6"/>
  <c r="H9" i="6"/>
  <c r="G9" i="6"/>
  <c r="F9" i="6"/>
  <c r="J8" i="6"/>
  <c r="H8" i="6"/>
  <c r="G8" i="6"/>
  <c r="F8" i="6"/>
  <c r="J7" i="6"/>
  <c r="H7" i="6"/>
  <c r="G7" i="6"/>
  <c r="F7" i="6"/>
  <c r="J6" i="6"/>
  <c r="H6" i="6"/>
  <c r="G6" i="6"/>
  <c r="E171" i="5"/>
  <c r="D171" i="5"/>
  <c r="E170" i="5"/>
  <c r="D170" i="5"/>
  <c r="W169" i="5"/>
  <c r="P168" i="5"/>
  <c r="N168" i="5"/>
  <c r="J168" i="5"/>
  <c r="H168" i="5"/>
  <c r="G168" i="5"/>
  <c r="L168" i="5" s="1"/>
  <c r="T168" i="5" s="1"/>
  <c r="F168" i="5"/>
  <c r="P167" i="5"/>
  <c r="N167" i="5"/>
  <c r="J167" i="5"/>
  <c r="H167" i="5"/>
  <c r="G167" i="5"/>
  <c r="L167" i="5" s="1"/>
  <c r="T167" i="5" s="1"/>
  <c r="F167" i="5"/>
  <c r="P166" i="5"/>
  <c r="N166" i="5"/>
  <c r="J166" i="5"/>
  <c r="H166" i="5"/>
  <c r="G166" i="5"/>
  <c r="L166" i="5" s="1"/>
  <c r="F166" i="5"/>
  <c r="P165" i="5"/>
  <c r="N165" i="5"/>
  <c r="J165" i="5"/>
  <c r="H165" i="5"/>
  <c r="G165" i="5"/>
  <c r="L165" i="5" s="1"/>
  <c r="F165" i="5"/>
  <c r="P164" i="5"/>
  <c r="N164" i="5"/>
  <c r="L164" i="5"/>
  <c r="J164" i="5"/>
  <c r="H164" i="5"/>
  <c r="G164" i="5"/>
  <c r="F164" i="5"/>
  <c r="P163" i="5"/>
  <c r="N163" i="5"/>
  <c r="J163" i="5"/>
  <c r="H163" i="5"/>
  <c r="G163" i="5"/>
  <c r="L163" i="5" s="1"/>
  <c r="F163" i="5"/>
  <c r="P162" i="5"/>
  <c r="N162" i="5"/>
  <c r="J162" i="5"/>
  <c r="H162" i="5"/>
  <c r="G162" i="5"/>
  <c r="L162" i="5" s="1"/>
  <c r="F162" i="5"/>
  <c r="P161" i="5"/>
  <c r="N161" i="5"/>
  <c r="J161" i="5"/>
  <c r="H161" i="5"/>
  <c r="G161" i="5"/>
  <c r="L161" i="5" s="1"/>
  <c r="F161" i="5"/>
  <c r="J160" i="5"/>
  <c r="H160" i="5"/>
  <c r="G160" i="5"/>
  <c r="F160" i="5"/>
  <c r="J159" i="5"/>
  <c r="H159" i="5"/>
  <c r="G159" i="5"/>
  <c r="F159" i="5"/>
  <c r="J158" i="5"/>
  <c r="H158" i="5"/>
  <c r="G158" i="5"/>
  <c r="F158" i="5"/>
  <c r="J157" i="5"/>
  <c r="H157" i="5"/>
  <c r="G157" i="5"/>
  <c r="F157" i="5"/>
  <c r="J156" i="5"/>
  <c r="H156" i="5"/>
  <c r="G156" i="5"/>
  <c r="F156" i="5"/>
  <c r="P155" i="5"/>
  <c r="N155" i="5"/>
  <c r="J155" i="5"/>
  <c r="H155" i="5"/>
  <c r="G155" i="5"/>
  <c r="L155" i="5" s="1"/>
  <c r="T155" i="5" s="1"/>
  <c r="F155" i="5"/>
  <c r="J154" i="5"/>
  <c r="H154" i="5"/>
  <c r="G154" i="5"/>
  <c r="F154" i="5"/>
  <c r="P153" i="5"/>
  <c r="N153" i="5"/>
  <c r="L153" i="5"/>
  <c r="J153" i="5"/>
  <c r="H153" i="5"/>
  <c r="G153" i="5"/>
  <c r="F153" i="5"/>
  <c r="P152" i="5"/>
  <c r="N152" i="5"/>
  <c r="J152" i="5"/>
  <c r="H152" i="5"/>
  <c r="G152" i="5"/>
  <c r="L152" i="5" s="1"/>
  <c r="F152" i="5"/>
  <c r="P151" i="5"/>
  <c r="N151" i="5"/>
  <c r="J151" i="5"/>
  <c r="H151" i="5"/>
  <c r="G151" i="5"/>
  <c r="L151" i="5" s="1"/>
  <c r="F151" i="5"/>
  <c r="J150" i="5"/>
  <c r="H150" i="5"/>
  <c r="G150" i="5"/>
  <c r="F150" i="5"/>
  <c r="J149" i="5"/>
  <c r="H149" i="5"/>
  <c r="G149" i="5"/>
  <c r="F149" i="5"/>
  <c r="J148" i="5"/>
  <c r="H148" i="5"/>
  <c r="G148" i="5"/>
  <c r="F148" i="5"/>
  <c r="J147" i="5"/>
  <c r="H147" i="5"/>
  <c r="G147" i="5"/>
  <c r="F147" i="5"/>
  <c r="J146" i="5"/>
  <c r="H146" i="5"/>
  <c r="G146" i="5"/>
  <c r="F146" i="5"/>
  <c r="F129" i="5"/>
  <c r="F128" i="5"/>
  <c r="F114" i="5"/>
  <c r="F113" i="5"/>
  <c r="F112" i="5"/>
  <c r="F97" i="5"/>
  <c r="F96" i="5"/>
  <c r="B113" i="5"/>
  <c r="B112" i="5"/>
  <c r="B98" i="5"/>
  <c r="B97" i="5"/>
  <c r="B96" i="5"/>
  <c r="B129" i="5"/>
  <c r="B128" i="5"/>
  <c r="E40" i="5"/>
  <c r="D40" i="5"/>
  <c r="W38" i="5"/>
  <c r="P14" i="5"/>
  <c r="P15" i="5"/>
  <c r="P16" i="5"/>
  <c r="P18" i="5"/>
  <c r="P28" i="5"/>
  <c r="P29" i="5"/>
  <c r="P30" i="5"/>
  <c r="P31" i="5"/>
  <c r="P32" i="5"/>
  <c r="P35" i="5"/>
  <c r="P36" i="5"/>
  <c r="P37" i="5"/>
  <c r="N14" i="5"/>
  <c r="N15" i="5"/>
  <c r="N16" i="5"/>
  <c r="N18" i="5"/>
  <c r="N28" i="5"/>
  <c r="N29" i="5"/>
  <c r="N30" i="5"/>
  <c r="N31" i="5"/>
  <c r="N32" i="5"/>
  <c r="N35" i="5"/>
  <c r="N36" i="5"/>
  <c r="N37" i="5"/>
  <c r="J21" i="5"/>
  <c r="J22" i="5"/>
  <c r="J23" i="5"/>
  <c r="J24" i="5"/>
  <c r="J25" i="5"/>
  <c r="J28" i="5"/>
  <c r="J29" i="5"/>
  <c r="J30" i="5"/>
  <c r="J31" i="5"/>
  <c r="J32" i="5"/>
  <c r="J35" i="5"/>
  <c r="J36" i="5"/>
  <c r="J37" i="5"/>
  <c r="J8" i="5"/>
  <c r="J9" i="5"/>
  <c r="J10" i="5"/>
  <c r="J11" i="5"/>
  <c r="J14" i="5"/>
  <c r="J15" i="5"/>
  <c r="J16" i="5"/>
  <c r="J17" i="5"/>
  <c r="J18" i="5"/>
  <c r="J7" i="5"/>
  <c r="H8" i="5"/>
  <c r="H9" i="5"/>
  <c r="H10" i="5"/>
  <c r="H11" i="5"/>
  <c r="H14" i="5"/>
  <c r="H15" i="5"/>
  <c r="H16" i="5"/>
  <c r="H17" i="5"/>
  <c r="H18" i="5"/>
  <c r="H21" i="5"/>
  <c r="H22" i="5"/>
  <c r="H23" i="5"/>
  <c r="H24" i="5"/>
  <c r="H25" i="5"/>
  <c r="H28" i="5"/>
  <c r="H29" i="5"/>
  <c r="H30" i="5"/>
  <c r="H31" i="5"/>
  <c r="H32" i="5"/>
  <c r="H35" i="5"/>
  <c r="H36" i="5"/>
  <c r="H37" i="5"/>
  <c r="H7" i="5"/>
  <c r="E39" i="5"/>
  <c r="D39" i="5"/>
  <c r="G8" i="5"/>
  <c r="G9" i="5"/>
  <c r="G10" i="5"/>
  <c r="G11" i="5"/>
  <c r="G14" i="5"/>
  <c r="L14" i="5" s="1"/>
  <c r="G15" i="5"/>
  <c r="L15" i="5" s="1"/>
  <c r="G16" i="5"/>
  <c r="L16" i="5" s="1"/>
  <c r="G17" i="5"/>
  <c r="G18" i="5"/>
  <c r="L18" i="5" s="1"/>
  <c r="G21" i="5"/>
  <c r="G22" i="5"/>
  <c r="G23" i="5"/>
  <c r="G24" i="5"/>
  <c r="G25" i="5"/>
  <c r="G28" i="5"/>
  <c r="L28" i="5" s="1"/>
  <c r="G29" i="5"/>
  <c r="L29" i="5" s="1"/>
  <c r="G30" i="5"/>
  <c r="L30" i="5" s="1"/>
  <c r="G31" i="5"/>
  <c r="L31" i="5" s="1"/>
  <c r="G32" i="5"/>
  <c r="L32" i="5" s="1"/>
  <c r="G35" i="5"/>
  <c r="L35" i="5" s="1"/>
  <c r="G36" i="5"/>
  <c r="L36" i="5" s="1"/>
  <c r="G37" i="5"/>
  <c r="L37" i="5" s="1"/>
  <c r="G7" i="5"/>
  <c r="F8" i="5"/>
  <c r="F9" i="5"/>
  <c r="F10" i="5"/>
  <c r="N10" i="5" s="1"/>
  <c r="F11" i="5"/>
  <c r="N11" i="5" s="1"/>
  <c r="F14" i="5"/>
  <c r="F15" i="5"/>
  <c r="F16" i="5"/>
  <c r="F17" i="5"/>
  <c r="N17" i="5" s="1"/>
  <c r="F18" i="5"/>
  <c r="F21" i="5"/>
  <c r="F22" i="5"/>
  <c r="L22" i="5" s="1"/>
  <c r="F23" i="5"/>
  <c r="F24" i="5"/>
  <c r="F25" i="5"/>
  <c r="F28" i="5"/>
  <c r="F29" i="5"/>
  <c r="F30" i="5"/>
  <c r="F31" i="5"/>
  <c r="F32" i="5"/>
  <c r="F35" i="5"/>
  <c r="F36" i="5"/>
  <c r="F37" i="5"/>
  <c r="F7" i="5"/>
  <c r="N7" i="5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E4" i="4"/>
  <c r="E5" i="4"/>
  <c r="E6" i="4"/>
  <c r="E7" i="4"/>
  <c r="E8" i="4"/>
  <c r="E9" i="4"/>
  <c r="E10" i="4"/>
  <c r="E11" i="4"/>
  <c r="E12" i="4"/>
  <c r="E13" i="4"/>
  <c r="E3" i="4"/>
  <c r="F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D4" i="4"/>
  <c r="D5" i="4"/>
  <c r="D6" i="4"/>
  <c r="D7" i="4"/>
  <c r="D10" i="4"/>
  <c r="D11" i="4"/>
  <c r="D12" i="4"/>
  <c r="D13" i="4"/>
  <c r="D14" i="4"/>
  <c r="D17" i="4"/>
  <c r="D18" i="4"/>
  <c r="D19" i="4"/>
  <c r="D20" i="4"/>
  <c r="D21" i="4"/>
  <c r="D24" i="4"/>
  <c r="D25" i="4"/>
  <c r="D26" i="4"/>
  <c r="D27" i="4"/>
  <c r="D28" i="4"/>
  <c r="D31" i="4"/>
  <c r="D32" i="4"/>
  <c r="D33" i="4"/>
  <c r="D3" i="4"/>
  <c r="C4" i="4"/>
  <c r="C5" i="4"/>
  <c r="C6" i="4"/>
  <c r="C7" i="4"/>
  <c r="C10" i="4"/>
  <c r="C11" i="4"/>
  <c r="C12" i="4"/>
  <c r="C13" i="4"/>
  <c r="C14" i="4"/>
  <c r="C17" i="4"/>
  <c r="C18" i="4"/>
  <c r="C19" i="4"/>
  <c r="C20" i="4"/>
  <c r="C21" i="4"/>
  <c r="C24" i="4"/>
  <c r="C25" i="4"/>
  <c r="C26" i="4"/>
  <c r="C27" i="4"/>
  <c r="C28" i="4"/>
  <c r="C31" i="4"/>
  <c r="C32" i="4"/>
  <c r="C33" i="4"/>
  <c r="C3" i="4"/>
  <c r="F4" i="3"/>
  <c r="F5" i="3"/>
  <c r="F6" i="3"/>
  <c r="F7" i="3"/>
  <c r="F10" i="3"/>
  <c r="F11" i="3"/>
  <c r="F12" i="3"/>
  <c r="F13" i="3"/>
  <c r="F14" i="3"/>
  <c r="F17" i="3"/>
  <c r="F18" i="3"/>
  <c r="F19" i="3"/>
  <c r="F20" i="3"/>
  <c r="F21" i="3"/>
  <c r="F24" i="3"/>
  <c r="F25" i="3"/>
  <c r="F26" i="3"/>
  <c r="F27" i="3"/>
  <c r="F28" i="3"/>
  <c r="F31" i="3"/>
  <c r="F32" i="3"/>
  <c r="F33" i="3"/>
  <c r="F3" i="3"/>
  <c r="E42" i="1"/>
  <c r="E50" i="1"/>
  <c r="E51" i="1"/>
  <c r="E43" i="1"/>
  <c r="E44" i="1"/>
  <c r="E52" i="1"/>
  <c r="D52" i="1"/>
  <c r="C52" i="1"/>
  <c r="E49" i="1"/>
  <c r="D49" i="1"/>
  <c r="E48" i="1"/>
  <c r="D48" i="1"/>
  <c r="E47" i="1"/>
  <c r="D47" i="1"/>
  <c r="E46" i="1"/>
  <c r="D46" i="1"/>
  <c r="E45" i="1"/>
  <c r="D45" i="1"/>
  <c r="D42" i="1"/>
  <c r="E41" i="1"/>
  <c r="D41" i="1"/>
  <c r="D40" i="1"/>
  <c r="E40" i="1" s="1"/>
  <c r="E39" i="1"/>
  <c r="D39" i="1"/>
  <c r="D38" i="1"/>
  <c r="C49" i="1"/>
  <c r="C48" i="1"/>
  <c r="C47" i="1"/>
  <c r="C46" i="1"/>
  <c r="C45" i="1"/>
  <c r="C42" i="1"/>
  <c r="C41" i="1"/>
  <c r="C40" i="1"/>
  <c r="C39" i="1"/>
  <c r="C38" i="1"/>
  <c r="E38" i="1" s="1"/>
  <c r="N9" i="11" l="1"/>
  <c r="H26" i="12"/>
  <c r="P26" i="12" s="1"/>
  <c r="H18" i="12"/>
  <c r="L20" i="11"/>
  <c r="R131" i="12"/>
  <c r="U131" i="12"/>
  <c r="U241" i="12"/>
  <c r="U97" i="12"/>
  <c r="R97" i="12"/>
  <c r="W132" i="12"/>
  <c r="T72" i="12"/>
  <c r="U72" i="12"/>
  <c r="R72" i="12"/>
  <c r="V72" i="12" s="1"/>
  <c r="R53" i="12"/>
  <c r="U53" i="12"/>
  <c r="T31" i="12"/>
  <c r="V119" i="11"/>
  <c r="L248" i="12"/>
  <c r="G274" i="12"/>
  <c r="N29" i="12"/>
  <c r="N270" i="12" s="1"/>
  <c r="L148" i="12"/>
  <c r="T148" i="12" s="1"/>
  <c r="L8" i="11"/>
  <c r="R8" i="11" s="1"/>
  <c r="N254" i="12"/>
  <c r="R136" i="11"/>
  <c r="W136" i="11" s="1"/>
  <c r="U164" i="5"/>
  <c r="U239" i="12"/>
  <c r="T142" i="11"/>
  <c r="U102" i="12"/>
  <c r="R81" i="12"/>
  <c r="L21" i="11"/>
  <c r="R21" i="11" s="1"/>
  <c r="P248" i="12"/>
  <c r="T84" i="11"/>
  <c r="V84" i="11" s="1"/>
  <c r="R216" i="12"/>
  <c r="W216" i="12" s="1"/>
  <c r="N23" i="11"/>
  <c r="R244" i="12"/>
  <c r="V47" i="11"/>
  <c r="W123" i="11"/>
  <c r="N235" i="12"/>
  <c r="U200" i="12"/>
  <c r="T169" i="11"/>
  <c r="V169" i="11" s="1"/>
  <c r="R198" i="12"/>
  <c r="V198" i="12" s="1"/>
  <c r="T34" i="11"/>
  <c r="V34" i="11" s="1"/>
  <c r="L234" i="12"/>
  <c r="R234" i="12" s="1"/>
  <c r="R43" i="11"/>
  <c r="V95" i="12"/>
  <c r="T43" i="12"/>
  <c r="P29" i="12"/>
  <c r="U185" i="12"/>
  <c r="U225" i="12"/>
  <c r="N145" i="12"/>
  <c r="U96" i="12"/>
  <c r="T86" i="12"/>
  <c r="T216" i="12"/>
  <c r="L101" i="12"/>
  <c r="T101" i="12" s="1"/>
  <c r="T131" i="12"/>
  <c r="P137" i="12"/>
  <c r="L158" i="12"/>
  <c r="U158" i="12" s="1"/>
  <c r="U46" i="12"/>
  <c r="G192" i="13"/>
  <c r="H116" i="13"/>
  <c r="N116" i="13" s="1"/>
  <c r="H48" i="13"/>
  <c r="L48" i="13" s="1"/>
  <c r="F32" i="13"/>
  <c r="J83" i="13"/>
  <c r="J210" i="13"/>
  <c r="J278" i="13" s="1"/>
  <c r="J102" i="13"/>
  <c r="J42" i="13"/>
  <c r="H28" i="13"/>
  <c r="D20" i="13"/>
  <c r="R62" i="11"/>
  <c r="D13" i="13"/>
  <c r="D6" i="13"/>
  <c r="D6" i="14" s="1"/>
  <c r="E27" i="13"/>
  <c r="F27" i="12"/>
  <c r="N27" i="12" s="1"/>
  <c r="J276" i="12"/>
  <c r="E12" i="13"/>
  <c r="H12" i="12"/>
  <c r="N12" i="12" s="1"/>
  <c r="H250" i="13"/>
  <c r="L250" i="13" s="1"/>
  <c r="G34" i="13"/>
  <c r="P34" i="13" s="1"/>
  <c r="H173" i="13"/>
  <c r="D16" i="13"/>
  <c r="F26" i="12"/>
  <c r="E26" i="13"/>
  <c r="H26" i="13" s="1"/>
  <c r="L231" i="13"/>
  <c r="L86" i="13"/>
  <c r="G29" i="13"/>
  <c r="G270" i="13" s="1"/>
  <c r="G183" i="13"/>
  <c r="P183" i="13" s="1"/>
  <c r="F204" i="13"/>
  <c r="J232" i="13"/>
  <c r="H274" i="12"/>
  <c r="L184" i="12"/>
  <c r="U184" i="12" s="1"/>
  <c r="R184" i="12"/>
  <c r="N110" i="13"/>
  <c r="J85" i="13"/>
  <c r="E21" i="13"/>
  <c r="J142" i="13"/>
  <c r="J54" i="13"/>
  <c r="U54" i="13" s="1"/>
  <c r="P213" i="13"/>
  <c r="J66" i="13"/>
  <c r="H239" i="13"/>
  <c r="N239" i="13" s="1"/>
  <c r="J128" i="13"/>
  <c r="G192" i="14"/>
  <c r="F192" i="14"/>
  <c r="J192" i="14"/>
  <c r="H192" i="14"/>
  <c r="D272" i="13"/>
  <c r="H70" i="13"/>
  <c r="P70" i="13" s="1"/>
  <c r="J70" i="13"/>
  <c r="J29" i="14"/>
  <c r="G29" i="14"/>
  <c r="H29" i="14"/>
  <c r="F29" i="14"/>
  <c r="N29" i="14" s="1"/>
  <c r="J183" i="14"/>
  <c r="H183" i="14"/>
  <c r="G183" i="14"/>
  <c r="F183" i="14"/>
  <c r="P160" i="12"/>
  <c r="L160" i="12"/>
  <c r="R160" i="12" s="1"/>
  <c r="P65" i="14"/>
  <c r="H65" i="14"/>
  <c r="N65" i="14"/>
  <c r="G65" i="14"/>
  <c r="L65" i="14" s="1"/>
  <c r="F65" i="14"/>
  <c r="J65" i="14"/>
  <c r="F236" i="13"/>
  <c r="G236" i="13"/>
  <c r="P236" i="13" s="1"/>
  <c r="G121" i="13"/>
  <c r="L121" i="13" s="1"/>
  <c r="U121" i="13" s="1"/>
  <c r="J121" i="13"/>
  <c r="F121" i="13"/>
  <c r="H138" i="14"/>
  <c r="G138" i="14"/>
  <c r="J138" i="14"/>
  <c r="F138" i="14"/>
  <c r="J98" i="13"/>
  <c r="F98" i="13"/>
  <c r="G253" i="13"/>
  <c r="H253" i="13"/>
  <c r="F226" i="14"/>
  <c r="J226" i="14"/>
  <c r="H226" i="14"/>
  <c r="G226" i="14"/>
  <c r="F113" i="13"/>
  <c r="G113" i="13"/>
  <c r="G265" i="13"/>
  <c r="F265" i="13"/>
  <c r="F119" i="14"/>
  <c r="J119" i="14"/>
  <c r="P119" i="14"/>
  <c r="N119" i="14"/>
  <c r="H119" i="14"/>
  <c r="G119" i="14"/>
  <c r="L119" i="14" s="1"/>
  <c r="H225" i="14"/>
  <c r="G225" i="14"/>
  <c r="J225" i="14"/>
  <c r="F225" i="14"/>
  <c r="N225" i="14" s="1"/>
  <c r="J247" i="14"/>
  <c r="H247" i="14"/>
  <c r="G247" i="14"/>
  <c r="F247" i="14"/>
  <c r="G172" i="14"/>
  <c r="F172" i="14"/>
  <c r="J172" i="14"/>
  <c r="H172" i="14"/>
  <c r="F129" i="14"/>
  <c r="J129" i="14"/>
  <c r="H129" i="14"/>
  <c r="G129" i="14"/>
  <c r="L129" i="14" s="1"/>
  <c r="P129" i="14"/>
  <c r="N129" i="14"/>
  <c r="G235" i="14"/>
  <c r="F235" i="14"/>
  <c r="J235" i="14"/>
  <c r="H235" i="14"/>
  <c r="H90" i="13"/>
  <c r="J90" i="13"/>
  <c r="P90" i="13"/>
  <c r="F90" i="13"/>
  <c r="P55" i="14"/>
  <c r="H55" i="14"/>
  <c r="N55" i="14"/>
  <c r="G55" i="14"/>
  <c r="L55" i="14" s="1"/>
  <c r="J55" i="14"/>
  <c r="F55" i="14"/>
  <c r="G217" i="13"/>
  <c r="L217" i="13" s="1"/>
  <c r="H217" i="13"/>
  <c r="F196" i="14"/>
  <c r="J196" i="14"/>
  <c r="H196" i="14"/>
  <c r="G196" i="14"/>
  <c r="L196" i="14" s="1"/>
  <c r="P196" i="14"/>
  <c r="N196" i="14"/>
  <c r="H115" i="13"/>
  <c r="G115" i="13"/>
  <c r="P93" i="14"/>
  <c r="H93" i="14"/>
  <c r="N93" i="14"/>
  <c r="G93" i="14"/>
  <c r="L93" i="14" s="1"/>
  <c r="F93" i="14"/>
  <c r="J93" i="14"/>
  <c r="F33" i="13"/>
  <c r="G33" i="13"/>
  <c r="E276" i="13"/>
  <c r="F157" i="13"/>
  <c r="P157" i="13" s="1"/>
  <c r="G157" i="13"/>
  <c r="H125" i="13"/>
  <c r="L125" i="13" s="1"/>
  <c r="J125" i="13"/>
  <c r="U164" i="11"/>
  <c r="W164" i="11" s="1"/>
  <c r="L101" i="13"/>
  <c r="H96" i="13"/>
  <c r="L96" i="13"/>
  <c r="G208" i="13"/>
  <c r="G278" i="13" s="1"/>
  <c r="H208" i="13"/>
  <c r="N208" i="13" s="1"/>
  <c r="F144" i="13"/>
  <c r="G144" i="13"/>
  <c r="P57" i="14"/>
  <c r="H57" i="14"/>
  <c r="N57" i="14"/>
  <c r="G57" i="14"/>
  <c r="L57" i="14" s="1"/>
  <c r="F57" i="14"/>
  <c r="J57" i="14"/>
  <c r="F228" i="14"/>
  <c r="L228" i="14" s="1"/>
  <c r="J228" i="14"/>
  <c r="H228" i="14"/>
  <c r="G228" i="14"/>
  <c r="P228" i="14"/>
  <c r="H160" i="14"/>
  <c r="G160" i="14"/>
  <c r="F160" i="14"/>
  <c r="J160" i="14"/>
  <c r="G105" i="13"/>
  <c r="L105" i="13" s="1"/>
  <c r="U105" i="13" s="1"/>
  <c r="J105" i="13"/>
  <c r="H105" i="13"/>
  <c r="P105" i="13" s="1"/>
  <c r="H199" i="13"/>
  <c r="N199" i="13"/>
  <c r="J199" i="13"/>
  <c r="N112" i="13"/>
  <c r="P112" i="13"/>
  <c r="F198" i="14"/>
  <c r="J198" i="14"/>
  <c r="P198" i="14"/>
  <c r="N198" i="14"/>
  <c r="H198" i="14"/>
  <c r="G198" i="14"/>
  <c r="L198" i="14" s="1"/>
  <c r="J214" i="13"/>
  <c r="F214" i="13"/>
  <c r="H120" i="13"/>
  <c r="G120" i="13"/>
  <c r="L120" i="13" s="1"/>
  <c r="F120" i="13"/>
  <c r="H249" i="13"/>
  <c r="P249" i="13" s="1"/>
  <c r="J249" i="13"/>
  <c r="D278" i="14"/>
  <c r="H130" i="13"/>
  <c r="R130" i="13" s="1"/>
  <c r="F130" i="13"/>
  <c r="F274" i="13" s="1"/>
  <c r="P69" i="13"/>
  <c r="H69" i="13"/>
  <c r="J69" i="13"/>
  <c r="F164" i="13"/>
  <c r="L164" i="13" s="1"/>
  <c r="J164" i="13"/>
  <c r="J74" i="13"/>
  <c r="F74" i="13"/>
  <c r="F230" i="14"/>
  <c r="L230" i="14" s="1"/>
  <c r="J230" i="14"/>
  <c r="P230" i="14"/>
  <c r="H230" i="14"/>
  <c r="G230" i="14"/>
  <c r="F158" i="13"/>
  <c r="G158" i="13"/>
  <c r="G276" i="13" s="1"/>
  <c r="F58" i="14"/>
  <c r="J58" i="14"/>
  <c r="H58" i="14"/>
  <c r="N58" i="14" s="1"/>
  <c r="G58" i="14"/>
  <c r="F194" i="13"/>
  <c r="G194" i="13"/>
  <c r="D276" i="13"/>
  <c r="H124" i="14"/>
  <c r="G124" i="14"/>
  <c r="F124" i="14"/>
  <c r="N124" i="14" s="1"/>
  <c r="J124" i="14"/>
  <c r="R132" i="12"/>
  <c r="L260" i="13"/>
  <c r="R260" i="13" s="1"/>
  <c r="G233" i="14"/>
  <c r="F233" i="14"/>
  <c r="J233" i="14"/>
  <c r="H233" i="14"/>
  <c r="H49" i="14"/>
  <c r="G49" i="14"/>
  <c r="F49" i="14"/>
  <c r="J49" i="14"/>
  <c r="F59" i="13"/>
  <c r="H59" i="13"/>
  <c r="N59" i="13" s="1"/>
  <c r="J170" i="13"/>
  <c r="F170" i="13"/>
  <c r="N170" i="13" s="1"/>
  <c r="F149" i="14"/>
  <c r="L149" i="14" s="1"/>
  <c r="J149" i="14"/>
  <c r="H149" i="14"/>
  <c r="G149" i="14"/>
  <c r="P149" i="14" s="1"/>
  <c r="N123" i="13"/>
  <c r="G123" i="13"/>
  <c r="L123" i="13" s="1"/>
  <c r="J123" i="13"/>
  <c r="P123" i="13"/>
  <c r="T123" i="13" s="1"/>
  <c r="F204" i="14"/>
  <c r="J204" i="14"/>
  <c r="H204" i="14"/>
  <c r="G204" i="14"/>
  <c r="J104" i="13"/>
  <c r="F104" i="13"/>
  <c r="F80" i="14"/>
  <c r="J80" i="14"/>
  <c r="P80" i="14"/>
  <c r="H80" i="14"/>
  <c r="N80" i="14"/>
  <c r="G80" i="14"/>
  <c r="L80" i="14" s="1"/>
  <c r="H251" i="13"/>
  <c r="J251" i="13"/>
  <c r="H211" i="14"/>
  <c r="G211" i="14"/>
  <c r="F211" i="14"/>
  <c r="J211" i="14"/>
  <c r="F107" i="14"/>
  <c r="J107" i="14"/>
  <c r="P107" i="14"/>
  <c r="N107" i="14"/>
  <c r="H107" i="14"/>
  <c r="G107" i="14"/>
  <c r="L107" i="14" s="1"/>
  <c r="J175" i="13"/>
  <c r="H175" i="13"/>
  <c r="L78" i="14"/>
  <c r="F78" i="14"/>
  <c r="J78" i="14"/>
  <c r="H78" i="14"/>
  <c r="P78" i="14"/>
  <c r="G78" i="14"/>
  <c r="N78" i="14"/>
  <c r="G34" i="14"/>
  <c r="J34" i="14"/>
  <c r="F34" i="14"/>
  <c r="H34" i="14"/>
  <c r="P34" i="14" s="1"/>
  <c r="N61" i="12"/>
  <c r="E275" i="14"/>
  <c r="F135" i="14"/>
  <c r="J135" i="14"/>
  <c r="H135" i="14"/>
  <c r="N135" i="14" s="1"/>
  <c r="G135" i="14"/>
  <c r="H83" i="14"/>
  <c r="G83" i="14"/>
  <c r="J83" i="14"/>
  <c r="F83" i="14"/>
  <c r="G181" i="13"/>
  <c r="H181" i="13"/>
  <c r="P201" i="12"/>
  <c r="J147" i="13"/>
  <c r="H147" i="13"/>
  <c r="F212" i="13"/>
  <c r="G212" i="13"/>
  <c r="P212" i="13" s="1"/>
  <c r="G108" i="13"/>
  <c r="L108" i="13" s="1"/>
  <c r="U108" i="13" s="1"/>
  <c r="J108" i="13"/>
  <c r="N88" i="13"/>
  <c r="J88" i="13"/>
  <c r="J43" i="14"/>
  <c r="G43" i="14"/>
  <c r="H43" i="14"/>
  <c r="F43" i="14"/>
  <c r="J243" i="14"/>
  <c r="H243" i="14"/>
  <c r="L243" i="14"/>
  <c r="G243" i="14"/>
  <c r="F243" i="14"/>
  <c r="N243" i="14" s="1"/>
  <c r="P45" i="13"/>
  <c r="H165" i="13"/>
  <c r="L165" i="13" s="1"/>
  <c r="U165" i="13" s="1"/>
  <c r="H264" i="13"/>
  <c r="P264" i="13" s="1"/>
  <c r="R228" i="12"/>
  <c r="U228" i="12"/>
  <c r="R57" i="12"/>
  <c r="V57" i="12" s="1"/>
  <c r="T57" i="12"/>
  <c r="E9" i="13"/>
  <c r="H22" i="12"/>
  <c r="D22" i="13"/>
  <c r="D22" i="14" s="1"/>
  <c r="D19" i="13"/>
  <c r="D19" i="14" s="1"/>
  <c r="V72" i="11"/>
  <c r="D14" i="13"/>
  <c r="D14" i="14" s="1"/>
  <c r="U160" i="12"/>
  <c r="D17" i="13"/>
  <c r="D17" i="14" s="1"/>
  <c r="L190" i="12"/>
  <c r="N190" i="12"/>
  <c r="T53" i="12"/>
  <c r="D9" i="13"/>
  <c r="H154" i="14"/>
  <c r="G154" i="14"/>
  <c r="J154" i="14"/>
  <c r="F154" i="14"/>
  <c r="J45" i="14"/>
  <c r="G45" i="14"/>
  <c r="P45" i="14"/>
  <c r="H45" i="14"/>
  <c r="N45" i="14"/>
  <c r="F45" i="14"/>
  <c r="L45" i="14"/>
  <c r="G252" i="14"/>
  <c r="F252" i="14"/>
  <c r="L252" i="14" s="1"/>
  <c r="J252" i="14"/>
  <c r="H252" i="14"/>
  <c r="H244" i="13"/>
  <c r="L244" i="13" s="1"/>
  <c r="T244" i="13" s="1"/>
  <c r="P244" i="13"/>
  <c r="G176" i="14"/>
  <c r="F176" i="14"/>
  <c r="L176" i="14" s="1"/>
  <c r="J176" i="14"/>
  <c r="H176" i="14"/>
  <c r="F155" i="14"/>
  <c r="J155" i="14"/>
  <c r="H155" i="14"/>
  <c r="G155" i="14"/>
  <c r="J39" i="14"/>
  <c r="G39" i="14"/>
  <c r="H39" i="14"/>
  <c r="P39" i="14" s="1"/>
  <c r="F39" i="14"/>
  <c r="H218" i="13"/>
  <c r="P218" i="13"/>
  <c r="N218" i="13"/>
  <c r="N106" i="13"/>
  <c r="F106" i="13"/>
  <c r="P106" i="13"/>
  <c r="L82" i="14"/>
  <c r="F82" i="14"/>
  <c r="J82" i="14"/>
  <c r="H82" i="14"/>
  <c r="P82" i="14"/>
  <c r="G82" i="14"/>
  <c r="N82" i="14"/>
  <c r="J51" i="13"/>
  <c r="F51" i="13"/>
  <c r="H213" i="14"/>
  <c r="G213" i="14"/>
  <c r="P213" i="14" s="1"/>
  <c r="J213" i="14"/>
  <c r="F213" i="14"/>
  <c r="N213" i="14" s="1"/>
  <c r="E277" i="14"/>
  <c r="G180" i="14"/>
  <c r="F180" i="14"/>
  <c r="J180" i="14"/>
  <c r="H180" i="14"/>
  <c r="H162" i="13"/>
  <c r="P162" i="13" s="1"/>
  <c r="J162" i="13"/>
  <c r="J276" i="13" s="1"/>
  <c r="F66" i="14"/>
  <c r="J66" i="14"/>
  <c r="H66" i="14"/>
  <c r="G66" i="14"/>
  <c r="L66" i="14" s="1"/>
  <c r="P66" i="14"/>
  <c r="N66" i="14"/>
  <c r="F165" i="14"/>
  <c r="L165" i="14" s="1"/>
  <c r="J165" i="14"/>
  <c r="H165" i="14"/>
  <c r="G165" i="14"/>
  <c r="H203" i="14"/>
  <c r="G203" i="14"/>
  <c r="F203" i="14"/>
  <c r="J203" i="14"/>
  <c r="F133" i="14"/>
  <c r="J133" i="14"/>
  <c r="H133" i="14"/>
  <c r="G133" i="14"/>
  <c r="L133" i="14" s="1"/>
  <c r="P133" i="14"/>
  <c r="N133" i="14"/>
  <c r="F60" i="14"/>
  <c r="J60" i="14"/>
  <c r="H60" i="14"/>
  <c r="G60" i="14"/>
  <c r="P60" i="14" s="1"/>
  <c r="J159" i="13"/>
  <c r="F159" i="13"/>
  <c r="J89" i="13"/>
  <c r="F89" i="13"/>
  <c r="G264" i="14"/>
  <c r="F264" i="14"/>
  <c r="J264" i="14"/>
  <c r="H264" i="14"/>
  <c r="G241" i="14"/>
  <c r="P241" i="14" s="1"/>
  <c r="F241" i="14"/>
  <c r="L241" i="14" s="1"/>
  <c r="J241" i="14"/>
  <c r="U241" i="14" s="1"/>
  <c r="H241" i="14"/>
  <c r="E278" i="14"/>
  <c r="F200" i="14"/>
  <c r="J200" i="14"/>
  <c r="H200" i="14"/>
  <c r="G200" i="14"/>
  <c r="H177" i="13"/>
  <c r="J177" i="13"/>
  <c r="H136" i="14"/>
  <c r="G136" i="14"/>
  <c r="F136" i="14"/>
  <c r="J136" i="14"/>
  <c r="E274" i="13"/>
  <c r="H114" i="13"/>
  <c r="F114" i="13"/>
  <c r="G76" i="13"/>
  <c r="L76" i="13" s="1"/>
  <c r="F76" i="13"/>
  <c r="F272" i="13" s="1"/>
  <c r="J263" i="14"/>
  <c r="H263" i="14"/>
  <c r="G263" i="14"/>
  <c r="F263" i="14"/>
  <c r="J232" i="14"/>
  <c r="H232" i="14"/>
  <c r="N232" i="14"/>
  <c r="G232" i="14"/>
  <c r="F232" i="14"/>
  <c r="L232" i="14" s="1"/>
  <c r="G103" i="13"/>
  <c r="F103" i="13"/>
  <c r="G47" i="13"/>
  <c r="L47" i="13" s="1"/>
  <c r="H47" i="13"/>
  <c r="N63" i="13"/>
  <c r="P63" i="13"/>
  <c r="L42" i="13"/>
  <c r="F131" i="14"/>
  <c r="J131" i="14"/>
  <c r="P131" i="14"/>
  <c r="N131" i="14"/>
  <c r="H131" i="14"/>
  <c r="G131" i="14"/>
  <c r="L131" i="14" s="1"/>
  <c r="D271" i="14"/>
  <c r="F237" i="13"/>
  <c r="N237" i="13" s="1"/>
  <c r="P100" i="14"/>
  <c r="H100" i="14"/>
  <c r="N100" i="14"/>
  <c r="G100" i="14"/>
  <c r="F100" i="14"/>
  <c r="L100" i="14"/>
  <c r="J100" i="14"/>
  <c r="E270" i="14"/>
  <c r="G28" i="14"/>
  <c r="F28" i="14"/>
  <c r="L28" i="14" s="1"/>
  <c r="J28" i="14"/>
  <c r="H28" i="14"/>
  <c r="P68" i="13"/>
  <c r="G68" i="13"/>
  <c r="L68" i="13" s="1"/>
  <c r="T68" i="13" s="1"/>
  <c r="F275" i="12"/>
  <c r="P190" i="12"/>
  <c r="T62" i="11"/>
  <c r="W87" i="11"/>
  <c r="N154" i="12"/>
  <c r="V187" i="11"/>
  <c r="N19" i="11"/>
  <c r="U98" i="12"/>
  <c r="J116" i="13"/>
  <c r="J38" i="13"/>
  <c r="G210" i="13"/>
  <c r="J63" i="13"/>
  <c r="E270" i="13"/>
  <c r="H68" i="13"/>
  <c r="T51" i="11"/>
  <c r="V51" i="11" s="1"/>
  <c r="J23" i="12"/>
  <c r="E23" i="13"/>
  <c r="F173" i="13"/>
  <c r="H86" i="13"/>
  <c r="H205" i="13"/>
  <c r="N205" i="13"/>
  <c r="L113" i="13"/>
  <c r="T113" i="13" s="1"/>
  <c r="D278" i="13"/>
  <c r="J114" i="13"/>
  <c r="F47" i="13"/>
  <c r="J145" i="13"/>
  <c r="T32" i="12"/>
  <c r="E6" i="13"/>
  <c r="H6" i="12"/>
  <c r="P6" i="12" s="1"/>
  <c r="J280" i="12"/>
  <c r="U51" i="11"/>
  <c r="W51" i="11" s="1"/>
  <c r="T205" i="12"/>
  <c r="W187" i="11"/>
  <c r="N245" i="12"/>
  <c r="P245" i="12"/>
  <c r="L245" i="12"/>
  <c r="F280" i="12"/>
  <c r="P49" i="12"/>
  <c r="L49" i="12"/>
  <c r="D7" i="13"/>
  <c r="D7" i="14" s="1"/>
  <c r="E7" i="13"/>
  <c r="D11" i="13"/>
  <c r="D11" i="14" s="1"/>
  <c r="H272" i="12"/>
  <c r="G244" i="13"/>
  <c r="P39" i="13"/>
  <c r="H106" i="13"/>
  <c r="G51" i="13"/>
  <c r="F162" i="13"/>
  <c r="J237" i="13"/>
  <c r="E10" i="13"/>
  <c r="J10" i="12"/>
  <c r="D15" i="13"/>
  <c r="D15" i="14" s="1"/>
  <c r="P205" i="13"/>
  <c r="N156" i="13"/>
  <c r="J222" i="13"/>
  <c r="L242" i="13"/>
  <c r="U242" i="13" s="1"/>
  <c r="G154" i="13"/>
  <c r="G275" i="13" s="1"/>
  <c r="F154" i="13"/>
  <c r="G206" i="13"/>
  <c r="H206" i="13"/>
  <c r="P206" i="13" s="1"/>
  <c r="H142" i="14"/>
  <c r="G142" i="14"/>
  <c r="P142" i="14" s="1"/>
  <c r="J142" i="14"/>
  <c r="F142" i="14"/>
  <c r="N142" i="14" s="1"/>
  <c r="H116" i="14"/>
  <c r="G116" i="14"/>
  <c r="P116" i="14" s="1"/>
  <c r="F116" i="14"/>
  <c r="L116" i="14"/>
  <c r="J116" i="14"/>
  <c r="G38" i="14"/>
  <c r="F38" i="14"/>
  <c r="J38" i="14"/>
  <c r="H38" i="14"/>
  <c r="P134" i="14"/>
  <c r="H134" i="14"/>
  <c r="N134" i="14"/>
  <c r="G134" i="14"/>
  <c r="L134" i="14" s="1"/>
  <c r="J134" i="14"/>
  <c r="F134" i="14"/>
  <c r="G244" i="14"/>
  <c r="F244" i="14"/>
  <c r="L244" i="14" s="1"/>
  <c r="J244" i="14"/>
  <c r="H244" i="14"/>
  <c r="L176" i="12"/>
  <c r="R176" i="12" s="1"/>
  <c r="F95" i="13"/>
  <c r="H95" i="13"/>
  <c r="J95" i="13"/>
  <c r="N39" i="12"/>
  <c r="L39" i="12"/>
  <c r="U39" i="12" s="1"/>
  <c r="F218" i="14"/>
  <c r="J218" i="14"/>
  <c r="P218" i="14"/>
  <c r="N218" i="14"/>
  <c r="H218" i="14"/>
  <c r="G218" i="14"/>
  <c r="L218" i="14" s="1"/>
  <c r="H51" i="14"/>
  <c r="G51" i="14"/>
  <c r="F51" i="14"/>
  <c r="J51" i="14"/>
  <c r="L213" i="12"/>
  <c r="T213" i="12" s="1"/>
  <c r="N213" i="12"/>
  <c r="N278" i="12" s="1"/>
  <c r="N141" i="12"/>
  <c r="L141" i="12"/>
  <c r="U141" i="12" s="1"/>
  <c r="J141" i="13"/>
  <c r="H141" i="13"/>
  <c r="H229" i="14"/>
  <c r="G229" i="14"/>
  <c r="J229" i="14"/>
  <c r="F229" i="14"/>
  <c r="F254" i="13"/>
  <c r="J254" i="13"/>
  <c r="J279" i="12"/>
  <c r="F159" i="14"/>
  <c r="J159" i="14"/>
  <c r="H159" i="14"/>
  <c r="G159" i="14"/>
  <c r="D275" i="14"/>
  <c r="P89" i="14"/>
  <c r="H89" i="14"/>
  <c r="N89" i="14"/>
  <c r="G89" i="14"/>
  <c r="L89" i="14" s="1"/>
  <c r="F89" i="14"/>
  <c r="J89" i="14"/>
  <c r="L241" i="12"/>
  <c r="R241" i="12" s="1"/>
  <c r="P241" i="12"/>
  <c r="T241" i="12" s="1"/>
  <c r="V241" i="12" s="1"/>
  <c r="J177" i="14"/>
  <c r="H177" i="14"/>
  <c r="G177" i="14"/>
  <c r="F177" i="14"/>
  <c r="F76" i="14"/>
  <c r="J76" i="14"/>
  <c r="P76" i="14"/>
  <c r="H76" i="14"/>
  <c r="N76" i="14"/>
  <c r="G76" i="14"/>
  <c r="L76" i="14" s="1"/>
  <c r="T76" i="14" s="1"/>
  <c r="F103" i="14"/>
  <c r="J103" i="14"/>
  <c r="P103" i="14"/>
  <c r="N103" i="14"/>
  <c r="H103" i="14"/>
  <c r="G103" i="14"/>
  <c r="L103" i="14" s="1"/>
  <c r="J47" i="14"/>
  <c r="N47" i="14"/>
  <c r="P47" i="14"/>
  <c r="H47" i="14"/>
  <c r="G47" i="14"/>
  <c r="L47" i="14" s="1"/>
  <c r="T47" i="14" s="1"/>
  <c r="F47" i="14"/>
  <c r="L210" i="14"/>
  <c r="F210" i="14"/>
  <c r="J210" i="14"/>
  <c r="N210" i="14"/>
  <c r="H210" i="14"/>
  <c r="G210" i="14"/>
  <c r="P63" i="14"/>
  <c r="H63" i="14"/>
  <c r="N63" i="14"/>
  <c r="G63" i="14"/>
  <c r="L63" i="14" s="1"/>
  <c r="T63" i="14" s="1"/>
  <c r="J63" i="14"/>
  <c r="F63" i="14"/>
  <c r="G42" i="14"/>
  <c r="F42" i="14"/>
  <c r="J42" i="14"/>
  <c r="H42" i="14"/>
  <c r="G237" i="14"/>
  <c r="F237" i="14"/>
  <c r="J237" i="14"/>
  <c r="H237" i="14"/>
  <c r="L237" i="14" s="1"/>
  <c r="J173" i="14"/>
  <c r="H173" i="14"/>
  <c r="G173" i="14"/>
  <c r="F173" i="14"/>
  <c r="P100" i="12"/>
  <c r="R100" i="12"/>
  <c r="G99" i="13"/>
  <c r="H99" i="13"/>
  <c r="P99" i="13" s="1"/>
  <c r="L68" i="14"/>
  <c r="F68" i="14"/>
  <c r="J68" i="14"/>
  <c r="P68" i="14"/>
  <c r="H68" i="14"/>
  <c r="R68" i="14" s="1"/>
  <c r="N68" i="14"/>
  <c r="G68" i="14"/>
  <c r="H269" i="11"/>
  <c r="H281" i="11" s="1"/>
  <c r="P9" i="11"/>
  <c r="R106" i="12"/>
  <c r="P7" i="11"/>
  <c r="J11" i="12"/>
  <c r="U11" i="12" s="1"/>
  <c r="U140" i="11"/>
  <c r="H17" i="12"/>
  <c r="T226" i="12"/>
  <c r="U182" i="12"/>
  <c r="T180" i="11"/>
  <c r="V180" i="11" s="1"/>
  <c r="R122" i="12"/>
  <c r="P203" i="12"/>
  <c r="H19" i="12"/>
  <c r="H15" i="12"/>
  <c r="P15" i="12" s="1"/>
  <c r="P148" i="12"/>
  <c r="V75" i="11"/>
  <c r="J6" i="12"/>
  <c r="U211" i="12"/>
  <c r="P234" i="12"/>
  <c r="L6" i="11"/>
  <c r="U6" i="11" s="1"/>
  <c r="L136" i="12"/>
  <c r="P176" i="12"/>
  <c r="H275" i="12"/>
  <c r="W167" i="11"/>
  <c r="U246" i="12"/>
  <c r="T186" i="12"/>
  <c r="P182" i="12"/>
  <c r="L32" i="12"/>
  <c r="F116" i="13"/>
  <c r="H38" i="13"/>
  <c r="J48" i="13"/>
  <c r="E271" i="13"/>
  <c r="H32" i="13"/>
  <c r="H210" i="13"/>
  <c r="N210" i="13" s="1"/>
  <c r="G63" i="13"/>
  <c r="H42" i="13"/>
  <c r="F28" i="13"/>
  <c r="N28" i="13" s="1"/>
  <c r="J68" i="13"/>
  <c r="F25" i="12"/>
  <c r="E25" i="13"/>
  <c r="P166" i="12"/>
  <c r="L166" i="12"/>
  <c r="G19" i="12"/>
  <c r="E19" i="13"/>
  <c r="F16" i="12"/>
  <c r="E16" i="13"/>
  <c r="G16" i="12"/>
  <c r="L235" i="12"/>
  <c r="U235" i="12" s="1"/>
  <c r="J135" i="13"/>
  <c r="E18" i="13"/>
  <c r="F18" i="12"/>
  <c r="P86" i="13"/>
  <c r="D277" i="13"/>
  <c r="N147" i="13"/>
  <c r="D280" i="13"/>
  <c r="G89" i="13"/>
  <c r="F177" i="13"/>
  <c r="L177" i="13" s="1"/>
  <c r="R177" i="13" s="1"/>
  <c r="G114" i="13"/>
  <c r="J47" i="13"/>
  <c r="D8" i="13"/>
  <c r="D8" i="14" s="1"/>
  <c r="J76" i="13"/>
  <c r="U76" i="13" s="1"/>
  <c r="J13" i="12"/>
  <c r="E13" i="13"/>
  <c r="F13" i="13" s="1"/>
  <c r="H13" i="12"/>
  <c r="L13" i="12" s="1"/>
  <c r="R90" i="12"/>
  <c r="G15" i="12"/>
  <c r="E15" i="13"/>
  <c r="E20" i="13"/>
  <c r="H20" i="12"/>
  <c r="N20" i="12" s="1"/>
  <c r="F206" i="13"/>
  <c r="E272" i="13"/>
  <c r="J244" i="13"/>
  <c r="G95" i="13"/>
  <c r="L95" i="13" s="1"/>
  <c r="F218" i="13"/>
  <c r="J106" i="13"/>
  <c r="G162" i="13"/>
  <c r="J219" i="13"/>
  <c r="G237" i="13"/>
  <c r="P237" i="13" s="1"/>
  <c r="J99" i="13"/>
  <c r="F167" i="14"/>
  <c r="J167" i="14"/>
  <c r="H167" i="14"/>
  <c r="G167" i="14"/>
  <c r="J65" i="13"/>
  <c r="G65" i="13"/>
  <c r="L65" i="13" s="1"/>
  <c r="N65" i="13"/>
  <c r="H168" i="14"/>
  <c r="G168" i="14"/>
  <c r="F168" i="14"/>
  <c r="J168" i="14"/>
  <c r="P98" i="14"/>
  <c r="H98" i="14"/>
  <c r="N98" i="14"/>
  <c r="G98" i="14"/>
  <c r="L98" i="14" s="1"/>
  <c r="J98" i="14"/>
  <c r="F98" i="14"/>
  <c r="J226" i="13"/>
  <c r="F226" i="13"/>
  <c r="F279" i="13" s="1"/>
  <c r="P205" i="14"/>
  <c r="H205" i="14"/>
  <c r="N205" i="14"/>
  <c r="G205" i="14"/>
  <c r="L205" i="14" s="1"/>
  <c r="J205" i="14"/>
  <c r="F205" i="14"/>
  <c r="N155" i="12"/>
  <c r="T155" i="12" s="1"/>
  <c r="V155" i="12" s="1"/>
  <c r="P155" i="12"/>
  <c r="R155" i="12"/>
  <c r="F50" i="14"/>
  <c r="L50" i="14" s="1"/>
  <c r="J50" i="14"/>
  <c r="H50" i="14"/>
  <c r="G50" i="14"/>
  <c r="P50" i="14" s="1"/>
  <c r="N50" i="14"/>
  <c r="F117" i="14"/>
  <c r="J117" i="14"/>
  <c r="H117" i="14"/>
  <c r="N117" i="14" s="1"/>
  <c r="G117" i="14"/>
  <c r="P67" i="14"/>
  <c r="H67" i="14"/>
  <c r="N67" i="14"/>
  <c r="G67" i="14"/>
  <c r="L67" i="14" s="1"/>
  <c r="F67" i="14"/>
  <c r="J67" i="14"/>
  <c r="J119" i="13"/>
  <c r="F119" i="13"/>
  <c r="H52" i="13"/>
  <c r="J52" i="13"/>
  <c r="E279" i="13"/>
  <c r="J225" i="13"/>
  <c r="J247" i="13"/>
  <c r="F247" i="13"/>
  <c r="H172" i="13"/>
  <c r="J172" i="13"/>
  <c r="J129" i="13"/>
  <c r="F129" i="13"/>
  <c r="N129" i="13"/>
  <c r="J72" i="13"/>
  <c r="H72" i="13"/>
  <c r="P72" i="13" s="1"/>
  <c r="N72" i="13"/>
  <c r="H235" i="13"/>
  <c r="P235" i="13" s="1"/>
  <c r="F235" i="13"/>
  <c r="G146" i="13"/>
  <c r="H146" i="13"/>
  <c r="H55" i="13"/>
  <c r="F55" i="13"/>
  <c r="G30" i="14"/>
  <c r="L30" i="14"/>
  <c r="F30" i="14"/>
  <c r="J30" i="14"/>
  <c r="H30" i="14"/>
  <c r="J196" i="13"/>
  <c r="U196" i="13" s="1"/>
  <c r="F196" i="13"/>
  <c r="J166" i="13"/>
  <c r="F166" i="13"/>
  <c r="N166" i="13" s="1"/>
  <c r="G93" i="13"/>
  <c r="L93" i="13" s="1"/>
  <c r="E273" i="13"/>
  <c r="J93" i="13"/>
  <c r="J185" i="14"/>
  <c r="P185" i="14"/>
  <c r="H185" i="14"/>
  <c r="G185" i="14"/>
  <c r="L185" i="14" s="1"/>
  <c r="F185" i="14"/>
  <c r="N185" i="14"/>
  <c r="F127" i="14"/>
  <c r="J127" i="14"/>
  <c r="H127" i="14"/>
  <c r="G127" i="14"/>
  <c r="F54" i="14"/>
  <c r="J54" i="14"/>
  <c r="H54" i="14"/>
  <c r="P54" i="14"/>
  <c r="G54" i="14"/>
  <c r="L54" i="14" s="1"/>
  <c r="N54" i="14"/>
  <c r="H118" i="13"/>
  <c r="F118" i="13"/>
  <c r="G57" i="13"/>
  <c r="H57" i="13"/>
  <c r="F228" i="13"/>
  <c r="L228" i="13" s="1"/>
  <c r="R228" i="13" s="1"/>
  <c r="G228" i="13"/>
  <c r="F160" i="13"/>
  <c r="H160" i="13"/>
  <c r="E271" i="14"/>
  <c r="G48" i="14"/>
  <c r="F48" i="14"/>
  <c r="J48" i="14"/>
  <c r="H48" i="14"/>
  <c r="N48" i="14" s="1"/>
  <c r="G178" i="14"/>
  <c r="F178" i="14"/>
  <c r="N178" i="14" s="1"/>
  <c r="J178" i="14"/>
  <c r="H178" i="14"/>
  <c r="P77" i="14"/>
  <c r="H77" i="14"/>
  <c r="N77" i="14"/>
  <c r="G77" i="14"/>
  <c r="F77" i="14"/>
  <c r="L77" i="14"/>
  <c r="J77" i="14"/>
  <c r="F220" i="14"/>
  <c r="J220" i="14"/>
  <c r="H220" i="14"/>
  <c r="G220" i="14"/>
  <c r="L220" i="14" s="1"/>
  <c r="P220" i="14"/>
  <c r="N220" i="14"/>
  <c r="H156" i="14"/>
  <c r="L156" i="14" s="1"/>
  <c r="G156" i="14"/>
  <c r="F156" i="14"/>
  <c r="J156" i="14"/>
  <c r="D270" i="14"/>
  <c r="H198" i="13"/>
  <c r="P198" i="13"/>
  <c r="N198" i="13"/>
  <c r="T198" i="13" s="1"/>
  <c r="J37" i="14"/>
  <c r="G37" i="14"/>
  <c r="H37" i="14"/>
  <c r="F37" i="14"/>
  <c r="J191" i="14"/>
  <c r="H191" i="14"/>
  <c r="G191" i="14"/>
  <c r="F191" i="14"/>
  <c r="P130" i="14"/>
  <c r="H130" i="14"/>
  <c r="N130" i="14"/>
  <c r="G130" i="14"/>
  <c r="L130" i="14" s="1"/>
  <c r="J130" i="14"/>
  <c r="F130" i="14"/>
  <c r="F143" i="14"/>
  <c r="J143" i="14"/>
  <c r="H143" i="14"/>
  <c r="G143" i="14"/>
  <c r="N134" i="12"/>
  <c r="T134" i="12" s="1"/>
  <c r="R134" i="12"/>
  <c r="F56" i="14"/>
  <c r="J56" i="14"/>
  <c r="P56" i="14"/>
  <c r="N56" i="14"/>
  <c r="H56" i="14"/>
  <c r="G56" i="14"/>
  <c r="L56" i="14" s="1"/>
  <c r="J171" i="14"/>
  <c r="F171" i="14"/>
  <c r="N171" i="14" s="1"/>
  <c r="H171" i="14"/>
  <c r="G171" i="14"/>
  <c r="H158" i="14"/>
  <c r="G158" i="14"/>
  <c r="J158" i="14"/>
  <c r="F158" i="14"/>
  <c r="N158" i="14" s="1"/>
  <c r="J58" i="13"/>
  <c r="F58" i="13"/>
  <c r="P215" i="14"/>
  <c r="H215" i="14"/>
  <c r="N215" i="14"/>
  <c r="G215" i="14"/>
  <c r="L215" i="14" s="1"/>
  <c r="F215" i="14"/>
  <c r="J215" i="14"/>
  <c r="P79" i="13"/>
  <c r="N79" i="13"/>
  <c r="F222" i="14"/>
  <c r="J222" i="14"/>
  <c r="P222" i="14"/>
  <c r="N222" i="14"/>
  <c r="H222" i="14"/>
  <c r="G222" i="14"/>
  <c r="L222" i="14" s="1"/>
  <c r="G124" i="13"/>
  <c r="F124" i="13"/>
  <c r="H224" i="13"/>
  <c r="J224" i="13"/>
  <c r="J279" i="13" s="1"/>
  <c r="D277" i="14"/>
  <c r="P81" i="14"/>
  <c r="H81" i="14"/>
  <c r="N81" i="14"/>
  <c r="G81" i="14"/>
  <c r="F81" i="14"/>
  <c r="L81" i="14"/>
  <c r="J81" i="14"/>
  <c r="N233" i="13"/>
  <c r="J49" i="13"/>
  <c r="G49" i="13"/>
  <c r="L111" i="14"/>
  <c r="F111" i="14"/>
  <c r="J111" i="14"/>
  <c r="P111" i="14"/>
  <c r="N111" i="14"/>
  <c r="H111" i="14"/>
  <c r="G111" i="14"/>
  <c r="H227" i="14"/>
  <c r="G227" i="14"/>
  <c r="F227" i="14"/>
  <c r="N227" i="14" s="1"/>
  <c r="J227" i="14"/>
  <c r="J242" i="14"/>
  <c r="P242" i="14"/>
  <c r="H242" i="14"/>
  <c r="G242" i="14"/>
  <c r="F242" i="14"/>
  <c r="L242" i="14" s="1"/>
  <c r="N242" i="14"/>
  <c r="G170" i="14"/>
  <c r="J170" i="14"/>
  <c r="H170" i="14"/>
  <c r="F170" i="14"/>
  <c r="F149" i="13"/>
  <c r="L149" i="13" s="1"/>
  <c r="H149" i="13"/>
  <c r="J41" i="14"/>
  <c r="G41" i="14"/>
  <c r="H41" i="14"/>
  <c r="F41" i="14"/>
  <c r="G204" i="13"/>
  <c r="H204" i="13"/>
  <c r="J80" i="13"/>
  <c r="U80" i="13" s="1"/>
  <c r="H80" i="13"/>
  <c r="N80" i="13"/>
  <c r="F40" i="13"/>
  <c r="N40" i="13" s="1"/>
  <c r="G40" i="13"/>
  <c r="P40" i="13" s="1"/>
  <c r="T40" i="13" s="1"/>
  <c r="J211" i="13"/>
  <c r="F211" i="13"/>
  <c r="G190" i="14"/>
  <c r="F190" i="14"/>
  <c r="J190" i="14"/>
  <c r="H190" i="14"/>
  <c r="G107" i="13"/>
  <c r="L107" i="13" s="1"/>
  <c r="P107" i="13"/>
  <c r="N35" i="12"/>
  <c r="L35" i="12"/>
  <c r="U35" i="12" s="1"/>
  <c r="G262" i="14"/>
  <c r="F262" i="14"/>
  <c r="J262" i="14"/>
  <c r="H262" i="14"/>
  <c r="G239" i="14"/>
  <c r="F239" i="14"/>
  <c r="J239" i="14"/>
  <c r="H239" i="14"/>
  <c r="J78" i="13"/>
  <c r="U78" i="13" s="1"/>
  <c r="D273" i="14"/>
  <c r="H135" i="13"/>
  <c r="E280" i="14"/>
  <c r="J245" i="14"/>
  <c r="H245" i="14"/>
  <c r="G245" i="14"/>
  <c r="F245" i="14"/>
  <c r="F109" i="14"/>
  <c r="J109" i="14"/>
  <c r="H109" i="14"/>
  <c r="G109" i="14"/>
  <c r="L109" i="14" s="1"/>
  <c r="P109" i="14"/>
  <c r="N109" i="14"/>
  <c r="L64" i="13"/>
  <c r="H64" i="13"/>
  <c r="H36" i="13"/>
  <c r="J36" i="13"/>
  <c r="J270" i="13" s="1"/>
  <c r="P207" i="14"/>
  <c r="H207" i="14"/>
  <c r="N207" i="14"/>
  <c r="G207" i="14"/>
  <c r="L207" i="14" s="1"/>
  <c r="F207" i="14"/>
  <c r="J207" i="14"/>
  <c r="U207" i="14" s="1"/>
  <c r="D274" i="14"/>
  <c r="H43" i="13"/>
  <c r="G43" i="13"/>
  <c r="H243" i="13"/>
  <c r="L243" i="13" s="1"/>
  <c r="F278" i="12"/>
  <c r="R217" i="12"/>
  <c r="E22" i="13"/>
  <c r="N150" i="12"/>
  <c r="T221" i="12"/>
  <c r="P153" i="12"/>
  <c r="T111" i="12"/>
  <c r="V111" i="12" s="1"/>
  <c r="D26" i="13"/>
  <c r="D26" i="14" s="1"/>
  <c r="J273" i="12"/>
  <c r="H271" i="12"/>
  <c r="T138" i="11"/>
  <c r="V138" i="11" s="1"/>
  <c r="J5" i="12"/>
  <c r="E5" i="13"/>
  <c r="T149" i="12"/>
  <c r="D21" i="13"/>
  <c r="D21" i="14" s="1"/>
  <c r="F202" i="14"/>
  <c r="J202" i="14"/>
  <c r="H202" i="14"/>
  <c r="N202" i="14" s="1"/>
  <c r="G202" i="14"/>
  <c r="G258" i="14"/>
  <c r="F258" i="14"/>
  <c r="L258" i="14" s="1"/>
  <c r="J258" i="14"/>
  <c r="H258" i="14"/>
  <c r="G184" i="14"/>
  <c r="F184" i="14"/>
  <c r="J184" i="14"/>
  <c r="H184" i="14"/>
  <c r="D279" i="14"/>
  <c r="F147" i="14"/>
  <c r="J147" i="14"/>
  <c r="H147" i="14"/>
  <c r="G147" i="14"/>
  <c r="L64" i="14"/>
  <c r="F64" i="14"/>
  <c r="J64" i="14"/>
  <c r="P64" i="14"/>
  <c r="N64" i="14"/>
  <c r="H64" i="14"/>
  <c r="G64" i="14"/>
  <c r="P195" i="14"/>
  <c r="H195" i="14"/>
  <c r="N195" i="14"/>
  <c r="G195" i="14"/>
  <c r="F195" i="14"/>
  <c r="L195" i="14"/>
  <c r="J195" i="14"/>
  <c r="P87" i="14"/>
  <c r="H87" i="14"/>
  <c r="N87" i="14"/>
  <c r="G87" i="14"/>
  <c r="L87" i="14"/>
  <c r="F87" i="14"/>
  <c r="J87" i="14"/>
  <c r="G246" i="14"/>
  <c r="L246" i="14"/>
  <c r="F246" i="14"/>
  <c r="J246" i="14"/>
  <c r="H246" i="14"/>
  <c r="P246" i="14"/>
  <c r="J193" i="14"/>
  <c r="H193" i="14"/>
  <c r="G193" i="14"/>
  <c r="F193" i="14"/>
  <c r="H128" i="14"/>
  <c r="G128" i="14"/>
  <c r="F128" i="14"/>
  <c r="N128" i="14" s="1"/>
  <c r="J128" i="14"/>
  <c r="H73" i="14"/>
  <c r="N73" i="14" s="1"/>
  <c r="G73" i="14"/>
  <c r="F73" i="14"/>
  <c r="L73" i="14"/>
  <c r="J73" i="14"/>
  <c r="G256" i="14"/>
  <c r="F256" i="14"/>
  <c r="J256" i="14"/>
  <c r="H256" i="14"/>
  <c r="L224" i="14"/>
  <c r="F224" i="14"/>
  <c r="J224" i="14"/>
  <c r="H224" i="14"/>
  <c r="G224" i="14"/>
  <c r="F151" i="14"/>
  <c r="J151" i="14"/>
  <c r="P151" i="14"/>
  <c r="N151" i="14"/>
  <c r="H151" i="14"/>
  <c r="G151" i="14"/>
  <c r="L151" i="14" s="1"/>
  <c r="E273" i="14"/>
  <c r="P91" i="14"/>
  <c r="H91" i="14"/>
  <c r="N91" i="14"/>
  <c r="G91" i="14"/>
  <c r="L91" i="14" s="1"/>
  <c r="J91" i="14"/>
  <c r="F91" i="14"/>
  <c r="J31" i="14"/>
  <c r="G31" i="14"/>
  <c r="H31" i="14"/>
  <c r="F31" i="14"/>
  <c r="H146" i="14"/>
  <c r="G146" i="14"/>
  <c r="J146" i="14"/>
  <c r="F146" i="14"/>
  <c r="J238" i="14"/>
  <c r="H238" i="14"/>
  <c r="G238" i="14"/>
  <c r="F238" i="14"/>
  <c r="H166" i="14"/>
  <c r="G166" i="14"/>
  <c r="J166" i="14"/>
  <c r="F166" i="14"/>
  <c r="F145" i="14"/>
  <c r="J145" i="14"/>
  <c r="H145" i="14"/>
  <c r="G145" i="14"/>
  <c r="F92" i="14"/>
  <c r="J92" i="14"/>
  <c r="P92" i="14"/>
  <c r="N92" i="14"/>
  <c r="H92" i="14"/>
  <c r="G92" i="14"/>
  <c r="L92" i="14" s="1"/>
  <c r="F52" i="14"/>
  <c r="J52" i="14"/>
  <c r="H52" i="14"/>
  <c r="P52" i="14" s="1"/>
  <c r="G52" i="14"/>
  <c r="G250" i="14"/>
  <c r="F250" i="14"/>
  <c r="L250" i="14" s="1"/>
  <c r="J250" i="14"/>
  <c r="H250" i="14"/>
  <c r="P132" i="14"/>
  <c r="H132" i="14"/>
  <c r="N132" i="14"/>
  <c r="G132" i="14"/>
  <c r="F132" i="14"/>
  <c r="L132" i="14"/>
  <c r="J132" i="14"/>
  <c r="H118" i="14"/>
  <c r="N118" i="14"/>
  <c r="G118" i="14"/>
  <c r="J118" i="14"/>
  <c r="F118" i="14"/>
  <c r="J255" i="14"/>
  <c r="H255" i="14"/>
  <c r="G255" i="14"/>
  <c r="F255" i="14"/>
  <c r="F139" i="14"/>
  <c r="J139" i="14"/>
  <c r="H139" i="14"/>
  <c r="L139" i="14" s="1"/>
  <c r="G139" i="14"/>
  <c r="G46" i="14"/>
  <c r="F46" i="14"/>
  <c r="P46" i="14" s="1"/>
  <c r="J46" i="14"/>
  <c r="H46" i="14"/>
  <c r="P219" i="14"/>
  <c r="H219" i="14"/>
  <c r="N219" i="14"/>
  <c r="G219" i="14"/>
  <c r="L219" i="14" s="1"/>
  <c r="F219" i="14"/>
  <c r="J219" i="14"/>
  <c r="U219" i="14" s="1"/>
  <c r="P71" i="14"/>
  <c r="H71" i="14"/>
  <c r="N71" i="14"/>
  <c r="G71" i="14"/>
  <c r="L71" i="14" s="1"/>
  <c r="T71" i="14" s="1"/>
  <c r="J71" i="14"/>
  <c r="F71" i="14"/>
  <c r="D276" i="14"/>
  <c r="G248" i="14"/>
  <c r="F248" i="14"/>
  <c r="J248" i="14"/>
  <c r="H248" i="14"/>
  <c r="P102" i="14"/>
  <c r="H102" i="14"/>
  <c r="N102" i="14"/>
  <c r="G102" i="14"/>
  <c r="L102" i="14"/>
  <c r="T102" i="14" s="1"/>
  <c r="J102" i="14"/>
  <c r="F102" i="14"/>
  <c r="J261" i="14"/>
  <c r="P261" i="14"/>
  <c r="H261" i="14"/>
  <c r="G261" i="14"/>
  <c r="F261" i="14"/>
  <c r="H209" i="14"/>
  <c r="G209" i="14"/>
  <c r="J209" i="14"/>
  <c r="F209" i="14"/>
  <c r="F137" i="14"/>
  <c r="J137" i="14"/>
  <c r="H137" i="14"/>
  <c r="G137" i="14"/>
  <c r="J187" i="14"/>
  <c r="P187" i="14"/>
  <c r="H187" i="14"/>
  <c r="N187" i="14"/>
  <c r="L187" i="14"/>
  <c r="T187" i="14" s="1"/>
  <c r="G187" i="14"/>
  <c r="F187" i="14"/>
  <c r="P79" i="14"/>
  <c r="H79" i="14"/>
  <c r="R79" i="14" s="1"/>
  <c r="N79" i="14"/>
  <c r="G79" i="14"/>
  <c r="L79" i="14" s="1"/>
  <c r="J79" i="14"/>
  <c r="F79" i="14"/>
  <c r="J189" i="14"/>
  <c r="P189" i="14"/>
  <c r="H189" i="14"/>
  <c r="G189" i="14"/>
  <c r="F189" i="14"/>
  <c r="N189" i="14"/>
  <c r="L189" i="14"/>
  <c r="T189" i="14" s="1"/>
  <c r="F86" i="14"/>
  <c r="J86" i="14"/>
  <c r="H86" i="14"/>
  <c r="G86" i="14"/>
  <c r="L86" i="14" s="1"/>
  <c r="T86" i="14" s="1"/>
  <c r="P86" i="14"/>
  <c r="N86" i="14"/>
  <c r="F169" i="14"/>
  <c r="J169" i="14"/>
  <c r="H169" i="14"/>
  <c r="G169" i="14"/>
  <c r="F72" i="14"/>
  <c r="J72" i="14"/>
  <c r="P72" i="14"/>
  <c r="N72" i="14"/>
  <c r="H72" i="14"/>
  <c r="R72" i="14" s="1"/>
  <c r="G72" i="14"/>
  <c r="L72" i="14" s="1"/>
  <c r="P75" i="14"/>
  <c r="H75" i="14"/>
  <c r="N75" i="14"/>
  <c r="G75" i="14"/>
  <c r="L75" i="14" s="1"/>
  <c r="F75" i="14"/>
  <c r="J75" i="14"/>
  <c r="L163" i="14"/>
  <c r="F163" i="14"/>
  <c r="J163" i="14"/>
  <c r="N163" i="14"/>
  <c r="H163" i="14"/>
  <c r="P163" i="14" s="1"/>
  <c r="G163" i="14"/>
  <c r="P221" i="14"/>
  <c r="H221" i="14"/>
  <c r="R221" i="14" s="1"/>
  <c r="V221" i="14" s="1"/>
  <c r="N221" i="14"/>
  <c r="G221" i="14"/>
  <c r="L221" i="14" s="1"/>
  <c r="T221" i="14" s="1"/>
  <c r="J221" i="14"/>
  <c r="U221" i="14" s="1"/>
  <c r="F221" i="14"/>
  <c r="L97" i="14"/>
  <c r="J97" i="14"/>
  <c r="H97" i="14"/>
  <c r="R97" i="14" s="1"/>
  <c r="G97" i="14"/>
  <c r="F97" i="14"/>
  <c r="P97" i="14"/>
  <c r="N97" i="14"/>
  <c r="D280" i="14"/>
  <c r="H140" i="14"/>
  <c r="G140" i="14"/>
  <c r="F140" i="14"/>
  <c r="J140" i="14"/>
  <c r="G40" i="14"/>
  <c r="L40" i="14"/>
  <c r="F40" i="14"/>
  <c r="J40" i="14"/>
  <c r="H40" i="14"/>
  <c r="P40" i="14"/>
  <c r="J35" i="14"/>
  <c r="H35" i="14"/>
  <c r="G35" i="14"/>
  <c r="F35" i="14"/>
  <c r="N35" i="14" s="1"/>
  <c r="G188" i="14"/>
  <c r="F188" i="14"/>
  <c r="N188" i="14" s="1"/>
  <c r="P188" i="14"/>
  <c r="J188" i="14"/>
  <c r="H188" i="14"/>
  <c r="F62" i="14"/>
  <c r="J62" i="14"/>
  <c r="H62" i="14"/>
  <c r="G62" i="14"/>
  <c r="N62" i="14"/>
  <c r="F216" i="14"/>
  <c r="J216" i="14"/>
  <c r="H216" i="14"/>
  <c r="G216" i="14"/>
  <c r="L216" i="14" s="1"/>
  <c r="P216" i="14"/>
  <c r="N216" i="14"/>
  <c r="P152" i="14"/>
  <c r="H152" i="14"/>
  <c r="N152" i="14"/>
  <c r="G152" i="14"/>
  <c r="L152" i="14" s="1"/>
  <c r="F152" i="14"/>
  <c r="J152" i="14"/>
  <c r="H61" i="14"/>
  <c r="G61" i="14"/>
  <c r="F61" i="14"/>
  <c r="J61" i="14"/>
  <c r="J240" i="14"/>
  <c r="P240" i="14"/>
  <c r="H240" i="14"/>
  <c r="N240" i="14"/>
  <c r="G240" i="14"/>
  <c r="L240" i="14" s="1"/>
  <c r="F240" i="14"/>
  <c r="F94" i="14"/>
  <c r="J94" i="14"/>
  <c r="H94" i="14"/>
  <c r="G94" i="14"/>
  <c r="L94" i="14" s="1"/>
  <c r="P94" i="14"/>
  <c r="N94" i="14"/>
  <c r="H201" i="14"/>
  <c r="L201" i="14" s="1"/>
  <c r="G201" i="14"/>
  <c r="J201" i="14"/>
  <c r="F201" i="14"/>
  <c r="P85" i="14"/>
  <c r="H85" i="14"/>
  <c r="N85" i="14"/>
  <c r="G85" i="14"/>
  <c r="L85" i="14" s="1"/>
  <c r="F85" i="14"/>
  <c r="J85" i="14"/>
  <c r="H148" i="14"/>
  <c r="N148" i="14" s="1"/>
  <c r="G148" i="14"/>
  <c r="F148" i="14"/>
  <c r="J148" i="14"/>
  <c r="G36" i="14"/>
  <c r="F36" i="14"/>
  <c r="J36" i="14"/>
  <c r="H36" i="14"/>
  <c r="N186" i="14"/>
  <c r="G186" i="14"/>
  <c r="L186" i="14" s="1"/>
  <c r="F186" i="14"/>
  <c r="J186" i="14"/>
  <c r="H186" i="14"/>
  <c r="P186" i="14"/>
  <c r="U60" i="11"/>
  <c r="W60" i="11" s="1"/>
  <c r="E272" i="14"/>
  <c r="F70" i="14"/>
  <c r="J70" i="14"/>
  <c r="H70" i="14"/>
  <c r="P70" i="14"/>
  <c r="G70" i="14"/>
  <c r="L70" i="14" s="1"/>
  <c r="N70" i="14"/>
  <c r="P199" i="14"/>
  <c r="H199" i="14"/>
  <c r="N199" i="14"/>
  <c r="G199" i="14"/>
  <c r="L199" i="14" s="1"/>
  <c r="F199" i="14"/>
  <c r="J199" i="14"/>
  <c r="P106" i="14"/>
  <c r="H106" i="14"/>
  <c r="N106" i="14"/>
  <c r="G106" i="14"/>
  <c r="L106" i="14"/>
  <c r="J106" i="14"/>
  <c r="F106" i="14"/>
  <c r="J234" i="14"/>
  <c r="H234" i="14"/>
  <c r="P234" i="14" s="1"/>
  <c r="G234" i="14"/>
  <c r="F234" i="14"/>
  <c r="H162" i="14"/>
  <c r="G162" i="14"/>
  <c r="J162" i="14"/>
  <c r="F162" i="14"/>
  <c r="L96" i="14"/>
  <c r="F96" i="14"/>
  <c r="J96" i="14"/>
  <c r="P96" i="14"/>
  <c r="H96" i="14"/>
  <c r="R96" i="14" s="1"/>
  <c r="N96" i="14"/>
  <c r="G96" i="14"/>
  <c r="G32" i="14"/>
  <c r="J32" i="14"/>
  <c r="F32" i="14"/>
  <c r="H32" i="14"/>
  <c r="G182" i="14"/>
  <c r="L182" i="14"/>
  <c r="F182" i="14"/>
  <c r="J182" i="14"/>
  <c r="H182" i="14"/>
  <c r="P182" i="14"/>
  <c r="E279" i="14"/>
  <c r="H223" i="14"/>
  <c r="G223" i="14"/>
  <c r="F223" i="14"/>
  <c r="L223" i="14" s="1"/>
  <c r="J223" i="14"/>
  <c r="E274" i="14"/>
  <c r="H114" i="14"/>
  <c r="G114" i="14"/>
  <c r="J114" i="14"/>
  <c r="F114" i="14"/>
  <c r="P53" i="14"/>
  <c r="H53" i="14"/>
  <c r="N53" i="14"/>
  <c r="G53" i="14"/>
  <c r="L53" i="14" s="1"/>
  <c r="F53" i="14"/>
  <c r="J53" i="14"/>
  <c r="G174" i="14"/>
  <c r="F174" i="14"/>
  <c r="N174" i="14" s="1"/>
  <c r="J174" i="14"/>
  <c r="H174" i="14"/>
  <c r="F153" i="14"/>
  <c r="J153" i="14"/>
  <c r="H153" i="14"/>
  <c r="G153" i="14"/>
  <c r="F101" i="14"/>
  <c r="J101" i="14"/>
  <c r="H101" i="14"/>
  <c r="G101" i="14"/>
  <c r="L101" i="14" s="1"/>
  <c r="P101" i="14"/>
  <c r="N101" i="14"/>
  <c r="G5" i="12"/>
  <c r="T38" i="11"/>
  <c r="V38" i="11" s="1"/>
  <c r="T252" i="11"/>
  <c r="V252" i="11" s="1"/>
  <c r="U172" i="12"/>
  <c r="V78" i="12"/>
  <c r="V76" i="11"/>
  <c r="R83" i="12"/>
  <c r="P167" i="12"/>
  <c r="P276" i="12" s="1"/>
  <c r="W101" i="11"/>
  <c r="V95" i="11"/>
  <c r="T194" i="12"/>
  <c r="V109" i="11"/>
  <c r="P12" i="11"/>
  <c r="V112" i="11"/>
  <c r="T136" i="11"/>
  <c r="G22" i="12"/>
  <c r="P22" i="12" s="1"/>
  <c r="W248" i="11"/>
  <c r="L18" i="11"/>
  <c r="U18" i="11" s="1"/>
  <c r="W220" i="11"/>
  <c r="N104" i="12"/>
  <c r="N273" i="12" s="1"/>
  <c r="V134" i="11"/>
  <c r="W169" i="11"/>
  <c r="P231" i="12"/>
  <c r="R76" i="12"/>
  <c r="W76" i="12" s="1"/>
  <c r="T189" i="12"/>
  <c r="P150" i="12"/>
  <c r="N46" i="13"/>
  <c r="N62" i="13"/>
  <c r="G17" i="12"/>
  <c r="E17" i="13"/>
  <c r="V71" i="11"/>
  <c r="T71" i="12"/>
  <c r="E11" i="13"/>
  <c r="F8" i="12"/>
  <c r="P8" i="12" s="1"/>
  <c r="E8" i="13"/>
  <c r="J27" i="12"/>
  <c r="D27" i="13"/>
  <c r="D27" i="14" s="1"/>
  <c r="L240" i="13"/>
  <c r="D25" i="13"/>
  <c r="P242" i="13"/>
  <c r="D24" i="13"/>
  <c r="D24" i="14" s="1"/>
  <c r="P175" i="12"/>
  <c r="T175" i="12" s="1"/>
  <c r="T123" i="12"/>
  <c r="T97" i="12"/>
  <c r="F279" i="12"/>
  <c r="E14" i="13"/>
  <c r="F14" i="13" s="1"/>
  <c r="D10" i="13"/>
  <c r="D10" i="14" s="1"/>
  <c r="D269" i="12"/>
  <c r="D282" i="12" s="1"/>
  <c r="D23" i="13"/>
  <c r="D23" i="14" s="1"/>
  <c r="N146" i="12"/>
  <c r="P185" i="13"/>
  <c r="J56" i="13"/>
  <c r="E280" i="13"/>
  <c r="D12" i="13"/>
  <c r="D12" i="14" s="1"/>
  <c r="D5" i="13"/>
  <c r="D5" i="14" s="1"/>
  <c r="P54" i="13"/>
  <c r="T54" i="13" s="1"/>
  <c r="F178" i="13"/>
  <c r="N178" i="13" s="1"/>
  <c r="H67" i="13"/>
  <c r="N67" i="13" s="1"/>
  <c r="D18" i="13"/>
  <c r="D18" i="14" s="1"/>
  <c r="E24" i="13"/>
  <c r="G24" i="13" s="1"/>
  <c r="U149" i="12"/>
  <c r="G231" i="14"/>
  <c r="F231" i="14"/>
  <c r="L231" i="14" s="1"/>
  <c r="J231" i="14"/>
  <c r="H231" i="14"/>
  <c r="D272" i="14"/>
  <c r="P126" i="14"/>
  <c r="H126" i="14"/>
  <c r="G126" i="14"/>
  <c r="L126" i="14"/>
  <c r="J126" i="14"/>
  <c r="F126" i="14"/>
  <c r="N126" i="14" s="1"/>
  <c r="J236" i="14"/>
  <c r="H236" i="14"/>
  <c r="G236" i="14"/>
  <c r="F236" i="14"/>
  <c r="F121" i="14"/>
  <c r="J121" i="14"/>
  <c r="U121" i="14" s="1"/>
  <c r="H121" i="14"/>
  <c r="G121" i="14"/>
  <c r="L121" i="14" s="1"/>
  <c r="P121" i="14"/>
  <c r="N121" i="14"/>
  <c r="J253" i="14"/>
  <c r="H253" i="14"/>
  <c r="G253" i="14"/>
  <c r="F253" i="14"/>
  <c r="F113" i="14"/>
  <c r="J113" i="14"/>
  <c r="H113" i="14"/>
  <c r="G113" i="14"/>
  <c r="L113" i="14" s="1"/>
  <c r="P113" i="14"/>
  <c r="N113" i="14"/>
  <c r="J265" i="14"/>
  <c r="H265" i="14"/>
  <c r="G265" i="14"/>
  <c r="F265" i="14"/>
  <c r="F161" i="14"/>
  <c r="J161" i="14"/>
  <c r="H161" i="14"/>
  <c r="N161" i="14" s="1"/>
  <c r="G161" i="14"/>
  <c r="P110" i="14"/>
  <c r="H110" i="14"/>
  <c r="N110" i="14"/>
  <c r="G110" i="14"/>
  <c r="L110" i="14" s="1"/>
  <c r="J110" i="14"/>
  <c r="F110" i="14"/>
  <c r="L90" i="14"/>
  <c r="F90" i="14"/>
  <c r="J90" i="14"/>
  <c r="H90" i="14"/>
  <c r="P90" i="14"/>
  <c r="G90" i="14"/>
  <c r="N90" i="14"/>
  <c r="P217" i="14"/>
  <c r="H217" i="14"/>
  <c r="N217" i="14"/>
  <c r="G217" i="14"/>
  <c r="L217" i="14" s="1"/>
  <c r="J217" i="14"/>
  <c r="F217" i="14"/>
  <c r="F115" i="14"/>
  <c r="J115" i="14"/>
  <c r="H115" i="14"/>
  <c r="G115" i="14"/>
  <c r="J33" i="14"/>
  <c r="G33" i="14"/>
  <c r="H33" i="14"/>
  <c r="F33" i="14"/>
  <c r="E276" i="14"/>
  <c r="F157" i="14"/>
  <c r="J157" i="14"/>
  <c r="H157" i="14"/>
  <c r="G157" i="14"/>
  <c r="F125" i="14"/>
  <c r="J125" i="14"/>
  <c r="H125" i="14"/>
  <c r="G125" i="14"/>
  <c r="P197" i="14"/>
  <c r="H197" i="14"/>
  <c r="N197" i="14"/>
  <c r="G197" i="14"/>
  <c r="L197" i="14"/>
  <c r="J197" i="14"/>
  <c r="F197" i="14"/>
  <c r="F208" i="14"/>
  <c r="L208" i="14" s="1"/>
  <c r="J208" i="14"/>
  <c r="H208" i="14"/>
  <c r="G208" i="14"/>
  <c r="N208" i="14"/>
  <c r="H144" i="14"/>
  <c r="G144" i="14"/>
  <c r="F144" i="14"/>
  <c r="J144" i="14"/>
  <c r="F84" i="14"/>
  <c r="P84" i="14" s="1"/>
  <c r="J84" i="14"/>
  <c r="H84" i="14"/>
  <c r="G84" i="14"/>
  <c r="F105" i="14"/>
  <c r="J105" i="14"/>
  <c r="H105" i="14"/>
  <c r="G105" i="14"/>
  <c r="L105" i="14" s="1"/>
  <c r="P105" i="14"/>
  <c r="N105" i="14"/>
  <c r="P112" i="14"/>
  <c r="H112" i="14"/>
  <c r="N112" i="14"/>
  <c r="G112" i="14"/>
  <c r="L112" i="14" s="1"/>
  <c r="F112" i="14"/>
  <c r="J112" i="14"/>
  <c r="U112" i="14" s="1"/>
  <c r="F214" i="14"/>
  <c r="J214" i="14"/>
  <c r="H214" i="14"/>
  <c r="G214" i="14"/>
  <c r="H150" i="14"/>
  <c r="G150" i="14"/>
  <c r="J150" i="14"/>
  <c r="F150" i="14"/>
  <c r="P120" i="14"/>
  <c r="H120" i="14"/>
  <c r="N120" i="14"/>
  <c r="G120" i="14"/>
  <c r="F120" i="14"/>
  <c r="L120" i="14"/>
  <c r="J120" i="14"/>
  <c r="U120" i="14" s="1"/>
  <c r="J249" i="14"/>
  <c r="H249" i="14"/>
  <c r="G249" i="14"/>
  <c r="F249" i="14"/>
  <c r="L249" i="14" s="1"/>
  <c r="P69" i="14"/>
  <c r="H69" i="14"/>
  <c r="N69" i="14"/>
  <c r="G69" i="14"/>
  <c r="L69" i="14" s="1"/>
  <c r="F69" i="14"/>
  <c r="J69" i="14"/>
  <c r="H164" i="14"/>
  <c r="G164" i="14"/>
  <c r="P164" i="14" s="1"/>
  <c r="F164" i="14"/>
  <c r="L164" i="14"/>
  <c r="J164" i="14"/>
  <c r="F74" i="14"/>
  <c r="L74" i="14" s="1"/>
  <c r="J74" i="14"/>
  <c r="H74" i="14"/>
  <c r="G74" i="14"/>
  <c r="N44" i="14"/>
  <c r="G44" i="14"/>
  <c r="L44" i="14" s="1"/>
  <c r="F44" i="14"/>
  <c r="J44" i="14"/>
  <c r="H44" i="14"/>
  <c r="P44" i="14"/>
  <c r="J259" i="14"/>
  <c r="H259" i="14"/>
  <c r="G259" i="14"/>
  <c r="F259" i="14"/>
  <c r="J194" i="14"/>
  <c r="G194" i="14"/>
  <c r="F194" i="14"/>
  <c r="H194" i="14"/>
  <c r="J179" i="14"/>
  <c r="H179" i="14"/>
  <c r="G179" i="14"/>
  <c r="F179" i="14"/>
  <c r="J257" i="14"/>
  <c r="H257" i="14"/>
  <c r="N257" i="14" s="1"/>
  <c r="G257" i="14"/>
  <c r="F257" i="14"/>
  <c r="G260" i="14"/>
  <c r="F260" i="14"/>
  <c r="J260" i="14"/>
  <c r="H260" i="14"/>
  <c r="H59" i="14"/>
  <c r="G59" i="14"/>
  <c r="F59" i="14"/>
  <c r="J59" i="14"/>
  <c r="F123" i="14"/>
  <c r="J123" i="14"/>
  <c r="P123" i="14"/>
  <c r="N123" i="14"/>
  <c r="H123" i="14"/>
  <c r="G123" i="14"/>
  <c r="L123" i="14" s="1"/>
  <c r="T123" i="14" s="1"/>
  <c r="H104" i="14"/>
  <c r="G104" i="14"/>
  <c r="F104" i="14"/>
  <c r="J104" i="14"/>
  <c r="J251" i="14"/>
  <c r="H251" i="14"/>
  <c r="G251" i="14"/>
  <c r="F251" i="14"/>
  <c r="J175" i="14"/>
  <c r="H175" i="14"/>
  <c r="L175" i="14"/>
  <c r="G175" i="14"/>
  <c r="F175" i="14"/>
  <c r="H122" i="14"/>
  <c r="N122" i="14"/>
  <c r="G122" i="14"/>
  <c r="J122" i="14"/>
  <c r="F122" i="14"/>
  <c r="J181" i="14"/>
  <c r="H181" i="14"/>
  <c r="G181" i="14"/>
  <c r="F181" i="14"/>
  <c r="L181" i="14"/>
  <c r="F212" i="14"/>
  <c r="J212" i="14"/>
  <c r="H212" i="14"/>
  <c r="L212" i="14" s="1"/>
  <c r="G212" i="14"/>
  <c r="P108" i="14"/>
  <c r="H108" i="14"/>
  <c r="N108" i="14"/>
  <c r="G108" i="14"/>
  <c r="L108" i="14" s="1"/>
  <c r="F108" i="14"/>
  <c r="J108" i="14"/>
  <c r="F88" i="14"/>
  <c r="J88" i="14"/>
  <c r="P88" i="14"/>
  <c r="H88" i="14"/>
  <c r="N88" i="14"/>
  <c r="G88" i="14"/>
  <c r="L88" i="14" s="1"/>
  <c r="F206" i="14"/>
  <c r="J206" i="14"/>
  <c r="P206" i="14"/>
  <c r="N206" i="14"/>
  <c r="H206" i="14"/>
  <c r="G206" i="14"/>
  <c r="L206" i="14" s="1"/>
  <c r="P95" i="14"/>
  <c r="H95" i="14"/>
  <c r="N95" i="14"/>
  <c r="G95" i="14"/>
  <c r="L95" i="14" s="1"/>
  <c r="F95" i="14"/>
  <c r="J95" i="14"/>
  <c r="L141" i="14"/>
  <c r="F141" i="14"/>
  <c r="J141" i="14"/>
  <c r="H141" i="14"/>
  <c r="G141" i="14"/>
  <c r="P141" i="14" s="1"/>
  <c r="G254" i="14"/>
  <c r="F254" i="14"/>
  <c r="J254" i="14"/>
  <c r="H254" i="14"/>
  <c r="F99" i="14"/>
  <c r="J99" i="14"/>
  <c r="P99" i="14"/>
  <c r="N99" i="14"/>
  <c r="H99" i="14"/>
  <c r="G99" i="14"/>
  <c r="L99" i="14" s="1"/>
  <c r="T99" i="14" s="1"/>
  <c r="N117" i="13"/>
  <c r="P263" i="13"/>
  <c r="P262" i="13"/>
  <c r="N230" i="13"/>
  <c r="P153" i="13"/>
  <c r="L183" i="13"/>
  <c r="R183" i="13" s="1"/>
  <c r="P41" i="13"/>
  <c r="L166" i="13"/>
  <c r="U166" i="13" s="1"/>
  <c r="L238" i="13"/>
  <c r="R238" i="13" s="1"/>
  <c r="L36" i="13"/>
  <c r="L197" i="13"/>
  <c r="R197" i="13" s="1"/>
  <c r="L84" i="13"/>
  <c r="R84" i="13" s="1"/>
  <c r="P231" i="13"/>
  <c r="N125" i="13"/>
  <c r="L201" i="13"/>
  <c r="N244" i="13"/>
  <c r="L229" i="13"/>
  <c r="U229" i="13" s="1"/>
  <c r="T76" i="13"/>
  <c r="T82" i="13"/>
  <c r="T120" i="13"/>
  <c r="L83" i="13"/>
  <c r="U83" i="13" s="1"/>
  <c r="N83" i="13"/>
  <c r="L262" i="13"/>
  <c r="U262" i="13" s="1"/>
  <c r="P243" i="13"/>
  <c r="P138" i="13"/>
  <c r="L138" i="13"/>
  <c r="U138" i="13" s="1"/>
  <c r="P248" i="13"/>
  <c r="N136" i="13"/>
  <c r="L143" i="13"/>
  <c r="U143" i="13" s="1"/>
  <c r="P143" i="13"/>
  <c r="N143" i="13"/>
  <c r="L209" i="13"/>
  <c r="R209" i="13" s="1"/>
  <c r="N168" i="13"/>
  <c r="P168" i="13"/>
  <c r="N242" i="13"/>
  <c r="T242" i="13" s="1"/>
  <c r="L204" i="13"/>
  <c r="U204" i="13" s="1"/>
  <c r="P140" i="13"/>
  <c r="N251" i="13"/>
  <c r="G279" i="13"/>
  <c r="L212" i="13"/>
  <c r="U212" i="13" s="1"/>
  <c r="P146" i="13"/>
  <c r="L146" i="13"/>
  <c r="R146" i="13" s="1"/>
  <c r="L203" i="13"/>
  <c r="U203" i="13" s="1"/>
  <c r="P203" i="13"/>
  <c r="L247" i="13"/>
  <c r="R247" i="13" s="1"/>
  <c r="P247" i="13"/>
  <c r="L62" i="13"/>
  <c r="U62" i="13" s="1"/>
  <c r="P210" i="13"/>
  <c r="L230" i="13"/>
  <c r="P161" i="13"/>
  <c r="P258" i="13"/>
  <c r="N29" i="13"/>
  <c r="L49" i="13"/>
  <c r="U49" i="13" s="1"/>
  <c r="L168" i="13"/>
  <c r="L147" i="13"/>
  <c r="T97" i="13"/>
  <c r="L140" i="13"/>
  <c r="U140" i="13" s="1"/>
  <c r="P117" i="13"/>
  <c r="P241" i="13"/>
  <c r="L241" i="13"/>
  <c r="U241" i="13" s="1"/>
  <c r="L191" i="13"/>
  <c r="R191" i="13" s="1"/>
  <c r="N145" i="13"/>
  <c r="P145" i="13"/>
  <c r="L145" i="13"/>
  <c r="R145" i="13" s="1"/>
  <c r="N154" i="13"/>
  <c r="L154" i="13"/>
  <c r="P36" i="13"/>
  <c r="N52" i="13"/>
  <c r="N229" i="13"/>
  <c r="N262" i="13"/>
  <c r="P73" i="13"/>
  <c r="L232" i="13"/>
  <c r="R232" i="13" s="1"/>
  <c r="T75" i="13"/>
  <c r="L40" i="13"/>
  <c r="U40" i="13" s="1"/>
  <c r="P142" i="13"/>
  <c r="N39" i="13"/>
  <c r="N61" i="13"/>
  <c r="N60" i="13"/>
  <c r="U42" i="13"/>
  <c r="N250" i="13"/>
  <c r="P250" i="13"/>
  <c r="N246" i="13"/>
  <c r="N34" i="13"/>
  <c r="N161" i="13"/>
  <c r="P233" i="13"/>
  <c r="L126" i="13"/>
  <c r="U126" i="13" s="1"/>
  <c r="N41" i="13"/>
  <c r="P104" i="13"/>
  <c r="P159" i="13"/>
  <c r="P232" i="13"/>
  <c r="T232" i="13" s="1"/>
  <c r="P166" i="13"/>
  <c r="N43" i="13"/>
  <c r="P154" i="13"/>
  <c r="N228" i="13"/>
  <c r="L39" i="13"/>
  <c r="U218" i="13"/>
  <c r="N180" i="13"/>
  <c r="N203" i="13"/>
  <c r="L175" i="13"/>
  <c r="U175" i="13" s="1"/>
  <c r="T67" i="13"/>
  <c r="N265" i="13"/>
  <c r="P77" i="13"/>
  <c r="N102" i="13"/>
  <c r="L227" i="13"/>
  <c r="R227" i="13" s="1"/>
  <c r="P227" i="13"/>
  <c r="N227" i="13"/>
  <c r="N103" i="13"/>
  <c r="P103" i="13"/>
  <c r="P93" i="13"/>
  <c r="N93" i="13"/>
  <c r="L127" i="13"/>
  <c r="R127" i="13" s="1"/>
  <c r="P127" i="13"/>
  <c r="P66" i="13"/>
  <c r="N66" i="13"/>
  <c r="N96" i="13"/>
  <c r="P96" i="13"/>
  <c r="L256" i="13"/>
  <c r="U256" i="13" s="1"/>
  <c r="P256" i="13"/>
  <c r="N77" i="13"/>
  <c r="L258" i="13"/>
  <c r="R258" i="13" s="1"/>
  <c r="N222" i="13"/>
  <c r="U81" i="13"/>
  <c r="L98" i="13"/>
  <c r="U98" i="13" s="1"/>
  <c r="N98" i="13"/>
  <c r="R221" i="13"/>
  <c r="N221" i="13"/>
  <c r="P221" i="13"/>
  <c r="N108" i="13"/>
  <c r="P108" i="13"/>
  <c r="R56" i="13"/>
  <c r="P56" i="13"/>
  <c r="T56" i="13" s="1"/>
  <c r="V56" i="13" s="1"/>
  <c r="P92" i="13"/>
  <c r="L57" i="13"/>
  <c r="N57" i="13"/>
  <c r="L66" i="13"/>
  <c r="R187" i="13"/>
  <c r="N187" i="13"/>
  <c r="P187" i="13"/>
  <c r="L179" i="13"/>
  <c r="U179" i="13" s="1"/>
  <c r="L77" i="13"/>
  <c r="R77" i="13" s="1"/>
  <c r="L71" i="13"/>
  <c r="U71" i="13" s="1"/>
  <c r="L131" i="13"/>
  <c r="R131" i="13" s="1"/>
  <c r="P131" i="13"/>
  <c r="N258" i="13"/>
  <c r="P81" i="13"/>
  <c r="N81" i="13"/>
  <c r="P98" i="13"/>
  <c r="N149" i="13"/>
  <c r="N130" i="13"/>
  <c r="P130" i="13"/>
  <c r="L103" i="13"/>
  <c r="L109" i="13"/>
  <c r="U109" i="13" s="1"/>
  <c r="N109" i="13"/>
  <c r="P109" i="13"/>
  <c r="P186" i="13"/>
  <c r="N186" i="13"/>
  <c r="L186" i="13"/>
  <c r="L72" i="13"/>
  <c r="P80" i="13"/>
  <c r="P245" i="13"/>
  <c r="P57" i="13"/>
  <c r="L180" i="13"/>
  <c r="R180" i="13" s="1"/>
  <c r="T129" i="13"/>
  <c r="P91" i="13"/>
  <c r="N91" i="13"/>
  <c r="N99" i="13"/>
  <c r="L210" i="13"/>
  <c r="L102" i="13"/>
  <c r="P44" i="13"/>
  <c r="P71" i="13"/>
  <c r="N135" i="13"/>
  <c r="P135" i="13"/>
  <c r="L189" i="13"/>
  <c r="P189" i="13"/>
  <c r="N189" i="13"/>
  <c r="T65" i="13"/>
  <c r="P195" i="13"/>
  <c r="N195" i="13"/>
  <c r="P89" i="13"/>
  <c r="T69" i="13"/>
  <c r="N53" i="13"/>
  <c r="T53" i="13" s="1"/>
  <c r="P47" i="13"/>
  <c r="N47" i="13"/>
  <c r="P124" i="13"/>
  <c r="N124" i="13"/>
  <c r="L124" i="13"/>
  <c r="U124" i="13" s="1"/>
  <c r="N127" i="13"/>
  <c r="P208" i="13"/>
  <c r="P155" i="13"/>
  <c r="L155" i="13"/>
  <c r="U155" i="13" s="1"/>
  <c r="N119" i="13"/>
  <c r="L31" i="13"/>
  <c r="N31" i="13"/>
  <c r="P31" i="13"/>
  <c r="R101" i="13"/>
  <c r="N101" i="13"/>
  <c r="P101" i="13"/>
  <c r="L99" i="13"/>
  <c r="L225" i="13"/>
  <c r="U225" i="13" s="1"/>
  <c r="T100" i="13"/>
  <c r="T215" i="13"/>
  <c r="L79" i="13"/>
  <c r="T86" i="13"/>
  <c r="U29" i="13"/>
  <c r="L111" i="13"/>
  <c r="U111" i="13" s="1"/>
  <c r="P59" i="13"/>
  <c r="P170" i="13"/>
  <c r="L50" i="13"/>
  <c r="U50" i="13" s="1"/>
  <c r="U41" i="13"/>
  <c r="L104" i="13"/>
  <c r="R104" i="13" s="1"/>
  <c r="L251" i="13"/>
  <c r="T107" i="13"/>
  <c r="N254" i="13"/>
  <c r="T207" i="13"/>
  <c r="T185" i="13"/>
  <c r="L181" i="13"/>
  <c r="U181" i="13" s="1"/>
  <c r="P181" i="13"/>
  <c r="N181" i="13"/>
  <c r="R110" i="13"/>
  <c r="P110" i="13"/>
  <c r="P196" i="13"/>
  <c r="N196" i="13"/>
  <c r="T196" i="13" s="1"/>
  <c r="L92" i="13"/>
  <c r="U92" i="13" s="1"/>
  <c r="N197" i="13"/>
  <c r="N45" i="13"/>
  <c r="L45" i="13"/>
  <c r="T105" i="13"/>
  <c r="N175" i="13"/>
  <c r="N84" i="13"/>
  <c r="P32" i="13"/>
  <c r="P83" i="13"/>
  <c r="P171" i="13"/>
  <c r="L63" i="13"/>
  <c r="P42" i="13"/>
  <c r="P230" i="13"/>
  <c r="L44" i="13"/>
  <c r="L112" i="13"/>
  <c r="T112" i="13" s="1"/>
  <c r="N30" i="13"/>
  <c r="L222" i="13"/>
  <c r="N257" i="13"/>
  <c r="P147" i="13"/>
  <c r="L205" i="13"/>
  <c r="U205" i="13" s="1"/>
  <c r="P149" i="13"/>
  <c r="P50" i="13"/>
  <c r="P125" i="13"/>
  <c r="T125" i="13" s="1"/>
  <c r="U64" i="13"/>
  <c r="L80" i="13"/>
  <c r="T87" i="13"/>
  <c r="U56" i="13"/>
  <c r="W56" i="13" s="1"/>
  <c r="N217" i="13"/>
  <c r="L85" i="13"/>
  <c r="R85" i="13" s="1"/>
  <c r="N85" i="13"/>
  <c r="N206" i="13"/>
  <c r="P197" i="13"/>
  <c r="U132" i="13"/>
  <c r="R132" i="13"/>
  <c r="L208" i="13"/>
  <c r="U208" i="13" s="1"/>
  <c r="T199" i="13"/>
  <c r="N134" i="13"/>
  <c r="L134" i="13"/>
  <c r="P255" i="13"/>
  <c r="L139" i="13"/>
  <c r="R139" i="13" s="1"/>
  <c r="P139" i="13"/>
  <c r="P95" i="13"/>
  <c r="N219" i="13"/>
  <c r="P175" i="13"/>
  <c r="P216" i="13"/>
  <c r="T216" i="13" s="1"/>
  <c r="L152" i="13"/>
  <c r="U152" i="13" s="1"/>
  <c r="P152" i="13"/>
  <c r="P251" i="13"/>
  <c r="L89" i="13"/>
  <c r="R89" i="13" s="1"/>
  <c r="U69" i="13"/>
  <c r="R69" i="13"/>
  <c r="U154" i="13"/>
  <c r="R64" i="13"/>
  <c r="N64" i="13"/>
  <c r="T64" i="13" s="1"/>
  <c r="U110" i="13"/>
  <c r="L94" i="13"/>
  <c r="U94" i="13" s="1"/>
  <c r="L90" i="13"/>
  <c r="T90" i="13" s="1"/>
  <c r="L55" i="13"/>
  <c r="L88" i="13"/>
  <c r="L206" i="13"/>
  <c r="T206" i="13" s="1"/>
  <c r="L144" i="13"/>
  <c r="P228" i="13"/>
  <c r="P176" i="13"/>
  <c r="N155" i="13"/>
  <c r="T218" i="13"/>
  <c r="L219" i="13"/>
  <c r="L133" i="13"/>
  <c r="R133" i="13" s="1"/>
  <c r="P239" i="13"/>
  <c r="L119" i="13"/>
  <c r="R119" i="13" s="1"/>
  <c r="L151" i="13"/>
  <c r="R89" i="12"/>
  <c r="W89" i="12" s="1"/>
  <c r="T89" i="12"/>
  <c r="U89" i="12"/>
  <c r="N10" i="11"/>
  <c r="P10" i="11"/>
  <c r="R236" i="12"/>
  <c r="U236" i="12"/>
  <c r="R145" i="12"/>
  <c r="U145" i="12"/>
  <c r="F9" i="12"/>
  <c r="J9" i="12"/>
  <c r="H9" i="12"/>
  <c r="L9" i="12" s="1"/>
  <c r="R9" i="12" s="1"/>
  <c r="G11" i="13"/>
  <c r="L94" i="12"/>
  <c r="U94" i="12" s="1"/>
  <c r="R94" i="12"/>
  <c r="W94" i="12" s="1"/>
  <c r="P259" i="13"/>
  <c r="N259" i="13"/>
  <c r="G18" i="13"/>
  <c r="F18" i="13"/>
  <c r="P167" i="13"/>
  <c r="N200" i="13"/>
  <c r="L200" i="13"/>
  <c r="R200" i="13" s="1"/>
  <c r="P200" i="13"/>
  <c r="P74" i="13"/>
  <c r="H14" i="12"/>
  <c r="F14" i="12"/>
  <c r="P14" i="12" s="1"/>
  <c r="P264" i="12"/>
  <c r="G280" i="12"/>
  <c r="N232" i="12"/>
  <c r="L232" i="12"/>
  <c r="U232" i="12" s="1"/>
  <c r="P232" i="12"/>
  <c r="F276" i="12"/>
  <c r="N163" i="12"/>
  <c r="L163" i="12"/>
  <c r="T163" i="12" s="1"/>
  <c r="L38" i="12"/>
  <c r="U38" i="12" s="1"/>
  <c r="N38" i="12"/>
  <c r="P38" i="12"/>
  <c r="H270" i="12"/>
  <c r="N157" i="12"/>
  <c r="L157" i="12"/>
  <c r="P157" i="12"/>
  <c r="H276" i="12"/>
  <c r="P236" i="12"/>
  <c r="N236" i="12"/>
  <c r="U77" i="12"/>
  <c r="J272" i="12"/>
  <c r="P136" i="12"/>
  <c r="G275" i="12"/>
  <c r="P107" i="12"/>
  <c r="R107" i="12"/>
  <c r="W107" i="12" s="1"/>
  <c r="W153" i="11"/>
  <c r="V153" i="11"/>
  <c r="H21" i="12"/>
  <c r="F21" i="12"/>
  <c r="P21" i="12" s="1"/>
  <c r="P238" i="12"/>
  <c r="G279" i="12"/>
  <c r="G272" i="12"/>
  <c r="L252" i="13"/>
  <c r="N252" i="13"/>
  <c r="N182" i="13"/>
  <c r="L182" i="13"/>
  <c r="U182" i="13" s="1"/>
  <c r="P182" i="13"/>
  <c r="G21" i="12"/>
  <c r="J277" i="12"/>
  <c r="V69" i="11"/>
  <c r="N13" i="11"/>
  <c r="P13" i="11"/>
  <c r="P60" i="13"/>
  <c r="L60" i="13"/>
  <c r="W35" i="11"/>
  <c r="N174" i="13"/>
  <c r="L174" i="13"/>
  <c r="R174" i="13" s="1"/>
  <c r="P174" i="13"/>
  <c r="P35" i="13"/>
  <c r="L35" i="13"/>
  <c r="U35" i="13" s="1"/>
  <c r="N35" i="13"/>
  <c r="G276" i="12"/>
  <c r="P177" i="12"/>
  <c r="T177" i="12" s="1"/>
  <c r="N263" i="12"/>
  <c r="L263" i="12"/>
  <c r="R263" i="12" s="1"/>
  <c r="P52" i="13"/>
  <c r="L52" i="13"/>
  <c r="R52" i="13" s="1"/>
  <c r="L118" i="13"/>
  <c r="U118" i="13" s="1"/>
  <c r="L91" i="13"/>
  <c r="U91" i="13" s="1"/>
  <c r="J21" i="12"/>
  <c r="G14" i="12"/>
  <c r="N7" i="11"/>
  <c r="R51" i="12"/>
  <c r="L24" i="11"/>
  <c r="R24" i="11" s="1"/>
  <c r="P24" i="11"/>
  <c r="U99" i="12"/>
  <c r="G270" i="12"/>
  <c r="G9" i="12"/>
  <c r="R210" i="11"/>
  <c r="W210" i="11" s="1"/>
  <c r="U210" i="11"/>
  <c r="R225" i="11"/>
  <c r="U143" i="12"/>
  <c r="R143" i="12"/>
  <c r="V143" i="12" s="1"/>
  <c r="U126" i="12"/>
  <c r="R108" i="12"/>
  <c r="T108" i="12"/>
  <c r="R44" i="12"/>
  <c r="U44" i="12"/>
  <c r="P202" i="13"/>
  <c r="P192" i="13"/>
  <c r="N192" i="13"/>
  <c r="L192" i="13"/>
  <c r="R192" i="13" s="1"/>
  <c r="N209" i="13"/>
  <c r="P209" i="13"/>
  <c r="P28" i="13"/>
  <c r="L28" i="13"/>
  <c r="U28" i="13" s="1"/>
  <c r="J274" i="12"/>
  <c r="P188" i="13"/>
  <c r="T240" i="13"/>
  <c r="R215" i="13"/>
  <c r="L167" i="13"/>
  <c r="P184" i="13"/>
  <c r="L184" i="13"/>
  <c r="N184" i="13"/>
  <c r="N183" i="13"/>
  <c r="N169" i="13"/>
  <c r="P169" i="13"/>
  <c r="L169" i="13"/>
  <c r="R169" i="13" s="1"/>
  <c r="L236" i="13"/>
  <c r="U236" i="13" s="1"/>
  <c r="N236" i="13"/>
  <c r="L163" i="13"/>
  <c r="N211" i="13"/>
  <c r="L211" i="13"/>
  <c r="P211" i="13"/>
  <c r="L190" i="13"/>
  <c r="U190" i="13" s="1"/>
  <c r="N150" i="13"/>
  <c r="P150" i="13"/>
  <c r="L150" i="13"/>
  <c r="U150" i="13" s="1"/>
  <c r="H278" i="13"/>
  <c r="L263" i="13"/>
  <c r="N263" i="13"/>
  <c r="R207" i="13"/>
  <c r="P59" i="12"/>
  <c r="T59" i="12" s="1"/>
  <c r="L59" i="12"/>
  <c r="W43" i="11"/>
  <c r="N116" i="12"/>
  <c r="P116" i="12"/>
  <c r="L116" i="12"/>
  <c r="R116" i="12" s="1"/>
  <c r="J7" i="12"/>
  <c r="U7" i="12" s="1"/>
  <c r="H7" i="12"/>
  <c r="G7" i="12"/>
  <c r="G20" i="13"/>
  <c r="F20" i="13"/>
  <c r="N255" i="13"/>
  <c r="U96" i="13"/>
  <c r="P25" i="11"/>
  <c r="N25" i="11"/>
  <c r="J14" i="12"/>
  <c r="V202" i="11"/>
  <c r="H280" i="12"/>
  <c r="U157" i="12"/>
  <c r="L16" i="11"/>
  <c r="L167" i="12"/>
  <c r="T167" i="12" s="1"/>
  <c r="H278" i="12"/>
  <c r="F7" i="12"/>
  <c r="N12" i="11"/>
  <c r="U108" i="12"/>
  <c r="W108" i="12" s="1"/>
  <c r="T225" i="11"/>
  <c r="U68" i="12"/>
  <c r="W68" i="12" s="1"/>
  <c r="U90" i="12"/>
  <c r="T44" i="12"/>
  <c r="R204" i="12"/>
  <c r="T204" i="12"/>
  <c r="L116" i="13"/>
  <c r="R116" i="13" s="1"/>
  <c r="N261" i="13"/>
  <c r="L261" i="13"/>
  <c r="P261" i="13"/>
  <c r="G12" i="12"/>
  <c r="J12" i="12"/>
  <c r="L28" i="12"/>
  <c r="P28" i="12"/>
  <c r="F270" i="12"/>
  <c r="L193" i="13"/>
  <c r="L259" i="13"/>
  <c r="T231" i="13"/>
  <c r="L253" i="13"/>
  <c r="U123" i="13"/>
  <c r="R97" i="13"/>
  <c r="U107" i="13"/>
  <c r="N223" i="13"/>
  <c r="P37" i="13"/>
  <c r="N37" i="13"/>
  <c r="L37" i="13"/>
  <c r="L248" i="13"/>
  <c r="N248" i="13"/>
  <c r="P33" i="13"/>
  <c r="N148" i="13"/>
  <c r="L148" i="13"/>
  <c r="P148" i="13"/>
  <c r="P43" i="13"/>
  <c r="L43" i="13"/>
  <c r="J280" i="13"/>
  <c r="P252" i="13"/>
  <c r="L255" i="13"/>
  <c r="U255" i="13" s="1"/>
  <c r="N176" i="13"/>
  <c r="P234" i="13"/>
  <c r="L234" i="13"/>
  <c r="P224" i="13"/>
  <c r="L172" i="13"/>
  <c r="R172" i="13" s="1"/>
  <c r="H25" i="12"/>
  <c r="N25" i="12" s="1"/>
  <c r="G25" i="12"/>
  <c r="J25" i="12"/>
  <c r="U208" i="11"/>
  <c r="R208" i="11"/>
  <c r="W208" i="11" s="1"/>
  <c r="T208" i="11"/>
  <c r="F27" i="13"/>
  <c r="J8" i="12"/>
  <c r="H8" i="12"/>
  <c r="G8" i="12"/>
  <c r="P47" i="12"/>
  <c r="T47" i="12" s="1"/>
  <c r="V47" i="12" s="1"/>
  <c r="R47" i="12"/>
  <c r="G23" i="12"/>
  <c r="H23" i="12"/>
  <c r="P246" i="13"/>
  <c r="L246" i="13"/>
  <c r="U246" i="13" s="1"/>
  <c r="P254" i="13"/>
  <c r="L254" i="13"/>
  <c r="L136" i="13"/>
  <c r="P136" i="13"/>
  <c r="J271" i="12"/>
  <c r="P181" i="12"/>
  <c r="P277" i="12" s="1"/>
  <c r="F277" i="12"/>
  <c r="L181" i="12"/>
  <c r="R181" i="12" s="1"/>
  <c r="N181" i="12"/>
  <c r="R201" i="13"/>
  <c r="N201" i="13"/>
  <c r="P201" i="13"/>
  <c r="E269" i="12"/>
  <c r="H5" i="12"/>
  <c r="N5" i="12" s="1"/>
  <c r="F5" i="12"/>
  <c r="P137" i="13"/>
  <c r="L137" i="13"/>
  <c r="N137" i="13"/>
  <c r="R85" i="8"/>
  <c r="H279" i="12"/>
  <c r="H273" i="12"/>
  <c r="F23" i="12"/>
  <c r="R38" i="12"/>
  <c r="L14" i="11"/>
  <c r="R14" i="11" s="1"/>
  <c r="N14" i="11"/>
  <c r="G271" i="12"/>
  <c r="U186" i="12"/>
  <c r="L202" i="13"/>
  <c r="L188" i="13"/>
  <c r="N153" i="13"/>
  <c r="L153" i="13"/>
  <c r="U153" i="13" s="1"/>
  <c r="N264" i="13"/>
  <c r="L264" i="13"/>
  <c r="N191" i="13"/>
  <c r="P191" i="13"/>
  <c r="J274" i="13"/>
  <c r="P233" i="12"/>
  <c r="T233" i="12" s="1"/>
  <c r="L233" i="12"/>
  <c r="U233" i="12" s="1"/>
  <c r="N233" i="12"/>
  <c r="L84" i="12"/>
  <c r="N84" i="12"/>
  <c r="N272" i="12" s="1"/>
  <c r="R54" i="13"/>
  <c r="P160" i="13"/>
  <c r="G277" i="13"/>
  <c r="P180" i="13"/>
  <c r="P5" i="11"/>
  <c r="L128" i="13"/>
  <c r="N128" i="13"/>
  <c r="P128" i="13"/>
  <c r="N73" i="13"/>
  <c r="L73" i="13"/>
  <c r="R73" i="13" s="1"/>
  <c r="P122" i="13"/>
  <c r="N122" i="13"/>
  <c r="L122" i="13"/>
  <c r="R122" i="13" s="1"/>
  <c r="H10" i="12"/>
  <c r="G10" i="12"/>
  <c r="F10" i="12"/>
  <c r="V132" i="11"/>
  <c r="V105" i="11"/>
  <c r="P27" i="11"/>
  <c r="T27" i="11" s="1"/>
  <c r="N16" i="11"/>
  <c r="P21" i="11"/>
  <c r="W71" i="12"/>
  <c r="T254" i="11"/>
  <c r="V254" i="11" s="1"/>
  <c r="V67" i="11"/>
  <c r="W198" i="11"/>
  <c r="V67" i="12"/>
  <c r="V196" i="11"/>
  <c r="W155" i="12"/>
  <c r="V149" i="12"/>
  <c r="N275" i="11"/>
  <c r="T142" i="12"/>
  <c r="N11" i="11"/>
  <c r="T59" i="11"/>
  <c r="V59" i="11" s="1"/>
  <c r="P8" i="11"/>
  <c r="V53" i="12"/>
  <c r="R241" i="11"/>
  <c r="W241" i="11" s="1"/>
  <c r="P19" i="11"/>
  <c r="W37" i="11"/>
  <c r="W204" i="11"/>
  <c r="U114" i="12"/>
  <c r="T51" i="12"/>
  <c r="T99" i="12"/>
  <c r="V99" i="12" s="1"/>
  <c r="T56" i="12"/>
  <c r="U224" i="12"/>
  <c r="T83" i="12"/>
  <c r="N243" i="13"/>
  <c r="N202" i="13"/>
  <c r="P179" i="13"/>
  <c r="N179" i="13"/>
  <c r="L38" i="13"/>
  <c r="U84" i="13"/>
  <c r="P84" i="13"/>
  <c r="F271" i="13"/>
  <c r="U82" i="13"/>
  <c r="L46" i="13"/>
  <c r="N32" i="13"/>
  <c r="R62" i="13"/>
  <c r="R171" i="13"/>
  <c r="N42" i="13"/>
  <c r="G9" i="13"/>
  <c r="F9" i="13"/>
  <c r="H25" i="13"/>
  <c r="L25" i="13"/>
  <c r="G25" i="13"/>
  <c r="F25" i="13"/>
  <c r="N25" i="13"/>
  <c r="G16" i="13"/>
  <c r="F16" i="13"/>
  <c r="J16" i="13"/>
  <c r="J23" i="13"/>
  <c r="F23" i="13"/>
  <c r="G23" i="13"/>
  <c r="H23" i="13"/>
  <c r="U112" i="13"/>
  <c r="R246" i="13"/>
  <c r="U193" i="13"/>
  <c r="N193" i="13"/>
  <c r="L34" i="13"/>
  <c r="N188" i="13"/>
  <c r="P225" i="13"/>
  <c r="N225" i="13"/>
  <c r="L161" i="13"/>
  <c r="R161" i="13" s="1"/>
  <c r="L135" i="13"/>
  <c r="R135" i="13" s="1"/>
  <c r="L30" i="13"/>
  <c r="U30" i="13" s="1"/>
  <c r="R100" i="13"/>
  <c r="U215" i="13"/>
  <c r="W215" i="13" s="1"/>
  <c r="R231" i="13"/>
  <c r="R86" i="13"/>
  <c r="L257" i="13"/>
  <c r="R257" i="13" s="1"/>
  <c r="P257" i="13"/>
  <c r="R81" i="13"/>
  <c r="P29" i="13"/>
  <c r="T29" i="13" s="1"/>
  <c r="P260" i="13"/>
  <c r="L233" i="13"/>
  <c r="N49" i="13"/>
  <c r="N163" i="13"/>
  <c r="R138" i="13"/>
  <c r="N253" i="13"/>
  <c r="L170" i="13"/>
  <c r="R170" i="13" s="1"/>
  <c r="R123" i="13"/>
  <c r="U97" i="13"/>
  <c r="N50" i="13"/>
  <c r="N204" i="13"/>
  <c r="R195" i="13"/>
  <c r="N104" i="13"/>
  <c r="P190" i="13"/>
  <c r="U117" i="13"/>
  <c r="N159" i="13"/>
  <c r="U130" i="13"/>
  <c r="G274" i="13"/>
  <c r="U53" i="13"/>
  <c r="R109" i="13"/>
  <c r="N212" i="13"/>
  <c r="U207" i="13"/>
  <c r="R125" i="13"/>
  <c r="N166" i="12"/>
  <c r="T166" i="12" s="1"/>
  <c r="U75" i="13"/>
  <c r="R87" i="13"/>
  <c r="R76" i="13"/>
  <c r="V76" i="13" s="1"/>
  <c r="N146" i="13"/>
  <c r="F280" i="13"/>
  <c r="L245" i="13"/>
  <c r="U245" i="13" s="1"/>
  <c r="U201" i="13"/>
  <c r="U85" i="13"/>
  <c r="N36" i="13"/>
  <c r="T36" i="13" s="1"/>
  <c r="U161" i="11"/>
  <c r="W161" i="11" s="1"/>
  <c r="R161" i="11"/>
  <c r="V161" i="11" s="1"/>
  <c r="F5" i="13"/>
  <c r="F21" i="13"/>
  <c r="G21" i="13"/>
  <c r="T243" i="11"/>
  <c r="F7" i="13"/>
  <c r="G7" i="13"/>
  <c r="N142" i="13"/>
  <c r="T132" i="13"/>
  <c r="U70" i="13"/>
  <c r="T70" i="13"/>
  <c r="N144" i="13"/>
  <c r="L176" i="13"/>
  <c r="R176" i="13" s="1"/>
  <c r="N51" i="13"/>
  <c r="R229" i="13"/>
  <c r="T220" i="13"/>
  <c r="U220" i="13"/>
  <c r="P156" i="13"/>
  <c r="R96" i="13"/>
  <c r="R198" i="13"/>
  <c r="R256" i="13"/>
  <c r="R216" i="13"/>
  <c r="P61" i="13"/>
  <c r="R129" i="13"/>
  <c r="F273" i="13"/>
  <c r="G10" i="13"/>
  <c r="W119" i="12"/>
  <c r="N17" i="11"/>
  <c r="W92" i="11"/>
  <c r="N272" i="11"/>
  <c r="V89" i="11"/>
  <c r="W131" i="11"/>
  <c r="T61" i="12"/>
  <c r="T258" i="12"/>
  <c r="P15" i="11"/>
  <c r="V37" i="11"/>
  <c r="T264" i="12"/>
  <c r="T253" i="12"/>
  <c r="U202" i="13"/>
  <c r="U171" i="13"/>
  <c r="J19" i="13"/>
  <c r="G19" i="13"/>
  <c r="T78" i="13"/>
  <c r="U240" i="13"/>
  <c r="R153" i="13"/>
  <c r="U100" i="13"/>
  <c r="U231" i="13"/>
  <c r="P126" i="13"/>
  <c r="R65" i="13"/>
  <c r="N138" i="13"/>
  <c r="U195" i="13"/>
  <c r="N140" i="13"/>
  <c r="R117" i="13"/>
  <c r="R107" i="13"/>
  <c r="L159" i="13"/>
  <c r="U120" i="13"/>
  <c r="T241" i="13"/>
  <c r="G6" i="13"/>
  <c r="H6" i="13"/>
  <c r="J6" i="13"/>
  <c r="F6" i="13"/>
  <c r="F22" i="13"/>
  <c r="R185" i="13"/>
  <c r="U217" i="13"/>
  <c r="H272" i="13"/>
  <c r="R70" i="13"/>
  <c r="U199" i="13"/>
  <c r="U176" i="13"/>
  <c r="N139" i="13"/>
  <c r="R218" i="13"/>
  <c r="L213" i="13"/>
  <c r="U213" i="13" s="1"/>
  <c r="R67" i="13"/>
  <c r="U67" i="13"/>
  <c r="U82" i="8"/>
  <c r="W82" i="8" s="1"/>
  <c r="L25" i="11"/>
  <c r="R25" i="11" s="1"/>
  <c r="W95" i="11"/>
  <c r="W71" i="11"/>
  <c r="W189" i="11"/>
  <c r="R141" i="12"/>
  <c r="V141" i="12" s="1"/>
  <c r="L27" i="11"/>
  <c r="T202" i="11"/>
  <c r="W109" i="11"/>
  <c r="R185" i="12"/>
  <c r="T122" i="11"/>
  <c r="V122" i="11" s="1"/>
  <c r="N20" i="11"/>
  <c r="T241" i="11"/>
  <c r="W222" i="11"/>
  <c r="V57" i="11"/>
  <c r="U123" i="12"/>
  <c r="W123" i="12" s="1"/>
  <c r="T43" i="11"/>
  <c r="V43" i="11" s="1"/>
  <c r="V110" i="11"/>
  <c r="W90" i="11"/>
  <c r="W65" i="11"/>
  <c r="V45" i="11"/>
  <c r="L60" i="12"/>
  <c r="L11" i="11"/>
  <c r="R11" i="11" s="1"/>
  <c r="L12" i="11"/>
  <c r="R12" i="11" s="1"/>
  <c r="T35" i="11"/>
  <c r="V35" i="11" s="1"/>
  <c r="W112" i="11"/>
  <c r="V205" i="11"/>
  <c r="V129" i="11"/>
  <c r="L6" i="12"/>
  <c r="N49" i="12"/>
  <c r="N8" i="11"/>
  <c r="V197" i="12"/>
  <c r="T124" i="12"/>
  <c r="V124" i="12" s="1"/>
  <c r="R139" i="12"/>
  <c r="N22" i="11"/>
  <c r="W134" i="11"/>
  <c r="T167" i="11"/>
  <c r="N15" i="11"/>
  <c r="U56" i="12"/>
  <c r="T141" i="12"/>
  <c r="L150" i="12"/>
  <c r="V45" i="12"/>
  <c r="T98" i="12"/>
  <c r="V98" i="12" s="1"/>
  <c r="T36" i="12"/>
  <c r="T105" i="12"/>
  <c r="V105" i="12" s="1"/>
  <c r="P257" i="12"/>
  <c r="T257" i="12" s="1"/>
  <c r="V257" i="12" s="1"/>
  <c r="L201" i="12"/>
  <c r="U116" i="13"/>
  <c r="R82" i="13"/>
  <c r="P46" i="13"/>
  <c r="L32" i="13"/>
  <c r="R32" i="13" s="1"/>
  <c r="P62" i="13"/>
  <c r="N171" i="13"/>
  <c r="R42" i="13"/>
  <c r="W42" i="13" s="1"/>
  <c r="R68" i="13"/>
  <c r="J17" i="13"/>
  <c r="G17" i="13"/>
  <c r="F17" i="13"/>
  <c r="G8" i="13"/>
  <c r="F8" i="13"/>
  <c r="H8" i="13"/>
  <c r="J8" i="13"/>
  <c r="G12" i="13"/>
  <c r="F12" i="13"/>
  <c r="U250" i="13"/>
  <c r="R250" i="13"/>
  <c r="P193" i="13"/>
  <c r="R78" i="13"/>
  <c r="R240" i="13"/>
  <c r="V240" i="13" s="1"/>
  <c r="F275" i="13"/>
  <c r="J275" i="13"/>
  <c r="P30" i="13"/>
  <c r="N167" i="13"/>
  <c r="U86" i="13"/>
  <c r="R29" i="13"/>
  <c r="N260" i="13"/>
  <c r="U65" i="13"/>
  <c r="U147" i="13"/>
  <c r="P163" i="13"/>
  <c r="L59" i="13"/>
  <c r="U221" i="13"/>
  <c r="W221" i="13" s="1"/>
  <c r="R113" i="13"/>
  <c r="R41" i="13"/>
  <c r="P223" i="13"/>
  <c r="L223" i="13"/>
  <c r="R120" i="13"/>
  <c r="P177" i="13"/>
  <c r="R53" i="13"/>
  <c r="P115" i="13"/>
  <c r="U125" i="13"/>
  <c r="W125" i="13" s="1"/>
  <c r="G14" i="13"/>
  <c r="U185" i="13"/>
  <c r="R154" i="13"/>
  <c r="R75" i="13"/>
  <c r="V75" i="13" s="1"/>
  <c r="U87" i="13"/>
  <c r="L235" i="13"/>
  <c r="P238" i="13"/>
  <c r="R196" i="13"/>
  <c r="U36" i="13"/>
  <c r="G13" i="13"/>
  <c r="R46" i="11"/>
  <c r="T46" i="11"/>
  <c r="V46" i="11" s="1"/>
  <c r="U46" i="11"/>
  <c r="W54" i="11"/>
  <c r="F15" i="13"/>
  <c r="G15" i="13"/>
  <c r="L142" i="13"/>
  <c r="U142" i="13" s="1"/>
  <c r="G272" i="13"/>
  <c r="U127" i="13"/>
  <c r="P144" i="13"/>
  <c r="R134" i="13"/>
  <c r="R118" i="13"/>
  <c r="F277" i="13"/>
  <c r="R220" i="13"/>
  <c r="L156" i="13"/>
  <c r="R156" i="13" s="1"/>
  <c r="U198" i="13"/>
  <c r="L239" i="13"/>
  <c r="L265" i="13"/>
  <c r="U265" i="13" s="1"/>
  <c r="N256" i="13"/>
  <c r="U216" i="13"/>
  <c r="U122" i="13"/>
  <c r="W122" i="13" s="1"/>
  <c r="L61" i="13"/>
  <c r="R61" i="13" s="1"/>
  <c r="N247" i="13"/>
  <c r="R151" i="13"/>
  <c r="U129" i="13"/>
  <c r="R137" i="13"/>
  <c r="U101" i="13"/>
  <c r="U187" i="13"/>
  <c r="R62" i="12"/>
  <c r="U62" i="12"/>
  <c r="U117" i="12"/>
  <c r="W117" i="12" s="1"/>
  <c r="R117" i="12"/>
  <c r="U245" i="12"/>
  <c r="R245" i="12"/>
  <c r="T219" i="12"/>
  <c r="R219" i="12"/>
  <c r="T55" i="12"/>
  <c r="U55" i="12"/>
  <c r="W55" i="12" s="1"/>
  <c r="R55" i="12"/>
  <c r="T103" i="12"/>
  <c r="U103" i="12"/>
  <c r="W103" i="12" s="1"/>
  <c r="T110" i="12"/>
  <c r="V110" i="12" s="1"/>
  <c r="P273" i="12"/>
  <c r="T199" i="12"/>
  <c r="R199" i="12"/>
  <c r="V199" i="12" s="1"/>
  <c r="U199" i="12"/>
  <c r="W54" i="12"/>
  <c r="W88" i="12"/>
  <c r="R146" i="12"/>
  <c r="W146" i="12" s="1"/>
  <c r="P17" i="12"/>
  <c r="W120" i="12"/>
  <c r="V97" i="12"/>
  <c r="R177" i="12"/>
  <c r="U101" i="12"/>
  <c r="T146" i="12"/>
  <c r="R82" i="12"/>
  <c r="T208" i="12"/>
  <c r="V208" i="12" s="1"/>
  <c r="W130" i="12"/>
  <c r="W230" i="12"/>
  <c r="T76" i="12"/>
  <c r="W244" i="12"/>
  <c r="U142" i="12"/>
  <c r="R142" i="12"/>
  <c r="T82" i="12"/>
  <c r="V82" i="12" s="1"/>
  <c r="W249" i="12"/>
  <c r="W152" i="12"/>
  <c r="W45" i="12"/>
  <c r="V130" i="12"/>
  <c r="N17" i="12"/>
  <c r="U112" i="12"/>
  <c r="W112" i="12" s="1"/>
  <c r="R178" i="12"/>
  <c r="W178" i="12" s="1"/>
  <c r="T74" i="12"/>
  <c r="V74" i="12" s="1"/>
  <c r="U76" i="12"/>
  <c r="U253" i="12"/>
  <c r="R66" i="12"/>
  <c r="V66" i="12" s="1"/>
  <c r="U91" i="12"/>
  <c r="W91" i="12" s="1"/>
  <c r="T38" i="12"/>
  <c r="V38" i="12" s="1"/>
  <c r="T206" i="12"/>
  <c r="T107" i="12"/>
  <c r="U100" i="12"/>
  <c r="W100" i="12" s="1"/>
  <c r="T100" i="12"/>
  <c r="V100" i="12" s="1"/>
  <c r="L23" i="12"/>
  <c r="U110" i="12"/>
  <c r="W110" i="12" s="1"/>
  <c r="T202" i="12"/>
  <c r="T164" i="12"/>
  <c r="T68" i="12"/>
  <c r="V68" i="12" s="1"/>
  <c r="N16" i="12"/>
  <c r="U208" i="12"/>
  <c r="W208" i="12" s="1"/>
  <c r="R103" i="12"/>
  <c r="P272" i="12"/>
  <c r="W122" i="12"/>
  <c r="T102" i="12"/>
  <c r="V102" i="12" s="1"/>
  <c r="L19" i="12"/>
  <c r="R19" i="12" s="1"/>
  <c r="T245" i="12"/>
  <c r="V109" i="12"/>
  <c r="T237" i="12"/>
  <c r="T228" i="12"/>
  <c r="V228" i="12" s="1"/>
  <c r="T230" i="12"/>
  <c r="V230" i="12" s="1"/>
  <c r="T113" i="12"/>
  <c r="V51" i="12"/>
  <c r="T190" i="12"/>
  <c r="R87" i="12"/>
  <c r="W174" i="12"/>
  <c r="V83" i="12"/>
  <c r="T87" i="12"/>
  <c r="V87" i="12" s="1"/>
  <c r="R126" i="12"/>
  <c r="T265" i="12"/>
  <c r="T255" i="12"/>
  <c r="P27" i="12"/>
  <c r="T209" i="12"/>
  <c r="V186" i="12"/>
  <c r="V64" i="12"/>
  <c r="V220" i="12"/>
  <c r="V123" i="12"/>
  <c r="V54" i="12"/>
  <c r="W189" i="12"/>
  <c r="T145" i="12"/>
  <c r="V189" i="12"/>
  <c r="T182" i="12"/>
  <c r="V182" i="12" s="1"/>
  <c r="T231" i="12"/>
  <c r="V231" i="12" s="1"/>
  <c r="T94" i="12"/>
  <c r="T165" i="12"/>
  <c r="R165" i="12"/>
  <c r="U203" i="12"/>
  <c r="T203" i="12"/>
  <c r="T218" i="12"/>
  <c r="U218" i="12"/>
  <c r="W218" i="12" s="1"/>
  <c r="R218" i="12"/>
  <c r="T65" i="12"/>
  <c r="R65" i="12"/>
  <c r="V65" i="12" s="1"/>
  <c r="U65" i="12"/>
  <c r="R183" i="12"/>
  <c r="U183" i="12"/>
  <c r="W183" i="12" s="1"/>
  <c r="V113" i="12"/>
  <c r="T58" i="12"/>
  <c r="R58" i="12"/>
  <c r="V58" i="12" s="1"/>
  <c r="T212" i="12"/>
  <c r="R212" i="12"/>
  <c r="P13" i="12"/>
  <c r="N13" i="12"/>
  <c r="U169" i="12"/>
  <c r="W169" i="12" s="1"/>
  <c r="L7" i="12"/>
  <c r="P7" i="12"/>
  <c r="P19" i="12"/>
  <c r="R203" i="12"/>
  <c r="V203" i="12" s="1"/>
  <c r="W109" i="12"/>
  <c r="T77" i="12"/>
  <c r="R77" i="12"/>
  <c r="W77" i="12" s="1"/>
  <c r="V222" i="12"/>
  <c r="T126" i="12"/>
  <c r="V126" i="12" s="1"/>
  <c r="T153" i="12"/>
  <c r="R60" i="12"/>
  <c r="U60" i="12"/>
  <c r="U206" i="12"/>
  <c r="R206" i="12"/>
  <c r="V206" i="12" s="1"/>
  <c r="L11" i="12"/>
  <c r="R11" i="12" s="1"/>
  <c r="P11" i="12"/>
  <c r="U259" i="12"/>
  <c r="W259" i="12" s="1"/>
  <c r="R118" i="12"/>
  <c r="W118" i="12" s="1"/>
  <c r="T250" i="12"/>
  <c r="U250" i="12"/>
  <c r="T239" i="12"/>
  <c r="R136" i="12"/>
  <c r="U136" i="12"/>
  <c r="V108" i="12"/>
  <c r="U116" i="12"/>
  <c r="T96" i="12"/>
  <c r="R96" i="12"/>
  <c r="R92" i="12"/>
  <c r="T92" i="12"/>
  <c r="U92" i="12"/>
  <c r="T106" i="12"/>
  <c r="V106" i="12" s="1"/>
  <c r="U106" i="12"/>
  <c r="W106" i="12" s="1"/>
  <c r="T121" i="12"/>
  <c r="R121" i="12"/>
  <c r="U121" i="12"/>
  <c r="W98" i="12"/>
  <c r="V151" i="12"/>
  <c r="T122" i="12"/>
  <c r="V195" i="12"/>
  <c r="W82" i="12"/>
  <c r="W222" i="12"/>
  <c r="T161" i="12"/>
  <c r="V161" i="12" s="1"/>
  <c r="W90" i="12"/>
  <c r="T196" i="12"/>
  <c r="V196" i="12" s="1"/>
  <c r="U234" i="12"/>
  <c r="W234" i="12" s="1"/>
  <c r="W149" i="12"/>
  <c r="W97" i="12"/>
  <c r="W246" i="12"/>
  <c r="W63" i="12"/>
  <c r="R79" i="12"/>
  <c r="V79" i="12" s="1"/>
  <c r="R114" i="12"/>
  <c r="V80" i="12"/>
  <c r="W240" i="12"/>
  <c r="U231" i="12"/>
  <c r="V90" i="12"/>
  <c r="T183" i="12"/>
  <c r="T159" i="12"/>
  <c r="V159" i="12" s="1"/>
  <c r="T114" i="12"/>
  <c r="V93" i="12"/>
  <c r="V133" i="12"/>
  <c r="U79" i="12"/>
  <c r="W253" i="12"/>
  <c r="R101" i="12"/>
  <c r="T261" i="12"/>
  <c r="V85" i="12"/>
  <c r="P278" i="12"/>
  <c r="V69" i="12"/>
  <c r="T242" i="12"/>
  <c r="U36" i="12"/>
  <c r="W36" i="12" s="1"/>
  <c r="U161" i="12"/>
  <c r="W161" i="12" s="1"/>
  <c r="R56" i="12"/>
  <c r="W205" i="12"/>
  <c r="V81" i="12"/>
  <c r="V264" i="12"/>
  <c r="R36" i="12"/>
  <c r="W127" i="12"/>
  <c r="W177" i="12"/>
  <c r="T137" i="12"/>
  <c r="V137" i="12" s="1"/>
  <c r="W194" i="12"/>
  <c r="T243" i="12"/>
  <c r="V145" i="12"/>
  <c r="V129" i="12"/>
  <c r="R235" i="12"/>
  <c r="W235" i="12" s="1"/>
  <c r="T158" i="12"/>
  <c r="U66" i="12"/>
  <c r="W66" i="12" s="1"/>
  <c r="L22" i="12"/>
  <c r="R22" i="12" s="1"/>
  <c r="T254" i="12"/>
  <c r="T33" i="12"/>
  <c r="T117" i="12"/>
  <c r="W131" i="12"/>
  <c r="T184" i="12"/>
  <c r="V184" i="12" s="1"/>
  <c r="T29" i="12"/>
  <c r="V215" i="12"/>
  <c r="T251" i="12"/>
  <c r="V251" i="12" s="1"/>
  <c r="W160" i="12"/>
  <c r="T132" i="12"/>
  <c r="V132" i="12" s="1"/>
  <c r="N23" i="12"/>
  <c r="W38" i="12"/>
  <c r="P23" i="12"/>
  <c r="T260" i="12"/>
  <c r="U260" i="12"/>
  <c r="W46" i="12"/>
  <c r="T248" i="12"/>
  <c r="W204" i="12"/>
  <c r="T244" i="12"/>
  <c r="V244" i="12" s="1"/>
  <c r="T154" i="12"/>
  <c r="T235" i="12"/>
  <c r="W75" i="12"/>
  <c r="R73" i="12"/>
  <c r="W73" i="12" s="1"/>
  <c r="W220" i="12"/>
  <c r="W239" i="12"/>
  <c r="W57" i="12"/>
  <c r="P18" i="12"/>
  <c r="L17" i="12"/>
  <c r="T34" i="12"/>
  <c r="U144" i="12"/>
  <c r="W144" i="12" s="1"/>
  <c r="P280" i="12"/>
  <c r="V221" i="12"/>
  <c r="W211" i="12"/>
  <c r="W151" i="12"/>
  <c r="L16" i="12"/>
  <c r="R16" i="12" s="1"/>
  <c r="V86" i="12"/>
  <c r="V216" i="12"/>
  <c r="V120" i="12"/>
  <c r="R104" i="12"/>
  <c r="U58" i="12"/>
  <c r="L27" i="12"/>
  <c r="U27" i="12" s="1"/>
  <c r="T127" i="12"/>
  <c r="V240" i="12"/>
  <c r="N24" i="12"/>
  <c r="U179" i="12"/>
  <c r="W179" i="12" s="1"/>
  <c r="W53" i="12"/>
  <c r="T46" i="12"/>
  <c r="V46" i="12" s="1"/>
  <c r="V71" i="12"/>
  <c r="T229" i="12"/>
  <c r="T49" i="12"/>
  <c r="U181" i="12"/>
  <c r="W181" i="12" s="1"/>
  <c r="T125" i="12"/>
  <c r="T210" i="12"/>
  <c r="T52" i="12"/>
  <c r="V52" i="12" s="1"/>
  <c r="T174" i="12"/>
  <c r="V174" i="12" s="1"/>
  <c r="T172" i="12"/>
  <c r="T193" i="12"/>
  <c r="T136" i="12"/>
  <c r="W215" i="12"/>
  <c r="T143" i="12"/>
  <c r="T128" i="12"/>
  <c r="T247" i="12"/>
  <c r="T140" i="12"/>
  <c r="W85" i="12"/>
  <c r="U159" i="12"/>
  <c r="W159" i="12" s="1"/>
  <c r="P274" i="12"/>
  <c r="V140" i="12"/>
  <c r="W236" i="12"/>
  <c r="T173" i="12"/>
  <c r="V173" i="12" s="1"/>
  <c r="U175" i="12"/>
  <c r="U263" i="12"/>
  <c r="W263" i="12" s="1"/>
  <c r="V253" i="12"/>
  <c r="R258" i="12"/>
  <c r="V258" i="12" s="1"/>
  <c r="T225" i="12"/>
  <c r="V225" i="12" s="1"/>
  <c r="V152" i="12"/>
  <c r="W264" i="12"/>
  <c r="W52" i="12"/>
  <c r="W187" i="12"/>
  <c r="W99" i="12"/>
  <c r="T191" i="12"/>
  <c r="T62" i="12"/>
  <c r="W207" i="12"/>
  <c r="N19" i="12"/>
  <c r="U154" i="12"/>
  <c r="U173" i="12"/>
  <c r="W173" i="12" s="1"/>
  <c r="R265" i="12"/>
  <c r="W265" i="12" s="1"/>
  <c r="W51" i="12"/>
  <c r="N277" i="12"/>
  <c r="U252" i="12"/>
  <c r="W252" i="12" s="1"/>
  <c r="U165" i="12"/>
  <c r="U251" i="12"/>
  <c r="W251" i="12" s="1"/>
  <c r="W86" i="12"/>
  <c r="T214" i="12"/>
  <c r="V214" i="12" s="1"/>
  <c r="T30" i="12"/>
  <c r="V30" i="12" s="1"/>
  <c r="T256" i="12"/>
  <c r="V256" i="12" s="1"/>
  <c r="W111" i="12"/>
  <c r="T162" i="12"/>
  <c r="W139" i="12"/>
  <c r="R27" i="11"/>
  <c r="R26" i="11"/>
  <c r="V142" i="11"/>
  <c r="U14" i="11"/>
  <c r="T200" i="11"/>
  <c r="P278" i="11"/>
  <c r="R212" i="11"/>
  <c r="T212" i="11"/>
  <c r="W80" i="11"/>
  <c r="V80" i="11"/>
  <c r="R146" i="11"/>
  <c r="T146" i="11"/>
  <c r="R16" i="11"/>
  <c r="T16" i="11"/>
  <c r="W197" i="11"/>
  <c r="V197" i="11"/>
  <c r="R190" i="11"/>
  <c r="U190" i="11"/>
  <c r="W190" i="11" s="1"/>
  <c r="T190" i="11"/>
  <c r="R250" i="11"/>
  <c r="T250" i="11"/>
  <c r="V250" i="11" s="1"/>
  <c r="U250" i="11"/>
  <c r="W250" i="11" s="1"/>
  <c r="U242" i="11"/>
  <c r="T242" i="11"/>
  <c r="P276" i="11"/>
  <c r="W151" i="11"/>
  <c r="R137" i="11"/>
  <c r="T137" i="11"/>
  <c r="V44" i="11"/>
  <c r="W44" i="11"/>
  <c r="R20" i="11"/>
  <c r="P279" i="11"/>
  <c r="U149" i="11"/>
  <c r="T149" i="11"/>
  <c r="V91" i="11"/>
  <c r="U34" i="12"/>
  <c r="R143" i="11"/>
  <c r="T143" i="11"/>
  <c r="U143" i="11"/>
  <c r="U175" i="11"/>
  <c r="T175" i="11"/>
  <c r="W37" i="12"/>
  <c r="R213" i="11"/>
  <c r="U213" i="11"/>
  <c r="W213" i="11" s="1"/>
  <c r="T213" i="11"/>
  <c r="V213" i="11" s="1"/>
  <c r="T188" i="12"/>
  <c r="R264" i="11"/>
  <c r="T264" i="11"/>
  <c r="V255" i="12"/>
  <c r="T209" i="11"/>
  <c r="U209" i="11"/>
  <c r="R209" i="11"/>
  <c r="L277" i="12"/>
  <c r="T180" i="12"/>
  <c r="U182" i="11"/>
  <c r="R182" i="11"/>
  <c r="T182" i="11"/>
  <c r="R83" i="11"/>
  <c r="U83" i="11"/>
  <c r="T83" i="11"/>
  <c r="W78" i="12"/>
  <c r="R265" i="11"/>
  <c r="T265" i="11"/>
  <c r="L270" i="12"/>
  <c r="T28" i="12"/>
  <c r="W243" i="11"/>
  <c r="V243" i="11"/>
  <c r="L279" i="12"/>
  <c r="T223" i="12"/>
  <c r="R34" i="12"/>
  <c r="U191" i="12"/>
  <c r="D281" i="11"/>
  <c r="D283" i="11" s="1"/>
  <c r="D282" i="11"/>
  <c r="N280" i="11"/>
  <c r="U104" i="11"/>
  <c r="T104" i="11"/>
  <c r="R104" i="11"/>
  <c r="P20" i="12"/>
  <c r="V70" i="12"/>
  <c r="N278" i="11"/>
  <c r="R162" i="11"/>
  <c r="U162" i="11"/>
  <c r="T162" i="11"/>
  <c r="U28" i="12"/>
  <c r="T263" i="11"/>
  <c r="U263" i="11"/>
  <c r="W263" i="11" s="1"/>
  <c r="U160" i="11"/>
  <c r="R160" i="11"/>
  <c r="U234" i="11"/>
  <c r="T234" i="11"/>
  <c r="R22" i="11"/>
  <c r="T229" i="11"/>
  <c r="V229" i="11" s="1"/>
  <c r="R236" i="11"/>
  <c r="T236" i="11"/>
  <c r="U236" i="11"/>
  <c r="U146" i="11"/>
  <c r="P270" i="11"/>
  <c r="U194" i="11"/>
  <c r="R194" i="11"/>
  <c r="T194" i="11"/>
  <c r="R239" i="11"/>
  <c r="T239" i="11"/>
  <c r="U239" i="11"/>
  <c r="W239" i="11" s="1"/>
  <c r="P274" i="11"/>
  <c r="W72" i="11"/>
  <c r="N279" i="12"/>
  <c r="U137" i="11"/>
  <c r="T232" i="11"/>
  <c r="U232" i="11"/>
  <c r="R232" i="11"/>
  <c r="T15" i="11"/>
  <c r="U15" i="11"/>
  <c r="R19" i="11"/>
  <c r="U19" i="11"/>
  <c r="L275" i="12"/>
  <c r="T135" i="12"/>
  <c r="U117" i="11"/>
  <c r="T117" i="11"/>
  <c r="R117" i="11"/>
  <c r="T200" i="12"/>
  <c r="R125" i="12"/>
  <c r="L271" i="12"/>
  <c r="T48" i="12"/>
  <c r="R31" i="12"/>
  <c r="V31" i="12" s="1"/>
  <c r="R234" i="11"/>
  <c r="L5" i="11"/>
  <c r="F269" i="11"/>
  <c r="F281" i="11" s="1"/>
  <c r="L9" i="11"/>
  <c r="U9" i="11" s="1"/>
  <c r="W74" i="12"/>
  <c r="U247" i="12"/>
  <c r="L18" i="12"/>
  <c r="R242" i="11"/>
  <c r="U180" i="12"/>
  <c r="W195" i="12"/>
  <c r="U61" i="12"/>
  <c r="U27" i="11"/>
  <c r="W171" i="12"/>
  <c r="T124" i="11"/>
  <c r="U124" i="11"/>
  <c r="R124" i="11"/>
  <c r="T33" i="11"/>
  <c r="U33" i="11"/>
  <c r="W140" i="11"/>
  <c r="U135" i="12"/>
  <c r="N24" i="11"/>
  <c r="T171" i="11"/>
  <c r="U171" i="11"/>
  <c r="R171" i="11"/>
  <c r="R262" i="11"/>
  <c r="T262" i="11"/>
  <c r="U262" i="11"/>
  <c r="V239" i="12"/>
  <c r="R227" i="11"/>
  <c r="T227" i="11"/>
  <c r="U202" i="11"/>
  <c r="W202" i="11" s="1"/>
  <c r="R30" i="11"/>
  <c r="T30" i="11"/>
  <c r="U242" i="12"/>
  <c r="R41" i="11"/>
  <c r="T41" i="11"/>
  <c r="U41" i="11"/>
  <c r="N276" i="12"/>
  <c r="V108" i="11"/>
  <c r="P271" i="11"/>
  <c r="P20" i="11"/>
  <c r="U231" i="11"/>
  <c r="R231" i="11"/>
  <c r="T231" i="11"/>
  <c r="R223" i="11"/>
  <c r="T223" i="11"/>
  <c r="L279" i="11"/>
  <c r="V102" i="11"/>
  <c r="W102" i="11"/>
  <c r="U247" i="11"/>
  <c r="W247" i="11" s="1"/>
  <c r="T247" i="11"/>
  <c r="V247" i="11" s="1"/>
  <c r="W182" i="12"/>
  <c r="L278" i="11"/>
  <c r="P17" i="11"/>
  <c r="U128" i="12"/>
  <c r="U274" i="12" s="1"/>
  <c r="T118" i="12"/>
  <c r="T160" i="12"/>
  <c r="P10" i="12"/>
  <c r="P14" i="11"/>
  <c r="T140" i="11"/>
  <c r="V140" i="11" s="1"/>
  <c r="V218" i="11"/>
  <c r="U126" i="11"/>
  <c r="R126" i="11"/>
  <c r="V126" i="11" s="1"/>
  <c r="T126" i="11"/>
  <c r="R259" i="11"/>
  <c r="W259" i="11" s="1"/>
  <c r="T259" i="11"/>
  <c r="V259" i="11" s="1"/>
  <c r="R168" i="11"/>
  <c r="U168" i="11"/>
  <c r="T168" i="11"/>
  <c r="R135" i="11"/>
  <c r="U135" i="11"/>
  <c r="L275" i="11"/>
  <c r="T135" i="11"/>
  <c r="U19" i="12"/>
  <c r="R242" i="12"/>
  <c r="U162" i="12"/>
  <c r="U237" i="12"/>
  <c r="R166" i="11"/>
  <c r="T166" i="11"/>
  <c r="U166" i="11"/>
  <c r="U144" i="11"/>
  <c r="T144" i="11"/>
  <c r="R144" i="11"/>
  <c r="R175" i="12"/>
  <c r="W257" i="12"/>
  <c r="T29" i="11"/>
  <c r="R29" i="11"/>
  <c r="U29" i="11"/>
  <c r="V167" i="11"/>
  <c r="R153" i="12"/>
  <c r="T147" i="12"/>
  <c r="T210" i="11"/>
  <c r="W70" i="12"/>
  <c r="R148" i="11"/>
  <c r="T148" i="11"/>
  <c r="V148" i="11" s="1"/>
  <c r="T238" i="12"/>
  <c r="R188" i="12"/>
  <c r="W113" i="12"/>
  <c r="R6" i="12"/>
  <c r="L10" i="11"/>
  <c r="N22" i="12"/>
  <c r="U238" i="11"/>
  <c r="W238" i="11" s="1"/>
  <c r="T238" i="11"/>
  <c r="V238" i="11" s="1"/>
  <c r="T253" i="11"/>
  <c r="R253" i="11"/>
  <c r="V253" i="11" s="1"/>
  <c r="U253" i="11"/>
  <c r="W253" i="11" s="1"/>
  <c r="U147" i="12"/>
  <c r="W86" i="11"/>
  <c r="V209" i="12"/>
  <c r="T192" i="12"/>
  <c r="V192" i="12" s="1"/>
  <c r="T50" i="12"/>
  <c r="V50" i="12" s="1"/>
  <c r="V229" i="12"/>
  <c r="V172" i="12"/>
  <c r="U170" i="11"/>
  <c r="T170" i="11"/>
  <c r="U223" i="11"/>
  <c r="T178" i="12"/>
  <c r="R149" i="11"/>
  <c r="W256" i="12"/>
  <c r="V224" i="12"/>
  <c r="T172" i="11"/>
  <c r="U172" i="11"/>
  <c r="R172" i="11"/>
  <c r="T91" i="11"/>
  <c r="L273" i="11"/>
  <c r="T39" i="12"/>
  <c r="U246" i="11"/>
  <c r="T246" i="11"/>
  <c r="R246" i="11"/>
  <c r="V246" i="11" s="1"/>
  <c r="U159" i="11"/>
  <c r="T159" i="11"/>
  <c r="W134" i="12"/>
  <c r="R18" i="11"/>
  <c r="P22" i="11"/>
  <c r="T22" i="11" s="1"/>
  <c r="R235" i="11"/>
  <c r="W235" i="11" s="1"/>
  <c r="T235" i="11"/>
  <c r="R165" i="11"/>
  <c r="T165" i="11"/>
  <c r="U165" i="11"/>
  <c r="T158" i="11"/>
  <c r="R158" i="11"/>
  <c r="L280" i="12"/>
  <c r="L270" i="11"/>
  <c r="R28" i="11"/>
  <c r="T28" i="11"/>
  <c r="T168" i="12"/>
  <c r="T42" i="12"/>
  <c r="V42" i="12" s="1"/>
  <c r="U118" i="11"/>
  <c r="T118" i="11"/>
  <c r="N274" i="11"/>
  <c r="W57" i="11"/>
  <c r="T255" i="11"/>
  <c r="R255" i="11"/>
  <c r="R48" i="12"/>
  <c r="R175" i="11"/>
  <c r="L13" i="11"/>
  <c r="U13" i="11" s="1"/>
  <c r="L25" i="12"/>
  <c r="U214" i="12"/>
  <c r="W214" i="12" s="1"/>
  <c r="U150" i="11"/>
  <c r="T150" i="11"/>
  <c r="W170" i="12"/>
  <c r="R247" i="12"/>
  <c r="T262" i="12"/>
  <c r="T74" i="11"/>
  <c r="L272" i="11"/>
  <c r="R74" i="11"/>
  <c r="U74" i="11"/>
  <c r="R156" i="11"/>
  <c r="T156" i="11"/>
  <c r="V156" i="11" s="1"/>
  <c r="U156" i="11"/>
  <c r="W156" i="11" s="1"/>
  <c r="W87" i="12"/>
  <c r="U230" i="11"/>
  <c r="R230" i="11"/>
  <c r="T230" i="11"/>
  <c r="R162" i="12"/>
  <c r="W126" i="12"/>
  <c r="T259" i="12"/>
  <c r="V259" i="12" s="1"/>
  <c r="P275" i="12"/>
  <c r="R163" i="11"/>
  <c r="T163" i="11"/>
  <c r="V163" i="11" s="1"/>
  <c r="U163" i="11"/>
  <c r="W163" i="11" s="1"/>
  <c r="U42" i="12"/>
  <c r="W42" i="12" s="1"/>
  <c r="W130" i="11"/>
  <c r="R32" i="11"/>
  <c r="V32" i="11" s="1"/>
  <c r="T32" i="11"/>
  <c r="W240" i="11"/>
  <c r="U91" i="11"/>
  <c r="W67" i="11"/>
  <c r="R118" i="11"/>
  <c r="R159" i="11"/>
  <c r="R170" i="11"/>
  <c r="J89" i="6"/>
  <c r="N5" i="11"/>
  <c r="E281" i="11"/>
  <c r="E283" i="11" s="1"/>
  <c r="E282" i="11"/>
  <c r="W102" i="12"/>
  <c r="V131" i="12"/>
  <c r="V112" i="12"/>
  <c r="V186" i="11"/>
  <c r="V79" i="11"/>
  <c r="W79" i="11"/>
  <c r="N18" i="12"/>
  <c r="W110" i="11"/>
  <c r="R261" i="11"/>
  <c r="T261" i="11"/>
  <c r="U261" i="11"/>
  <c r="R237" i="11"/>
  <c r="T237" i="11"/>
  <c r="W129" i="12"/>
  <c r="L7" i="11"/>
  <c r="N11" i="12"/>
  <c r="V85" i="11"/>
  <c r="W85" i="11"/>
  <c r="W212" i="12"/>
  <c r="R49" i="12"/>
  <c r="U224" i="11"/>
  <c r="W224" i="11" s="1"/>
  <c r="T224" i="11"/>
  <c r="V224" i="11" s="1"/>
  <c r="V107" i="11"/>
  <c r="W107" i="11"/>
  <c r="W197" i="12"/>
  <c r="E282" i="12"/>
  <c r="E281" i="12"/>
  <c r="E283" i="12" s="1"/>
  <c r="N21" i="11"/>
  <c r="W231" i="12"/>
  <c r="T42" i="11"/>
  <c r="R42" i="11"/>
  <c r="V42" i="11" s="1"/>
  <c r="U188" i="12"/>
  <c r="W255" i="12"/>
  <c r="W186" i="11"/>
  <c r="W82" i="11"/>
  <c r="V82" i="11"/>
  <c r="V205" i="12"/>
  <c r="R157" i="11"/>
  <c r="L276" i="11"/>
  <c r="T157" i="11"/>
  <c r="U211" i="11"/>
  <c r="W211" i="11" s="1"/>
  <c r="T211" i="11"/>
  <c r="V211" i="11" s="1"/>
  <c r="V43" i="12"/>
  <c r="U193" i="11"/>
  <c r="T193" i="11"/>
  <c r="R193" i="11"/>
  <c r="U261" i="12"/>
  <c r="V187" i="12"/>
  <c r="T40" i="11"/>
  <c r="U40" i="11"/>
  <c r="P16" i="12"/>
  <c r="N279" i="11"/>
  <c r="R214" i="11"/>
  <c r="U214" i="11"/>
  <c r="T214" i="11"/>
  <c r="V98" i="11"/>
  <c r="U188" i="11"/>
  <c r="T188" i="11"/>
  <c r="W56" i="11"/>
  <c r="L17" i="11"/>
  <c r="W205" i="11"/>
  <c r="N277" i="11"/>
  <c r="R191" i="12"/>
  <c r="V122" i="12"/>
  <c r="U147" i="11"/>
  <c r="W147" i="11" s="1"/>
  <c r="T147" i="11"/>
  <c r="V147" i="11" s="1"/>
  <c r="N26" i="11"/>
  <c r="T26" i="11" s="1"/>
  <c r="U26" i="11"/>
  <c r="W26" i="11" s="1"/>
  <c r="W106" i="11"/>
  <c r="U127" i="11"/>
  <c r="T127" i="11"/>
  <c r="R127" i="11"/>
  <c r="U164" i="12"/>
  <c r="P275" i="11"/>
  <c r="N7" i="12"/>
  <c r="L23" i="11"/>
  <c r="N280" i="12"/>
  <c r="U226" i="12"/>
  <c r="R148" i="12"/>
  <c r="R257" i="11"/>
  <c r="T257" i="11"/>
  <c r="P279" i="12"/>
  <c r="U227" i="11"/>
  <c r="W227" i="11" s="1"/>
  <c r="U137" i="12"/>
  <c r="W137" i="12" s="1"/>
  <c r="R49" i="11"/>
  <c r="T49" i="11"/>
  <c r="V49" i="11" s="1"/>
  <c r="U49" i="11"/>
  <c r="W49" i="11" s="1"/>
  <c r="P11" i="11"/>
  <c r="T11" i="11" s="1"/>
  <c r="T227" i="12"/>
  <c r="V127" i="12"/>
  <c r="U49" i="12"/>
  <c r="W215" i="11"/>
  <c r="R31" i="11"/>
  <c r="U31" i="11"/>
  <c r="T31" i="11"/>
  <c r="L24" i="12"/>
  <c r="U24" i="12" s="1"/>
  <c r="U48" i="11"/>
  <c r="W48" i="11" s="1"/>
  <c r="T48" i="11"/>
  <c r="L271" i="11"/>
  <c r="W124" i="12"/>
  <c r="W93" i="12"/>
  <c r="W83" i="12"/>
  <c r="R201" i="11"/>
  <c r="T201" i="11"/>
  <c r="V201" i="11" s="1"/>
  <c r="N6" i="12"/>
  <c r="R210" i="12"/>
  <c r="V210" i="12" s="1"/>
  <c r="W141" i="12"/>
  <c r="T40" i="12"/>
  <c r="V40" i="12" s="1"/>
  <c r="V194" i="12"/>
  <c r="W209" i="12"/>
  <c r="W108" i="11"/>
  <c r="W80" i="12"/>
  <c r="W59" i="11"/>
  <c r="W217" i="11"/>
  <c r="W196" i="11"/>
  <c r="T183" i="11"/>
  <c r="W143" i="12"/>
  <c r="P280" i="11"/>
  <c r="T249" i="12"/>
  <c r="T234" i="12"/>
  <c r="V234" i="12" s="1"/>
  <c r="W241" i="12"/>
  <c r="T263" i="12"/>
  <c r="V263" i="12" s="1"/>
  <c r="P18" i="11"/>
  <c r="T18" i="11" s="1"/>
  <c r="U248" i="12"/>
  <c r="U173" i="11"/>
  <c r="T173" i="11"/>
  <c r="R61" i="12"/>
  <c r="W43" i="12"/>
  <c r="T138" i="12"/>
  <c r="V138" i="12" s="1"/>
  <c r="U50" i="12"/>
  <c r="W50" i="12" s="1"/>
  <c r="N270" i="11"/>
  <c r="U139" i="11"/>
  <c r="W139" i="11" s="1"/>
  <c r="T139" i="11"/>
  <c r="V139" i="11" s="1"/>
  <c r="T50" i="11"/>
  <c r="V50" i="11" s="1"/>
  <c r="U50" i="11"/>
  <c r="W50" i="11" s="1"/>
  <c r="R254" i="12"/>
  <c r="V254" i="12" s="1"/>
  <c r="U249" i="11"/>
  <c r="R249" i="11"/>
  <c r="T249" i="11"/>
  <c r="T41" i="12"/>
  <c r="V41" i="12" s="1"/>
  <c r="T191" i="11"/>
  <c r="U191" i="11"/>
  <c r="R191" i="11"/>
  <c r="R244" i="11"/>
  <c r="W244" i="11" s="1"/>
  <c r="T244" i="11"/>
  <c r="U125" i="12"/>
  <c r="N9" i="12"/>
  <c r="P25" i="12"/>
  <c r="R262" i="12"/>
  <c r="W262" i="12" s="1"/>
  <c r="P272" i="11"/>
  <c r="T174" i="11"/>
  <c r="U174" i="11"/>
  <c r="R174" i="11"/>
  <c r="V174" i="11" s="1"/>
  <c r="T73" i="12"/>
  <c r="R248" i="12"/>
  <c r="U181" i="11"/>
  <c r="R181" i="11"/>
  <c r="L277" i="11"/>
  <c r="T181" i="11"/>
  <c r="U138" i="12"/>
  <c r="W138" i="12" s="1"/>
  <c r="U178" i="11"/>
  <c r="R178" i="11"/>
  <c r="T178" i="11"/>
  <c r="R135" i="12"/>
  <c r="T179" i="12"/>
  <c r="V179" i="12" s="1"/>
  <c r="U30" i="12"/>
  <c r="W30" i="12" s="1"/>
  <c r="R188" i="11"/>
  <c r="R33" i="12"/>
  <c r="W64" i="12"/>
  <c r="U201" i="11"/>
  <c r="W96" i="11"/>
  <c r="R150" i="11"/>
  <c r="U237" i="11"/>
  <c r="W237" i="11" s="1"/>
  <c r="W155" i="11"/>
  <c r="U32" i="11"/>
  <c r="T166" i="5"/>
  <c r="J370" i="8"/>
  <c r="C432" i="8" s="1"/>
  <c r="V48" i="11"/>
  <c r="J269" i="11"/>
  <c r="J281" i="11" s="1"/>
  <c r="G269" i="11"/>
  <c r="G281" i="11" s="1"/>
  <c r="U25" i="11"/>
  <c r="R223" i="12"/>
  <c r="V217" i="12"/>
  <c r="W115" i="12"/>
  <c r="W81" i="11"/>
  <c r="W228" i="12"/>
  <c r="V160" i="12"/>
  <c r="V246" i="12"/>
  <c r="R180" i="12"/>
  <c r="U153" i="12"/>
  <c r="V88" i="12"/>
  <c r="U192" i="12"/>
  <c r="W192" i="12" s="1"/>
  <c r="W105" i="12"/>
  <c r="W77" i="11"/>
  <c r="V204" i="12"/>
  <c r="U155" i="11"/>
  <c r="T155" i="11"/>
  <c r="V155" i="11" s="1"/>
  <c r="U16" i="11"/>
  <c r="U258" i="11"/>
  <c r="W258" i="11" s="1"/>
  <c r="T258" i="11"/>
  <c r="V258" i="11" s="1"/>
  <c r="L5" i="12"/>
  <c r="U258" i="12"/>
  <c r="U238" i="12"/>
  <c r="R233" i="12"/>
  <c r="W233" i="12" s="1"/>
  <c r="W207" i="11"/>
  <c r="U176" i="12"/>
  <c r="W176" i="12" s="1"/>
  <c r="P277" i="11"/>
  <c r="U202" i="12"/>
  <c r="W192" i="11"/>
  <c r="R29" i="12"/>
  <c r="U140" i="12"/>
  <c r="W140" i="12" s="1"/>
  <c r="T171" i="12"/>
  <c r="V171" i="12" s="1"/>
  <c r="W196" i="12"/>
  <c r="U148" i="12"/>
  <c r="W53" i="11"/>
  <c r="W172" i="12"/>
  <c r="N271" i="11"/>
  <c r="U20" i="11"/>
  <c r="U254" i="12"/>
  <c r="U193" i="12"/>
  <c r="T128" i="11"/>
  <c r="R128" i="11"/>
  <c r="R233" i="11"/>
  <c r="T233" i="11"/>
  <c r="U233" i="11"/>
  <c r="W69" i="12"/>
  <c r="W198" i="12"/>
  <c r="U48" i="12"/>
  <c r="R202" i="12"/>
  <c r="W221" i="12"/>
  <c r="W105" i="11"/>
  <c r="R251" i="11"/>
  <c r="T251" i="11"/>
  <c r="V251" i="11" s="1"/>
  <c r="U251" i="11"/>
  <c r="W251" i="11" s="1"/>
  <c r="R147" i="12"/>
  <c r="V243" i="12"/>
  <c r="R154" i="12"/>
  <c r="R226" i="12"/>
  <c r="V226" i="12" s="1"/>
  <c r="T184" i="11"/>
  <c r="T256" i="11"/>
  <c r="V256" i="11" s="1"/>
  <c r="T170" i="12"/>
  <c r="V170" i="12" s="1"/>
  <c r="R260" i="12"/>
  <c r="U116" i="11"/>
  <c r="W116" i="11" s="1"/>
  <c r="T116" i="11"/>
  <c r="V116" i="11" s="1"/>
  <c r="U210" i="12"/>
  <c r="T192" i="11"/>
  <c r="V192" i="11" s="1"/>
  <c r="T60" i="12"/>
  <c r="R261" i="12"/>
  <c r="R145" i="11"/>
  <c r="T145" i="11"/>
  <c r="R141" i="11"/>
  <c r="T141" i="11"/>
  <c r="T156" i="12"/>
  <c r="V88" i="11"/>
  <c r="U28" i="11"/>
  <c r="P24" i="12"/>
  <c r="W98" i="11"/>
  <c r="W67" i="12"/>
  <c r="U41" i="12"/>
  <c r="W41" i="12" s="1"/>
  <c r="R203" i="11"/>
  <c r="T203" i="11"/>
  <c r="U203" i="11"/>
  <c r="W133" i="12"/>
  <c r="R33" i="11"/>
  <c r="U154" i="11"/>
  <c r="R154" i="11"/>
  <c r="T154" i="11"/>
  <c r="W217" i="12"/>
  <c r="T115" i="12"/>
  <c r="W225" i="12"/>
  <c r="T169" i="12"/>
  <c r="V169" i="12" s="1"/>
  <c r="L280" i="11"/>
  <c r="R245" i="11"/>
  <c r="T245" i="11"/>
  <c r="U245" i="11"/>
  <c r="W81" i="12"/>
  <c r="R164" i="12"/>
  <c r="V164" i="12" s="1"/>
  <c r="U145" i="11"/>
  <c r="W229" i="12"/>
  <c r="R156" i="12"/>
  <c r="T211" i="12"/>
  <c r="V211" i="12" s="1"/>
  <c r="R39" i="11"/>
  <c r="T39" i="11"/>
  <c r="U39" i="11"/>
  <c r="T181" i="12"/>
  <c r="V181" i="12" s="1"/>
  <c r="W184" i="12"/>
  <c r="W145" i="12"/>
  <c r="W200" i="12"/>
  <c r="R177" i="11"/>
  <c r="W177" i="11" s="1"/>
  <c r="T177" i="11"/>
  <c r="R228" i="11"/>
  <c r="T228" i="11"/>
  <c r="U228" i="11"/>
  <c r="W186" i="12"/>
  <c r="T160" i="11"/>
  <c r="W47" i="12"/>
  <c r="R40" i="11"/>
  <c r="V40" i="11" s="1"/>
  <c r="R128" i="12"/>
  <c r="R238" i="12"/>
  <c r="T144" i="12"/>
  <c r="V144" i="12" s="1"/>
  <c r="R61" i="11"/>
  <c r="W61" i="11" s="1"/>
  <c r="T61" i="11"/>
  <c r="L273" i="12"/>
  <c r="T91" i="12"/>
  <c r="R52" i="11"/>
  <c r="V52" i="11" s="1"/>
  <c r="T52" i="11"/>
  <c r="P6" i="11"/>
  <c r="U22" i="11"/>
  <c r="U158" i="11"/>
  <c r="R229" i="11"/>
  <c r="W229" i="11" s="1"/>
  <c r="U212" i="11"/>
  <c r="W212" i="11" s="1"/>
  <c r="N276" i="11"/>
  <c r="R250" i="12"/>
  <c r="R227" i="12"/>
  <c r="T236" i="12"/>
  <c r="V236" i="12" s="1"/>
  <c r="U265" i="11"/>
  <c r="W265" i="11" s="1"/>
  <c r="U58" i="11"/>
  <c r="T58" i="11"/>
  <c r="R58" i="11"/>
  <c r="U33" i="12"/>
  <c r="T260" i="11"/>
  <c r="V260" i="11" s="1"/>
  <c r="U260" i="11"/>
  <c r="W260" i="11" s="1"/>
  <c r="W216" i="11"/>
  <c r="R183" i="11"/>
  <c r="W183" i="11" s="1"/>
  <c r="U114" i="11"/>
  <c r="T114" i="11"/>
  <c r="L274" i="11"/>
  <c r="W76" i="11"/>
  <c r="R28" i="12"/>
  <c r="W219" i="11"/>
  <c r="R176" i="11"/>
  <c r="U176" i="11"/>
  <c r="T176" i="11"/>
  <c r="R39" i="12"/>
  <c r="T37" i="12"/>
  <c r="V37" i="12" s="1"/>
  <c r="R173" i="11"/>
  <c r="U148" i="11"/>
  <c r="U40" i="12"/>
  <c r="W40" i="12" s="1"/>
  <c r="R15" i="11"/>
  <c r="R179" i="11"/>
  <c r="U179" i="11"/>
  <c r="W179" i="11" s="1"/>
  <c r="T179" i="11"/>
  <c r="R184" i="11"/>
  <c r="T252" i="12"/>
  <c r="V252" i="12" s="1"/>
  <c r="R237" i="12"/>
  <c r="V237" i="12" s="1"/>
  <c r="R168" i="12"/>
  <c r="W168" i="12" s="1"/>
  <c r="R193" i="12"/>
  <c r="U257" i="11"/>
  <c r="R115" i="11"/>
  <c r="T115" i="11"/>
  <c r="U115" i="11"/>
  <c r="W224" i="12"/>
  <c r="T139" i="12"/>
  <c r="V139" i="12" s="1"/>
  <c r="N271" i="12"/>
  <c r="U31" i="12"/>
  <c r="R263" i="11"/>
  <c r="U255" i="11"/>
  <c r="W255" i="11" s="1"/>
  <c r="U264" i="11"/>
  <c r="W264" i="11" s="1"/>
  <c r="W252" i="11"/>
  <c r="V204" i="11"/>
  <c r="W75" i="11"/>
  <c r="R162" i="5"/>
  <c r="R164" i="5"/>
  <c r="N88" i="6"/>
  <c r="G85" i="6"/>
  <c r="W6" i="8"/>
  <c r="V15" i="8"/>
  <c r="H370" i="8"/>
  <c r="G370" i="8"/>
  <c r="F370" i="8"/>
  <c r="G417" i="8" s="1"/>
  <c r="W266" i="8"/>
  <c r="V255" i="8"/>
  <c r="V94" i="8"/>
  <c r="T359" i="8"/>
  <c r="T361" i="8"/>
  <c r="W201" i="8"/>
  <c r="U364" i="8"/>
  <c r="T369" i="8"/>
  <c r="T363" i="8"/>
  <c r="W157" i="8"/>
  <c r="U362" i="8"/>
  <c r="W289" i="8"/>
  <c r="U368" i="8"/>
  <c r="U361" i="8"/>
  <c r="U360" i="8"/>
  <c r="R362" i="8"/>
  <c r="U366" i="8"/>
  <c r="T360" i="8"/>
  <c r="W180" i="8"/>
  <c r="R363" i="8"/>
  <c r="N358" i="8"/>
  <c r="W223" i="8"/>
  <c r="R365" i="8"/>
  <c r="R368" i="8"/>
  <c r="T366" i="8"/>
  <c r="U369" i="8"/>
  <c r="R364" i="8"/>
  <c r="W114" i="8"/>
  <c r="R360" i="8"/>
  <c r="V157" i="8"/>
  <c r="T362" i="8"/>
  <c r="W136" i="8"/>
  <c r="R361" i="8"/>
  <c r="W311" i="8"/>
  <c r="R369" i="8"/>
  <c r="R366" i="8"/>
  <c r="U363" i="8"/>
  <c r="W94" i="8"/>
  <c r="U359" i="8"/>
  <c r="V201" i="8"/>
  <c r="T364" i="8"/>
  <c r="V289" i="8"/>
  <c r="T368" i="8"/>
  <c r="P358" i="8"/>
  <c r="T367" i="8"/>
  <c r="T365" i="8"/>
  <c r="R367" i="8"/>
  <c r="U71" i="8"/>
  <c r="L358" i="8"/>
  <c r="T89" i="8"/>
  <c r="V89" i="8" s="1"/>
  <c r="U365" i="8"/>
  <c r="U367" i="8"/>
  <c r="R359" i="8"/>
  <c r="V315" i="8"/>
  <c r="W19" i="8"/>
  <c r="T93" i="8"/>
  <c r="V93" i="8" s="1"/>
  <c r="W13" i="8"/>
  <c r="V6" i="8"/>
  <c r="V9" i="8"/>
  <c r="V16" i="8"/>
  <c r="V7" i="8"/>
  <c r="T82" i="8"/>
  <c r="V82" i="8" s="1"/>
  <c r="W115" i="8"/>
  <c r="U93" i="8"/>
  <c r="W93" i="8" s="1"/>
  <c r="V223" i="8"/>
  <c r="R71" i="8"/>
  <c r="W118" i="8"/>
  <c r="V192" i="8"/>
  <c r="T81" i="8"/>
  <c r="V81" i="8" s="1"/>
  <c r="V245" i="8"/>
  <c r="V127" i="8"/>
  <c r="V311" i="8"/>
  <c r="V292" i="8"/>
  <c r="T83" i="8"/>
  <c r="T91" i="8"/>
  <c r="V91" i="8" s="1"/>
  <c r="V111" i="8"/>
  <c r="V233" i="8"/>
  <c r="T92" i="8"/>
  <c r="V92" i="8" s="1"/>
  <c r="R76" i="8"/>
  <c r="W76" i="8" s="1"/>
  <c r="V291" i="8"/>
  <c r="W143" i="8"/>
  <c r="R83" i="8"/>
  <c r="W83" i="8" s="1"/>
  <c r="U91" i="8"/>
  <c r="W91" i="8" s="1"/>
  <c r="T76" i="8"/>
  <c r="V305" i="8"/>
  <c r="V116" i="8"/>
  <c r="T75" i="8"/>
  <c r="V75" i="8" s="1"/>
  <c r="V165" i="8"/>
  <c r="V266" i="8"/>
  <c r="V110" i="8"/>
  <c r="U72" i="8"/>
  <c r="W72" i="8" s="1"/>
  <c r="T72" i="8"/>
  <c r="V72" i="8" s="1"/>
  <c r="V297" i="8"/>
  <c r="T85" i="8"/>
  <c r="V85" i="8" s="1"/>
  <c r="V228" i="8"/>
  <c r="T88" i="8"/>
  <c r="V170" i="8"/>
  <c r="W120" i="8"/>
  <c r="V115" i="8"/>
  <c r="V244" i="8"/>
  <c r="T79" i="8"/>
  <c r="V299" i="8"/>
  <c r="V136" i="8"/>
  <c r="T71" i="8"/>
  <c r="V329" i="8"/>
  <c r="V124" i="8"/>
  <c r="V148" i="8"/>
  <c r="V207" i="8"/>
  <c r="V161" i="8"/>
  <c r="W272" i="8"/>
  <c r="V215" i="8"/>
  <c r="R88" i="8"/>
  <c r="W88" i="8" s="1"/>
  <c r="V125" i="8"/>
  <c r="U78" i="8"/>
  <c r="W78" i="8" s="1"/>
  <c r="R80" i="8"/>
  <c r="W80" i="8" s="1"/>
  <c r="W224" i="8"/>
  <c r="V248" i="8"/>
  <c r="W297" i="8"/>
  <c r="V303" i="8"/>
  <c r="W292" i="8"/>
  <c r="W225" i="8"/>
  <c r="V265" i="8"/>
  <c r="V316" i="8"/>
  <c r="V294" i="8"/>
  <c r="V326" i="8"/>
  <c r="W291" i="8"/>
  <c r="V216" i="8"/>
  <c r="W97" i="8"/>
  <c r="T73" i="8"/>
  <c r="W229" i="8"/>
  <c r="V159" i="8"/>
  <c r="V213" i="8"/>
  <c r="V239" i="8"/>
  <c r="W264" i="8"/>
  <c r="V278" i="8"/>
  <c r="V293" i="8"/>
  <c r="W142" i="8"/>
  <c r="V267" i="8"/>
  <c r="V151" i="8"/>
  <c r="W202" i="8"/>
  <c r="U90" i="8"/>
  <c r="W90" i="8" s="1"/>
  <c r="T80" i="8"/>
  <c r="T90" i="8"/>
  <c r="V90" i="8" s="1"/>
  <c r="W216" i="8"/>
  <c r="T86" i="8"/>
  <c r="W104" i="8"/>
  <c r="V105" i="8"/>
  <c r="V141" i="8"/>
  <c r="W238" i="8"/>
  <c r="V225" i="8"/>
  <c r="W150" i="8"/>
  <c r="V217" i="8"/>
  <c r="V281" i="8"/>
  <c r="W283" i="8"/>
  <c r="W85" i="8"/>
  <c r="W288" i="8"/>
  <c r="V180" i="8"/>
  <c r="V140" i="8"/>
  <c r="V188" i="8"/>
  <c r="R79" i="8"/>
  <c r="W159" i="8"/>
  <c r="V325" i="8"/>
  <c r="W175" i="8"/>
  <c r="V202" i="8"/>
  <c r="V240" i="8"/>
  <c r="V229" i="8"/>
  <c r="V283" i="8"/>
  <c r="V276" i="8"/>
  <c r="W317" i="8"/>
  <c r="V327" i="8"/>
  <c r="T78" i="8"/>
  <c r="V78" i="8" s="1"/>
  <c r="T84" i="8"/>
  <c r="V84" i="8" s="1"/>
  <c r="V268" i="8"/>
  <c r="W305" i="8"/>
  <c r="W147" i="8"/>
  <c r="U86" i="8"/>
  <c r="R77" i="8"/>
  <c r="W77" i="8" s="1"/>
  <c r="W268" i="8"/>
  <c r="W299" i="8"/>
  <c r="V328" i="8"/>
  <c r="V314" i="8"/>
  <c r="R86" i="8"/>
  <c r="U73" i="8"/>
  <c r="V152" i="8"/>
  <c r="W141" i="8"/>
  <c r="W165" i="8"/>
  <c r="V237" i="8"/>
  <c r="V272" i="8"/>
  <c r="V97" i="8"/>
  <c r="W152" i="8"/>
  <c r="V150" i="8"/>
  <c r="V183" i="8"/>
  <c r="V231" i="8"/>
  <c r="W242" i="8"/>
  <c r="V224" i="8"/>
  <c r="V280" i="8"/>
  <c r="W326" i="8"/>
  <c r="V318" i="8"/>
  <c r="W330" i="8"/>
  <c r="W328" i="8"/>
  <c r="V319" i="8"/>
  <c r="V317" i="8"/>
  <c r="V313" i="8"/>
  <c r="W313" i="8"/>
  <c r="W319" i="8"/>
  <c r="W327" i="8"/>
  <c r="V330" i="8"/>
  <c r="W325" i="8"/>
  <c r="V302" i="8"/>
  <c r="W301" i="8"/>
  <c r="V300" i="8"/>
  <c r="V301" i="8"/>
  <c r="W294" i="8"/>
  <c r="W302" i="8"/>
  <c r="V282" i="8"/>
  <c r="W281" i="8"/>
  <c r="W276" i="8"/>
  <c r="W285" i="8"/>
  <c r="V274" i="8"/>
  <c r="W274" i="8"/>
  <c r="W282" i="8"/>
  <c r="V285" i="8"/>
  <c r="W280" i="8"/>
  <c r="V264" i="8"/>
  <c r="V260" i="8"/>
  <c r="W260" i="8"/>
  <c r="W240" i="8"/>
  <c r="V238" i="8"/>
  <c r="W231" i="8"/>
  <c r="W239" i="8"/>
  <c r="V242" i="8"/>
  <c r="W237" i="8"/>
  <c r="V221" i="8"/>
  <c r="V206" i="8"/>
  <c r="W205" i="8"/>
  <c r="V205" i="8"/>
  <c r="V209" i="8"/>
  <c r="W209" i="8"/>
  <c r="W221" i="8"/>
  <c r="W217" i="8"/>
  <c r="W213" i="8"/>
  <c r="W183" i="8"/>
  <c r="W191" i="8"/>
  <c r="V189" i="8"/>
  <c r="W187" i="8"/>
  <c r="W185" i="8"/>
  <c r="W181" i="8"/>
  <c r="V187" i="8"/>
  <c r="W193" i="8"/>
  <c r="V185" i="8"/>
  <c r="W186" i="8"/>
  <c r="W189" i="8"/>
  <c r="V181" i="8"/>
  <c r="V193" i="8"/>
  <c r="V191" i="8"/>
  <c r="V178" i="8"/>
  <c r="W161" i="8"/>
  <c r="W178" i="8"/>
  <c r="V114" i="8"/>
  <c r="V135" i="8"/>
  <c r="W123" i="8"/>
  <c r="W135" i="8"/>
  <c r="V126" i="8"/>
  <c r="V119" i="8"/>
  <c r="W119" i="8"/>
  <c r="W126" i="8"/>
  <c r="V112" i="8"/>
  <c r="V107" i="8"/>
  <c r="V99" i="8"/>
  <c r="V103" i="8"/>
  <c r="V106" i="8"/>
  <c r="W106" i="8"/>
  <c r="W105" i="8"/>
  <c r="W110" i="8"/>
  <c r="W112" i="8"/>
  <c r="W99" i="8"/>
  <c r="W103" i="8"/>
  <c r="R73" i="8"/>
  <c r="U87" i="8"/>
  <c r="W87" i="8" s="1"/>
  <c r="T87" i="8"/>
  <c r="V87" i="8" s="1"/>
  <c r="T77" i="8"/>
  <c r="T74" i="8"/>
  <c r="U74" i="8"/>
  <c r="R74" i="8"/>
  <c r="W84" i="8"/>
  <c r="R29" i="8"/>
  <c r="V5" i="8"/>
  <c r="R30" i="8"/>
  <c r="W5" i="8"/>
  <c r="W15" i="8"/>
  <c r="T29" i="8"/>
  <c r="T30" i="8"/>
  <c r="U29" i="8"/>
  <c r="V18" i="8"/>
  <c r="U30" i="8"/>
  <c r="V8" i="8"/>
  <c r="V13" i="8"/>
  <c r="W7" i="8"/>
  <c r="W9" i="8"/>
  <c r="V19" i="8"/>
  <c r="W8" i="8"/>
  <c r="V17" i="8"/>
  <c r="D122" i="6"/>
  <c r="D111" i="6"/>
  <c r="P92" i="6"/>
  <c r="H88" i="6"/>
  <c r="E87" i="6"/>
  <c r="F87" i="6" s="1"/>
  <c r="E118" i="6"/>
  <c r="E122" i="6"/>
  <c r="N92" i="6"/>
  <c r="F88" i="6"/>
  <c r="G92" i="6"/>
  <c r="L92" i="6" s="1"/>
  <c r="N16" i="6"/>
  <c r="H124" i="6"/>
  <c r="P124" i="6"/>
  <c r="F124" i="6"/>
  <c r="N124" i="6"/>
  <c r="G124" i="6"/>
  <c r="L124" i="6" s="1"/>
  <c r="J124" i="6"/>
  <c r="D125" i="6"/>
  <c r="H95" i="6"/>
  <c r="J95" i="6"/>
  <c r="H91" i="6"/>
  <c r="D121" i="6"/>
  <c r="J91" i="6"/>
  <c r="P91" i="6"/>
  <c r="D117" i="6"/>
  <c r="D109" i="6"/>
  <c r="J79" i="6"/>
  <c r="N79" i="6"/>
  <c r="G94" i="6"/>
  <c r="L94" i="6" s="1"/>
  <c r="N94" i="6"/>
  <c r="J94" i="6"/>
  <c r="P94" i="6"/>
  <c r="F94" i="6"/>
  <c r="H94" i="6"/>
  <c r="G90" i="6"/>
  <c r="L90" i="6" s="1"/>
  <c r="N90" i="6"/>
  <c r="H90" i="6"/>
  <c r="P90" i="6"/>
  <c r="F90" i="6"/>
  <c r="J90" i="6"/>
  <c r="F54" i="6"/>
  <c r="E86" i="6"/>
  <c r="E116" i="6" s="1"/>
  <c r="G82" i="6"/>
  <c r="L82" i="6" s="1"/>
  <c r="N82" i="6"/>
  <c r="F82" i="6"/>
  <c r="P82" i="6"/>
  <c r="H82" i="6"/>
  <c r="J82" i="6"/>
  <c r="G46" i="6"/>
  <c r="E78" i="6"/>
  <c r="E108" i="6" s="1"/>
  <c r="G42" i="6"/>
  <c r="E74" i="6"/>
  <c r="E104" i="6" s="1"/>
  <c r="H81" i="6"/>
  <c r="G81" i="6"/>
  <c r="J81" i="6"/>
  <c r="F81" i="6"/>
  <c r="G103" i="6"/>
  <c r="H77" i="6"/>
  <c r="F77" i="6"/>
  <c r="G77" i="6"/>
  <c r="H89" i="6"/>
  <c r="P89" i="6"/>
  <c r="H85" i="6"/>
  <c r="N85" i="6" s="1"/>
  <c r="J85" i="6"/>
  <c r="D119" i="6"/>
  <c r="D110" i="6"/>
  <c r="E93" i="6"/>
  <c r="E123" i="6" s="1"/>
  <c r="E215" i="6" s="1"/>
  <c r="G89" i="6"/>
  <c r="L89" i="6" s="1"/>
  <c r="F85" i="6"/>
  <c r="H73" i="6"/>
  <c r="F73" i="6"/>
  <c r="D123" i="6"/>
  <c r="D114" i="6"/>
  <c r="D213" i="6" s="1"/>
  <c r="D107" i="6"/>
  <c r="F95" i="6"/>
  <c r="G95" i="6"/>
  <c r="L95" i="6" s="1"/>
  <c r="P95" i="6"/>
  <c r="F89" i="6"/>
  <c r="F79" i="6"/>
  <c r="G79" i="6"/>
  <c r="L79" i="6" s="1"/>
  <c r="P79" i="6"/>
  <c r="H79" i="6"/>
  <c r="J73" i="6"/>
  <c r="D103" i="6"/>
  <c r="J103" i="6" s="1"/>
  <c r="D97" i="6"/>
  <c r="F91" i="6"/>
  <c r="N91" i="6"/>
  <c r="F43" i="6"/>
  <c r="E75" i="6"/>
  <c r="E105" i="6" s="1"/>
  <c r="I67" i="6"/>
  <c r="D118" i="6"/>
  <c r="F103" i="6"/>
  <c r="N95" i="6"/>
  <c r="G91" i="6"/>
  <c r="L91" i="6" s="1"/>
  <c r="N89" i="6"/>
  <c r="E83" i="6"/>
  <c r="E113" i="6" s="1"/>
  <c r="J77" i="6"/>
  <c r="G73" i="6"/>
  <c r="J92" i="6"/>
  <c r="J88" i="6"/>
  <c r="G52" i="6"/>
  <c r="E84" i="6"/>
  <c r="E114" i="6" s="1"/>
  <c r="F48" i="6"/>
  <c r="E80" i="6"/>
  <c r="E110" i="6" s="1"/>
  <c r="G44" i="6"/>
  <c r="E76" i="6"/>
  <c r="E106" i="6" s="1"/>
  <c r="H92" i="6"/>
  <c r="P88" i="6"/>
  <c r="G88" i="6"/>
  <c r="L88" i="6" s="1"/>
  <c r="N8" i="6"/>
  <c r="N10" i="6"/>
  <c r="N17" i="6"/>
  <c r="N18" i="6"/>
  <c r="Q67" i="6"/>
  <c r="H60" i="6"/>
  <c r="M67" i="6"/>
  <c r="H62" i="6"/>
  <c r="P63" i="6"/>
  <c r="H59" i="6"/>
  <c r="N50" i="6"/>
  <c r="J30" i="6"/>
  <c r="G58" i="6"/>
  <c r="L58" i="6" s="1"/>
  <c r="F57" i="6"/>
  <c r="G53" i="6"/>
  <c r="G49" i="6"/>
  <c r="F41" i="6"/>
  <c r="F56" i="6"/>
  <c r="S67" i="6"/>
  <c r="O67" i="6"/>
  <c r="K67" i="6"/>
  <c r="N47" i="6"/>
  <c r="J59" i="6"/>
  <c r="H58" i="6"/>
  <c r="H54" i="6"/>
  <c r="P50" i="6"/>
  <c r="N46" i="6"/>
  <c r="J42" i="6"/>
  <c r="G57" i="6"/>
  <c r="L57" i="6" s="1"/>
  <c r="N62" i="6"/>
  <c r="J58" i="6"/>
  <c r="H50" i="6"/>
  <c r="P46" i="6"/>
  <c r="H47" i="6"/>
  <c r="F46" i="6"/>
  <c r="G50" i="6"/>
  <c r="L50" i="6" s="1"/>
  <c r="R50" i="6" s="1"/>
  <c r="J54" i="6"/>
  <c r="P58" i="6"/>
  <c r="J62" i="6"/>
  <c r="H52" i="6"/>
  <c r="N48" i="6"/>
  <c r="J44" i="6"/>
  <c r="J55" i="6"/>
  <c r="G60" i="6"/>
  <c r="L60" i="6" s="1"/>
  <c r="T22" i="6"/>
  <c r="T24" i="6"/>
  <c r="T26" i="6"/>
  <c r="T28" i="6"/>
  <c r="F42" i="6"/>
  <c r="L46" i="6"/>
  <c r="F50" i="6"/>
  <c r="J51" i="6"/>
  <c r="G56" i="6"/>
  <c r="L56" i="6" s="1"/>
  <c r="N58" i="6"/>
  <c r="F63" i="6"/>
  <c r="H63" i="6"/>
  <c r="H42" i="6"/>
  <c r="J46" i="6"/>
  <c r="G47" i="6"/>
  <c r="L47" i="6" s="1"/>
  <c r="J50" i="6"/>
  <c r="U50" i="6" s="1"/>
  <c r="H51" i="6"/>
  <c r="G54" i="6"/>
  <c r="H55" i="6"/>
  <c r="L55" i="6" s="1"/>
  <c r="F58" i="6"/>
  <c r="G59" i="6"/>
  <c r="L59" i="6" s="1"/>
  <c r="G62" i="6"/>
  <c r="L62" i="6" s="1"/>
  <c r="P62" i="6"/>
  <c r="J41" i="6"/>
  <c r="P60" i="6"/>
  <c r="G43" i="6"/>
  <c r="P47" i="6"/>
  <c r="J43" i="6"/>
  <c r="H46" i="6"/>
  <c r="F51" i="6"/>
  <c r="G55" i="6"/>
  <c r="F59" i="6"/>
  <c r="P59" i="6"/>
  <c r="F62" i="6"/>
  <c r="N63" i="6"/>
  <c r="J61" i="6"/>
  <c r="J45" i="6"/>
  <c r="F45" i="6"/>
  <c r="F49" i="6"/>
  <c r="F53" i="6"/>
  <c r="N57" i="6"/>
  <c r="G61" i="6"/>
  <c r="L61" i="6" s="1"/>
  <c r="P61" i="6"/>
  <c r="J53" i="6"/>
  <c r="J49" i="6"/>
  <c r="H45" i="6"/>
  <c r="F44" i="6"/>
  <c r="G45" i="6"/>
  <c r="G48" i="6"/>
  <c r="L48" i="6" s="1"/>
  <c r="F52" i="6"/>
  <c r="N56" i="6"/>
  <c r="J60" i="6"/>
  <c r="N60" i="6"/>
  <c r="J56" i="6"/>
  <c r="J52" i="6"/>
  <c r="J48" i="6"/>
  <c r="H44" i="6"/>
  <c r="F47" i="6"/>
  <c r="F60" i="6"/>
  <c r="G63" i="6"/>
  <c r="L63" i="6" s="1"/>
  <c r="J63" i="6"/>
  <c r="N59" i="6"/>
  <c r="J47" i="6"/>
  <c r="G41" i="6"/>
  <c r="H41" i="6"/>
  <c r="N41" i="6" s="1"/>
  <c r="E65" i="6"/>
  <c r="E66" i="6" s="1"/>
  <c r="E67" i="6" s="1"/>
  <c r="H49" i="6"/>
  <c r="H53" i="6"/>
  <c r="H57" i="6"/>
  <c r="P57" i="6"/>
  <c r="D65" i="6"/>
  <c r="D66" i="6" s="1"/>
  <c r="D67" i="6" s="1"/>
  <c r="H48" i="6"/>
  <c r="P48" i="6"/>
  <c r="H56" i="6"/>
  <c r="P56" i="6"/>
  <c r="J57" i="6"/>
  <c r="N61" i="6"/>
  <c r="H43" i="6"/>
  <c r="L43" i="6" s="1"/>
  <c r="H61" i="6"/>
  <c r="R15" i="6"/>
  <c r="P9" i="6"/>
  <c r="N14" i="6"/>
  <c r="N19" i="6"/>
  <c r="N20" i="6"/>
  <c r="T11" i="6"/>
  <c r="U12" i="6"/>
  <c r="T13" i="6"/>
  <c r="U15" i="6"/>
  <c r="P16" i="6"/>
  <c r="F30" i="6"/>
  <c r="P8" i="6"/>
  <c r="P14" i="6"/>
  <c r="G30" i="6"/>
  <c r="P10" i="6"/>
  <c r="T12" i="6"/>
  <c r="U13" i="6"/>
  <c r="T21" i="6"/>
  <c r="U22" i="6"/>
  <c r="T23" i="6"/>
  <c r="U24" i="6"/>
  <c r="T25" i="6"/>
  <c r="U26" i="6"/>
  <c r="T27" i="6"/>
  <c r="U28" i="6"/>
  <c r="R12" i="6"/>
  <c r="T15" i="6"/>
  <c r="P20" i="6"/>
  <c r="G31" i="6"/>
  <c r="F31" i="6"/>
  <c r="P6" i="6"/>
  <c r="R11" i="6"/>
  <c r="H30" i="6"/>
  <c r="H31" i="6"/>
  <c r="N7" i="6"/>
  <c r="P7" i="6"/>
  <c r="N9" i="6"/>
  <c r="R13" i="6"/>
  <c r="R22" i="6"/>
  <c r="R24" i="6"/>
  <c r="R26" i="6"/>
  <c r="R28" i="6"/>
  <c r="R21" i="6"/>
  <c r="R23" i="6"/>
  <c r="V23" i="6" s="1"/>
  <c r="R25" i="6"/>
  <c r="R27" i="6"/>
  <c r="U11" i="6"/>
  <c r="U21" i="6"/>
  <c r="U23" i="6"/>
  <c r="U25" i="6"/>
  <c r="U27" i="6"/>
  <c r="P17" i="6"/>
  <c r="P19" i="6"/>
  <c r="L6" i="6"/>
  <c r="U6" i="6" s="1"/>
  <c r="L7" i="6"/>
  <c r="U7" i="6" s="1"/>
  <c r="L8" i="6"/>
  <c r="L9" i="6"/>
  <c r="U9" i="6" s="1"/>
  <c r="L10" i="6"/>
  <c r="R10" i="6" s="1"/>
  <c r="L14" i="6"/>
  <c r="L16" i="6"/>
  <c r="L17" i="6"/>
  <c r="R17" i="6" s="1"/>
  <c r="L18" i="6"/>
  <c r="R18" i="6" s="1"/>
  <c r="L19" i="6"/>
  <c r="R19" i="6" s="1"/>
  <c r="L20" i="6"/>
  <c r="J31" i="6"/>
  <c r="P18" i="6"/>
  <c r="N6" i="6"/>
  <c r="T152" i="5"/>
  <c r="T161" i="5"/>
  <c r="T153" i="5"/>
  <c r="T162" i="5"/>
  <c r="R161" i="5"/>
  <c r="R163" i="5"/>
  <c r="H40" i="5"/>
  <c r="G171" i="5"/>
  <c r="T151" i="5"/>
  <c r="R155" i="5"/>
  <c r="V155" i="5" s="1"/>
  <c r="U161" i="5"/>
  <c r="W161" i="5" s="1"/>
  <c r="U162" i="5"/>
  <c r="U163" i="5"/>
  <c r="T165" i="5"/>
  <c r="R168" i="5"/>
  <c r="V168" i="5" s="1"/>
  <c r="U36" i="5"/>
  <c r="H171" i="5"/>
  <c r="R151" i="5"/>
  <c r="R153" i="5"/>
  <c r="V153" i="5" s="1"/>
  <c r="R165" i="5"/>
  <c r="R167" i="5"/>
  <c r="R152" i="5"/>
  <c r="V152" i="5" s="1"/>
  <c r="W164" i="5"/>
  <c r="R166" i="5"/>
  <c r="V166" i="5" s="1"/>
  <c r="H170" i="5"/>
  <c r="W163" i="5"/>
  <c r="U151" i="5"/>
  <c r="W151" i="5" s="1"/>
  <c r="U152" i="5"/>
  <c r="T163" i="5"/>
  <c r="T164" i="5"/>
  <c r="V164" i="5" s="1"/>
  <c r="U165" i="5"/>
  <c r="U166" i="5"/>
  <c r="W166" i="5" s="1"/>
  <c r="U32" i="5"/>
  <c r="U28" i="5"/>
  <c r="J40" i="5"/>
  <c r="U153" i="5"/>
  <c r="U155" i="5"/>
  <c r="U167" i="5"/>
  <c r="W167" i="5" s="1"/>
  <c r="U168" i="5"/>
  <c r="W168" i="5" s="1"/>
  <c r="G170" i="5"/>
  <c r="J170" i="5"/>
  <c r="J171" i="5"/>
  <c r="V151" i="5"/>
  <c r="V167" i="5"/>
  <c r="P146" i="5"/>
  <c r="F171" i="5"/>
  <c r="N146" i="5"/>
  <c r="L146" i="5"/>
  <c r="P147" i="5"/>
  <c r="N147" i="5"/>
  <c r="L147" i="5"/>
  <c r="U147" i="5" s="1"/>
  <c r="P148" i="5"/>
  <c r="N148" i="5"/>
  <c r="L148" i="5"/>
  <c r="P149" i="5"/>
  <c r="N149" i="5"/>
  <c r="L149" i="5"/>
  <c r="U149" i="5" s="1"/>
  <c r="P150" i="5"/>
  <c r="N150" i="5"/>
  <c r="L150" i="5"/>
  <c r="U150" i="5" s="1"/>
  <c r="P156" i="5"/>
  <c r="N156" i="5"/>
  <c r="L156" i="5"/>
  <c r="U156" i="5" s="1"/>
  <c r="P157" i="5"/>
  <c r="N157" i="5"/>
  <c r="L157" i="5"/>
  <c r="P158" i="5"/>
  <c r="N158" i="5"/>
  <c r="L158" i="5"/>
  <c r="U158" i="5" s="1"/>
  <c r="P159" i="5"/>
  <c r="N159" i="5"/>
  <c r="L159" i="5"/>
  <c r="P160" i="5"/>
  <c r="N160" i="5"/>
  <c r="L160" i="5"/>
  <c r="U160" i="5" s="1"/>
  <c r="P154" i="5"/>
  <c r="N154" i="5"/>
  <c r="L154" i="5"/>
  <c r="U154" i="5" s="1"/>
  <c r="F170" i="5"/>
  <c r="T35" i="5"/>
  <c r="P7" i="5"/>
  <c r="P22" i="5"/>
  <c r="P10" i="5"/>
  <c r="L10" i="5"/>
  <c r="U10" i="5" s="1"/>
  <c r="U16" i="5"/>
  <c r="L7" i="5"/>
  <c r="U7" i="5" s="1"/>
  <c r="P23" i="5"/>
  <c r="G40" i="5"/>
  <c r="F40" i="5"/>
  <c r="L17" i="5"/>
  <c r="U17" i="5" s="1"/>
  <c r="N23" i="5"/>
  <c r="P17" i="5"/>
  <c r="P11" i="5"/>
  <c r="J39" i="5"/>
  <c r="C128" i="5" s="1"/>
  <c r="L11" i="5"/>
  <c r="U11" i="5" s="1"/>
  <c r="N22" i="5"/>
  <c r="U22" i="5"/>
  <c r="P24" i="5"/>
  <c r="P8" i="5"/>
  <c r="L24" i="5"/>
  <c r="U24" i="5" s="1"/>
  <c r="L23" i="5"/>
  <c r="N8" i="5"/>
  <c r="L8" i="5"/>
  <c r="U8" i="5" s="1"/>
  <c r="U30" i="5"/>
  <c r="T30" i="5"/>
  <c r="R30" i="5"/>
  <c r="U18" i="5"/>
  <c r="T18" i="5"/>
  <c r="R18" i="5"/>
  <c r="U14" i="5"/>
  <c r="T14" i="5"/>
  <c r="R14" i="5"/>
  <c r="U29" i="5"/>
  <c r="T29" i="5"/>
  <c r="R29" i="5"/>
  <c r="T37" i="5"/>
  <c r="R37" i="5"/>
  <c r="U37" i="5"/>
  <c r="T31" i="5"/>
  <c r="R31" i="5"/>
  <c r="U31" i="5"/>
  <c r="T15" i="5"/>
  <c r="R15" i="5"/>
  <c r="U15" i="5"/>
  <c r="P25" i="5"/>
  <c r="N25" i="5"/>
  <c r="L25" i="5"/>
  <c r="P21" i="5"/>
  <c r="N21" i="5"/>
  <c r="L21" i="5"/>
  <c r="P9" i="5"/>
  <c r="N9" i="5"/>
  <c r="L9" i="5"/>
  <c r="R36" i="5"/>
  <c r="T36" i="5"/>
  <c r="U35" i="5"/>
  <c r="R35" i="5"/>
  <c r="T32" i="5"/>
  <c r="R32" i="5"/>
  <c r="T28" i="5"/>
  <c r="R28" i="5"/>
  <c r="T16" i="5"/>
  <c r="R16" i="5"/>
  <c r="N24" i="5"/>
  <c r="R22" i="5"/>
  <c r="F39" i="5"/>
  <c r="G112" i="5" s="1"/>
  <c r="G39" i="5"/>
  <c r="H39" i="5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N26" i="12" l="1"/>
  <c r="L26" i="12"/>
  <c r="U26" i="12" s="1"/>
  <c r="T19" i="11"/>
  <c r="V19" i="11" s="1"/>
  <c r="R23" i="12"/>
  <c r="N15" i="12"/>
  <c r="P5" i="12"/>
  <c r="L15" i="12"/>
  <c r="T15" i="12" s="1"/>
  <c r="J12" i="13"/>
  <c r="H17" i="13"/>
  <c r="U6" i="12"/>
  <c r="J10" i="13"/>
  <c r="H21" i="13"/>
  <c r="N21" i="13" s="1"/>
  <c r="J5" i="13"/>
  <c r="P9" i="12"/>
  <c r="V27" i="11"/>
  <c r="U23" i="12"/>
  <c r="U21" i="11"/>
  <c r="U8" i="11"/>
  <c r="J7" i="13"/>
  <c r="H16" i="13"/>
  <c r="L16" i="13" s="1"/>
  <c r="D16" i="14"/>
  <c r="J16" i="14" s="1"/>
  <c r="H20" i="13"/>
  <c r="P20" i="13" s="1"/>
  <c r="D20" i="14"/>
  <c r="H20" i="14" s="1"/>
  <c r="D281" i="12"/>
  <c r="D283" i="12" s="1"/>
  <c r="R6" i="11"/>
  <c r="T10" i="11"/>
  <c r="T24" i="11"/>
  <c r="V24" i="11" s="1"/>
  <c r="T25" i="11"/>
  <c r="V25" i="11" s="1"/>
  <c r="T13" i="12"/>
  <c r="R7" i="12"/>
  <c r="R15" i="12"/>
  <c r="J15" i="13"/>
  <c r="H7" i="13"/>
  <c r="J21" i="13"/>
  <c r="J20" i="13"/>
  <c r="J11" i="13"/>
  <c r="H13" i="13"/>
  <c r="D13" i="14"/>
  <c r="V26" i="11"/>
  <c r="T21" i="11"/>
  <c r="H15" i="13"/>
  <c r="N15" i="13" s="1"/>
  <c r="T15" i="13" s="1"/>
  <c r="H12" i="13"/>
  <c r="N12" i="13" s="1"/>
  <c r="L8" i="13"/>
  <c r="R8" i="13" s="1"/>
  <c r="J25" i="13"/>
  <c r="U25" i="13" s="1"/>
  <c r="D25" i="14"/>
  <c r="J25" i="14" s="1"/>
  <c r="J9" i="13"/>
  <c r="D9" i="14"/>
  <c r="H9" i="14" s="1"/>
  <c r="P251" i="14"/>
  <c r="P214" i="14"/>
  <c r="N125" i="14"/>
  <c r="T125" i="14" s="1"/>
  <c r="L125" i="14"/>
  <c r="L234" i="14"/>
  <c r="N169" i="14"/>
  <c r="L169" i="14"/>
  <c r="R169" i="14" s="1"/>
  <c r="P104" i="14"/>
  <c r="L104" i="14"/>
  <c r="U104" i="14" s="1"/>
  <c r="P74" i="14"/>
  <c r="N41" i="14"/>
  <c r="L41" i="14"/>
  <c r="N191" i="14"/>
  <c r="L191" i="14"/>
  <c r="P210" i="14"/>
  <c r="N233" i="14"/>
  <c r="P233" i="14"/>
  <c r="N153" i="14"/>
  <c r="L153" i="14"/>
  <c r="U153" i="14" s="1"/>
  <c r="P140" i="14"/>
  <c r="L140" i="14"/>
  <c r="W221" i="14"/>
  <c r="N247" i="14"/>
  <c r="T247" i="14" s="1"/>
  <c r="L247" i="14"/>
  <c r="N175" i="14"/>
  <c r="N104" i="14"/>
  <c r="P179" i="14"/>
  <c r="P194" i="14"/>
  <c r="U79" i="14"/>
  <c r="W79" i="14" s="1"/>
  <c r="N156" i="14"/>
  <c r="L60" i="14"/>
  <c r="U60" i="14" s="1"/>
  <c r="N60" i="14"/>
  <c r="P43" i="14"/>
  <c r="N43" i="14"/>
  <c r="P144" i="14"/>
  <c r="L115" i="14"/>
  <c r="P145" i="14"/>
  <c r="P147" i="14"/>
  <c r="P158" i="14"/>
  <c r="T158" i="14" s="1"/>
  <c r="U130" i="14"/>
  <c r="R130" i="14"/>
  <c r="P37" i="14"/>
  <c r="T103" i="14"/>
  <c r="R76" i="14"/>
  <c r="V76" i="14" s="1"/>
  <c r="N159" i="14"/>
  <c r="P51" i="14"/>
  <c r="T66" i="14"/>
  <c r="N211" i="14"/>
  <c r="L58" i="14"/>
  <c r="N235" i="14"/>
  <c r="U129" i="14"/>
  <c r="W129" i="14" s="1"/>
  <c r="N141" i="14"/>
  <c r="N59" i="14"/>
  <c r="N194" i="14"/>
  <c r="N150" i="14"/>
  <c r="P150" i="14"/>
  <c r="U197" i="14"/>
  <c r="W197" i="14" s="1"/>
  <c r="R197" i="14"/>
  <c r="P115" i="14"/>
  <c r="U101" i="14"/>
  <c r="N32" i="14"/>
  <c r="T92" i="14"/>
  <c r="N256" i="14"/>
  <c r="T109" i="14"/>
  <c r="P245" i="14"/>
  <c r="L158" i="14"/>
  <c r="N37" i="14"/>
  <c r="U156" i="14"/>
  <c r="P200" i="14"/>
  <c r="N241" i="14"/>
  <c r="L213" i="14"/>
  <c r="U213" i="14" s="1"/>
  <c r="N252" i="14"/>
  <c r="P243" i="14"/>
  <c r="L135" i="14"/>
  <c r="N34" i="14"/>
  <c r="L233" i="14"/>
  <c r="N230" i="14"/>
  <c r="N160" i="14"/>
  <c r="U93" i="14"/>
  <c r="R123" i="14"/>
  <c r="V123" i="14" s="1"/>
  <c r="L214" i="14"/>
  <c r="T105" i="14"/>
  <c r="P125" i="14"/>
  <c r="T113" i="14"/>
  <c r="P236" i="14"/>
  <c r="P153" i="14"/>
  <c r="N114" i="14"/>
  <c r="U186" i="14"/>
  <c r="L188" i="14"/>
  <c r="U97" i="14"/>
  <c r="P169" i="14"/>
  <c r="N209" i="14"/>
  <c r="P191" i="14"/>
  <c r="P156" i="14"/>
  <c r="N51" i="14"/>
  <c r="L142" i="14"/>
  <c r="P252" i="14"/>
  <c r="W121" i="14"/>
  <c r="L138" i="14"/>
  <c r="P138" i="14"/>
  <c r="T95" i="14"/>
  <c r="T206" i="14"/>
  <c r="T126" i="14"/>
  <c r="L160" i="14"/>
  <c r="U160" i="14" s="1"/>
  <c r="N138" i="14"/>
  <c r="N251" i="14"/>
  <c r="L251" i="14"/>
  <c r="T69" i="14"/>
  <c r="N201" i="14"/>
  <c r="T201" i="14" s="1"/>
  <c r="T216" i="14"/>
  <c r="T188" i="14"/>
  <c r="T132" i="14"/>
  <c r="L225" i="14"/>
  <c r="P225" i="14"/>
  <c r="T222" i="14"/>
  <c r="T220" i="14"/>
  <c r="R103" i="14"/>
  <c r="V103" i="14" s="1"/>
  <c r="T100" i="14"/>
  <c r="T131" i="14"/>
  <c r="R66" i="14"/>
  <c r="T252" i="14"/>
  <c r="N83" i="14"/>
  <c r="T107" i="14"/>
  <c r="T110" i="14"/>
  <c r="P265" i="14"/>
  <c r="T199" i="14"/>
  <c r="R240" i="14"/>
  <c r="N61" i="14"/>
  <c r="L145" i="14"/>
  <c r="T145" i="14" s="1"/>
  <c r="U87" i="14"/>
  <c r="T81" i="14"/>
  <c r="R222" i="14"/>
  <c r="L143" i="14"/>
  <c r="U143" i="14" s="1"/>
  <c r="T67" i="14"/>
  <c r="L117" i="14"/>
  <c r="T205" i="14"/>
  <c r="T98" i="14"/>
  <c r="T68" i="14"/>
  <c r="V68" i="14" s="1"/>
  <c r="N203" i="14"/>
  <c r="U45" i="14"/>
  <c r="R107" i="14"/>
  <c r="T196" i="14"/>
  <c r="T55" i="14"/>
  <c r="T119" i="14"/>
  <c r="L192" i="14"/>
  <c r="U192" i="14" s="1"/>
  <c r="P175" i="14"/>
  <c r="N214" i="14"/>
  <c r="T214" i="14" s="1"/>
  <c r="U217" i="14"/>
  <c r="R217" i="14"/>
  <c r="R121" i="14"/>
  <c r="N234" i="14"/>
  <c r="T106" i="14"/>
  <c r="P201" i="14"/>
  <c r="P278" i="14" s="1"/>
  <c r="T94" i="14"/>
  <c r="T152" i="14"/>
  <c r="N40" i="14"/>
  <c r="T40" i="14" s="1"/>
  <c r="T72" i="14"/>
  <c r="V72" i="14" s="1"/>
  <c r="L248" i="14"/>
  <c r="N166" i="14"/>
  <c r="N31" i="14"/>
  <c r="N246" i="14"/>
  <c r="R87" i="14"/>
  <c r="L147" i="14"/>
  <c r="T56" i="14"/>
  <c r="P143" i="14"/>
  <c r="T54" i="14"/>
  <c r="U50" i="14"/>
  <c r="N229" i="14"/>
  <c r="L51" i="14"/>
  <c r="T51" i="14" s="1"/>
  <c r="P232" i="14"/>
  <c r="T232" i="14" s="1"/>
  <c r="U133" i="14"/>
  <c r="N39" i="14"/>
  <c r="R45" i="14"/>
  <c r="W45" i="14" s="1"/>
  <c r="R129" i="14"/>
  <c r="P247" i="14"/>
  <c r="W80" i="13"/>
  <c r="T175" i="14"/>
  <c r="P59" i="14"/>
  <c r="P36" i="14"/>
  <c r="N36" i="14"/>
  <c r="L148" i="14"/>
  <c r="U148" i="14" s="1"/>
  <c r="L62" i="14"/>
  <c r="T62" i="14" s="1"/>
  <c r="P62" i="14"/>
  <c r="N137" i="14"/>
  <c r="P137" i="14"/>
  <c r="U92" i="14"/>
  <c r="J280" i="14"/>
  <c r="N262" i="14"/>
  <c r="P262" i="14"/>
  <c r="N190" i="14"/>
  <c r="U56" i="14"/>
  <c r="G271" i="14"/>
  <c r="L167" i="14"/>
  <c r="R167" i="14" s="1"/>
  <c r="N167" i="14"/>
  <c r="P167" i="14"/>
  <c r="H275" i="13"/>
  <c r="P141" i="13"/>
  <c r="L263" i="14"/>
  <c r="P263" i="14"/>
  <c r="N263" i="14"/>
  <c r="F278" i="14"/>
  <c r="N200" i="14"/>
  <c r="F277" i="14"/>
  <c r="L180" i="14"/>
  <c r="U180" i="14" s="1"/>
  <c r="T230" i="14"/>
  <c r="L214" i="13"/>
  <c r="P214" i="13"/>
  <c r="N214" i="13"/>
  <c r="T214" i="13" s="1"/>
  <c r="T198" i="14"/>
  <c r="U119" i="14"/>
  <c r="V184" i="11"/>
  <c r="W158" i="11"/>
  <c r="W228" i="11"/>
  <c r="N275" i="12"/>
  <c r="W145" i="11"/>
  <c r="T280" i="11"/>
  <c r="U10" i="11"/>
  <c r="T232" i="12"/>
  <c r="W20" i="11"/>
  <c r="N274" i="12"/>
  <c r="W153" i="12"/>
  <c r="V136" i="11"/>
  <c r="L20" i="12"/>
  <c r="U20" i="12" s="1"/>
  <c r="V237" i="11"/>
  <c r="W165" i="11"/>
  <c r="W29" i="11"/>
  <c r="V175" i="12"/>
  <c r="V41" i="11"/>
  <c r="V262" i="11"/>
  <c r="V162" i="11"/>
  <c r="W83" i="11"/>
  <c r="V137" i="11"/>
  <c r="U24" i="11"/>
  <c r="W101" i="12"/>
  <c r="V89" i="12"/>
  <c r="L8" i="12"/>
  <c r="R35" i="12"/>
  <c r="W35" i="12" s="1"/>
  <c r="W142" i="12"/>
  <c r="N141" i="13"/>
  <c r="U139" i="13"/>
  <c r="W139" i="13" s="1"/>
  <c r="J13" i="13"/>
  <c r="H280" i="13"/>
  <c r="J14" i="13"/>
  <c r="U113" i="13"/>
  <c r="W113" i="13" s="1"/>
  <c r="V67" i="13"/>
  <c r="R212" i="13"/>
  <c r="J271" i="13"/>
  <c r="V198" i="13"/>
  <c r="J272" i="13"/>
  <c r="N235" i="13"/>
  <c r="H276" i="13"/>
  <c r="H271" i="13"/>
  <c r="L141" i="13"/>
  <c r="L249" i="13"/>
  <c r="U249" i="13" s="1"/>
  <c r="G273" i="13"/>
  <c r="F278" i="13"/>
  <c r="T95" i="13"/>
  <c r="T63" i="13"/>
  <c r="T166" i="13"/>
  <c r="V166" i="13" s="1"/>
  <c r="T41" i="13"/>
  <c r="L178" i="13"/>
  <c r="U178" i="13" s="1"/>
  <c r="L162" i="13"/>
  <c r="R162" i="13" s="1"/>
  <c r="N254" i="14"/>
  <c r="T88" i="14"/>
  <c r="U88" i="14"/>
  <c r="U251" i="14"/>
  <c r="P257" i="14"/>
  <c r="L257" i="14"/>
  <c r="L259" i="14"/>
  <c r="R259" i="14" s="1"/>
  <c r="P259" i="14"/>
  <c r="N259" i="14"/>
  <c r="T44" i="14"/>
  <c r="R249" i="14"/>
  <c r="P249" i="14"/>
  <c r="N249" i="14"/>
  <c r="T112" i="14"/>
  <c r="U105" i="14"/>
  <c r="N84" i="14"/>
  <c r="U208" i="14"/>
  <c r="H276" i="14"/>
  <c r="N157" i="14"/>
  <c r="P157" i="14"/>
  <c r="T90" i="14"/>
  <c r="L161" i="14"/>
  <c r="R161" i="14" s="1"/>
  <c r="R126" i="14"/>
  <c r="V126" i="14" s="1"/>
  <c r="U231" i="14"/>
  <c r="T101" i="14"/>
  <c r="L174" i="14"/>
  <c r="U174" i="14" s="1"/>
  <c r="P174" i="14"/>
  <c r="H279" i="14"/>
  <c r="R223" i="14"/>
  <c r="P162" i="14"/>
  <c r="L162" i="14"/>
  <c r="R162" i="14" s="1"/>
  <c r="H272" i="14"/>
  <c r="R70" i="14"/>
  <c r="T85" i="14"/>
  <c r="R85" i="14"/>
  <c r="U94" i="14"/>
  <c r="U216" i="14"/>
  <c r="U188" i="14"/>
  <c r="R140" i="14"/>
  <c r="R86" i="14"/>
  <c r="V86" i="14" s="1"/>
  <c r="R189" i="14"/>
  <c r="V189" i="14" s="1"/>
  <c r="U187" i="14"/>
  <c r="N248" i="14"/>
  <c r="U132" i="14"/>
  <c r="U250" i="14"/>
  <c r="N145" i="14"/>
  <c r="L166" i="14"/>
  <c r="R166" i="14" s="1"/>
  <c r="L238" i="14"/>
  <c r="U238" i="14" s="1"/>
  <c r="P238" i="14"/>
  <c r="N238" i="14"/>
  <c r="P146" i="14"/>
  <c r="L146" i="14"/>
  <c r="U146" i="14" s="1"/>
  <c r="P31" i="14"/>
  <c r="J273" i="14"/>
  <c r="U91" i="14"/>
  <c r="H273" i="14"/>
  <c r="R91" i="14"/>
  <c r="R151" i="14"/>
  <c r="L128" i="14"/>
  <c r="P128" i="14"/>
  <c r="N184" i="14"/>
  <c r="P184" i="14"/>
  <c r="U258" i="14"/>
  <c r="P202" i="14"/>
  <c r="R36" i="13"/>
  <c r="H270" i="13"/>
  <c r="L170" i="14"/>
  <c r="R170" i="14" s="1"/>
  <c r="N170" i="14"/>
  <c r="P170" i="14"/>
  <c r="T242" i="14"/>
  <c r="R242" i="14"/>
  <c r="L227" i="14"/>
  <c r="U227" i="14" s="1"/>
  <c r="P227" i="14"/>
  <c r="G271" i="13"/>
  <c r="P49" i="13"/>
  <c r="R81" i="14"/>
  <c r="V81" i="14" s="1"/>
  <c r="L224" i="13"/>
  <c r="R224" i="13" s="1"/>
  <c r="W224" i="13" s="1"/>
  <c r="N224" i="13"/>
  <c r="H279" i="13"/>
  <c r="T191" i="14"/>
  <c r="U191" i="14"/>
  <c r="U220" i="14"/>
  <c r="N160" i="13"/>
  <c r="L160" i="13"/>
  <c r="T160" i="13" s="1"/>
  <c r="U54" i="14"/>
  <c r="T185" i="14"/>
  <c r="U117" i="14"/>
  <c r="N168" i="14"/>
  <c r="L168" i="14"/>
  <c r="T237" i="13"/>
  <c r="H18" i="13"/>
  <c r="J18" i="13"/>
  <c r="F19" i="13"/>
  <c r="H19" i="13"/>
  <c r="P19" i="13" s="1"/>
  <c r="U68" i="13"/>
  <c r="P38" i="13"/>
  <c r="N38" i="13"/>
  <c r="P159" i="14"/>
  <c r="N244" i="14"/>
  <c r="T244" i="14" s="1"/>
  <c r="N38" i="14"/>
  <c r="H10" i="13"/>
  <c r="P10" i="13" s="1"/>
  <c r="F10" i="13"/>
  <c r="J7" i="14"/>
  <c r="H7" i="14"/>
  <c r="G7" i="14"/>
  <c r="F7" i="14"/>
  <c r="J270" i="14"/>
  <c r="U28" i="14"/>
  <c r="N136" i="14"/>
  <c r="L136" i="14"/>
  <c r="T241" i="14"/>
  <c r="T133" i="14"/>
  <c r="N180" i="14"/>
  <c r="T213" i="14"/>
  <c r="L51" i="13"/>
  <c r="P51" i="13"/>
  <c r="T82" i="14"/>
  <c r="N176" i="14"/>
  <c r="U252" i="14"/>
  <c r="P154" i="14"/>
  <c r="L154" i="14"/>
  <c r="H275" i="14"/>
  <c r="R135" i="14"/>
  <c r="L211" i="14"/>
  <c r="P211" i="14"/>
  <c r="N149" i="14"/>
  <c r="T149" i="14" s="1"/>
  <c r="U149" i="14"/>
  <c r="N49" i="14"/>
  <c r="L194" i="13"/>
  <c r="R194" i="13" s="1"/>
  <c r="N194" i="13"/>
  <c r="P194" i="13"/>
  <c r="P277" i="13" s="1"/>
  <c r="U58" i="14"/>
  <c r="T57" i="14"/>
  <c r="R57" i="14"/>
  <c r="L33" i="13"/>
  <c r="R33" i="13" s="1"/>
  <c r="F270" i="13"/>
  <c r="N33" i="13"/>
  <c r="N115" i="13"/>
  <c r="L115" i="13"/>
  <c r="U115" i="13" s="1"/>
  <c r="R196" i="14"/>
  <c r="V196" i="14" s="1"/>
  <c r="P217" i="13"/>
  <c r="T217" i="13" s="1"/>
  <c r="V217" i="13" s="1"/>
  <c r="R217" i="13"/>
  <c r="R90" i="13"/>
  <c r="V90" i="13" s="1"/>
  <c r="T129" i="14"/>
  <c r="N172" i="14"/>
  <c r="P172" i="14"/>
  <c r="P265" i="13"/>
  <c r="R138" i="14"/>
  <c r="T65" i="14"/>
  <c r="R65" i="14"/>
  <c r="L183" i="14"/>
  <c r="N183" i="14"/>
  <c r="V115" i="11"/>
  <c r="W22" i="11"/>
  <c r="V228" i="11"/>
  <c r="W258" i="12"/>
  <c r="F269" i="12"/>
  <c r="F281" i="12" s="1"/>
  <c r="V118" i="11"/>
  <c r="V165" i="11"/>
  <c r="U163" i="12"/>
  <c r="W33" i="11"/>
  <c r="W162" i="11"/>
  <c r="V143" i="11"/>
  <c r="V212" i="11"/>
  <c r="T104" i="12"/>
  <c r="N8" i="12"/>
  <c r="V245" i="12"/>
  <c r="J277" i="13"/>
  <c r="R244" i="13"/>
  <c r="W36" i="13"/>
  <c r="H14" i="13"/>
  <c r="W185" i="12"/>
  <c r="R105" i="13"/>
  <c r="V105" i="13" s="1"/>
  <c r="U260" i="13"/>
  <c r="R37" i="13"/>
  <c r="U37" i="13"/>
  <c r="W37" i="13" s="1"/>
  <c r="N249" i="13"/>
  <c r="V44" i="12"/>
  <c r="U197" i="13"/>
  <c r="W109" i="13"/>
  <c r="P178" i="13"/>
  <c r="R230" i="13"/>
  <c r="U230" i="13"/>
  <c r="N162" i="13"/>
  <c r="T162" i="13" s="1"/>
  <c r="V162" i="13" s="1"/>
  <c r="U99" i="14"/>
  <c r="R181" i="14"/>
  <c r="P181" i="14"/>
  <c r="N181" i="14"/>
  <c r="T181" i="14" s="1"/>
  <c r="T251" i="14"/>
  <c r="L260" i="14"/>
  <c r="R260" i="14" s="1"/>
  <c r="P260" i="14"/>
  <c r="L179" i="14"/>
  <c r="N179" i="14"/>
  <c r="R164" i="14"/>
  <c r="N144" i="14"/>
  <c r="L144" i="14"/>
  <c r="R144" i="14" s="1"/>
  <c r="N33" i="14"/>
  <c r="U33" i="14"/>
  <c r="U115" i="14"/>
  <c r="L265" i="14"/>
  <c r="N265" i="14"/>
  <c r="L253" i="14"/>
  <c r="P253" i="14"/>
  <c r="N253" i="14"/>
  <c r="U126" i="14"/>
  <c r="T153" i="14"/>
  <c r="T53" i="14"/>
  <c r="F274" i="14"/>
  <c r="P114" i="14"/>
  <c r="L114" i="14"/>
  <c r="R114" i="14" s="1"/>
  <c r="H274" i="14"/>
  <c r="L32" i="14"/>
  <c r="R32" i="14" s="1"/>
  <c r="P32" i="14"/>
  <c r="T234" i="14"/>
  <c r="R234" i="14"/>
  <c r="V234" i="14" s="1"/>
  <c r="U106" i="14"/>
  <c r="R106" i="14"/>
  <c r="J272" i="14"/>
  <c r="U70" i="14"/>
  <c r="L61" i="14"/>
  <c r="P61" i="14"/>
  <c r="T75" i="14"/>
  <c r="U72" i="14"/>
  <c r="W72" i="14" s="1"/>
  <c r="L137" i="14"/>
  <c r="U102" i="14"/>
  <c r="W102" i="14" s="1"/>
  <c r="R102" i="14"/>
  <c r="V102" i="14" s="1"/>
  <c r="P248" i="14"/>
  <c r="P139" i="14"/>
  <c r="R132" i="14"/>
  <c r="N52" i="14"/>
  <c r="L52" i="14"/>
  <c r="R52" i="14" s="1"/>
  <c r="L31" i="14"/>
  <c r="L273" i="14"/>
  <c r="T91" i="14"/>
  <c r="P273" i="14"/>
  <c r="T151" i="14"/>
  <c r="U73" i="14"/>
  <c r="L193" i="14"/>
  <c r="P193" i="14"/>
  <c r="N193" i="14"/>
  <c r="T246" i="14"/>
  <c r="L184" i="14"/>
  <c r="L202" i="14"/>
  <c r="E269" i="13"/>
  <c r="E282" i="13" s="1"/>
  <c r="H5" i="13"/>
  <c r="P5" i="13" s="1"/>
  <c r="G5" i="13"/>
  <c r="J22" i="13"/>
  <c r="H22" i="13"/>
  <c r="L22" i="13" s="1"/>
  <c r="U22" i="13" s="1"/>
  <c r="N245" i="14"/>
  <c r="L239" i="14"/>
  <c r="U239" i="14" s="1"/>
  <c r="P239" i="14"/>
  <c r="P190" i="14"/>
  <c r="L190" i="14"/>
  <c r="R190" i="14" s="1"/>
  <c r="T215" i="14"/>
  <c r="P58" i="13"/>
  <c r="L58" i="13"/>
  <c r="N58" i="13"/>
  <c r="L127" i="14"/>
  <c r="N127" i="14"/>
  <c r="P127" i="14"/>
  <c r="P30" i="14"/>
  <c r="N30" i="14"/>
  <c r="T30" i="14" s="1"/>
  <c r="P172" i="13"/>
  <c r="N172" i="13"/>
  <c r="U98" i="14"/>
  <c r="R98" i="14"/>
  <c r="R95" i="13"/>
  <c r="U95" i="13"/>
  <c r="J15" i="14"/>
  <c r="H15" i="14"/>
  <c r="G15" i="14"/>
  <c r="F15" i="14"/>
  <c r="G18" i="14"/>
  <c r="J18" i="14"/>
  <c r="F18" i="14"/>
  <c r="H18" i="14"/>
  <c r="L173" i="14"/>
  <c r="R173" i="14" s="1"/>
  <c r="P173" i="14"/>
  <c r="N173" i="14"/>
  <c r="R237" i="14"/>
  <c r="U63" i="14"/>
  <c r="R63" i="14"/>
  <c r="V63" i="14" s="1"/>
  <c r="T210" i="14"/>
  <c r="R47" i="14"/>
  <c r="V47" i="14" s="1"/>
  <c r="U103" i="14"/>
  <c r="T89" i="14"/>
  <c r="R89" i="14"/>
  <c r="L159" i="14"/>
  <c r="T159" i="14" s="1"/>
  <c r="P229" i="14"/>
  <c r="L229" i="14"/>
  <c r="R229" i="14" s="1"/>
  <c r="P244" i="14"/>
  <c r="R116" i="14"/>
  <c r="T142" i="14"/>
  <c r="G10" i="14"/>
  <c r="F10" i="14"/>
  <c r="J10" i="14"/>
  <c r="H10" i="14"/>
  <c r="L106" i="13"/>
  <c r="R106" i="13"/>
  <c r="L173" i="13"/>
  <c r="U173" i="13" s="1"/>
  <c r="N173" i="13"/>
  <c r="T173" i="13" s="1"/>
  <c r="P173" i="13"/>
  <c r="U232" i="14"/>
  <c r="U263" i="14"/>
  <c r="P114" i="13"/>
  <c r="N114" i="13"/>
  <c r="N274" i="13" s="1"/>
  <c r="L114" i="13"/>
  <c r="U114" i="13" s="1"/>
  <c r="H274" i="13"/>
  <c r="L264" i="14"/>
  <c r="R264" i="14" s="1"/>
  <c r="P264" i="14"/>
  <c r="L203" i="14"/>
  <c r="P203" i="14"/>
  <c r="P180" i="14"/>
  <c r="P155" i="14"/>
  <c r="P176" i="14"/>
  <c r="R190" i="12"/>
  <c r="V190" i="12" s="1"/>
  <c r="U190" i="12"/>
  <c r="W190" i="12" s="1"/>
  <c r="N165" i="13"/>
  <c r="P165" i="13"/>
  <c r="T243" i="14"/>
  <c r="U243" i="14"/>
  <c r="U107" i="14"/>
  <c r="P204" i="14"/>
  <c r="L124" i="14"/>
  <c r="P124" i="14"/>
  <c r="P160" i="14"/>
  <c r="N228" i="14"/>
  <c r="U228" i="14"/>
  <c r="L157" i="13"/>
  <c r="F276" i="13"/>
  <c r="N157" i="13"/>
  <c r="G280" i="13"/>
  <c r="U138" i="14"/>
  <c r="W138" i="14" s="1"/>
  <c r="P29" i="14"/>
  <c r="L29" i="14"/>
  <c r="R192" i="14"/>
  <c r="F26" i="13"/>
  <c r="G26" i="13"/>
  <c r="J273" i="13"/>
  <c r="N48" i="13"/>
  <c r="N271" i="13" s="1"/>
  <c r="T141" i="14"/>
  <c r="U206" i="14"/>
  <c r="R212" i="14"/>
  <c r="N212" i="14"/>
  <c r="P212" i="14"/>
  <c r="U175" i="14"/>
  <c r="P161" i="14"/>
  <c r="J24" i="13"/>
  <c r="H24" i="13"/>
  <c r="J274" i="14"/>
  <c r="T70" i="14"/>
  <c r="T163" i="14"/>
  <c r="P209" i="14"/>
  <c r="L209" i="14"/>
  <c r="R139" i="14"/>
  <c r="R73" i="14"/>
  <c r="F280" i="14"/>
  <c r="L245" i="14"/>
  <c r="U245" i="14" s="1"/>
  <c r="H271" i="14"/>
  <c r="P48" i="14"/>
  <c r="N226" i="13"/>
  <c r="T226" i="13" s="1"/>
  <c r="L226" i="13"/>
  <c r="N42" i="14"/>
  <c r="L42" i="14"/>
  <c r="L177" i="14"/>
  <c r="U177" i="14" s="1"/>
  <c r="P177" i="14"/>
  <c r="N177" i="14"/>
  <c r="G270" i="14"/>
  <c r="R100" i="14"/>
  <c r="V100" i="14" s="1"/>
  <c r="U131" i="14"/>
  <c r="L155" i="14"/>
  <c r="P83" i="14"/>
  <c r="L83" i="14"/>
  <c r="T78" i="14"/>
  <c r="N164" i="13"/>
  <c r="P164" i="13"/>
  <c r="T228" i="14"/>
  <c r="R183" i="14"/>
  <c r="G26" i="14"/>
  <c r="J26" i="14"/>
  <c r="F26" i="14"/>
  <c r="H26" i="14"/>
  <c r="G12" i="14"/>
  <c r="J12" i="14"/>
  <c r="F12" i="14"/>
  <c r="H12" i="14"/>
  <c r="P12" i="14" s="1"/>
  <c r="G27" i="13"/>
  <c r="J27" i="13"/>
  <c r="V163" i="5"/>
  <c r="V263" i="11"/>
  <c r="T35" i="12"/>
  <c r="V35" i="12" s="1"/>
  <c r="T176" i="12"/>
  <c r="V176" i="12" s="1"/>
  <c r="P12" i="12"/>
  <c r="P269" i="12" s="1"/>
  <c r="N14" i="12"/>
  <c r="T13" i="11"/>
  <c r="W262" i="11"/>
  <c r="V171" i="11"/>
  <c r="V209" i="11"/>
  <c r="W72" i="12"/>
  <c r="L12" i="12"/>
  <c r="R12" i="12" s="1"/>
  <c r="V94" i="12"/>
  <c r="V107" i="12"/>
  <c r="R158" i="12"/>
  <c r="V76" i="12"/>
  <c r="L15" i="13"/>
  <c r="U232" i="13"/>
  <c r="V120" i="13"/>
  <c r="R50" i="13"/>
  <c r="W50" i="13" s="1"/>
  <c r="R242" i="13"/>
  <c r="U244" i="13"/>
  <c r="R92" i="13"/>
  <c r="G22" i="13"/>
  <c r="G269" i="13" s="1"/>
  <c r="G281" i="13" s="1"/>
  <c r="J26" i="13"/>
  <c r="H273" i="13"/>
  <c r="R166" i="13"/>
  <c r="N177" i="13"/>
  <c r="T177" i="13" s="1"/>
  <c r="V177" i="13" s="1"/>
  <c r="H9" i="13"/>
  <c r="L9" i="13" s="1"/>
  <c r="F24" i="13"/>
  <c r="P253" i="13"/>
  <c r="P48" i="13"/>
  <c r="H27" i="13"/>
  <c r="N27" i="13" s="1"/>
  <c r="P116" i="13"/>
  <c r="W116" i="12"/>
  <c r="D269" i="13"/>
  <c r="D281" i="13" s="1"/>
  <c r="D283" i="13" s="1"/>
  <c r="T79" i="13"/>
  <c r="P226" i="13"/>
  <c r="U189" i="13"/>
  <c r="T189" i="13"/>
  <c r="P254" i="14"/>
  <c r="L254" i="14"/>
  <c r="T108" i="14"/>
  <c r="R108" i="14"/>
  <c r="P122" i="14"/>
  <c r="L122" i="14"/>
  <c r="U123" i="14"/>
  <c r="W123" i="14" s="1"/>
  <c r="L59" i="14"/>
  <c r="R59" i="14" s="1"/>
  <c r="N260" i="14"/>
  <c r="R179" i="14"/>
  <c r="L194" i="14"/>
  <c r="N74" i="14"/>
  <c r="T74" i="14" s="1"/>
  <c r="U74" i="14"/>
  <c r="N164" i="14"/>
  <c r="T164" i="14" s="1"/>
  <c r="T120" i="14"/>
  <c r="R120" i="14"/>
  <c r="L150" i="14"/>
  <c r="T150" i="14" s="1"/>
  <c r="L84" i="14"/>
  <c r="R208" i="14"/>
  <c r="P208" i="14"/>
  <c r="T208" i="14" s="1"/>
  <c r="G276" i="14"/>
  <c r="L157" i="14"/>
  <c r="P33" i="14"/>
  <c r="U161" i="14"/>
  <c r="T121" i="14"/>
  <c r="V121" i="14" s="1"/>
  <c r="L236" i="14"/>
  <c r="N236" i="14"/>
  <c r="R231" i="14"/>
  <c r="N231" i="14"/>
  <c r="F11" i="13"/>
  <c r="H11" i="13"/>
  <c r="L11" i="13" s="1"/>
  <c r="U11" i="13" s="1"/>
  <c r="U53" i="14"/>
  <c r="J279" i="14"/>
  <c r="U223" i="14"/>
  <c r="N223" i="14"/>
  <c r="T223" i="14" s="1"/>
  <c r="R182" i="14"/>
  <c r="N182" i="14"/>
  <c r="T182" i="14" s="1"/>
  <c r="T96" i="14"/>
  <c r="V96" i="14" s="1"/>
  <c r="N162" i="14"/>
  <c r="L36" i="14"/>
  <c r="T36" i="14" s="1"/>
  <c r="P148" i="14"/>
  <c r="R94" i="14"/>
  <c r="T240" i="14"/>
  <c r="V240" i="14" s="1"/>
  <c r="R216" i="14"/>
  <c r="V216" i="14" s="1"/>
  <c r="P35" i="14"/>
  <c r="L35" i="14"/>
  <c r="R35" i="14" s="1"/>
  <c r="U140" i="14"/>
  <c r="W140" i="14" s="1"/>
  <c r="N140" i="14"/>
  <c r="T140" i="14" s="1"/>
  <c r="W97" i="14"/>
  <c r="U75" i="14"/>
  <c r="L261" i="14"/>
  <c r="N261" i="14"/>
  <c r="T219" i="14"/>
  <c r="N46" i="14"/>
  <c r="L46" i="14"/>
  <c r="R46" i="14" s="1"/>
  <c r="N139" i="14"/>
  <c r="T139" i="14" s="1"/>
  <c r="L255" i="14"/>
  <c r="U255" i="14" s="1"/>
  <c r="P255" i="14"/>
  <c r="N255" i="14"/>
  <c r="P118" i="14"/>
  <c r="L118" i="14"/>
  <c r="R250" i="14"/>
  <c r="N250" i="14"/>
  <c r="U166" i="14"/>
  <c r="P166" i="14"/>
  <c r="N146" i="14"/>
  <c r="R224" i="14"/>
  <c r="N224" i="14"/>
  <c r="P224" i="14"/>
  <c r="T224" i="14" s="1"/>
  <c r="P256" i="14"/>
  <c r="L256" i="14"/>
  <c r="P73" i="14"/>
  <c r="T73" i="14" s="1"/>
  <c r="R128" i="14"/>
  <c r="W87" i="14"/>
  <c r="T195" i="14"/>
  <c r="R195" i="14"/>
  <c r="T64" i="14"/>
  <c r="U147" i="14"/>
  <c r="R258" i="14"/>
  <c r="N258" i="14"/>
  <c r="T258" i="14" s="1"/>
  <c r="P258" i="14"/>
  <c r="T207" i="14"/>
  <c r="U109" i="14"/>
  <c r="W109" i="14" s="1"/>
  <c r="N239" i="14"/>
  <c r="L262" i="14"/>
  <c r="P41" i="14"/>
  <c r="R227" i="14"/>
  <c r="T111" i="14"/>
  <c r="U81" i="14"/>
  <c r="U222" i="14"/>
  <c r="U215" i="14"/>
  <c r="P171" i="14"/>
  <c r="L171" i="14"/>
  <c r="R56" i="14"/>
  <c r="T77" i="14"/>
  <c r="R77" i="14"/>
  <c r="L178" i="14"/>
  <c r="P178" i="14"/>
  <c r="P118" i="13"/>
  <c r="N118" i="13"/>
  <c r="R54" i="14"/>
  <c r="V54" i="14" s="1"/>
  <c r="U185" i="14"/>
  <c r="R30" i="14"/>
  <c r="R117" i="14"/>
  <c r="P117" i="14"/>
  <c r="T117" i="14" s="1"/>
  <c r="T50" i="14"/>
  <c r="P168" i="14"/>
  <c r="R166" i="12"/>
  <c r="V166" i="12" s="1"/>
  <c r="U166" i="12"/>
  <c r="W166" i="12" s="1"/>
  <c r="N237" i="14"/>
  <c r="P237" i="14"/>
  <c r="T237" i="14" s="1"/>
  <c r="P42" i="14"/>
  <c r="U213" i="12"/>
  <c r="W213" i="12" s="1"/>
  <c r="R213" i="12"/>
  <c r="V213" i="12" s="1"/>
  <c r="T218" i="14"/>
  <c r="U218" i="14"/>
  <c r="T134" i="14"/>
  <c r="P38" i="14"/>
  <c r="L38" i="14"/>
  <c r="R38" i="14" s="1"/>
  <c r="N116" i="14"/>
  <c r="T116" i="14" s="1"/>
  <c r="H270" i="14"/>
  <c r="R28" i="14"/>
  <c r="N28" i="14"/>
  <c r="P136" i="14"/>
  <c r="G278" i="14"/>
  <c r="L200" i="14"/>
  <c r="U200" i="14" s="1"/>
  <c r="N264" i="14"/>
  <c r="R165" i="14"/>
  <c r="N165" i="14"/>
  <c r="P165" i="14"/>
  <c r="U66" i="14"/>
  <c r="L39" i="14"/>
  <c r="N155" i="14"/>
  <c r="N154" i="14"/>
  <c r="F275" i="14"/>
  <c r="P135" i="14"/>
  <c r="T135" i="14" s="1"/>
  <c r="T80" i="14"/>
  <c r="U80" i="14"/>
  <c r="N204" i="14"/>
  <c r="L204" i="14"/>
  <c r="L49" i="14"/>
  <c r="P49" i="14"/>
  <c r="T233" i="14"/>
  <c r="R58" i="14"/>
  <c r="P58" i="14"/>
  <c r="T58" i="14" s="1"/>
  <c r="P158" i="13"/>
  <c r="L158" i="13"/>
  <c r="N158" i="13"/>
  <c r="L74" i="13"/>
  <c r="R74" i="13" s="1"/>
  <c r="N74" i="13"/>
  <c r="R199" i="13"/>
  <c r="H277" i="13"/>
  <c r="T93" i="14"/>
  <c r="U55" i="14"/>
  <c r="R55" i="14"/>
  <c r="V55" i="14" s="1"/>
  <c r="L235" i="14"/>
  <c r="P235" i="14"/>
  <c r="L172" i="14"/>
  <c r="U247" i="14"/>
  <c r="L226" i="14"/>
  <c r="R226" i="14" s="1"/>
  <c r="N226" i="14"/>
  <c r="P226" i="14"/>
  <c r="P183" i="14"/>
  <c r="N192" i="14"/>
  <c r="P192" i="14"/>
  <c r="N7" i="13"/>
  <c r="V142" i="12"/>
  <c r="G269" i="12"/>
  <c r="G281" i="12" s="1"/>
  <c r="V64" i="13"/>
  <c r="R80" i="13"/>
  <c r="T110" i="13"/>
  <c r="V110" i="13" s="1"/>
  <c r="U102" i="13"/>
  <c r="U141" i="14"/>
  <c r="R95" i="14"/>
  <c r="U108" i="14"/>
  <c r="W108" i="14" s="1"/>
  <c r="U181" i="14"/>
  <c r="R175" i="14"/>
  <c r="V175" i="14" s="1"/>
  <c r="U44" i="14"/>
  <c r="R74" i="14"/>
  <c r="U164" i="14"/>
  <c r="R69" i="14"/>
  <c r="U249" i="14"/>
  <c r="R214" i="14"/>
  <c r="R105" i="14"/>
  <c r="V105" i="14" s="1"/>
  <c r="U125" i="14"/>
  <c r="F276" i="14"/>
  <c r="L33" i="14"/>
  <c r="N115" i="14"/>
  <c r="U90" i="14"/>
  <c r="U110" i="14"/>
  <c r="R110" i="14"/>
  <c r="U113" i="14"/>
  <c r="P231" i="14"/>
  <c r="G24" i="14"/>
  <c r="J24" i="14"/>
  <c r="F24" i="14"/>
  <c r="H24" i="14"/>
  <c r="G14" i="14"/>
  <c r="J14" i="14"/>
  <c r="F14" i="14"/>
  <c r="H14" i="14"/>
  <c r="R101" i="14"/>
  <c r="V101" i="14" s="1"/>
  <c r="R174" i="14"/>
  <c r="G274" i="14"/>
  <c r="G279" i="14"/>
  <c r="U32" i="14"/>
  <c r="R199" i="14"/>
  <c r="V199" i="14" s="1"/>
  <c r="R186" i="14"/>
  <c r="U36" i="14"/>
  <c r="U85" i="14"/>
  <c r="W85" i="14" s="1"/>
  <c r="U201" i="14"/>
  <c r="R201" i="14"/>
  <c r="R152" i="14"/>
  <c r="V152" i="14" s="1"/>
  <c r="R188" i="14"/>
  <c r="U40" i="14"/>
  <c r="R163" i="14"/>
  <c r="V163" i="14" s="1"/>
  <c r="U169" i="14"/>
  <c r="U189" i="14"/>
  <c r="R187" i="14"/>
  <c r="V187" i="14" s="1"/>
  <c r="U248" i="14"/>
  <c r="U71" i="14"/>
  <c r="R71" i="14"/>
  <c r="V71" i="14" s="1"/>
  <c r="U139" i="14"/>
  <c r="P250" i="14"/>
  <c r="R145" i="14"/>
  <c r="F273" i="14"/>
  <c r="N273" i="14"/>
  <c r="U151" i="14"/>
  <c r="U128" i="14"/>
  <c r="W128" i="14" s="1"/>
  <c r="U246" i="14"/>
  <c r="U195" i="14"/>
  <c r="R64" i="14"/>
  <c r="N147" i="14"/>
  <c r="T147" i="14" s="1"/>
  <c r="R109" i="14"/>
  <c r="V109" i="14" s="1"/>
  <c r="H280" i="14"/>
  <c r="R239" i="14"/>
  <c r="R41" i="14"/>
  <c r="R111" i="14"/>
  <c r="V111" i="14" s="1"/>
  <c r="U158" i="14"/>
  <c r="R158" i="14"/>
  <c r="V134" i="12"/>
  <c r="N143" i="14"/>
  <c r="R191" i="14"/>
  <c r="L37" i="14"/>
  <c r="T37" i="14" s="1"/>
  <c r="R220" i="14"/>
  <c r="U77" i="14"/>
  <c r="W77" i="14" s="1"/>
  <c r="R178" i="14"/>
  <c r="F271" i="14"/>
  <c r="L48" i="14"/>
  <c r="U48" i="14" s="1"/>
  <c r="R185" i="14"/>
  <c r="V185" i="14" s="1"/>
  <c r="U30" i="14"/>
  <c r="R67" i="14"/>
  <c r="V67" i="14" s="1"/>
  <c r="R50" i="14"/>
  <c r="U205" i="14"/>
  <c r="R205" i="14"/>
  <c r="V205" i="14" s="1"/>
  <c r="R168" i="14"/>
  <c r="H25" i="14"/>
  <c r="G25" i="14"/>
  <c r="F25" i="14"/>
  <c r="R32" i="12"/>
  <c r="V32" i="12" s="1"/>
  <c r="U32" i="12"/>
  <c r="U68" i="14"/>
  <c r="W68" i="14" s="1"/>
  <c r="R210" i="14"/>
  <c r="U47" i="14"/>
  <c r="W47" i="14" s="1"/>
  <c r="U76" i="14"/>
  <c r="W76" i="14" s="1"/>
  <c r="U89" i="14"/>
  <c r="W89" i="14" s="1"/>
  <c r="R51" i="14"/>
  <c r="V51" i="14" s="1"/>
  <c r="U244" i="14"/>
  <c r="U116" i="14"/>
  <c r="U142" i="14"/>
  <c r="R142" i="14"/>
  <c r="G6" i="14"/>
  <c r="J6" i="14"/>
  <c r="F6" i="14"/>
  <c r="H6" i="14"/>
  <c r="J23" i="14"/>
  <c r="G23" i="14"/>
  <c r="H23" i="14"/>
  <c r="P23" i="14" s="1"/>
  <c r="F23" i="14"/>
  <c r="N23" i="14" s="1"/>
  <c r="P28" i="14"/>
  <c r="U100" i="14"/>
  <c r="W100" i="14" s="1"/>
  <c r="L237" i="13"/>
  <c r="R232" i="14"/>
  <c r="R136" i="14"/>
  <c r="J278" i="14"/>
  <c r="R241" i="14"/>
  <c r="R133" i="14"/>
  <c r="J277" i="14"/>
  <c r="G277" i="14"/>
  <c r="U82" i="14"/>
  <c r="W82" i="14" s="1"/>
  <c r="U176" i="14"/>
  <c r="R252" i="14"/>
  <c r="J9" i="14"/>
  <c r="G9" i="14"/>
  <c r="F9" i="14"/>
  <c r="R243" i="14"/>
  <c r="L43" i="14"/>
  <c r="T43" i="14" s="1"/>
  <c r="G275" i="14"/>
  <c r="J275" i="14"/>
  <c r="U135" i="14"/>
  <c r="L34" i="14"/>
  <c r="T34" i="14" s="1"/>
  <c r="U78" i="14"/>
  <c r="R149" i="14"/>
  <c r="U233" i="14"/>
  <c r="U124" i="14"/>
  <c r="R230" i="14"/>
  <c r="R198" i="14"/>
  <c r="R228" i="14"/>
  <c r="U57" i="14"/>
  <c r="W57" i="14" s="1"/>
  <c r="R235" i="14"/>
  <c r="R247" i="14"/>
  <c r="U65" i="14"/>
  <c r="J21" i="14"/>
  <c r="G21" i="14"/>
  <c r="H21" i="14"/>
  <c r="F21" i="14"/>
  <c r="V62" i="11"/>
  <c r="W62" i="11"/>
  <c r="T8" i="11"/>
  <c r="V8" i="11" s="1"/>
  <c r="T20" i="11"/>
  <c r="V20" i="11" s="1"/>
  <c r="N10" i="12"/>
  <c r="J269" i="12"/>
  <c r="J281" i="12" s="1"/>
  <c r="W110" i="13"/>
  <c r="T229" i="13"/>
  <c r="T117" i="13"/>
  <c r="R99" i="14"/>
  <c r="V99" i="14" s="1"/>
  <c r="R141" i="14"/>
  <c r="V141" i="14" s="1"/>
  <c r="U95" i="14"/>
  <c r="W95" i="14" s="1"/>
  <c r="R206" i="14"/>
  <c r="V206" i="14" s="1"/>
  <c r="R88" i="14"/>
  <c r="V88" i="14" s="1"/>
  <c r="U212" i="14"/>
  <c r="W212" i="14" s="1"/>
  <c r="R251" i="14"/>
  <c r="V251" i="14" s="1"/>
  <c r="T104" i="14"/>
  <c r="R104" i="14"/>
  <c r="U179" i="14"/>
  <c r="R44" i="14"/>
  <c r="U69" i="14"/>
  <c r="W69" i="14" s="1"/>
  <c r="U214" i="14"/>
  <c r="R112" i="14"/>
  <c r="V112" i="14" s="1"/>
  <c r="U144" i="14"/>
  <c r="T197" i="14"/>
  <c r="V197" i="14" s="1"/>
  <c r="R125" i="14"/>
  <c r="J276" i="14"/>
  <c r="R115" i="14"/>
  <c r="T217" i="14"/>
  <c r="R90" i="14"/>
  <c r="V90" i="14" s="1"/>
  <c r="U265" i="14"/>
  <c r="R113" i="14"/>
  <c r="V113" i="14" s="1"/>
  <c r="G8" i="14"/>
  <c r="F8" i="14"/>
  <c r="J8" i="14"/>
  <c r="H8" i="14"/>
  <c r="J11" i="14"/>
  <c r="G11" i="14"/>
  <c r="H11" i="14"/>
  <c r="F11" i="14"/>
  <c r="N11" i="14" s="1"/>
  <c r="J17" i="14"/>
  <c r="G17" i="14"/>
  <c r="H17" i="14"/>
  <c r="F17" i="14"/>
  <c r="L17" i="14" s="1"/>
  <c r="R53" i="14"/>
  <c r="V53" i="14" s="1"/>
  <c r="F279" i="14"/>
  <c r="P223" i="14"/>
  <c r="U182" i="14"/>
  <c r="U96" i="14"/>
  <c r="W96" i="14" s="1"/>
  <c r="U234" i="14"/>
  <c r="U199" i="14"/>
  <c r="G272" i="14"/>
  <c r="F272" i="14"/>
  <c r="T186" i="14"/>
  <c r="U240" i="14"/>
  <c r="W240" i="14" s="1"/>
  <c r="U152" i="14"/>
  <c r="R40" i="14"/>
  <c r="T97" i="14"/>
  <c r="V97" i="14" s="1"/>
  <c r="U163" i="14"/>
  <c r="R75" i="14"/>
  <c r="V75" i="14" s="1"/>
  <c r="U86" i="14"/>
  <c r="T79" i="14"/>
  <c r="V79" i="14" s="1"/>
  <c r="U137" i="14"/>
  <c r="R248" i="14"/>
  <c r="R219" i="14"/>
  <c r="W219" i="14" s="1"/>
  <c r="R255" i="14"/>
  <c r="U118" i="14"/>
  <c r="R118" i="14"/>
  <c r="R92" i="14"/>
  <c r="V92" i="14" s="1"/>
  <c r="R238" i="14"/>
  <c r="G273" i="14"/>
  <c r="U224" i="14"/>
  <c r="R193" i="14"/>
  <c r="R246" i="14"/>
  <c r="T87" i="14"/>
  <c r="V87" i="14" s="1"/>
  <c r="U64" i="14"/>
  <c r="R147" i="14"/>
  <c r="E269" i="14"/>
  <c r="J5" i="14"/>
  <c r="H5" i="14"/>
  <c r="G5" i="14"/>
  <c r="F5" i="14"/>
  <c r="G22" i="14"/>
  <c r="F22" i="14"/>
  <c r="N22" i="14" s="1"/>
  <c r="J22" i="14"/>
  <c r="H22" i="14"/>
  <c r="R207" i="14"/>
  <c r="V207" i="14" s="1"/>
  <c r="G280" i="14"/>
  <c r="U41" i="14"/>
  <c r="U242" i="14"/>
  <c r="W242" i="14" s="1"/>
  <c r="U111" i="14"/>
  <c r="R215" i="14"/>
  <c r="V215" i="14" s="1"/>
  <c r="R171" i="14"/>
  <c r="T130" i="14"/>
  <c r="V130" i="14" s="1"/>
  <c r="T156" i="14"/>
  <c r="R156" i="14"/>
  <c r="J271" i="14"/>
  <c r="U67" i="14"/>
  <c r="U168" i="14"/>
  <c r="W168" i="14" s="1"/>
  <c r="G20" i="14"/>
  <c r="F20" i="14"/>
  <c r="H13" i="14"/>
  <c r="G13" i="14"/>
  <c r="F13" i="14"/>
  <c r="G16" i="14"/>
  <c r="F16" i="14"/>
  <c r="H16" i="14"/>
  <c r="J19" i="14"/>
  <c r="G19" i="14"/>
  <c r="H19" i="14"/>
  <c r="F19" i="14"/>
  <c r="U237" i="14"/>
  <c r="W237" i="14" s="1"/>
  <c r="U210" i="14"/>
  <c r="R177" i="14"/>
  <c r="R218" i="14"/>
  <c r="R244" i="14"/>
  <c r="U134" i="14"/>
  <c r="R134" i="14"/>
  <c r="V134" i="14" s="1"/>
  <c r="F270" i="14"/>
  <c r="R131" i="14"/>
  <c r="V131" i="14" s="1"/>
  <c r="R263" i="14"/>
  <c r="U136" i="14"/>
  <c r="W136" i="14" s="1"/>
  <c r="H278" i="14"/>
  <c r="U165" i="14"/>
  <c r="W165" i="14" s="1"/>
  <c r="H277" i="14"/>
  <c r="R82" i="14"/>
  <c r="U39" i="14"/>
  <c r="R176" i="14"/>
  <c r="T45" i="14"/>
  <c r="R78" i="14"/>
  <c r="V78" i="14" s="1"/>
  <c r="R80" i="14"/>
  <c r="R233" i="14"/>
  <c r="V233" i="14" s="1"/>
  <c r="U230" i="14"/>
  <c r="U198" i="14"/>
  <c r="W198" i="14" s="1"/>
  <c r="R93" i="14"/>
  <c r="U196" i="14"/>
  <c r="W196" i="14" s="1"/>
  <c r="R119" i="14"/>
  <c r="U183" i="14"/>
  <c r="W183" i="14" s="1"/>
  <c r="R29" i="14"/>
  <c r="P204" i="13"/>
  <c r="J27" i="14"/>
  <c r="H27" i="14"/>
  <c r="N27" i="14" s="1"/>
  <c r="G27" i="14"/>
  <c r="F27" i="14"/>
  <c r="V53" i="13"/>
  <c r="R94" i="13"/>
  <c r="R204" i="13"/>
  <c r="V204" i="13" s="1"/>
  <c r="U183" i="13"/>
  <c r="W183" i="13" s="1"/>
  <c r="L24" i="13"/>
  <c r="R24" i="13" s="1"/>
  <c r="T94" i="13"/>
  <c r="W101" i="13"/>
  <c r="R262" i="13"/>
  <c r="W262" i="13" s="1"/>
  <c r="R165" i="13"/>
  <c r="W165" i="13" s="1"/>
  <c r="W54" i="13"/>
  <c r="R245" i="13"/>
  <c r="W86" i="13"/>
  <c r="U238" i="13"/>
  <c r="W238" i="13" s="1"/>
  <c r="R241" i="13"/>
  <c r="W241" i="13" s="1"/>
  <c r="U162" i="13"/>
  <c r="R143" i="13"/>
  <c r="W143" i="13" s="1"/>
  <c r="R49" i="13"/>
  <c r="W49" i="13" s="1"/>
  <c r="T84" i="13"/>
  <c r="V97" i="13"/>
  <c r="N18" i="13"/>
  <c r="T262" i="13"/>
  <c r="T168" i="13"/>
  <c r="T143" i="13"/>
  <c r="T180" i="13"/>
  <c r="V180" i="13" s="1"/>
  <c r="R203" i="13"/>
  <c r="W203" i="13" s="1"/>
  <c r="R112" i="13"/>
  <c r="V112" i="13" s="1"/>
  <c r="V65" i="13"/>
  <c r="T194" i="13"/>
  <c r="V194" i="13" s="1"/>
  <c r="T99" i="13"/>
  <c r="T187" i="13"/>
  <c r="T238" i="13"/>
  <c r="V238" i="13" s="1"/>
  <c r="V82" i="13"/>
  <c r="T203" i="13"/>
  <c r="W199" i="13"/>
  <c r="U63" i="13"/>
  <c r="T204" i="13"/>
  <c r="P25" i="13"/>
  <c r="R140" i="13"/>
  <c r="W140" i="13" s="1"/>
  <c r="T111" i="13"/>
  <c r="R182" i="13"/>
  <c r="T230" i="13"/>
  <c r="T83" i="13"/>
  <c r="T154" i="13"/>
  <c r="V154" i="13" s="1"/>
  <c r="T147" i="13"/>
  <c r="V147" i="13" s="1"/>
  <c r="L5" i="13"/>
  <c r="N5" i="13"/>
  <c r="W212" i="13"/>
  <c r="U194" i="13"/>
  <c r="W194" i="13" s="1"/>
  <c r="R152" i="13"/>
  <c r="V152" i="13" s="1"/>
  <c r="T239" i="13"/>
  <c r="V242" i="13"/>
  <c r="R147" i="13"/>
  <c r="W147" i="13" s="1"/>
  <c r="U200" i="13"/>
  <c r="T126" i="13"/>
  <c r="U174" i="13"/>
  <c r="W174" i="13" s="1"/>
  <c r="R175" i="13"/>
  <c r="W175" i="13" s="1"/>
  <c r="R206" i="13"/>
  <c r="V206" i="13" s="1"/>
  <c r="U209" i="13"/>
  <c r="W209" i="13" s="1"/>
  <c r="U89" i="13"/>
  <c r="W89" i="13" s="1"/>
  <c r="U228" i="13"/>
  <c r="W228" i="13" s="1"/>
  <c r="U146" i="13"/>
  <c r="W146" i="13" s="1"/>
  <c r="R83" i="13"/>
  <c r="W83" i="13" s="1"/>
  <c r="R126" i="13"/>
  <c r="W126" i="13" s="1"/>
  <c r="R155" i="13"/>
  <c r="R208" i="13"/>
  <c r="W208" i="13" s="1"/>
  <c r="T228" i="13"/>
  <c r="V228" i="13" s="1"/>
  <c r="V69" i="13"/>
  <c r="T109" i="13"/>
  <c r="U206" i="13"/>
  <c r="R71" i="13"/>
  <c r="W71" i="13" s="1"/>
  <c r="W230" i="13"/>
  <c r="R114" i="13"/>
  <c r="W114" i="13" s="1"/>
  <c r="W260" i="13"/>
  <c r="W171" i="13"/>
  <c r="U247" i="13"/>
  <c r="W247" i="13" s="1"/>
  <c r="T152" i="13"/>
  <c r="T127" i="13"/>
  <c r="V127" i="13" s="1"/>
  <c r="T195" i="13"/>
  <c r="V195" i="13" s="1"/>
  <c r="R111" i="13"/>
  <c r="V111" i="13" s="1"/>
  <c r="R38" i="13"/>
  <c r="U38" i="13"/>
  <c r="R163" i="13"/>
  <c r="U163" i="13"/>
  <c r="W163" i="13" s="1"/>
  <c r="T222" i="13"/>
  <c r="U222" i="13"/>
  <c r="R222" i="13"/>
  <c r="T66" i="13"/>
  <c r="R66" i="13"/>
  <c r="P12" i="13"/>
  <c r="L17" i="13"/>
  <c r="U17" i="13" s="1"/>
  <c r="N17" i="13"/>
  <c r="P26" i="13"/>
  <c r="U234" i="13"/>
  <c r="R234" i="13"/>
  <c r="R58" i="13"/>
  <c r="U58" i="13"/>
  <c r="T58" i="13"/>
  <c r="P6" i="13"/>
  <c r="L6" i="13"/>
  <c r="R6" i="13" s="1"/>
  <c r="T138" i="13"/>
  <c r="V138" i="13" s="1"/>
  <c r="U224" i="13"/>
  <c r="T219" i="13"/>
  <c r="R219" i="13"/>
  <c r="T55" i="13"/>
  <c r="U55" i="13"/>
  <c r="T45" i="13"/>
  <c r="U45" i="13"/>
  <c r="T186" i="13"/>
  <c r="U186" i="13"/>
  <c r="T98" i="13"/>
  <c r="T39" i="13"/>
  <c r="R39" i="13"/>
  <c r="U169" i="13"/>
  <c r="W169" i="13" s="1"/>
  <c r="R179" i="13"/>
  <c r="W179" i="13" s="1"/>
  <c r="T159" i="13"/>
  <c r="U66" i="13"/>
  <c r="W66" i="13" s="1"/>
  <c r="U39" i="13"/>
  <c r="R55" i="13"/>
  <c r="T212" i="13"/>
  <c r="W182" i="13"/>
  <c r="U104" i="13"/>
  <c r="W104" i="13" s="1"/>
  <c r="T250" i="13"/>
  <c r="V250" i="13" s="1"/>
  <c r="W138" i="13"/>
  <c r="T179" i="13"/>
  <c r="T263" i="13"/>
  <c r="T209" i="13"/>
  <c r="V209" i="13" s="1"/>
  <c r="T252" i="13"/>
  <c r="T247" i="13"/>
  <c r="V247" i="13" s="1"/>
  <c r="P275" i="13"/>
  <c r="L13" i="13"/>
  <c r="R124" i="13"/>
  <c r="R150" i="13"/>
  <c r="W150" i="13" s="1"/>
  <c r="V113" i="13"/>
  <c r="R168" i="13"/>
  <c r="T260" i="13"/>
  <c r="V68" i="13"/>
  <c r="T243" i="13"/>
  <c r="U263" i="13"/>
  <c r="T140" i="13"/>
  <c r="W231" i="13"/>
  <c r="T62" i="13"/>
  <c r="V62" i="13" s="1"/>
  <c r="R91" i="13"/>
  <c r="U145" i="13"/>
  <c r="W145" i="13" s="1"/>
  <c r="U177" i="13"/>
  <c r="W177" i="13" s="1"/>
  <c r="T104" i="13"/>
  <c r="V104" i="13" s="1"/>
  <c r="T50" i="13"/>
  <c r="V86" i="13"/>
  <c r="T42" i="13"/>
  <c r="V54" i="13"/>
  <c r="U192" i="13"/>
  <c r="W192" i="13" s="1"/>
  <c r="R40" i="13"/>
  <c r="V40" i="13" s="1"/>
  <c r="T148" i="13"/>
  <c r="V207" i="13"/>
  <c r="V215" i="13"/>
  <c r="T52" i="13"/>
  <c r="V52" i="13" s="1"/>
  <c r="T60" i="13"/>
  <c r="L18" i="13"/>
  <c r="U90" i="13"/>
  <c r="W64" i="13"/>
  <c r="T197" i="13"/>
  <c r="V197" i="13" s="1"/>
  <c r="T145" i="13"/>
  <c r="V145" i="13" s="1"/>
  <c r="T102" i="13"/>
  <c r="T221" i="13"/>
  <c r="V221" i="13" s="1"/>
  <c r="R98" i="13"/>
  <c r="W98" i="13" s="1"/>
  <c r="T77" i="13"/>
  <c r="V77" i="13" s="1"/>
  <c r="T178" i="13"/>
  <c r="U180" i="13"/>
  <c r="W180" i="13" s="1"/>
  <c r="V244" i="13"/>
  <c r="W87" i="13"/>
  <c r="L14" i="13"/>
  <c r="R14" i="13" s="1"/>
  <c r="V41" i="13"/>
  <c r="W29" i="13"/>
  <c r="U79" i="13"/>
  <c r="P17" i="13"/>
  <c r="U99" i="13"/>
  <c r="T139" i="13"/>
  <c r="V139" i="13" s="1"/>
  <c r="N6" i="13"/>
  <c r="V107" i="13"/>
  <c r="W195" i="13"/>
  <c r="U168" i="13"/>
  <c r="W68" i="13"/>
  <c r="R63" i="13"/>
  <c r="V63" i="13" s="1"/>
  <c r="R99" i="13"/>
  <c r="V99" i="13" s="1"/>
  <c r="R178" i="13"/>
  <c r="W178" i="13" s="1"/>
  <c r="V199" i="13"/>
  <c r="W92" i="13"/>
  <c r="T146" i="13"/>
  <c r="W130" i="13"/>
  <c r="U191" i="13"/>
  <c r="W191" i="13" s="1"/>
  <c r="W97" i="13"/>
  <c r="V100" i="13"/>
  <c r="R102" i="13"/>
  <c r="W84" i="13"/>
  <c r="T164" i="13"/>
  <c r="T43" i="13"/>
  <c r="L20" i="13"/>
  <c r="T183" i="13"/>
  <c r="V183" i="13" s="1"/>
  <c r="T119" i="13"/>
  <c r="V119" i="13" s="1"/>
  <c r="T155" i="13"/>
  <c r="V155" i="13" s="1"/>
  <c r="V132" i="13"/>
  <c r="T92" i="13"/>
  <c r="V92" i="13" s="1"/>
  <c r="R79" i="13"/>
  <c r="V79" i="13" s="1"/>
  <c r="U131" i="13"/>
  <c r="W131" i="13" s="1"/>
  <c r="T101" i="13"/>
  <c r="V101" i="13" s="1"/>
  <c r="T124" i="13"/>
  <c r="P273" i="13"/>
  <c r="T81" i="13"/>
  <c r="V81" i="13" s="1"/>
  <c r="U77" i="13"/>
  <c r="W77" i="13" s="1"/>
  <c r="V187" i="13"/>
  <c r="T108" i="13"/>
  <c r="T165" i="13"/>
  <c r="L10" i="13"/>
  <c r="T264" i="13"/>
  <c r="R264" i="13"/>
  <c r="U264" i="13"/>
  <c r="T136" i="13"/>
  <c r="U136" i="13"/>
  <c r="P280" i="13"/>
  <c r="R253" i="13"/>
  <c r="U253" i="13"/>
  <c r="U259" i="13"/>
  <c r="R259" i="13"/>
  <c r="T248" i="13"/>
  <c r="U248" i="13"/>
  <c r="T249" i="13"/>
  <c r="R249" i="13"/>
  <c r="U144" i="13"/>
  <c r="R144" i="13"/>
  <c r="T88" i="13"/>
  <c r="U88" i="13"/>
  <c r="R88" i="13"/>
  <c r="R214" i="13"/>
  <c r="U214" i="13"/>
  <c r="T134" i="13"/>
  <c r="V134" i="13" s="1"/>
  <c r="U134" i="13"/>
  <c r="W134" i="13" s="1"/>
  <c r="R226" i="13"/>
  <c r="T44" i="13"/>
  <c r="R44" i="13"/>
  <c r="T47" i="13"/>
  <c r="R47" i="13"/>
  <c r="T251" i="13"/>
  <c r="U251" i="13"/>
  <c r="T121" i="13"/>
  <c r="R121" i="13"/>
  <c r="U31" i="13"/>
  <c r="T31" i="13"/>
  <c r="R31" i="13"/>
  <c r="T210" i="13"/>
  <c r="U210" i="13"/>
  <c r="T72" i="13"/>
  <c r="U72" i="13"/>
  <c r="R72" i="13"/>
  <c r="T93" i="13"/>
  <c r="R93" i="13"/>
  <c r="U93" i="13"/>
  <c r="T103" i="13"/>
  <c r="U103" i="13"/>
  <c r="R103" i="13"/>
  <c r="T149" i="13"/>
  <c r="R149" i="13"/>
  <c r="U149" i="13"/>
  <c r="U57" i="13"/>
  <c r="T57" i="13"/>
  <c r="N273" i="13"/>
  <c r="T256" i="13"/>
  <c r="V256" i="13" s="1"/>
  <c r="N280" i="13"/>
  <c r="R251" i="13"/>
  <c r="U119" i="13"/>
  <c r="W119" i="13" s="1"/>
  <c r="R57" i="13"/>
  <c r="U128" i="13"/>
  <c r="R128" i="13"/>
  <c r="P272" i="13"/>
  <c r="T85" i="13"/>
  <c r="V85" i="13" s="1"/>
  <c r="U227" i="13"/>
  <c r="W227" i="13" s="1"/>
  <c r="T227" i="13"/>
  <c r="V227" i="13" s="1"/>
  <c r="U73" i="13"/>
  <c r="W73" i="13" s="1"/>
  <c r="R189" i="13"/>
  <c r="U44" i="13"/>
  <c r="R210" i="13"/>
  <c r="V185" i="13"/>
  <c r="U226" i="13"/>
  <c r="R141" i="13"/>
  <c r="U141" i="13"/>
  <c r="U47" i="13"/>
  <c r="U211" i="13"/>
  <c r="R211" i="13"/>
  <c r="T235" i="13"/>
  <c r="W185" i="13"/>
  <c r="P274" i="13"/>
  <c r="T59" i="13"/>
  <c r="R59" i="13"/>
  <c r="W250" i="13"/>
  <c r="T213" i="13"/>
  <c r="R213" i="13"/>
  <c r="W176" i="13"/>
  <c r="W95" i="13"/>
  <c r="T144" i="13"/>
  <c r="T233" i="13"/>
  <c r="R233" i="13"/>
  <c r="T188" i="13"/>
  <c r="T137" i="13"/>
  <c r="V137" i="13" s="1"/>
  <c r="N20" i="13"/>
  <c r="U160" i="13"/>
  <c r="W132" i="13"/>
  <c r="T175" i="13"/>
  <c r="V175" i="13" s="1"/>
  <c r="W187" i="13"/>
  <c r="W65" i="13"/>
  <c r="U135" i="13"/>
  <c r="V95" i="13"/>
  <c r="W217" i="13"/>
  <c r="V129" i="13"/>
  <c r="U219" i="13"/>
  <c r="U137" i="13"/>
  <c r="T191" i="13"/>
  <c r="V191" i="13" s="1"/>
  <c r="T261" i="13"/>
  <c r="L277" i="13"/>
  <c r="T130" i="13"/>
  <c r="V130" i="13" s="1"/>
  <c r="R108" i="13"/>
  <c r="W256" i="13"/>
  <c r="T96" i="13"/>
  <c r="V96" i="13" s="1"/>
  <c r="W198" i="13"/>
  <c r="R45" i="13"/>
  <c r="P13" i="13"/>
  <c r="V196" i="13"/>
  <c r="U43" i="13"/>
  <c r="W232" i="13"/>
  <c r="P276" i="13"/>
  <c r="R225" i="13"/>
  <c r="W225" i="13" s="1"/>
  <c r="L12" i="13"/>
  <c r="T171" i="13"/>
  <c r="V171" i="13" s="1"/>
  <c r="U52" i="13"/>
  <c r="W52" i="13" s="1"/>
  <c r="R186" i="13"/>
  <c r="T176" i="13"/>
  <c r="V176" i="13" s="1"/>
  <c r="L7" i="13"/>
  <c r="U7" i="13" s="1"/>
  <c r="W207" i="13"/>
  <c r="T170" i="13"/>
  <c r="V170" i="13" s="1"/>
  <c r="T225" i="13"/>
  <c r="T172" i="13"/>
  <c r="V172" i="13" s="1"/>
  <c r="P11" i="13"/>
  <c r="T151" i="13"/>
  <c r="V151" i="13" s="1"/>
  <c r="U151" i="13"/>
  <c r="W151" i="13" s="1"/>
  <c r="T133" i="13"/>
  <c r="V133" i="13" s="1"/>
  <c r="U133" i="13"/>
  <c r="W133" i="13" s="1"/>
  <c r="T89" i="13"/>
  <c r="V89" i="13" s="1"/>
  <c r="T208" i="13"/>
  <c r="T205" i="13"/>
  <c r="R205" i="13"/>
  <c r="W205" i="13" s="1"/>
  <c r="T181" i="13"/>
  <c r="R181" i="13"/>
  <c r="W181" i="13" s="1"/>
  <c r="T131" i="13"/>
  <c r="V131" i="13" s="1"/>
  <c r="T258" i="13"/>
  <c r="V258" i="13" s="1"/>
  <c r="U258" i="13"/>
  <c r="W258" i="13" s="1"/>
  <c r="V218" i="13"/>
  <c r="W118" i="13"/>
  <c r="V117" i="13"/>
  <c r="W240" i="13"/>
  <c r="N10" i="13"/>
  <c r="N276" i="13"/>
  <c r="V216" i="13"/>
  <c r="T51" i="13"/>
  <c r="V87" i="13"/>
  <c r="V123" i="13"/>
  <c r="V230" i="13"/>
  <c r="N272" i="13"/>
  <c r="T153" i="13"/>
  <c r="V153" i="13" s="1"/>
  <c r="T201" i="13"/>
  <c r="V201" i="13" s="1"/>
  <c r="T35" i="13"/>
  <c r="T174" i="13"/>
  <c r="V174" i="13" s="1"/>
  <c r="T182" i="13"/>
  <c r="V182" i="13" s="1"/>
  <c r="W69" i="13"/>
  <c r="T80" i="13"/>
  <c r="V80" i="13" s="1"/>
  <c r="T71" i="13"/>
  <c r="W245" i="13"/>
  <c r="W25" i="11"/>
  <c r="N26" i="13"/>
  <c r="H269" i="12"/>
  <c r="H281" i="12" s="1"/>
  <c r="W16" i="11"/>
  <c r="T116" i="12"/>
  <c r="V116" i="12" s="1"/>
  <c r="V61" i="12"/>
  <c r="V21" i="11"/>
  <c r="W232" i="11"/>
  <c r="V185" i="12"/>
  <c r="W44" i="12"/>
  <c r="R15" i="13"/>
  <c r="U201" i="12"/>
  <c r="T201" i="12"/>
  <c r="V70" i="13"/>
  <c r="U235" i="13"/>
  <c r="W200" i="13"/>
  <c r="W204" i="13"/>
  <c r="W100" i="13"/>
  <c r="R243" i="13"/>
  <c r="V229" i="13"/>
  <c r="W229" i="13"/>
  <c r="W75" i="13"/>
  <c r="T34" i="13"/>
  <c r="R34" i="13"/>
  <c r="W91" i="13"/>
  <c r="R84" i="12"/>
  <c r="U84" i="12"/>
  <c r="T202" i="13"/>
  <c r="R202" i="13"/>
  <c r="W41" i="13"/>
  <c r="L270" i="13"/>
  <c r="T28" i="13"/>
  <c r="U164" i="13"/>
  <c r="W148" i="11"/>
  <c r="V39" i="12"/>
  <c r="P269" i="11"/>
  <c r="P281" i="11" s="1"/>
  <c r="V39" i="11"/>
  <c r="V154" i="11"/>
  <c r="P271" i="12"/>
  <c r="W233" i="11"/>
  <c r="V29" i="12"/>
  <c r="R167" i="12"/>
  <c r="V167" i="12" s="1"/>
  <c r="U167" i="12"/>
  <c r="U276" i="12" s="1"/>
  <c r="V31" i="11"/>
  <c r="W188" i="11"/>
  <c r="L278" i="12"/>
  <c r="T272" i="11"/>
  <c r="T273" i="11"/>
  <c r="U12" i="11"/>
  <c r="W166" i="11"/>
  <c r="N21" i="12"/>
  <c r="V239" i="11"/>
  <c r="W104" i="11"/>
  <c r="V34" i="12"/>
  <c r="W14" i="11"/>
  <c r="T12" i="11"/>
  <c r="V12" i="11" s="1"/>
  <c r="V62" i="12"/>
  <c r="L272" i="12"/>
  <c r="U272" i="12"/>
  <c r="V121" i="12"/>
  <c r="W92" i="12"/>
  <c r="T8" i="12"/>
  <c r="L14" i="12"/>
  <c r="T14" i="12" s="1"/>
  <c r="R232" i="12"/>
  <c r="W232" i="12" s="1"/>
  <c r="V219" i="12"/>
  <c r="W216" i="13"/>
  <c r="V220" i="13"/>
  <c r="W127" i="13"/>
  <c r="U148" i="13"/>
  <c r="R263" i="13"/>
  <c r="T223" i="13"/>
  <c r="R223" i="13"/>
  <c r="U223" i="13"/>
  <c r="V78" i="13"/>
  <c r="R261" i="13"/>
  <c r="W116" i="13"/>
  <c r="R239" i="13"/>
  <c r="N277" i="13"/>
  <c r="W244" i="13"/>
  <c r="W120" i="13"/>
  <c r="L26" i="13"/>
  <c r="U26" i="13" s="1"/>
  <c r="U188" i="13"/>
  <c r="U60" i="13"/>
  <c r="U243" i="13"/>
  <c r="U172" i="13"/>
  <c r="W172" i="13" s="1"/>
  <c r="W153" i="13"/>
  <c r="L23" i="13"/>
  <c r="U23" i="13" s="1"/>
  <c r="P24" i="13"/>
  <c r="N24" i="13"/>
  <c r="L10" i="12"/>
  <c r="P271" i="13"/>
  <c r="R188" i="13"/>
  <c r="T141" i="13"/>
  <c r="R164" i="13"/>
  <c r="U59" i="13"/>
  <c r="W96" i="13"/>
  <c r="W218" i="13"/>
  <c r="T190" i="13"/>
  <c r="R190" i="13"/>
  <c r="V190" i="13" s="1"/>
  <c r="T167" i="13"/>
  <c r="R167" i="13"/>
  <c r="U167" i="13"/>
  <c r="W225" i="11"/>
  <c r="V225" i="11"/>
  <c r="R60" i="13"/>
  <c r="P278" i="13"/>
  <c r="T156" i="13"/>
  <c r="V156" i="13" s="1"/>
  <c r="U156" i="13"/>
  <c r="W156" i="13" s="1"/>
  <c r="U13" i="13"/>
  <c r="R159" i="13"/>
  <c r="W135" i="13"/>
  <c r="T32" i="13"/>
  <c r="V32" i="13" s="1"/>
  <c r="U32" i="13"/>
  <c r="W32" i="13" s="1"/>
  <c r="L271" i="13"/>
  <c r="T48" i="13"/>
  <c r="R48" i="13"/>
  <c r="R235" i="13"/>
  <c r="V212" i="13"/>
  <c r="W197" i="13"/>
  <c r="W137" i="13"/>
  <c r="T255" i="13"/>
  <c r="R255" i="13"/>
  <c r="T184" i="13"/>
  <c r="U184" i="13"/>
  <c r="V141" i="11"/>
  <c r="V210" i="11"/>
  <c r="V194" i="11"/>
  <c r="R272" i="12"/>
  <c r="W272" i="12" s="1"/>
  <c r="T17" i="12"/>
  <c r="W245" i="12"/>
  <c r="T265" i="13"/>
  <c r="R265" i="13"/>
  <c r="W265" i="13" s="1"/>
  <c r="T142" i="13"/>
  <c r="R142" i="13"/>
  <c r="W142" i="13" s="1"/>
  <c r="U15" i="13"/>
  <c r="R136" i="13"/>
  <c r="N8" i="13"/>
  <c r="N19" i="13"/>
  <c r="U48" i="13"/>
  <c r="W162" i="13"/>
  <c r="W155" i="13"/>
  <c r="W45" i="13"/>
  <c r="T161" i="13"/>
  <c r="V161" i="13" s="1"/>
  <c r="U161" i="13"/>
  <c r="W161" i="13" s="1"/>
  <c r="T25" i="13"/>
  <c r="N270" i="13"/>
  <c r="T254" i="13"/>
  <c r="R254" i="13"/>
  <c r="U11" i="11"/>
  <c r="W11" i="11" s="1"/>
  <c r="W153" i="5"/>
  <c r="V165" i="5"/>
  <c r="W162" i="5"/>
  <c r="V162" i="5"/>
  <c r="D215" i="6"/>
  <c r="W115" i="11"/>
  <c r="V177" i="11"/>
  <c r="L274" i="12"/>
  <c r="V233" i="11"/>
  <c r="W32" i="11"/>
  <c r="V178" i="11"/>
  <c r="V248" i="12"/>
  <c r="W249" i="11"/>
  <c r="W173" i="11"/>
  <c r="W31" i="11"/>
  <c r="R271" i="11"/>
  <c r="T17" i="11"/>
  <c r="R163" i="12"/>
  <c r="W163" i="12" s="1"/>
  <c r="V261" i="11"/>
  <c r="W118" i="11"/>
  <c r="V235" i="11"/>
  <c r="T6" i="11"/>
  <c r="W246" i="11"/>
  <c r="V172" i="11"/>
  <c r="V29" i="11"/>
  <c r="V144" i="11"/>
  <c r="V166" i="11"/>
  <c r="T14" i="11"/>
  <c r="W41" i="11"/>
  <c r="V124" i="11"/>
  <c r="W27" i="11"/>
  <c r="V234" i="11"/>
  <c r="W19" i="11"/>
  <c r="W18" i="11"/>
  <c r="V160" i="11"/>
  <c r="L276" i="12"/>
  <c r="W143" i="11"/>
  <c r="V16" i="11"/>
  <c r="P270" i="12"/>
  <c r="V36" i="12"/>
  <c r="W56" i="12"/>
  <c r="W65" i="12"/>
  <c r="V165" i="12"/>
  <c r="W129" i="13"/>
  <c r="T61" i="13"/>
  <c r="V61" i="13" s="1"/>
  <c r="U61" i="13"/>
  <c r="W61" i="13" s="1"/>
  <c r="R252" i="13"/>
  <c r="P15" i="13"/>
  <c r="W46" i="11"/>
  <c r="N13" i="13"/>
  <c r="W154" i="13"/>
  <c r="P14" i="13"/>
  <c r="N14" i="13"/>
  <c r="R248" i="13"/>
  <c r="P279" i="13"/>
  <c r="V29" i="13"/>
  <c r="P8" i="13"/>
  <c r="V42" i="13"/>
  <c r="U150" i="12"/>
  <c r="W150" i="12" s="1"/>
  <c r="T150" i="12"/>
  <c r="R150" i="12"/>
  <c r="R201" i="12"/>
  <c r="R278" i="12" s="1"/>
  <c r="W67" i="13"/>
  <c r="U239" i="13"/>
  <c r="U252" i="13"/>
  <c r="V241" i="13"/>
  <c r="R184" i="13"/>
  <c r="U34" i="13"/>
  <c r="U261" i="13"/>
  <c r="W220" i="13"/>
  <c r="V36" i="13"/>
  <c r="W196" i="13"/>
  <c r="L280" i="13"/>
  <c r="T245" i="13"/>
  <c r="R148" i="13"/>
  <c r="W53" i="13"/>
  <c r="U254" i="13"/>
  <c r="T30" i="13"/>
  <c r="R30" i="13"/>
  <c r="N23" i="13"/>
  <c r="P16" i="13"/>
  <c r="T46" i="13"/>
  <c r="U46" i="13"/>
  <c r="R46" i="13"/>
  <c r="T128" i="13"/>
  <c r="N275" i="13"/>
  <c r="W242" i="13"/>
  <c r="T158" i="13"/>
  <c r="R43" i="13"/>
  <c r="U159" i="13"/>
  <c r="W78" i="13"/>
  <c r="W62" i="13"/>
  <c r="W105" i="13"/>
  <c r="R28" i="13"/>
  <c r="L273" i="13"/>
  <c r="T91" i="13"/>
  <c r="T118" i="13"/>
  <c r="V118" i="13" s="1"/>
  <c r="R35" i="13"/>
  <c r="T157" i="12"/>
  <c r="R157" i="12"/>
  <c r="T74" i="13"/>
  <c r="V74" i="13" s="1"/>
  <c r="T49" i="13"/>
  <c r="P18" i="13"/>
  <c r="T84" i="12"/>
  <c r="T272" i="12" s="1"/>
  <c r="F269" i="13"/>
  <c r="F281" i="13" s="1"/>
  <c r="W201" i="13"/>
  <c r="V125" i="13"/>
  <c r="V143" i="13"/>
  <c r="L275" i="13"/>
  <c r="T135" i="13"/>
  <c r="W112" i="13"/>
  <c r="R25" i="13"/>
  <c r="T122" i="13"/>
  <c r="V122" i="13" s="1"/>
  <c r="T73" i="13"/>
  <c r="V73" i="13" s="1"/>
  <c r="T246" i="13"/>
  <c r="V246" i="13" s="1"/>
  <c r="V208" i="11"/>
  <c r="T234" i="13"/>
  <c r="T37" i="13"/>
  <c r="V37" i="13" s="1"/>
  <c r="W107" i="13"/>
  <c r="W123" i="13"/>
  <c r="T259" i="13"/>
  <c r="T193" i="13"/>
  <c r="V84" i="13"/>
  <c r="T211" i="13"/>
  <c r="U170" i="13"/>
  <c r="W170" i="13" s="1"/>
  <c r="T169" i="13"/>
  <c r="V169" i="13" s="1"/>
  <c r="P270" i="13"/>
  <c r="R193" i="13"/>
  <c r="U233" i="13"/>
  <c r="W70" i="13"/>
  <c r="P7" i="13"/>
  <c r="U5" i="13"/>
  <c r="W85" i="13"/>
  <c r="V146" i="13"/>
  <c r="W76" i="13"/>
  <c r="V109" i="13"/>
  <c r="W166" i="13"/>
  <c r="V232" i="13"/>
  <c r="W117" i="13"/>
  <c r="V260" i="13"/>
  <c r="T257" i="13"/>
  <c r="V257" i="13" s="1"/>
  <c r="V231" i="13"/>
  <c r="W246" i="13"/>
  <c r="P23" i="13"/>
  <c r="W82" i="13"/>
  <c r="T38" i="13"/>
  <c r="V241" i="11"/>
  <c r="T253" i="13"/>
  <c r="U257" i="13"/>
  <c r="W257" i="13" s="1"/>
  <c r="T116" i="13"/>
  <c r="V116" i="13" s="1"/>
  <c r="U59" i="12"/>
  <c r="R59" i="12"/>
  <c r="V59" i="12" s="1"/>
  <c r="T150" i="13"/>
  <c r="T163" i="13"/>
  <c r="V163" i="13" s="1"/>
  <c r="T236" i="13"/>
  <c r="T192" i="13"/>
  <c r="V192" i="13" s="1"/>
  <c r="W81" i="13"/>
  <c r="L21" i="12"/>
  <c r="L278" i="13"/>
  <c r="T200" i="13"/>
  <c r="R236" i="13"/>
  <c r="V114" i="12"/>
  <c r="V146" i="12"/>
  <c r="W165" i="12"/>
  <c r="W121" i="12"/>
  <c r="V136" i="12"/>
  <c r="V227" i="12"/>
  <c r="V261" i="12"/>
  <c r="V101" i="12"/>
  <c r="V202" i="12"/>
  <c r="W49" i="12"/>
  <c r="W164" i="12"/>
  <c r="W11" i="12"/>
  <c r="W162" i="12"/>
  <c r="W203" i="12"/>
  <c r="V92" i="12"/>
  <c r="V55" i="12"/>
  <c r="V250" i="12"/>
  <c r="V128" i="12"/>
  <c r="R27" i="12"/>
  <c r="V177" i="12"/>
  <c r="U13" i="12"/>
  <c r="U16" i="12"/>
  <c r="W16" i="12" s="1"/>
  <c r="V33" i="12"/>
  <c r="V262" i="12"/>
  <c r="T6" i="12"/>
  <c r="U15" i="12"/>
  <c r="T25" i="12"/>
  <c r="V178" i="12"/>
  <c r="W114" i="12"/>
  <c r="T27" i="12"/>
  <c r="V265" i="12"/>
  <c r="W219" i="12"/>
  <c r="W58" i="12"/>
  <c r="T23" i="12"/>
  <c r="V117" i="12"/>
  <c r="V183" i="12"/>
  <c r="V96" i="12"/>
  <c r="W60" i="12"/>
  <c r="V218" i="12"/>
  <c r="V103" i="12"/>
  <c r="W199" i="12"/>
  <c r="W62" i="12"/>
  <c r="W31" i="12"/>
  <c r="U273" i="12"/>
  <c r="U280" i="12"/>
  <c r="V60" i="12"/>
  <c r="V242" i="12"/>
  <c r="W34" i="12"/>
  <c r="V56" i="12"/>
  <c r="T273" i="12"/>
  <c r="W79" i="12"/>
  <c r="V148" i="12"/>
  <c r="V191" i="12"/>
  <c r="R13" i="12"/>
  <c r="V13" i="12" s="1"/>
  <c r="V49" i="12"/>
  <c r="T22" i="12"/>
  <c r="V22" i="12" s="1"/>
  <c r="V118" i="12"/>
  <c r="T19" i="12"/>
  <c r="V19" i="12" s="1"/>
  <c r="W206" i="12"/>
  <c r="V77" i="12"/>
  <c r="V193" i="12"/>
  <c r="W6" i="12"/>
  <c r="W210" i="12"/>
  <c r="V154" i="12"/>
  <c r="V147" i="12"/>
  <c r="V233" i="12"/>
  <c r="R273" i="12"/>
  <c r="V73" i="12"/>
  <c r="U22" i="12"/>
  <c r="W22" i="12" s="1"/>
  <c r="T7" i="12"/>
  <c r="V7" i="12" s="1"/>
  <c r="T11" i="12"/>
  <c r="V11" i="12" s="1"/>
  <c r="V188" i="12"/>
  <c r="V153" i="12"/>
  <c r="V125" i="12"/>
  <c r="V104" i="12"/>
  <c r="V235" i="12"/>
  <c r="W136" i="12"/>
  <c r="W96" i="12"/>
  <c r="V212" i="12"/>
  <c r="W104" i="12"/>
  <c r="V156" i="12"/>
  <c r="V260" i="12"/>
  <c r="R17" i="12"/>
  <c r="W227" i="12"/>
  <c r="V162" i="12"/>
  <c r="U9" i="12"/>
  <c r="W9" i="12" s="1"/>
  <c r="W19" i="12"/>
  <c r="T26" i="12"/>
  <c r="U17" i="12"/>
  <c r="T280" i="12"/>
  <c r="T16" i="12"/>
  <c r="V16" i="12" s="1"/>
  <c r="W238" i="12"/>
  <c r="V247" i="12"/>
  <c r="T279" i="12"/>
  <c r="W58" i="11"/>
  <c r="V58" i="11"/>
  <c r="V128" i="11"/>
  <c r="W128" i="11"/>
  <c r="T5" i="12"/>
  <c r="V223" i="12"/>
  <c r="R275" i="12"/>
  <c r="V135" i="12"/>
  <c r="V181" i="11"/>
  <c r="R277" i="11"/>
  <c r="W6" i="11"/>
  <c r="R23" i="11"/>
  <c r="T23" i="11"/>
  <c r="V157" i="11"/>
  <c r="T276" i="11"/>
  <c r="W170" i="11"/>
  <c r="V170" i="11"/>
  <c r="W91" i="11"/>
  <c r="U273" i="11"/>
  <c r="V74" i="11"/>
  <c r="R272" i="11"/>
  <c r="V272" i="11" s="1"/>
  <c r="W175" i="11"/>
  <c r="V175" i="11"/>
  <c r="R270" i="11"/>
  <c r="V28" i="11"/>
  <c r="W237" i="12"/>
  <c r="W135" i="11"/>
  <c r="U275" i="11"/>
  <c r="U17" i="11"/>
  <c r="U270" i="12"/>
  <c r="W28" i="12"/>
  <c r="W182" i="11"/>
  <c r="V182" i="11"/>
  <c r="U5" i="12"/>
  <c r="W42" i="11"/>
  <c r="P73" i="6"/>
  <c r="T274" i="11"/>
  <c r="V245" i="11"/>
  <c r="R280" i="11"/>
  <c r="U271" i="12"/>
  <c r="W48" i="12"/>
  <c r="R5" i="12"/>
  <c r="U276" i="11"/>
  <c r="W201" i="11"/>
  <c r="U278" i="11"/>
  <c r="W181" i="11"/>
  <c r="U277" i="11"/>
  <c r="W174" i="11"/>
  <c r="T271" i="11"/>
  <c r="V271" i="11" s="1"/>
  <c r="W156" i="12"/>
  <c r="W193" i="11"/>
  <c r="V193" i="11"/>
  <c r="V159" i="11"/>
  <c r="V230" i="11"/>
  <c r="V48" i="12"/>
  <c r="W159" i="11"/>
  <c r="W172" i="11"/>
  <c r="W149" i="11"/>
  <c r="V149" i="11"/>
  <c r="V6" i="12"/>
  <c r="R275" i="11"/>
  <c r="W126" i="11"/>
  <c r="V231" i="11"/>
  <c r="V30" i="11"/>
  <c r="W124" i="11"/>
  <c r="W23" i="12"/>
  <c r="W180" i="12"/>
  <c r="T18" i="12"/>
  <c r="W247" i="12"/>
  <c r="R5" i="11"/>
  <c r="T5" i="11"/>
  <c r="L269" i="11"/>
  <c r="L281" i="11" s="1"/>
  <c r="U25" i="12"/>
  <c r="W194" i="11"/>
  <c r="W146" i="11"/>
  <c r="W160" i="11"/>
  <c r="W8" i="11"/>
  <c r="W191" i="12"/>
  <c r="T270" i="12"/>
  <c r="W29" i="12"/>
  <c r="W209" i="11"/>
  <c r="V264" i="11"/>
  <c r="R274" i="12"/>
  <c r="V200" i="11"/>
  <c r="T278" i="11"/>
  <c r="T91" i="6"/>
  <c r="R274" i="11"/>
  <c r="V173" i="11"/>
  <c r="V176" i="11"/>
  <c r="V28" i="12"/>
  <c r="U274" i="11"/>
  <c r="V238" i="12"/>
  <c r="W154" i="11"/>
  <c r="W203" i="11"/>
  <c r="V145" i="11"/>
  <c r="W193" i="12"/>
  <c r="W148" i="12"/>
  <c r="W202" i="12"/>
  <c r="V114" i="11"/>
  <c r="T277" i="11"/>
  <c r="W125" i="12"/>
  <c r="V191" i="11"/>
  <c r="W248" i="12"/>
  <c r="U271" i="11"/>
  <c r="W271" i="11" s="1"/>
  <c r="V11" i="11"/>
  <c r="W52" i="11"/>
  <c r="V257" i="11"/>
  <c r="W226" i="12"/>
  <c r="W7" i="12"/>
  <c r="W127" i="11"/>
  <c r="V127" i="11"/>
  <c r="V214" i="11"/>
  <c r="R276" i="11"/>
  <c r="W188" i="12"/>
  <c r="R7" i="11"/>
  <c r="T7" i="11"/>
  <c r="V7" i="11" s="1"/>
  <c r="N269" i="11"/>
  <c r="N281" i="11" s="1"/>
  <c r="W230" i="11"/>
  <c r="W147" i="12"/>
  <c r="W12" i="11"/>
  <c r="V135" i="11"/>
  <c r="T275" i="11"/>
  <c r="V168" i="11"/>
  <c r="V223" i="11"/>
  <c r="T279" i="11"/>
  <c r="W231" i="11"/>
  <c r="W171" i="11"/>
  <c r="U275" i="12"/>
  <c r="W135" i="12"/>
  <c r="T275" i="12"/>
  <c r="R25" i="12"/>
  <c r="W236" i="11"/>
  <c r="V22" i="11"/>
  <c r="R273" i="11"/>
  <c r="V104" i="11"/>
  <c r="R10" i="11"/>
  <c r="V10" i="11" s="1"/>
  <c r="V115" i="12"/>
  <c r="V83" i="11"/>
  <c r="T277" i="12"/>
  <c r="V242" i="11"/>
  <c r="W223" i="12"/>
  <c r="R18" i="12"/>
  <c r="W260" i="12"/>
  <c r="W30" i="11"/>
  <c r="W141" i="11"/>
  <c r="L85" i="6"/>
  <c r="W257" i="11"/>
  <c r="V168" i="12"/>
  <c r="V179" i="11"/>
  <c r="V15" i="11"/>
  <c r="W176" i="11"/>
  <c r="W33" i="12"/>
  <c r="V61" i="11"/>
  <c r="W39" i="11"/>
  <c r="U280" i="11"/>
  <c r="W280" i="11" s="1"/>
  <c r="W245" i="11"/>
  <c r="V33" i="11"/>
  <c r="V203" i="11"/>
  <c r="W28" i="11"/>
  <c r="U270" i="11"/>
  <c r="V14" i="11"/>
  <c r="W254" i="12"/>
  <c r="R277" i="12"/>
  <c r="V180" i="12"/>
  <c r="V91" i="12"/>
  <c r="U5" i="11"/>
  <c r="V150" i="11"/>
  <c r="W114" i="11"/>
  <c r="W178" i="11"/>
  <c r="R13" i="11"/>
  <c r="V244" i="11"/>
  <c r="W191" i="11"/>
  <c r="V249" i="11"/>
  <c r="V183" i="11"/>
  <c r="R278" i="11"/>
  <c r="T24" i="12"/>
  <c r="R17" i="11"/>
  <c r="V17" i="11" s="1"/>
  <c r="V188" i="11"/>
  <c r="W214" i="11"/>
  <c r="W40" i="11"/>
  <c r="W261" i="12"/>
  <c r="W157" i="11"/>
  <c r="V249" i="12"/>
  <c r="W21" i="11"/>
  <c r="W250" i="12"/>
  <c r="W261" i="11"/>
  <c r="W74" i="11"/>
  <c r="W150" i="11"/>
  <c r="V255" i="11"/>
  <c r="T270" i="11"/>
  <c r="V158" i="11"/>
  <c r="V18" i="11"/>
  <c r="V273" i="11"/>
  <c r="W223" i="11"/>
  <c r="U279" i="11"/>
  <c r="W144" i="11"/>
  <c r="U23" i="11"/>
  <c r="W168" i="11"/>
  <c r="W128" i="12"/>
  <c r="W39" i="12"/>
  <c r="R279" i="11"/>
  <c r="W242" i="12"/>
  <c r="V227" i="11"/>
  <c r="R280" i="12"/>
  <c r="W61" i="12"/>
  <c r="R9" i="11"/>
  <c r="W9" i="11" s="1"/>
  <c r="T9" i="11"/>
  <c r="V9" i="11" s="1"/>
  <c r="T271" i="12"/>
  <c r="T278" i="12"/>
  <c r="W117" i="11"/>
  <c r="V117" i="11"/>
  <c r="W15" i="11"/>
  <c r="V232" i="11"/>
  <c r="W137" i="11"/>
  <c r="T9" i="12"/>
  <c r="V9" i="12" s="1"/>
  <c r="V236" i="11"/>
  <c r="W234" i="11"/>
  <c r="V265" i="11"/>
  <c r="R24" i="12"/>
  <c r="W184" i="11"/>
  <c r="W154" i="12"/>
  <c r="V200" i="12"/>
  <c r="W242" i="11"/>
  <c r="V190" i="11"/>
  <c r="U279" i="12"/>
  <c r="V146" i="11"/>
  <c r="U7" i="11"/>
  <c r="W7" i="11" s="1"/>
  <c r="U18" i="12"/>
  <c r="W175" i="12"/>
  <c r="U272" i="11"/>
  <c r="W24" i="11"/>
  <c r="U92" i="6"/>
  <c r="D212" i="6"/>
  <c r="W365" i="8"/>
  <c r="V365" i="8"/>
  <c r="R92" i="6"/>
  <c r="L370" i="8"/>
  <c r="C433" i="8" s="1"/>
  <c r="V361" i="8"/>
  <c r="N370" i="8"/>
  <c r="G403" i="8" s="1"/>
  <c r="V161" i="5"/>
  <c r="N73" i="6"/>
  <c r="E211" i="6"/>
  <c r="U82" i="6"/>
  <c r="U124" i="6"/>
  <c r="P370" i="8"/>
  <c r="C403" i="8" s="1"/>
  <c r="V367" i="8"/>
  <c r="W359" i="8"/>
  <c r="V364" i="8"/>
  <c r="W360" i="8"/>
  <c r="W367" i="8"/>
  <c r="V366" i="8"/>
  <c r="V368" i="8"/>
  <c r="V363" i="8"/>
  <c r="V362" i="8"/>
  <c r="W361" i="8"/>
  <c r="T358" i="8"/>
  <c r="U358" i="8"/>
  <c r="V369" i="8"/>
  <c r="W362" i="8"/>
  <c r="W364" i="8"/>
  <c r="R358" i="8"/>
  <c r="W369" i="8"/>
  <c r="W71" i="8"/>
  <c r="V359" i="8"/>
  <c r="W363" i="8"/>
  <c r="V360" i="8"/>
  <c r="W366" i="8"/>
  <c r="W368" i="8"/>
  <c r="V71" i="8"/>
  <c r="V76" i="8"/>
  <c r="V88" i="8"/>
  <c r="V83" i="8"/>
  <c r="V80" i="8"/>
  <c r="V79" i="8"/>
  <c r="V86" i="8"/>
  <c r="V73" i="8"/>
  <c r="V77" i="8"/>
  <c r="W73" i="8"/>
  <c r="W79" i="8"/>
  <c r="W86" i="8"/>
  <c r="W74" i="8"/>
  <c r="V74" i="8"/>
  <c r="V29" i="8"/>
  <c r="W29" i="8"/>
  <c r="H87" i="6"/>
  <c r="N87" i="6" s="1"/>
  <c r="P85" i="6"/>
  <c r="P81" i="6"/>
  <c r="T82" i="6"/>
  <c r="T94" i="6"/>
  <c r="E117" i="6"/>
  <c r="E213" i="6" s="1"/>
  <c r="G87" i="6"/>
  <c r="R60" i="6"/>
  <c r="T92" i="6"/>
  <c r="D214" i="6"/>
  <c r="D211" i="6"/>
  <c r="T79" i="6"/>
  <c r="T95" i="6"/>
  <c r="E97" i="6"/>
  <c r="J87" i="6"/>
  <c r="P77" i="6"/>
  <c r="H103" i="6"/>
  <c r="E212" i="6"/>
  <c r="T90" i="6"/>
  <c r="E214" i="6"/>
  <c r="T88" i="6"/>
  <c r="R88" i="6"/>
  <c r="V88" i="6" s="1"/>
  <c r="G125" i="6"/>
  <c r="L125" i="6" s="1"/>
  <c r="N125" i="6"/>
  <c r="J125" i="6"/>
  <c r="F125" i="6"/>
  <c r="P125" i="6"/>
  <c r="H125" i="6"/>
  <c r="H93" i="6"/>
  <c r="P93" i="6"/>
  <c r="F93" i="6"/>
  <c r="N93" i="6"/>
  <c r="J93" i="6"/>
  <c r="G93" i="6"/>
  <c r="L93" i="6" s="1"/>
  <c r="T89" i="6"/>
  <c r="J107" i="6"/>
  <c r="H107" i="6"/>
  <c r="F107" i="6"/>
  <c r="G107" i="6"/>
  <c r="J111" i="6"/>
  <c r="F111" i="6"/>
  <c r="G111" i="6"/>
  <c r="H111" i="6"/>
  <c r="G74" i="6"/>
  <c r="H74" i="6"/>
  <c r="J74" i="6"/>
  <c r="F74" i="6"/>
  <c r="H112" i="6"/>
  <c r="P112" i="6"/>
  <c r="G112" i="6"/>
  <c r="L112" i="6" s="1"/>
  <c r="T112" i="6" s="1"/>
  <c r="J112" i="6"/>
  <c r="F112" i="6"/>
  <c r="N112" i="6"/>
  <c r="G86" i="6"/>
  <c r="P86" i="6" s="1"/>
  <c r="F86" i="6"/>
  <c r="H86" i="6"/>
  <c r="J86" i="6"/>
  <c r="L86" i="6"/>
  <c r="J80" i="6"/>
  <c r="F80" i="6"/>
  <c r="N80" i="6"/>
  <c r="P80" i="6"/>
  <c r="G80" i="6"/>
  <c r="L80" i="6" s="1"/>
  <c r="H80" i="6"/>
  <c r="U88" i="6"/>
  <c r="F83" i="6"/>
  <c r="N83" i="6" s="1"/>
  <c r="H83" i="6"/>
  <c r="J83" i="6"/>
  <c r="G83" i="6"/>
  <c r="F75" i="6"/>
  <c r="G75" i="6"/>
  <c r="H75" i="6"/>
  <c r="J75" i="6"/>
  <c r="L77" i="6"/>
  <c r="G121" i="6"/>
  <c r="N121" i="6"/>
  <c r="H121" i="6"/>
  <c r="J121" i="6"/>
  <c r="L121" i="6"/>
  <c r="P121" i="6"/>
  <c r="F121" i="6"/>
  <c r="N77" i="6"/>
  <c r="N81" i="6"/>
  <c r="H120" i="6"/>
  <c r="P120" i="6"/>
  <c r="L120" i="6"/>
  <c r="F120" i="6"/>
  <c r="N120" i="6"/>
  <c r="G120" i="6"/>
  <c r="J120" i="6"/>
  <c r="U120" i="6" s="1"/>
  <c r="R91" i="6"/>
  <c r="R62" i="6"/>
  <c r="R79" i="6"/>
  <c r="F118" i="6"/>
  <c r="J118" i="6"/>
  <c r="N118" i="6"/>
  <c r="G118" i="6"/>
  <c r="P118" i="6"/>
  <c r="H118" i="6"/>
  <c r="R89" i="6"/>
  <c r="V89" i="6" s="1"/>
  <c r="U89" i="6"/>
  <c r="L81" i="6"/>
  <c r="U81" i="6" s="1"/>
  <c r="G78" i="6"/>
  <c r="L78" i="6" s="1"/>
  <c r="N78" i="6"/>
  <c r="J78" i="6"/>
  <c r="F78" i="6"/>
  <c r="H78" i="6"/>
  <c r="P78" i="6"/>
  <c r="R82" i="6"/>
  <c r="R94" i="6"/>
  <c r="V94" i="6" s="1"/>
  <c r="U94" i="6"/>
  <c r="U79" i="6"/>
  <c r="W79" i="6" s="1"/>
  <c r="U95" i="6"/>
  <c r="T124" i="6"/>
  <c r="R124" i="6"/>
  <c r="N54" i="6"/>
  <c r="J76" i="6"/>
  <c r="H76" i="6"/>
  <c r="F76" i="6"/>
  <c r="G76" i="6"/>
  <c r="J84" i="6"/>
  <c r="F84" i="6"/>
  <c r="G84" i="6"/>
  <c r="H84" i="6"/>
  <c r="F122" i="6"/>
  <c r="N122" i="6"/>
  <c r="G122" i="6"/>
  <c r="L122" i="6" s="1"/>
  <c r="P122" i="6"/>
  <c r="H122" i="6"/>
  <c r="J122" i="6"/>
  <c r="D127" i="6"/>
  <c r="N103" i="6"/>
  <c r="G109" i="6"/>
  <c r="L109" i="6" s="1"/>
  <c r="N109" i="6"/>
  <c r="J109" i="6"/>
  <c r="F109" i="6"/>
  <c r="P109" i="6"/>
  <c r="H109" i="6"/>
  <c r="L73" i="6"/>
  <c r="R73" i="6" s="1"/>
  <c r="J115" i="6"/>
  <c r="F115" i="6"/>
  <c r="G115" i="6"/>
  <c r="H115" i="6"/>
  <c r="J119" i="6"/>
  <c r="G119" i="6"/>
  <c r="L119" i="6" s="1"/>
  <c r="P119" i="6"/>
  <c r="H119" i="6"/>
  <c r="F119" i="6"/>
  <c r="N119" i="6"/>
  <c r="U90" i="6"/>
  <c r="R90" i="6"/>
  <c r="V90" i="6" s="1"/>
  <c r="U91" i="6"/>
  <c r="W91" i="6" s="1"/>
  <c r="R95" i="6"/>
  <c r="U63" i="6"/>
  <c r="R58" i="6"/>
  <c r="N42" i="6"/>
  <c r="N55" i="6"/>
  <c r="P54" i="6"/>
  <c r="P53" i="6"/>
  <c r="W25" i="6"/>
  <c r="V28" i="6"/>
  <c r="R59" i="6"/>
  <c r="V22" i="6"/>
  <c r="L54" i="6"/>
  <c r="R54" i="6" s="1"/>
  <c r="V21" i="6"/>
  <c r="W12" i="6"/>
  <c r="N49" i="6"/>
  <c r="U55" i="6"/>
  <c r="L45" i="6"/>
  <c r="U45" i="6" s="1"/>
  <c r="P49" i="6"/>
  <c r="N51" i="6"/>
  <c r="P42" i="6"/>
  <c r="T46" i="6"/>
  <c r="R47" i="6"/>
  <c r="U48" i="6"/>
  <c r="W50" i="6"/>
  <c r="L49" i="6"/>
  <c r="R49" i="6" s="1"/>
  <c r="L51" i="6"/>
  <c r="R51" i="6" s="1"/>
  <c r="T57" i="6"/>
  <c r="P44" i="6"/>
  <c r="L53" i="6"/>
  <c r="R53" i="6" s="1"/>
  <c r="P51" i="6"/>
  <c r="W27" i="6"/>
  <c r="U18" i="6"/>
  <c r="W18" i="6" s="1"/>
  <c r="V24" i="6"/>
  <c r="V11" i="6"/>
  <c r="L44" i="6"/>
  <c r="U44" i="6" s="1"/>
  <c r="T50" i="6"/>
  <c r="V50" i="6" s="1"/>
  <c r="U56" i="6"/>
  <c r="P52" i="6"/>
  <c r="R46" i="6"/>
  <c r="U58" i="6"/>
  <c r="L42" i="6"/>
  <c r="U42" i="6" s="1"/>
  <c r="V13" i="6"/>
  <c r="V15" i="6"/>
  <c r="L41" i="6"/>
  <c r="U41" i="6" s="1"/>
  <c r="R55" i="6"/>
  <c r="T47" i="6"/>
  <c r="V47" i="6" s="1"/>
  <c r="T20" i="6"/>
  <c r="T8" i="6"/>
  <c r="V26" i="6"/>
  <c r="T58" i="6"/>
  <c r="N45" i="6"/>
  <c r="F65" i="6"/>
  <c r="F66" i="6" s="1"/>
  <c r="F67" i="6" s="1"/>
  <c r="T60" i="6"/>
  <c r="U46" i="6"/>
  <c r="P55" i="6"/>
  <c r="U62" i="6"/>
  <c r="N43" i="6"/>
  <c r="P41" i="6"/>
  <c r="U47" i="6"/>
  <c r="T63" i="6"/>
  <c r="U59" i="6"/>
  <c r="T62" i="6"/>
  <c r="T56" i="6"/>
  <c r="T59" i="6"/>
  <c r="P45" i="6"/>
  <c r="L52" i="6"/>
  <c r="U52" i="6" s="1"/>
  <c r="R56" i="6"/>
  <c r="R48" i="6"/>
  <c r="R57" i="6"/>
  <c r="U60" i="6"/>
  <c r="N52" i="6"/>
  <c r="N44" i="6"/>
  <c r="T61" i="6"/>
  <c r="N53" i="6"/>
  <c r="R63" i="6"/>
  <c r="H65" i="6"/>
  <c r="H66" i="6" s="1"/>
  <c r="H67" i="6" s="1"/>
  <c r="U57" i="6"/>
  <c r="T48" i="6"/>
  <c r="G65" i="6"/>
  <c r="G66" i="6" s="1"/>
  <c r="G67" i="6" s="1"/>
  <c r="P43" i="6"/>
  <c r="R61" i="6"/>
  <c r="U61" i="6"/>
  <c r="J65" i="6"/>
  <c r="J66" i="6" s="1"/>
  <c r="J67" i="6" s="1"/>
  <c r="P31" i="6"/>
  <c r="W23" i="6"/>
  <c r="W15" i="6"/>
  <c r="W24" i="6"/>
  <c r="W13" i="6"/>
  <c r="R43" i="6"/>
  <c r="R6" i="6"/>
  <c r="W6" i="6" s="1"/>
  <c r="T16" i="6"/>
  <c r="W21" i="6"/>
  <c r="V25" i="6"/>
  <c r="U43" i="6"/>
  <c r="P30" i="6"/>
  <c r="T14" i="6"/>
  <c r="V27" i="6"/>
  <c r="T10" i="6"/>
  <c r="V10" i="6" s="1"/>
  <c r="U17" i="6"/>
  <c r="V12" i="6"/>
  <c r="N31" i="6"/>
  <c r="N30" i="6"/>
  <c r="W17" i="6"/>
  <c r="R16" i="6"/>
  <c r="U16" i="6"/>
  <c r="T18" i="6"/>
  <c r="V18" i="6" s="1"/>
  <c r="L31" i="6"/>
  <c r="L30" i="6"/>
  <c r="T6" i="6"/>
  <c r="U20" i="6"/>
  <c r="R14" i="6"/>
  <c r="W22" i="6"/>
  <c r="U14" i="6"/>
  <c r="R8" i="6"/>
  <c r="W28" i="6"/>
  <c r="U10" i="6"/>
  <c r="W10" i="6" s="1"/>
  <c r="T19" i="6"/>
  <c r="V19" i="6" s="1"/>
  <c r="T7" i="6"/>
  <c r="R7" i="6"/>
  <c r="T17" i="6"/>
  <c r="V17" i="6" s="1"/>
  <c r="T9" i="6"/>
  <c r="R20" i="6"/>
  <c r="U19" i="6"/>
  <c r="W19" i="6" s="1"/>
  <c r="W11" i="6"/>
  <c r="R9" i="6"/>
  <c r="V9" i="6" s="1"/>
  <c r="W26" i="6"/>
  <c r="U8" i="6"/>
  <c r="W36" i="5"/>
  <c r="W165" i="5"/>
  <c r="W155" i="5"/>
  <c r="W152" i="5"/>
  <c r="T158" i="5"/>
  <c r="R158" i="5"/>
  <c r="W158" i="5" s="1"/>
  <c r="T154" i="5"/>
  <c r="R154" i="5"/>
  <c r="W154" i="5" s="1"/>
  <c r="T159" i="5"/>
  <c r="R159" i="5"/>
  <c r="T150" i="5"/>
  <c r="R150" i="5"/>
  <c r="W150" i="5" s="1"/>
  <c r="L171" i="5"/>
  <c r="T146" i="5"/>
  <c r="L170" i="5"/>
  <c r="R146" i="5"/>
  <c r="U146" i="5"/>
  <c r="T157" i="5"/>
  <c r="R157" i="5"/>
  <c r="T148" i="5"/>
  <c r="R148" i="5"/>
  <c r="T149" i="5"/>
  <c r="R149" i="5"/>
  <c r="V149" i="5" s="1"/>
  <c r="P170" i="5"/>
  <c r="P171" i="5"/>
  <c r="U157" i="5"/>
  <c r="T160" i="5"/>
  <c r="R160" i="5"/>
  <c r="T156" i="5"/>
  <c r="R156" i="5"/>
  <c r="W156" i="5" s="1"/>
  <c r="T147" i="5"/>
  <c r="R147" i="5"/>
  <c r="W147" i="5" s="1"/>
  <c r="N171" i="5"/>
  <c r="N170" i="5"/>
  <c r="U159" i="5"/>
  <c r="U148" i="5"/>
  <c r="V35" i="5"/>
  <c r="R10" i="5"/>
  <c r="T10" i="5"/>
  <c r="R7" i="5"/>
  <c r="R11" i="5"/>
  <c r="T7" i="5"/>
  <c r="T11" i="5"/>
  <c r="V16" i="5"/>
  <c r="V32" i="5"/>
  <c r="R17" i="5"/>
  <c r="T23" i="5"/>
  <c r="V29" i="5"/>
  <c r="T22" i="5"/>
  <c r="T17" i="5"/>
  <c r="L40" i="5"/>
  <c r="W7" i="5"/>
  <c r="U23" i="5"/>
  <c r="W18" i="5"/>
  <c r="P40" i="5"/>
  <c r="R23" i="5"/>
  <c r="W31" i="5"/>
  <c r="V37" i="5"/>
  <c r="V30" i="5"/>
  <c r="N40" i="5"/>
  <c r="P39" i="5"/>
  <c r="R8" i="5"/>
  <c r="W15" i="5"/>
  <c r="V31" i="5"/>
  <c r="V22" i="5"/>
  <c r="T24" i="5"/>
  <c r="L39" i="5"/>
  <c r="G114" i="5" s="1"/>
  <c r="W22" i="5"/>
  <c r="W14" i="5"/>
  <c r="T8" i="5"/>
  <c r="R24" i="5"/>
  <c r="N39" i="5"/>
  <c r="V15" i="5"/>
  <c r="V18" i="5"/>
  <c r="T21" i="5"/>
  <c r="R21" i="5"/>
  <c r="U21" i="5"/>
  <c r="W32" i="5"/>
  <c r="T9" i="5"/>
  <c r="R9" i="5"/>
  <c r="U9" i="5"/>
  <c r="W16" i="5"/>
  <c r="V28" i="5"/>
  <c r="W35" i="5"/>
  <c r="V36" i="5"/>
  <c r="T25" i="5"/>
  <c r="R25" i="5"/>
  <c r="U25" i="5"/>
  <c r="W28" i="5"/>
  <c r="W37" i="5"/>
  <c r="W29" i="5"/>
  <c r="V14" i="5"/>
  <c r="W30" i="5"/>
  <c r="V23" i="12" l="1"/>
  <c r="N16" i="13"/>
  <c r="P27" i="13"/>
  <c r="P21" i="13"/>
  <c r="P9" i="13"/>
  <c r="L14" i="14"/>
  <c r="R14" i="14" s="1"/>
  <c r="L27" i="13"/>
  <c r="U27" i="13" s="1"/>
  <c r="J269" i="13"/>
  <c r="J281" i="13" s="1"/>
  <c r="D269" i="14"/>
  <c r="U8" i="13"/>
  <c r="W8" i="13" s="1"/>
  <c r="L21" i="13"/>
  <c r="N9" i="13"/>
  <c r="T9" i="13" s="1"/>
  <c r="V9" i="13" s="1"/>
  <c r="U12" i="13"/>
  <c r="R20" i="12"/>
  <c r="W20" i="12" s="1"/>
  <c r="R26" i="12"/>
  <c r="W26" i="12" s="1"/>
  <c r="J20" i="14"/>
  <c r="T10" i="12"/>
  <c r="L6" i="14"/>
  <c r="R6" i="14" s="1"/>
  <c r="P18" i="14"/>
  <c r="V15" i="12"/>
  <c r="U9" i="13"/>
  <c r="T12" i="12"/>
  <c r="V12" i="12" s="1"/>
  <c r="J13" i="14"/>
  <c r="T20" i="12"/>
  <c r="W15" i="12"/>
  <c r="R5" i="13"/>
  <c r="D282" i="13"/>
  <c r="R10" i="13"/>
  <c r="V10" i="13" s="1"/>
  <c r="U18" i="13"/>
  <c r="R13" i="13"/>
  <c r="V13" i="11"/>
  <c r="W13" i="12"/>
  <c r="H269" i="13"/>
  <c r="H281" i="13" s="1"/>
  <c r="V6" i="11"/>
  <c r="U21" i="13"/>
  <c r="N20" i="14"/>
  <c r="N269" i="12"/>
  <c r="N281" i="12" s="1"/>
  <c r="U38" i="14"/>
  <c r="V218" i="14"/>
  <c r="W210" i="14"/>
  <c r="L16" i="14"/>
  <c r="L20" i="14"/>
  <c r="U20" i="14" s="1"/>
  <c r="L11" i="14"/>
  <c r="P11" i="14"/>
  <c r="P21" i="14"/>
  <c r="W65" i="14"/>
  <c r="R213" i="14"/>
  <c r="W158" i="14"/>
  <c r="R245" i="14"/>
  <c r="P14" i="14"/>
  <c r="W181" i="14"/>
  <c r="T192" i="14"/>
  <c r="T41" i="14"/>
  <c r="V120" i="14"/>
  <c r="U114" i="14"/>
  <c r="U167" i="14"/>
  <c r="W167" i="14" s="1"/>
  <c r="T61" i="14"/>
  <c r="P7" i="14"/>
  <c r="W117" i="14"/>
  <c r="V242" i="14"/>
  <c r="T169" i="14"/>
  <c r="T257" i="14"/>
  <c r="W217" i="14"/>
  <c r="V222" i="14"/>
  <c r="V66" i="14"/>
  <c r="V45" i="14"/>
  <c r="U51" i="14"/>
  <c r="W51" i="14" s="1"/>
  <c r="V246" i="14"/>
  <c r="R146" i="14"/>
  <c r="N8" i="14"/>
  <c r="V125" i="14"/>
  <c r="V198" i="14"/>
  <c r="R60" i="14"/>
  <c r="W139" i="14"/>
  <c r="W249" i="14"/>
  <c r="L12" i="14"/>
  <c r="P26" i="14"/>
  <c r="U34" i="14"/>
  <c r="T42" i="14"/>
  <c r="T202" i="14"/>
  <c r="P280" i="14"/>
  <c r="V151" i="14"/>
  <c r="U190" i="14"/>
  <c r="V193" i="14"/>
  <c r="R153" i="14"/>
  <c r="V153" i="14" s="1"/>
  <c r="V217" i="14"/>
  <c r="V230" i="14"/>
  <c r="V241" i="14"/>
  <c r="P6" i="14"/>
  <c r="L24" i="14"/>
  <c r="R24" i="14" s="1"/>
  <c r="W125" i="14"/>
  <c r="T122" i="14"/>
  <c r="L272" i="14"/>
  <c r="W107" i="14"/>
  <c r="T60" i="14"/>
  <c r="W239" i="14"/>
  <c r="T193" i="14"/>
  <c r="U35" i="14"/>
  <c r="W130" i="14"/>
  <c r="W144" i="14"/>
  <c r="V145" i="14"/>
  <c r="V214" i="14"/>
  <c r="R236" i="14"/>
  <c r="U236" i="14"/>
  <c r="W236" i="14" s="1"/>
  <c r="T84" i="14"/>
  <c r="R84" i="14"/>
  <c r="U84" i="14"/>
  <c r="W84" i="14" s="1"/>
  <c r="T194" i="14"/>
  <c r="U194" i="14"/>
  <c r="R194" i="14"/>
  <c r="W177" i="14"/>
  <c r="T184" i="14"/>
  <c r="U184" i="14"/>
  <c r="T225" i="14"/>
  <c r="R225" i="14"/>
  <c r="V225" i="14" s="1"/>
  <c r="W118" i="14"/>
  <c r="U162" i="14"/>
  <c r="W162" i="14" s="1"/>
  <c r="W205" i="14"/>
  <c r="T143" i="14"/>
  <c r="V201" i="14"/>
  <c r="V186" i="14"/>
  <c r="N24" i="14"/>
  <c r="W215" i="14"/>
  <c r="V258" i="14"/>
  <c r="T256" i="14"/>
  <c r="U256" i="14"/>
  <c r="V224" i="14"/>
  <c r="T231" i="14"/>
  <c r="T254" i="14"/>
  <c r="U254" i="14"/>
  <c r="T203" i="14"/>
  <c r="W103" i="14"/>
  <c r="V98" i="14"/>
  <c r="T127" i="14"/>
  <c r="T265" i="14"/>
  <c r="R265" i="14"/>
  <c r="T154" i="14"/>
  <c r="R154" i="14"/>
  <c r="W227" i="14"/>
  <c r="U145" i="14"/>
  <c r="W145" i="14" s="1"/>
  <c r="T248" i="14"/>
  <c r="V248" i="14" s="1"/>
  <c r="R36" i="14"/>
  <c r="V36" i="14" s="1"/>
  <c r="T259" i="14"/>
  <c r="V259" i="14" s="1"/>
  <c r="U122" i="14"/>
  <c r="R254" i="14"/>
  <c r="V254" i="14" s="1"/>
  <c r="R160" i="14"/>
  <c r="V160" i="14" s="1"/>
  <c r="R143" i="14"/>
  <c r="W152" i="14"/>
  <c r="U225" i="14"/>
  <c r="W233" i="14"/>
  <c r="V243" i="14"/>
  <c r="L23" i="14"/>
  <c r="T23" i="14" s="1"/>
  <c r="V50" i="14"/>
  <c r="V220" i="14"/>
  <c r="N274" i="14"/>
  <c r="V95" i="14"/>
  <c r="T165" i="14"/>
  <c r="R127" i="14"/>
  <c r="V127" i="14" s="1"/>
  <c r="V56" i="14"/>
  <c r="W222" i="14"/>
  <c r="T250" i="14"/>
  <c r="T261" i="14"/>
  <c r="U261" i="14"/>
  <c r="V182" i="14"/>
  <c r="W53" i="14"/>
  <c r="T31" i="14"/>
  <c r="R31" i="14"/>
  <c r="U31" i="14"/>
  <c r="V132" i="14"/>
  <c r="T179" i="14"/>
  <c r="V179" i="14" s="1"/>
  <c r="N271" i="14"/>
  <c r="T211" i="14"/>
  <c r="N275" i="14"/>
  <c r="U173" i="14"/>
  <c r="W173" i="14" s="1"/>
  <c r="L27" i="14"/>
  <c r="U27" i="14" s="1"/>
  <c r="V119" i="14"/>
  <c r="T160" i="14"/>
  <c r="W39" i="14"/>
  <c r="R200" i="14"/>
  <c r="P19" i="14"/>
  <c r="N13" i="14"/>
  <c r="V156" i="14"/>
  <c r="W41" i="14"/>
  <c r="U52" i="14"/>
  <c r="W52" i="14" s="1"/>
  <c r="U46" i="14"/>
  <c r="W46" i="14" s="1"/>
  <c r="U11" i="14"/>
  <c r="V247" i="14"/>
  <c r="V149" i="14"/>
  <c r="P9" i="14"/>
  <c r="V252" i="14"/>
  <c r="W213" i="14"/>
  <c r="U203" i="14"/>
  <c r="V158" i="14"/>
  <c r="U202" i="14"/>
  <c r="W141" i="14"/>
  <c r="W55" i="14"/>
  <c r="U83" i="14"/>
  <c r="T39" i="14"/>
  <c r="R39" i="14"/>
  <c r="T171" i="14"/>
  <c r="V171" i="14" s="1"/>
  <c r="U171" i="14"/>
  <c r="W171" i="14" s="1"/>
  <c r="W81" i="14"/>
  <c r="T262" i="14"/>
  <c r="U262" i="14"/>
  <c r="U259" i="14"/>
  <c r="W259" i="14" s="1"/>
  <c r="N12" i="14"/>
  <c r="T209" i="14"/>
  <c r="T212" i="14"/>
  <c r="V212" i="14" s="1"/>
  <c r="V192" i="14"/>
  <c r="T229" i="14"/>
  <c r="V229" i="14" s="1"/>
  <c r="U229" i="14"/>
  <c r="W229" i="14" s="1"/>
  <c r="R202" i="14"/>
  <c r="V106" i="14"/>
  <c r="T253" i="14"/>
  <c r="V129" i="14"/>
  <c r="P27" i="14"/>
  <c r="V93" i="14"/>
  <c r="W230" i="14"/>
  <c r="V82" i="14"/>
  <c r="W111" i="14"/>
  <c r="V169" i="14"/>
  <c r="V40" i="14"/>
  <c r="P17" i="14"/>
  <c r="V104" i="14"/>
  <c r="V133" i="14"/>
  <c r="N6" i="14"/>
  <c r="T6" i="14" s="1"/>
  <c r="V142" i="14"/>
  <c r="V210" i="14"/>
  <c r="P25" i="14"/>
  <c r="V64" i="14"/>
  <c r="W189" i="14"/>
  <c r="V188" i="14"/>
  <c r="N14" i="14"/>
  <c r="V110" i="14"/>
  <c r="T33" i="14"/>
  <c r="V69" i="14"/>
  <c r="W247" i="14"/>
  <c r="T235" i="14"/>
  <c r="V235" i="14" s="1"/>
  <c r="T49" i="14"/>
  <c r="W66" i="14"/>
  <c r="T28" i="14"/>
  <c r="V28" i="14" s="1"/>
  <c r="V77" i="14"/>
  <c r="W255" i="14"/>
  <c r="V94" i="14"/>
  <c r="V108" i="14"/>
  <c r="R148" i="14"/>
  <c r="W148" i="14" s="1"/>
  <c r="T29" i="14"/>
  <c r="V29" i="14" s="1"/>
  <c r="T124" i="14"/>
  <c r="P10" i="14"/>
  <c r="V89" i="14"/>
  <c r="N15" i="14"/>
  <c r="W98" i="14"/>
  <c r="W73" i="14"/>
  <c r="W126" i="14"/>
  <c r="T260" i="14"/>
  <c r="V260" i="14" s="1"/>
  <c r="V65" i="14"/>
  <c r="T176" i="14"/>
  <c r="V176" i="14" s="1"/>
  <c r="V85" i="14"/>
  <c r="T249" i="14"/>
  <c r="V249" i="14" s="1"/>
  <c r="V107" i="14"/>
  <c r="T138" i="14"/>
  <c r="V138" i="14" s="1"/>
  <c r="R16" i="14"/>
  <c r="F269" i="14"/>
  <c r="F281" i="14" s="1"/>
  <c r="D281" i="14"/>
  <c r="D283" i="14" s="1"/>
  <c r="D282" i="14"/>
  <c r="R37" i="14"/>
  <c r="V37" i="14" s="1"/>
  <c r="L276" i="14"/>
  <c r="T157" i="14"/>
  <c r="N26" i="14"/>
  <c r="T155" i="14"/>
  <c r="T157" i="13"/>
  <c r="R157" i="13"/>
  <c r="W243" i="14"/>
  <c r="P277" i="14"/>
  <c r="L10" i="14"/>
  <c r="R10" i="14" s="1"/>
  <c r="V116" i="14"/>
  <c r="N18" i="14"/>
  <c r="V164" i="14"/>
  <c r="W60" i="14"/>
  <c r="N7" i="14"/>
  <c r="W258" i="14"/>
  <c r="W35" i="14"/>
  <c r="W94" i="14"/>
  <c r="U253" i="14"/>
  <c r="P276" i="14"/>
  <c r="W208" i="14"/>
  <c r="U8" i="12"/>
  <c r="R8" i="12"/>
  <c r="R49" i="14"/>
  <c r="V49" i="14" s="1"/>
  <c r="L277" i="14"/>
  <c r="T180" i="14"/>
  <c r="W156" i="14"/>
  <c r="W245" i="14"/>
  <c r="W112" i="14"/>
  <c r="G419" i="8"/>
  <c r="V280" i="12"/>
  <c r="V276" i="11"/>
  <c r="W274" i="11"/>
  <c r="R271" i="12"/>
  <c r="V280" i="11"/>
  <c r="V20" i="12"/>
  <c r="W275" i="11"/>
  <c r="V270" i="11"/>
  <c r="R279" i="12"/>
  <c r="W279" i="12" s="1"/>
  <c r="V26" i="12"/>
  <c r="V273" i="12"/>
  <c r="V163" i="12"/>
  <c r="R11" i="13"/>
  <c r="R27" i="13"/>
  <c r="W27" i="13" s="1"/>
  <c r="V272" i="12"/>
  <c r="V30" i="13"/>
  <c r="E281" i="13"/>
  <c r="E283" i="13" s="1"/>
  <c r="V150" i="12"/>
  <c r="T114" i="13"/>
  <c r="V114" i="13" s="1"/>
  <c r="V255" i="13"/>
  <c r="V60" i="13"/>
  <c r="V167" i="13"/>
  <c r="V186" i="13"/>
  <c r="R160" i="13"/>
  <c r="V233" i="13"/>
  <c r="W141" i="13"/>
  <c r="V210" i="13"/>
  <c r="T33" i="13"/>
  <c r="V249" i="13"/>
  <c r="V264" i="13"/>
  <c r="V39" i="13"/>
  <c r="U74" i="13"/>
  <c r="W74" i="13" s="1"/>
  <c r="T5" i="13"/>
  <c r="W63" i="13"/>
  <c r="V94" i="13"/>
  <c r="U154" i="14"/>
  <c r="W154" i="14" s="1"/>
  <c r="W134" i="14"/>
  <c r="U42" i="14"/>
  <c r="L19" i="14"/>
  <c r="U16" i="14"/>
  <c r="N16" i="14"/>
  <c r="P20" i="14"/>
  <c r="W67" i="14"/>
  <c r="W190" i="14"/>
  <c r="L22" i="14"/>
  <c r="R22" i="14" s="1"/>
  <c r="L5" i="14"/>
  <c r="U5" i="14" s="1"/>
  <c r="N5" i="14"/>
  <c r="V147" i="14"/>
  <c r="W163" i="14"/>
  <c r="W199" i="14"/>
  <c r="N17" i="14"/>
  <c r="U17" i="14"/>
  <c r="R11" i="14"/>
  <c r="P8" i="14"/>
  <c r="L8" i="14"/>
  <c r="R253" i="14"/>
  <c r="V253" i="14" s="1"/>
  <c r="W214" i="14"/>
  <c r="W179" i="14"/>
  <c r="U211" i="14"/>
  <c r="W176" i="14"/>
  <c r="V213" i="14"/>
  <c r="P270" i="14"/>
  <c r="U6" i="14"/>
  <c r="W142" i="14"/>
  <c r="U159" i="14"/>
  <c r="W30" i="14"/>
  <c r="V191" i="14"/>
  <c r="V41" i="14"/>
  <c r="W195" i="14"/>
  <c r="W151" i="14"/>
  <c r="W71" i="14"/>
  <c r="W169" i="14"/>
  <c r="R62" i="14"/>
  <c r="V62" i="14" s="1"/>
  <c r="W201" i="14"/>
  <c r="P272" i="14"/>
  <c r="U14" i="14"/>
  <c r="P24" i="14"/>
  <c r="U24" i="14"/>
  <c r="W113" i="14"/>
  <c r="W44" i="14"/>
  <c r="U59" i="14"/>
  <c r="W59" i="14" s="1"/>
  <c r="V58" i="14"/>
  <c r="T204" i="14"/>
  <c r="R211" i="14"/>
  <c r="V211" i="14" s="1"/>
  <c r="V165" i="14"/>
  <c r="W218" i="14"/>
  <c r="V117" i="14"/>
  <c r="T178" i="14"/>
  <c r="V178" i="14" s="1"/>
  <c r="W147" i="14"/>
  <c r="T46" i="14"/>
  <c r="N279" i="14"/>
  <c r="W174" i="14"/>
  <c r="V231" i="14"/>
  <c r="R257" i="14"/>
  <c r="V257" i="14" s="1"/>
  <c r="R122" i="14"/>
  <c r="V158" i="12"/>
  <c r="W158" i="12"/>
  <c r="L26" i="14"/>
  <c r="T26" i="14" s="1"/>
  <c r="T83" i="14"/>
  <c r="T272" i="14" s="1"/>
  <c r="R155" i="14"/>
  <c r="V155" i="14" s="1"/>
  <c r="W131" i="14"/>
  <c r="W50" i="14"/>
  <c r="U178" i="14"/>
  <c r="W178" i="14" s="1"/>
  <c r="V73" i="14"/>
  <c r="R33" i="14"/>
  <c r="U29" i="14"/>
  <c r="W29" i="14" s="1"/>
  <c r="W93" i="14"/>
  <c r="W228" i="14"/>
  <c r="R204" i="14"/>
  <c r="T264" i="14"/>
  <c r="V264" i="14" s="1"/>
  <c r="R159" i="14"/>
  <c r="V159" i="14" s="1"/>
  <c r="W63" i="14"/>
  <c r="T173" i="14"/>
  <c r="L18" i="14"/>
  <c r="T18" i="14" s="1"/>
  <c r="L15" i="14"/>
  <c r="U15" i="14" s="1"/>
  <c r="P15" i="14"/>
  <c r="U37" i="14"/>
  <c r="T239" i="14"/>
  <c r="V239" i="14" s="1"/>
  <c r="R261" i="14"/>
  <c r="N272" i="14"/>
  <c r="V57" i="14"/>
  <c r="W149" i="14"/>
  <c r="V135" i="14"/>
  <c r="N277" i="14"/>
  <c r="U264" i="14"/>
  <c r="W264" i="14" s="1"/>
  <c r="W28" i="14"/>
  <c r="V167" i="14"/>
  <c r="T227" i="14"/>
  <c r="U193" i="14"/>
  <c r="W193" i="14" s="1"/>
  <c r="R273" i="14"/>
  <c r="V91" i="14"/>
  <c r="W187" i="14"/>
  <c r="W188" i="14"/>
  <c r="V70" i="14"/>
  <c r="L279" i="14"/>
  <c r="W231" i="14"/>
  <c r="T161" i="14"/>
  <c r="V161" i="14" s="1"/>
  <c r="N276" i="14"/>
  <c r="W88" i="14"/>
  <c r="U204" i="14"/>
  <c r="W204" i="14" s="1"/>
  <c r="T167" i="14"/>
  <c r="T148" i="14"/>
  <c r="V148" i="14" s="1"/>
  <c r="W101" i="14"/>
  <c r="U150" i="14"/>
  <c r="V8" i="12"/>
  <c r="P5" i="14"/>
  <c r="V74" i="14"/>
  <c r="W166" i="14"/>
  <c r="R276" i="12"/>
  <c r="U278" i="12"/>
  <c r="W278" i="12" s="1"/>
  <c r="U12" i="12"/>
  <c r="W12" i="12" s="1"/>
  <c r="T115" i="13"/>
  <c r="V115" i="13" s="1"/>
  <c r="V184" i="13"/>
  <c r="L19" i="13"/>
  <c r="U19" i="13" s="1"/>
  <c r="L276" i="13"/>
  <c r="N279" i="13"/>
  <c r="V243" i="13"/>
  <c r="V208" i="13"/>
  <c r="U33" i="13"/>
  <c r="W33" i="13" s="1"/>
  <c r="R115" i="13"/>
  <c r="W115" i="13" s="1"/>
  <c r="V50" i="13"/>
  <c r="U157" i="13"/>
  <c r="W157" i="13" s="1"/>
  <c r="V58" i="13"/>
  <c r="R27" i="14"/>
  <c r="V80" i="14"/>
  <c r="R180" i="14"/>
  <c r="V244" i="14"/>
  <c r="N19" i="14"/>
  <c r="U19" i="14"/>
  <c r="P13" i="14"/>
  <c r="P22" i="14"/>
  <c r="G269" i="14"/>
  <c r="G281" i="14" s="1"/>
  <c r="W64" i="14"/>
  <c r="R256" i="14"/>
  <c r="V256" i="14" s="1"/>
  <c r="R209" i="14"/>
  <c r="W86" i="14"/>
  <c r="W234" i="14"/>
  <c r="W182" i="14"/>
  <c r="R17" i="14"/>
  <c r="L21" i="14"/>
  <c r="R21" i="14" s="1"/>
  <c r="V228" i="14"/>
  <c r="W78" i="14"/>
  <c r="L9" i="14"/>
  <c r="U155" i="14"/>
  <c r="V232" i="14"/>
  <c r="W116" i="14"/>
  <c r="L25" i="14"/>
  <c r="U25" i="14" s="1"/>
  <c r="N25" i="14"/>
  <c r="W246" i="14"/>
  <c r="W248" i="14"/>
  <c r="T172" i="14"/>
  <c r="U158" i="13"/>
  <c r="W158" i="13" s="1"/>
  <c r="R158" i="13"/>
  <c r="R34" i="14"/>
  <c r="V34" i="14" s="1"/>
  <c r="N270" i="14"/>
  <c r="T38" i="14"/>
  <c r="V38" i="14" s="1"/>
  <c r="V30" i="14"/>
  <c r="W238" i="14"/>
  <c r="V250" i="14"/>
  <c r="W223" i="14"/>
  <c r="W161" i="14"/>
  <c r="W194" i="14"/>
  <c r="U226" i="14"/>
  <c r="W226" i="14" s="1"/>
  <c r="R42" i="14"/>
  <c r="V42" i="14" s="1"/>
  <c r="P271" i="14"/>
  <c r="L280" i="14"/>
  <c r="T245" i="14"/>
  <c r="W175" i="14"/>
  <c r="W206" i="14"/>
  <c r="W263" i="14"/>
  <c r="L270" i="14"/>
  <c r="U10" i="14"/>
  <c r="N10" i="14"/>
  <c r="V237" i="14"/>
  <c r="W143" i="14"/>
  <c r="T190" i="14"/>
  <c r="V190" i="14" s="1"/>
  <c r="N280" i="14"/>
  <c r="T137" i="14"/>
  <c r="U62" i="14"/>
  <c r="L274" i="14"/>
  <c r="T114" i="14"/>
  <c r="R150" i="14"/>
  <c r="V150" i="14" s="1"/>
  <c r="W104" i="14"/>
  <c r="V181" i="14"/>
  <c r="R172" i="14"/>
  <c r="R203" i="14"/>
  <c r="T168" i="14"/>
  <c r="V168" i="14" s="1"/>
  <c r="U127" i="14"/>
  <c r="W220" i="14"/>
  <c r="T170" i="14"/>
  <c r="V170" i="14" s="1"/>
  <c r="T146" i="14"/>
  <c r="V146" i="14" s="1"/>
  <c r="T238" i="14"/>
  <c r="V238" i="14" s="1"/>
  <c r="W250" i="14"/>
  <c r="V140" i="14"/>
  <c r="W216" i="14"/>
  <c r="V223" i="14"/>
  <c r="R157" i="14"/>
  <c r="W105" i="14"/>
  <c r="U260" i="14"/>
  <c r="W260" i="14" s="1"/>
  <c r="W119" i="14"/>
  <c r="R83" i="14"/>
  <c r="W133" i="14"/>
  <c r="W56" i="14"/>
  <c r="R184" i="14"/>
  <c r="V184" i="14" s="1"/>
  <c r="W92" i="14"/>
  <c r="R137" i="14"/>
  <c r="T115" i="14"/>
  <c r="V115" i="14" s="1"/>
  <c r="W120" i="14"/>
  <c r="R173" i="13"/>
  <c r="R276" i="13" s="1"/>
  <c r="W137" i="14"/>
  <c r="U275" i="14"/>
  <c r="W135" i="14"/>
  <c r="W90" i="14"/>
  <c r="V227" i="14"/>
  <c r="V208" i="14"/>
  <c r="T276" i="12"/>
  <c r="R270" i="12"/>
  <c r="V270" i="12" s="1"/>
  <c r="U277" i="12"/>
  <c r="V203" i="13"/>
  <c r="R22" i="13"/>
  <c r="P22" i="13"/>
  <c r="L279" i="13"/>
  <c r="N278" i="13"/>
  <c r="T224" i="13"/>
  <c r="U10" i="13"/>
  <c r="W10" i="13" s="1"/>
  <c r="V189" i="13"/>
  <c r="L274" i="13"/>
  <c r="L272" i="13"/>
  <c r="W253" i="13"/>
  <c r="W90" i="13"/>
  <c r="N22" i="13"/>
  <c r="V168" i="13"/>
  <c r="W39" i="13"/>
  <c r="W192" i="14"/>
  <c r="W38" i="14"/>
  <c r="V173" i="14"/>
  <c r="P16" i="14"/>
  <c r="L13" i="14"/>
  <c r="H269" i="14"/>
  <c r="H281" i="14" s="1"/>
  <c r="E281" i="14"/>
  <c r="E283" i="14" s="1"/>
  <c r="E282" i="14"/>
  <c r="W224" i="14"/>
  <c r="W146" i="14"/>
  <c r="V219" i="14"/>
  <c r="U209" i="14"/>
  <c r="P279" i="14"/>
  <c r="U157" i="14"/>
  <c r="V44" i="14"/>
  <c r="N21" i="14"/>
  <c r="U49" i="14"/>
  <c r="N9" i="14"/>
  <c r="W200" i="14"/>
  <c r="R237" i="13"/>
  <c r="V237" i="13" s="1"/>
  <c r="U237" i="13"/>
  <c r="W244" i="14"/>
  <c r="W32" i="12"/>
  <c r="L271" i="14"/>
  <c r="T48" i="14"/>
  <c r="V245" i="14"/>
  <c r="W40" i="14"/>
  <c r="U61" i="14"/>
  <c r="W36" i="14"/>
  <c r="W32" i="14"/>
  <c r="W153" i="14"/>
  <c r="W110" i="14"/>
  <c r="W164" i="14"/>
  <c r="U257" i="14"/>
  <c r="W257" i="14" s="1"/>
  <c r="T226" i="14"/>
  <c r="V226" i="14" s="1"/>
  <c r="W80" i="14"/>
  <c r="P275" i="14"/>
  <c r="L278" i="14"/>
  <c r="T200" i="14"/>
  <c r="W185" i="14"/>
  <c r="V195" i="14"/>
  <c r="T118" i="14"/>
  <c r="V118" i="14" s="1"/>
  <c r="T255" i="14"/>
  <c r="V255" i="14" s="1"/>
  <c r="V46" i="14"/>
  <c r="W75" i="14"/>
  <c r="T35" i="14"/>
  <c r="V35" i="14" s="1"/>
  <c r="W186" i="14"/>
  <c r="N11" i="13"/>
  <c r="T11" i="13" s="1"/>
  <c r="V11" i="13" s="1"/>
  <c r="T236" i="14"/>
  <c r="V236" i="14" s="1"/>
  <c r="W74" i="14"/>
  <c r="T59" i="14"/>
  <c r="V59" i="14" s="1"/>
  <c r="R12" i="14"/>
  <c r="U235" i="14"/>
  <c r="W235" i="14" s="1"/>
  <c r="U43" i="14"/>
  <c r="W241" i="14"/>
  <c r="T177" i="14"/>
  <c r="V177" i="14" s="1"/>
  <c r="R48" i="14"/>
  <c r="W48" i="14" s="1"/>
  <c r="V139" i="14"/>
  <c r="U274" i="14"/>
  <c r="W114" i="14"/>
  <c r="U172" i="14"/>
  <c r="W232" i="14"/>
  <c r="U106" i="13"/>
  <c r="W106" i="13" s="1"/>
  <c r="T106" i="13"/>
  <c r="V106" i="13" s="1"/>
  <c r="W207" i="14"/>
  <c r="T273" i="14"/>
  <c r="T52" i="14"/>
  <c r="V52" i="14" s="1"/>
  <c r="W70" i="14"/>
  <c r="W106" i="14"/>
  <c r="T32" i="14"/>
  <c r="V32" i="14" s="1"/>
  <c r="P274" i="14"/>
  <c r="W115" i="14"/>
  <c r="T144" i="14"/>
  <c r="V144" i="14" s="1"/>
  <c r="W99" i="14"/>
  <c r="T183" i="14"/>
  <c r="V183" i="14" s="1"/>
  <c r="W58" i="14"/>
  <c r="R124" i="14"/>
  <c r="V124" i="14" s="1"/>
  <c r="R43" i="14"/>
  <c r="V43" i="14" s="1"/>
  <c r="W252" i="14"/>
  <c r="U51" i="13"/>
  <c r="R51" i="13"/>
  <c r="V51" i="13" s="1"/>
  <c r="T136" i="14"/>
  <c r="L7" i="14"/>
  <c r="W54" i="14"/>
  <c r="W191" i="14"/>
  <c r="R262" i="14"/>
  <c r="T128" i="14"/>
  <c r="V128" i="14" s="1"/>
  <c r="U273" i="14"/>
  <c r="W273" i="14" s="1"/>
  <c r="W91" i="14"/>
  <c r="T166" i="14"/>
  <c r="V166" i="14" s="1"/>
  <c r="W132" i="14"/>
  <c r="R61" i="14"/>
  <c r="V61" i="14" s="1"/>
  <c r="T162" i="14"/>
  <c r="V162" i="14" s="1"/>
  <c r="T174" i="14"/>
  <c r="V174" i="14" s="1"/>
  <c r="W251" i="14"/>
  <c r="N278" i="14"/>
  <c r="T263" i="14"/>
  <c r="V263" i="14" s="1"/>
  <c r="U170" i="14"/>
  <c r="W170" i="14" s="1"/>
  <c r="L275" i="14"/>
  <c r="V144" i="13"/>
  <c r="U24" i="13"/>
  <c r="W24" i="13" s="1"/>
  <c r="V253" i="13"/>
  <c r="V49" i="13"/>
  <c r="W94" i="13"/>
  <c r="W40" i="13"/>
  <c r="W152" i="13"/>
  <c r="T24" i="13"/>
  <c r="V239" i="13"/>
  <c r="W189" i="13"/>
  <c r="V126" i="13"/>
  <c r="W111" i="13"/>
  <c r="V213" i="13"/>
  <c r="W93" i="13"/>
  <c r="V121" i="13"/>
  <c r="V47" i="13"/>
  <c r="V226" i="13"/>
  <c r="R273" i="13"/>
  <c r="V262" i="13"/>
  <c r="V66" i="13"/>
  <c r="T6" i="13"/>
  <c r="V6" i="13" s="1"/>
  <c r="V108" i="13"/>
  <c r="W31" i="13"/>
  <c r="V259" i="13"/>
  <c r="V165" i="13"/>
  <c r="V102" i="13"/>
  <c r="W99" i="13"/>
  <c r="T27" i="13"/>
  <c r="V140" i="13"/>
  <c r="W222" i="13"/>
  <c r="W206" i="13"/>
  <c r="V83" i="13"/>
  <c r="T20" i="13"/>
  <c r="T18" i="13"/>
  <c r="R26" i="13"/>
  <c r="W26" i="13" s="1"/>
  <c r="V179" i="13"/>
  <c r="V71" i="13"/>
  <c r="V98" i="13"/>
  <c r="W38" i="13"/>
  <c r="V193" i="13"/>
  <c r="U6" i="13"/>
  <c r="W6" i="13" s="1"/>
  <c r="R9" i="13"/>
  <c r="W9" i="13" s="1"/>
  <c r="R7" i="13"/>
  <c r="W7" i="13" s="1"/>
  <c r="W121" i="13"/>
  <c r="W219" i="13"/>
  <c r="U14" i="13"/>
  <c r="W14" i="13" s="1"/>
  <c r="W55" i="13"/>
  <c r="V224" i="13"/>
  <c r="V150" i="13"/>
  <c r="W47" i="13"/>
  <c r="V43" i="13"/>
  <c r="V128" i="13"/>
  <c r="V252" i="13"/>
  <c r="R18" i="13"/>
  <c r="R21" i="13"/>
  <c r="V164" i="13"/>
  <c r="V261" i="13"/>
  <c r="T10" i="13"/>
  <c r="V160" i="13"/>
  <c r="W214" i="13"/>
  <c r="V124" i="13"/>
  <c r="U272" i="13"/>
  <c r="V211" i="13"/>
  <c r="T277" i="13"/>
  <c r="T276" i="13"/>
  <c r="W254" i="13"/>
  <c r="V148" i="13"/>
  <c r="W261" i="13"/>
  <c r="V248" i="13"/>
  <c r="U20" i="13"/>
  <c r="U278" i="13"/>
  <c r="W168" i="13"/>
  <c r="W43" i="13"/>
  <c r="W44" i="13"/>
  <c r="W149" i="13"/>
  <c r="V72" i="13"/>
  <c r="W210" i="13"/>
  <c r="W88" i="13"/>
  <c r="V178" i="13"/>
  <c r="T17" i="13"/>
  <c r="W34" i="13"/>
  <c r="R17" i="13"/>
  <c r="V141" i="13"/>
  <c r="W124" i="13"/>
  <c r="V263" i="13"/>
  <c r="V45" i="13"/>
  <c r="W102" i="13"/>
  <c r="W128" i="13"/>
  <c r="V251" i="13"/>
  <c r="W234" i="13"/>
  <c r="V222" i="13"/>
  <c r="V38" i="13"/>
  <c r="R20" i="13"/>
  <c r="V234" i="13"/>
  <c r="T14" i="13"/>
  <c r="V14" i="13" s="1"/>
  <c r="W15" i="13"/>
  <c r="V159" i="13"/>
  <c r="V188" i="13"/>
  <c r="R274" i="13"/>
  <c r="V202" i="13"/>
  <c r="V205" i="13"/>
  <c r="T12" i="13"/>
  <c r="W79" i="13"/>
  <c r="W160" i="13"/>
  <c r="V59" i="13"/>
  <c r="V93" i="13"/>
  <c r="V31" i="13"/>
  <c r="V55" i="13"/>
  <c r="V219" i="13"/>
  <c r="W58" i="13"/>
  <c r="V24" i="13"/>
  <c r="W249" i="13"/>
  <c r="T273" i="13"/>
  <c r="W159" i="13"/>
  <c r="W72" i="13"/>
  <c r="T8" i="13"/>
  <c r="V8" i="13" s="1"/>
  <c r="W263" i="13"/>
  <c r="V235" i="13"/>
  <c r="W213" i="13"/>
  <c r="W259" i="13"/>
  <c r="T278" i="13"/>
  <c r="W186" i="13"/>
  <c r="U274" i="13"/>
  <c r="P269" i="13"/>
  <c r="P281" i="13" s="1"/>
  <c r="W226" i="13"/>
  <c r="V149" i="13"/>
  <c r="T13" i="13"/>
  <c r="W59" i="13"/>
  <c r="W188" i="13"/>
  <c r="W251" i="13"/>
  <c r="W108" i="13"/>
  <c r="W211" i="13"/>
  <c r="V57" i="13"/>
  <c r="W57" i="13"/>
  <c r="V103" i="13"/>
  <c r="V33" i="13"/>
  <c r="W233" i="13"/>
  <c r="V25" i="13"/>
  <c r="V35" i="13"/>
  <c r="W239" i="13"/>
  <c r="V254" i="13"/>
  <c r="V136" i="13"/>
  <c r="W35" i="13"/>
  <c r="R12" i="13"/>
  <c r="W12" i="13" s="1"/>
  <c r="V34" i="13"/>
  <c r="R272" i="13"/>
  <c r="V181" i="13"/>
  <c r="V225" i="13"/>
  <c r="W103" i="13"/>
  <c r="V44" i="13"/>
  <c r="V214" i="13"/>
  <c r="V88" i="13"/>
  <c r="W144" i="13"/>
  <c r="W264" i="13"/>
  <c r="U21" i="12"/>
  <c r="U269" i="12" s="1"/>
  <c r="R21" i="12"/>
  <c r="T275" i="13"/>
  <c r="R270" i="13"/>
  <c r="V28" i="13"/>
  <c r="V46" i="13"/>
  <c r="T16" i="13"/>
  <c r="U16" i="13"/>
  <c r="R280" i="13"/>
  <c r="R279" i="13"/>
  <c r="V223" i="13"/>
  <c r="W148" i="13"/>
  <c r="T270" i="13"/>
  <c r="V84" i="12"/>
  <c r="W248" i="13"/>
  <c r="V158" i="13"/>
  <c r="R278" i="13"/>
  <c r="R23" i="13"/>
  <c r="U280" i="13"/>
  <c r="W17" i="11"/>
  <c r="V23" i="11"/>
  <c r="V277" i="11"/>
  <c r="L269" i="12"/>
  <c r="L281" i="12" s="1"/>
  <c r="P281" i="12"/>
  <c r="T274" i="12"/>
  <c r="V274" i="12" s="1"/>
  <c r="V236" i="13"/>
  <c r="W59" i="12"/>
  <c r="R16" i="13"/>
  <c r="W5" i="13"/>
  <c r="T272" i="13"/>
  <c r="V157" i="12"/>
  <c r="W157" i="12"/>
  <c r="W46" i="13"/>
  <c r="T280" i="13"/>
  <c r="W252" i="13"/>
  <c r="W236" i="13"/>
  <c r="V265" i="13"/>
  <c r="W136" i="13"/>
  <c r="V48" i="13"/>
  <c r="V245" i="13"/>
  <c r="W167" i="13"/>
  <c r="R10" i="12"/>
  <c r="V10" i="12" s="1"/>
  <c r="U10" i="12"/>
  <c r="W243" i="13"/>
  <c r="V135" i="13"/>
  <c r="T279" i="13"/>
  <c r="W235" i="13"/>
  <c r="V15" i="13"/>
  <c r="W11" i="13"/>
  <c r="T7" i="13"/>
  <c r="R269" i="11"/>
  <c r="R282" i="11" s="1"/>
  <c r="R277" i="13"/>
  <c r="T274" i="13"/>
  <c r="W184" i="13"/>
  <c r="W22" i="13"/>
  <c r="T271" i="13"/>
  <c r="W13" i="13"/>
  <c r="T23" i="13"/>
  <c r="W60" i="13"/>
  <c r="R275" i="13"/>
  <c r="W30" i="13"/>
  <c r="U277" i="13"/>
  <c r="W255" i="13"/>
  <c r="V82" i="6"/>
  <c r="V279" i="11"/>
  <c r="W23" i="11"/>
  <c r="W270" i="11"/>
  <c r="W273" i="12"/>
  <c r="T85" i="6"/>
  <c r="V85" i="6" s="1"/>
  <c r="V18" i="12"/>
  <c r="W167" i="12"/>
  <c r="V17" i="12"/>
  <c r="T21" i="12"/>
  <c r="W193" i="13"/>
  <c r="V5" i="13"/>
  <c r="W25" i="13"/>
  <c r="V91" i="13"/>
  <c r="V201" i="12"/>
  <c r="U271" i="13"/>
  <c r="W48" i="13"/>
  <c r="V142" i="13"/>
  <c r="W202" i="13"/>
  <c r="U275" i="13"/>
  <c r="V232" i="12"/>
  <c r="T21" i="13"/>
  <c r="T26" i="13"/>
  <c r="U279" i="13"/>
  <c r="W223" i="13"/>
  <c r="R14" i="12"/>
  <c r="V14" i="12" s="1"/>
  <c r="U14" i="12"/>
  <c r="W164" i="13"/>
  <c r="W84" i="12"/>
  <c r="W28" i="13"/>
  <c r="W201" i="12"/>
  <c r="V200" i="13"/>
  <c r="W190" i="13"/>
  <c r="V277" i="12"/>
  <c r="V25" i="12"/>
  <c r="V27" i="12"/>
  <c r="W18" i="12"/>
  <c r="W27" i="12"/>
  <c r="W17" i="12"/>
  <c r="W275" i="12"/>
  <c r="V279" i="12"/>
  <c r="V278" i="12"/>
  <c r="W274" i="12"/>
  <c r="V24" i="12"/>
  <c r="W277" i="12"/>
  <c r="V271" i="12"/>
  <c r="R85" i="6"/>
  <c r="U85" i="6"/>
  <c r="V92" i="6"/>
  <c r="W272" i="11"/>
  <c r="V276" i="12"/>
  <c r="W5" i="11"/>
  <c r="U269" i="11"/>
  <c r="W25" i="12"/>
  <c r="W24" i="12"/>
  <c r="W277" i="11"/>
  <c r="W276" i="11"/>
  <c r="W5" i="12"/>
  <c r="L84" i="6"/>
  <c r="R84" i="6" s="1"/>
  <c r="N214" i="6"/>
  <c r="P75" i="6"/>
  <c r="W279" i="11"/>
  <c r="V5" i="12"/>
  <c r="W271" i="12"/>
  <c r="W273" i="11"/>
  <c r="W276" i="12"/>
  <c r="W13" i="11"/>
  <c r="V60" i="6"/>
  <c r="V95" i="6"/>
  <c r="V91" i="6"/>
  <c r="G418" i="8"/>
  <c r="W124" i="6"/>
  <c r="V278" i="11"/>
  <c r="V274" i="11"/>
  <c r="V5" i="11"/>
  <c r="T269" i="11"/>
  <c r="T281" i="11" s="1"/>
  <c r="V275" i="11"/>
  <c r="W278" i="11"/>
  <c r="W280" i="12"/>
  <c r="V275" i="12"/>
  <c r="W10" i="11"/>
  <c r="C404" i="8"/>
  <c r="C402" i="8"/>
  <c r="R81" i="6"/>
  <c r="W81" i="6" s="1"/>
  <c r="P214" i="6"/>
  <c r="F214" i="6"/>
  <c r="V124" i="6"/>
  <c r="W94" i="6"/>
  <c r="L118" i="6"/>
  <c r="L214" i="6" s="1"/>
  <c r="G214" i="6"/>
  <c r="V79" i="6"/>
  <c r="L75" i="6"/>
  <c r="R75" i="6" s="1"/>
  <c r="L83" i="6"/>
  <c r="U83" i="6" s="1"/>
  <c r="N86" i="6"/>
  <c r="T86" i="6" s="1"/>
  <c r="P74" i="6"/>
  <c r="N111" i="6"/>
  <c r="P87" i="6"/>
  <c r="L87" i="6"/>
  <c r="U87" i="6" s="1"/>
  <c r="U370" i="8"/>
  <c r="G433" i="8" s="1"/>
  <c r="T370" i="8"/>
  <c r="C418" i="8" s="1"/>
  <c r="V157" i="5"/>
  <c r="W90" i="6"/>
  <c r="J117" i="6"/>
  <c r="R87" i="6"/>
  <c r="W95" i="6"/>
  <c r="W89" i="6"/>
  <c r="H214" i="6"/>
  <c r="J214" i="6"/>
  <c r="W88" i="6"/>
  <c r="W85" i="6"/>
  <c r="W82" i="6"/>
  <c r="W92" i="6"/>
  <c r="V358" i="8"/>
  <c r="R371" i="8"/>
  <c r="R370" i="8"/>
  <c r="R372" i="8" s="1"/>
  <c r="W358" i="8"/>
  <c r="G97" i="6"/>
  <c r="T80" i="6"/>
  <c r="T93" i="6"/>
  <c r="F117" i="6"/>
  <c r="G117" i="6"/>
  <c r="P117" i="6" s="1"/>
  <c r="W60" i="6"/>
  <c r="V62" i="6"/>
  <c r="T54" i="6"/>
  <c r="V54" i="6" s="1"/>
  <c r="N84" i="6"/>
  <c r="N76" i="6"/>
  <c r="T78" i="6"/>
  <c r="H117" i="6"/>
  <c r="L74" i="6"/>
  <c r="U74" i="6" s="1"/>
  <c r="L111" i="6"/>
  <c r="U111" i="6" s="1"/>
  <c r="P107" i="6"/>
  <c r="P103" i="6"/>
  <c r="L103" i="6"/>
  <c r="D217" i="6"/>
  <c r="E217" i="6"/>
  <c r="P111" i="6"/>
  <c r="L107" i="6"/>
  <c r="R107" i="6" s="1"/>
  <c r="T122" i="6"/>
  <c r="T119" i="6"/>
  <c r="N115" i="6"/>
  <c r="U121" i="6"/>
  <c r="T125" i="6"/>
  <c r="T109" i="6"/>
  <c r="R120" i="6"/>
  <c r="W120" i="6" s="1"/>
  <c r="R121" i="6"/>
  <c r="R109" i="6"/>
  <c r="V109" i="6" s="1"/>
  <c r="U109" i="6"/>
  <c r="F114" i="6"/>
  <c r="H114" i="6"/>
  <c r="J114" i="6"/>
  <c r="G114" i="6"/>
  <c r="L76" i="6"/>
  <c r="U78" i="6"/>
  <c r="T77" i="6"/>
  <c r="R80" i="6"/>
  <c r="R125" i="6"/>
  <c r="V125" i="6" s="1"/>
  <c r="U125" i="6"/>
  <c r="J97" i="6"/>
  <c r="P115" i="6"/>
  <c r="U122" i="6"/>
  <c r="P76" i="6"/>
  <c r="R76" i="6"/>
  <c r="R78" i="6"/>
  <c r="H97" i="6"/>
  <c r="G113" i="6"/>
  <c r="F113" i="6"/>
  <c r="H113" i="6"/>
  <c r="J113" i="6"/>
  <c r="H116" i="6"/>
  <c r="J116" i="6"/>
  <c r="F116" i="6"/>
  <c r="G116" i="6"/>
  <c r="N74" i="6"/>
  <c r="U77" i="6"/>
  <c r="W62" i="6"/>
  <c r="U119" i="6"/>
  <c r="R122" i="6"/>
  <c r="P84" i="6"/>
  <c r="F106" i="6"/>
  <c r="G106" i="6"/>
  <c r="H106" i="6"/>
  <c r="J106" i="6"/>
  <c r="T120" i="6"/>
  <c r="G105" i="6"/>
  <c r="H105" i="6"/>
  <c r="J105" i="6"/>
  <c r="F105" i="6"/>
  <c r="N75" i="6"/>
  <c r="P83" i="6"/>
  <c r="U80" i="6"/>
  <c r="U86" i="6"/>
  <c r="R112" i="6"/>
  <c r="V112" i="6" s="1"/>
  <c r="N107" i="6"/>
  <c r="U93" i="6"/>
  <c r="T55" i="6"/>
  <c r="V55" i="6" s="1"/>
  <c r="R119" i="6"/>
  <c r="V119" i="6" s="1"/>
  <c r="L115" i="6"/>
  <c r="U115" i="6" s="1"/>
  <c r="T73" i="6"/>
  <c r="V73" i="6" s="1"/>
  <c r="H108" i="6"/>
  <c r="P108" i="6"/>
  <c r="F108" i="6"/>
  <c r="N108" i="6"/>
  <c r="G108" i="6"/>
  <c r="J108" i="6"/>
  <c r="T81" i="6"/>
  <c r="F97" i="6"/>
  <c r="T121" i="6"/>
  <c r="F110" i="6"/>
  <c r="G110" i="6"/>
  <c r="L110" i="6" s="1"/>
  <c r="P110" i="6"/>
  <c r="H110" i="6"/>
  <c r="J110" i="6"/>
  <c r="N110" i="6"/>
  <c r="R86" i="6"/>
  <c r="U112" i="6"/>
  <c r="G104" i="6"/>
  <c r="H104" i="6"/>
  <c r="H211" i="6" s="1"/>
  <c r="J104" i="6"/>
  <c r="F104" i="6"/>
  <c r="E127" i="6"/>
  <c r="R111" i="6"/>
  <c r="R77" i="6"/>
  <c r="J123" i="6"/>
  <c r="J215" i="6" s="1"/>
  <c r="H123" i="6"/>
  <c r="H215" i="6" s="1"/>
  <c r="F123" i="6"/>
  <c r="F215" i="6" s="1"/>
  <c r="N123" i="6"/>
  <c r="N215" i="6" s="1"/>
  <c r="G123" i="6"/>
  <c r="G215" i="6" s="1"/>
  <c r="P123" i="6"/>
  <c r="P215" i="6" s="1"/>
  <c r="R93" i="6"/>
  <c r="U73" i="6"/>
  <c r="W73" i="6" s="1"/>
  <c r="V58" i="6"/>
  <c r="V59" i="6"/>
  <c r="W58" i="6"/>
  <c r="U54" i="6"/>
  <c r="W54" i="6" s="1"/>
  <c r="W59" i="6"/>
  <c r="W55" i="6"/>
  <c r="V20" i="6"/>
  <c r="V8" i="6"/>
  <c r="V48" i="6"/>
  <c r="V16" i="6"/>
  <c r="W47" i="6"/>
  <c r="W48" i="6"/>
  <c r="U53" i="6"/>
  <c r="W53" i="6" s="1"/>
  <c r="N65" i="6"/>
  <c r="N66" i="6" s="1"/>
  <c r="N67" i="6" s="1"/>
  <c r="W56" i="6"/>
  <c r="T49" i="6"/>
  <c r="V49" i="6" s="1"/>
  <c r="R45" i="6"/>
  <c r="V46" i="6"/>
  <c r="U49" i="6"/>
  <c r="W49" i="6" s="1"/>
  <c r="T45" i="6"/>
  <c r="W46" i="6"/>
  <c r="R44" i="6"/>
  <c r="V57" i="6"/>
  <c r="V6" i="6"/>
  <c r="T51" i="6"/>
  <c r="V51" i="6" s="1"/>
  <c r="W43" i="6"/>
  <c r="R41" i="6"/>
  <c r="W41" i="6" s="1"/>
  <c r="V56" i="6"/>
  <c r="T53" i="6"/>
  <c r="V53" i="6" s="1"/>
  <c r="U51" i="6"/>
  <c r="W51" i="6" s="1"/>
  <c r="V14" i="6"/>
  <c r="W57" i="6"/>
  <c r="V63" i="6"/>
  <c r="R42" i="6"/>
  <c r="T42" i="6"/>
  <c r="T41" i="6"/>
  <c r="P65" i="6"/>
  <c r="P66" i="6" s="1"/>
  <c r="P67" i="6" s="1"/>
  <c r="R52" i="6"/>
  <c r="W52" i="6" s="1"/>
  <c r="T52" i="6"/>
  <c r="T43" i="6"/>
  <c r="V43" i="6" s="1"/>
  <c r="L65" i="6"/>
  <c r="L66" i="6" s="1"/>
  <c r="L67" i="6" s="1"/>
  <c r="V61" i="6"/>
  <c r="W63" i="6"/>
  <c r="T44" i="6"/>
  <c r="W61" i="6"/>
  <c r="W8" i="6"/>
  <c r="V7" i="6"/>
  <c r="R30" i="6"/>
  <c r="R31" i="6"/>
  <c r="W9" i="6"/>
  <c r="W20" i="6"/>
  <c r="U31" i="6"/>
  <c r="U30" i="6"/>
  <c r="W14" i="6"/>
  <c r="T31" i="6"/>
  <c r="T30" i="6"/>
  <c r="W16" i="6"/>
  <c r="W7" i="6"/>
  <c r="V11" i="5"/>
  <c r="W148" i="5"/>
  <c r="V147" i="5"/>
  <c r="V160" i="5"/>
  <c r="V159" i="5"/>
  <c r="W159" i="5"/>
  <c r="V148" i="5"/>
  <c r="U171" i="5"/>
  <c r="U170" i="5"/>
  <c r="W146" i="5"/>
  <c r="V158" i="5"/>
  <c r="W160" i="5"/>
  <c r="T171" i="5"/>
  <c r="T170" i="5"/>
  <c r="V156" i="5"/>
  <c r="W157" i="5"/>
  <c r="R170" i="5"/>
  <c r="V146" i="5"/>
  <c r="R171" i="5"/>
  <c r="V150" i="5"/>
  <c r="V154" i="5"/>
  <c r="W149" i="5"/>
  <c r="C97" i="5"/>
  <c r="G113" i="5"/>
  <c r="W11" i="5"/>
  <c r="V7" i="5"/>
  <c r="V10" i="5"/>
  <c r="W10" i="5"/>
  <c r="C98" i="5"/>
  <c r="G97" i="5"/>
  <c r="V23" i="5"/>
  <c r="V17" i="5"/>
  <c r="W17" i="5"/>
  <c r="W23" i="5"/>
  <c r="C96" i="5"/>
  <c r="C129" i="5"/>
  <c r="W25" i="5"/>
  <c r="U40" i="5"/>
  <c r="T40" i="5"/>
  <c r="V8" i="5"/>
  <c r="V21" i="5"/>
  <c r="R40" i="5"/>
  <c r="T39" i="5"/>
  <c r="C113" i="5" s="1"/>
  <c r="V25" i="5"/>
  <c r="W8" i="5"/>
  <c r="V24" i="5"/>
  <c r="W24" i="5"/>
  <c r="V9" i="5"/>
  <c r="W21" i="5"/>
  <c r="R39" i="5"/>
  <c r="G128" i="5" s="1"/>
  <c r="W9" i="5"/>
  <c r="U39" i="5"/>
  <c r="G129" i="5" s="1"/>
  <c r="V13" i="13" l="1"/>
  <c r="J269" i="14"/>
  <c r="J281" i="14" s="1"/>
  <c r="T22" i="13"/>
  <c r="V22" i="13" s="1"/>
  <c r="T269" i="12"/>
  <c r="T281" i="12" s="1"/>
  <c r="R18" i="14"/>
  <c r="V18" i="14" s="1"/>
  <c r="T14" i="14"/>
  <c r="V27" i="13"/>
  <c r="U26" i="14"/>
  <c r="W26" i="14" s="1"/>
  <c r="R20" i="14"/>
  <c r="T8" i="14"/>
  <c r="R269" i="12"/>
  <c r="R282" i="12" s="1"/>
  <c r="W21" i="13"/>
  <c r="R26" i="14"/>
  <c r="V26" i="14" s="1"/>
  <c r="W14" i="14"/>
  <c r="W8" i="12"/>
  <c r="T27" i="14"/>
  <c r="V27" i="14" s="1"/>
  <c r="T12" i="14"/>
  <c r="V12" i="14" s="1"/>
  <c r="T11" i="14"/>
  <c r="V11" i="14" s="1"/>
  <c r="T20" i="14"/>
  <c r="U12" i="14"/>
  <c r="W12" i="14" s="1"/>
  <c r="V31" i="14"/>
  <c r="V143" i="14"/>
  <c r="V265" i="14"/>
  <c r="V60" i="14"/>
  <c r="W43" i="14"/>
  <c r="V261" i="14"/>
  <c r="V122" i="14"/>
  <c r="V202" i="14"/>
  <c r="U278" i="14"/>
  <c r="W160" i="14"/>
  <c r="T24" i="14"/>
  <c r="U21" i="14"/>
  <c r="W21" i="14" s="1"/>
  <c r="T13" i="14"/>
  <c r="V203" i="14"/>
  <c r="R8" i="14"/>
  <c r="V39" i="14"/>
  <c r="V84" i="14"/>
  <c r="R5" i="14"/>
  <c r="U23" i="14"/>
  <c r="T25" i="14"/>
  <c r="R23" i="14"/>
  <c r="V23" i="14" s="1"/>
  <c r="W31" i="14"/>
  <c r="W253" i="14"/>
  <c r="V262" i="14"/>
  <c r="T275" i="14"/>
  <c r="T279" i="14"/>
  <c r="V83" i="14"/>
  <c r="W254" i="14"/>
  <c r="V33" i="14"/>
  <c r="T16" i="14"/>
  <c r="V16" i="14" s="1"/>
  <c r="W225" i="14"/>
  <c r="V154" i="14"/>
  <c r="V6" i="14"/>
  <c r="R15" i="14"/>
  <c r="W15" i="14" s="1"/>
  <c r="R280" i="14"/>
  <c r="V24" i="14"/>
  <c r="W203" i="14"/>
  <c r="T17" i="14"/>
  <c r="V17" i="14" s="1"/>
  <c r="T19" i="14"/>
  <c r="T7" i="14"/>
  <c r="U272" i="14"/>
  <c r="W172" i="14"/>
  <c r="R270" i="14"/>
  <c r="W61" i="14"/>
  <c r="T271" i="14"/>
  <c r="U22" i="14"/>
  <c r="W22" i="14" s="1"/>
  <c r="R19" i="14"/>
  <c r="V19" i="14" s="1"/>
  <c r="V137" i="14"/>
  <c r="R279" i="14"/>
  <c r="V279" i="14" s="1"/>
  <c r="W127" i="14"/>
  <c r="V209" i="14"/>
  <c r="W202" i="14"/>
  <c r="W265" i="14"/>
  <c r="V194" i="14"/>
  <c r="W5" i="14"/>
  <c r="W270" i="12"/>
  <c r="R19" i="13"/>
  <c r="W19" i="13" s="1"/>
  <c r="R281" i="11"/>
  <c r="R283" i="11" s="1"/>
  <c r="R271" i="13"/>
  <c r="W271" i="13" s="1"/>
  <c r="R271" i="14"/>
  <c r="V271" i="14" s="1"/>
  <c r="V48" i="14"/>
  <c r="U8" i="14"/>
  <c r="W8" i="14" s="1"/>
  <c r="W62" i="14"/>
  <c r="T9" i="14"/>
  <c r="R9" i="14"/>
  <c r="W150" i="14"/>
  <c r="W83" i="14"/>
  <c r="W24" i="14"/>
  <c r="R278" i="14"/>
  <c r="T277" i="14"/>
  <c r="W33" i="14"/>
  <c r="W34" i="14"/>
  <c r="U277" i="14"/>
  <c r="T270" i="14"/>
  <c r="U270" i="13"/>
  <c r="U276" i="13"/>
  <c r="T278" i="14"/>
  <c r="W237" i="13"/>
  <c r="U9" i="14"/>
  <c r="V172" i="14"/>
  <c r="T274" i="14"/>
  <c r="U18" i="14"/>
  <c r="W18" i="14" s="1"/>
  <c r="W10" i="14"/>
  <c r="U279" i="14"/>
  <c r="W262" i="14"/>
  <c r="R277" i="14"/>
  <c r="V180" i="14"/>
  <c r="P269" i="14"/>
  <c r="P281" i="14" s="1"/>
  <c r="U270" i="14"/>
  <c r="R275" i="14"/>
  <c r="T15" i="14"/>
  <c r="W6" i="14"/>
  <c r="V136" i="14"/>
  <c r="W211" i="14"/>
  <c r="W17" i="14"/>
  <c r="W261" i="14"/>
  <c r="N269" i="14"/>
  <c r="N281" i="14" s="1"/>
  <c r="R13" i="14"/>
  <c r="W42" i="14"/>
  <c r="U280" i="14"/>
  <c r="W280" i="14" s="1"/>
  <c r="W122" i="14"/>
  <c r="V114" i="14"/>
  <c r="R25" i="14"/>
  <c r="W184" i="14"/>
  <c r="V173" i="13"/>
  <c r="W173" i="13"/>
  <c r="T280" i="14"/>
  <c r="U13" i="14"/>
  <c r="W124" i="14"/>
  <c r="L269" i="14"/>
  <c r="L281" i="14" s="1"/>
  <c r="T5" i="14"/>
  <c r="R274" i="14"/>
  <c r="V274" i="14" s="1"/>
  <c r="T276" i="14"/>
  <c r="L123" i="6"/>
  <c r="L215" i="6" s="1"/>
  <c r="T83" i="6"/>
  <c r="W109" i="6"/>
  <c r="U118" i="6"/>
  <c r="W87" i="6"/>
  <c r="T19" i="13"/>
  <c r="T269" i="13" s="1"/>
  <c r="T281" i="13" s="1"/>
  <c r="N269" i="13"/>
  <c r="N281" i="13" s="1"/>
  <c r="L269" i="13"/>
  <c r="L281" i="13" s="1"/>
  <c r="W21" i="12"/>
  <c r="U273" i="13"/>
  <c r="W273" i="13" s="1"/>
  <c r="W274" i="13"/>
  <c r="V273" i="13"/>
  <c r="V18" i="13"/>
  <c r="W51" i="13"/>
  <c r="V280" i="14"/>
  <c r="W49" i="14"/>
  <c r="U276" i="14"/>
  <c r="W157" i="14"/>
  <c r="W209" i="14"/>
  <c r="W11" i="14"/>
  <c r="R276" i="14"/>
  <c r="V157" i="14"/>
  <c r="R7" i="14"/>
  <c r="W155" i="14"/>
  <c r="T21" i="14"/>
  <c r="V21" i="14" s="1"/>
  <c r="U271" i="14"/>
  <c r="W271" i="14" s="1"/>
  <c r="R272" i="14"/>
  <c r="V272" i="14" s="1"/>
  <c r="V273" i="14"/>
  <c r="U7" i="14"/>
  <c r="W7" i="14" s="1"/>
  <c r="W37" i="14"/>
  <c r="V204" i="14"/>
  <c r="V14" i="14"/>
  <c r="W159" i="14"/>
  <c r="T22" i="14"/>
  <c r="V22" i="14" s="1"/>
  <c r="W20" i="14"/>
  <c r="W16" i="14"/>
  <c r="V200" i="14"/>
  <c r="W27" i="14"/>
  <c r="T10" i="14"/>
  <c r="V10" i="14" s="1"/>
  <c r="V157" i="13"/>
  <c r="W256" i="14"/>
  <c r="W180" i="14"/>
  <c r="V26" i="13"/>
  <c r="W18" i="13"/>
  <c r="V20" i="13"/>
  <c r="V7" i="13"/>
  <c r="W280" i="13"/>
  <c r="W275" i="13"/>
  <c r="W270" i="13"/>
  <c r="W272" i="13"/>
  <c r="V21" i="13"/>
  <c r="V12" i="13"/>
  <c r="V274" i="13"/>
  <c r="W20" i="13"/>
  <c r="V276" i="13"/>
  <c r="W279" i="13"/>
  <c r="W276" i="13"/>
  <c r="V17" i="13"/>
  <c r="V277" i="13"/>
  <c r="V272" i="13"/>
  <c r="W17" i="13"/>
  <c r="V278" i="13"/>
  <c r="W277" i="13"/>
  <c r="V16" i="13"/>
  <c r="V279" i="13"/>
  <c r="W121" i="6"/>
  <c r="W14" i="12"/>
  <c r="W278" i="13"/>
  <c r="V275" i="13"/>
  <c r="W10" i="12"/>
  <c r="V21" i="12"/>
  <c r="W16" i="13"/>
  <c r="W93" i="6"/>
  <c r="W80" i="6"/>
  <c r="V78" i="6"/>
  <c r="R74" i="6"/>
  <c r="W74" i="6" s="1"/>
  <c r="V271" i="13"/>
  <c r="U269" i="13"/>
  <c r="V23" i="13"/>
  <c r="V280" i="13"/>
  <c r="V270" i="13"/>
  <c r="W23" i="13"/>
  <c r="W122" i="6"/>
  <c r="W111" i="6"/>
  <c r="W269" i="11"/>
  <c r="U281" i="11"/>
  <c r="G211" i="6"/>
  <c r="J213" i="6"/>
  <c r="R118" i="6"/>
  <c r="V118" i="6" s="1"/>
  <c r="R281" i="12"/>
  <c r="R283" i="12" s="1"/>
  <c r="V269" i="12"/>
  <c r="R83" i="6"/>
  <c r="W83" i="6" s="1"/>
  <c r="U84" i="6"/>
  <c r="W84" i="6" s="1"/>
  <c r="L116" i="6"/>
  <c r="R116" i="6" s="1"/>
  <c r="T118" i="6"/>
  <c r="T214" i="6" s="1"/>
  <c r="L117" i="6"/>
  <c r="U117" i="6" s="1"/>
  <c r="V86" i="6"/>
  <c r="H212" i="6"/>
  <c r="P106" i="6"/>
  <c r="T84" i="6"/>
  <c r="V84" i="6" s="1"/>
  <c r="W77" i="6"/>
  <c r="T87" i="6"/>
  <c r="V87" i="6" s="1"/>
  <c r="V81" i="6"/>
  <c r="W269" i="12"/>
  <c r="U281" i="12"/>
  <c r="V269" i="11"/>
  <c r="W118" i="6"/>
  <c r="U214" i="6"/>
  <c r="N212" i="6"/>
  <c r="P113" i="6"/>
  <c r="H213" i="6"/>
  <c r="H217" i="6" s="1"/>
  <c r="U75" i="6"/>
  <c r="W75" i="6" s="1"/>
  <c r="T111" i="6"/>
  <c r="V111" i="6" s="1"/>
  <c r="F211" i="6"/>
  <c r="W112" i="6"/>
  <c r="F212" i="6"/>
  <c r="U107" i="6"/>
  <c r="W107" i="6" s="1"/>
  <c r="W86" i="6"/>
  <c r="T75" i="6"/>
  <c r="V75" i="6" s="1"/>
  <c r="V122" i="6"/>
  <c r="F213" i="6"/>
  <c r="W78" i="6"/>
  <c r="V121" i="6"/>
  <c r="N117" i="6"/>
  <c r="L108" i="6"/>
  <c r="L212" i="6" s="1"/>
  <c r="G212" i="6"/>
  <c r="V93" i="6"/>
  <c r="V77" i="6"/>
  <c r="J211" i="6"/>
  <c r="J212" i="6"/>
  <c r="P212" i="6"/>
  <c r="W119" i="6"/>
  <c r="T74" i="6"/>
  <c r="G213" i="6"/>
  <c r="W125" i="6"/>
  <c r="V80" i="6"/>
  <c r="L97" i="6"/>
  <c r="V120" i="6"/>
  <c r="C417" i="8"/>
  <c r="G402" i="8"/>
  <c r="G432" i="8"/>
  <c r="T107" i="6"/>
  <c r="V107" i="6" s="1"/>
  <c r="U76" i="6"/>
  <c r="W76" i="6" s="1"/>
  <c r="P97" i="6"/>
  <c r="L114" i="6"/>
  <c r="U114" i="6" s="1"/>
  <c r="T103" i="6"/>
  <c r="U103" i="6"/>
  <c r="R103" i="6"/>
  <c r="P114" i="6"/>
  <c r="P105" i="6"/>
  <c r="N114" i="6"/>
  <c r="N113" i="6"/>
  <c r="R115" i="6"/>
  <c r="W115" i="6" s="1"/>
  <c r="G127" i="6"/>
  <c r="T110" i="6"/>
  <c r="P116" i="6"/>
  <c r="L106" i="6"/>
  <c r="R106" i="6" s="1"/>
  <c r="N116" i="6"/>
  <c r="J127" i="6"/>
  <c r="E193" i="6" s="1"/>
  <c r="N105" i="6"/>
  <c r="R123" i="6"/>
  <c r="H127" i="6"/>
  <c r="U110" i="6"/>
  <c r="L105" i="6"/>
  <c r="R105" i="6" s="1"/>
  <c r="U123" i="6"/>
  <c r="F127" i="6"/>
  <c r="H177" i="6" s="1"/>
  <c r="L104" i="6"/>
  <c r="U104" i="6" s="1"/>
  <c r="R110" i="6"/>
  <c r="T115" i="6"/>
  <c r="N106" i="6"/>
  <c r="N97" i="6"/>
  <c r="L113" i="6"/>
  <c r="R113" i="6" s="1"/>
  <c r="T76" i="6"/>
  <c r="V76" i="6" s="1"/>
  <c r="P104" i="6"/>
  <c r="N104" i="6"/>
  <c r="V52" i="6"/>
  <c r="V41" i="6"/>
  <c r="V45" i="6"/>
  <c r="W45" i="6"/>
  <c r="V42" i="6"/>
  <c r="V44" i="6"/>
  <c r="U65" i="6"/>
  <c r="W44" i="6"/>
  <c r="R65" i="6"/>
  <c r="R66" i="6" s="1"/>
  <c r="R67" i="6" s="1"/>
  <c r="W42" i="6"/>
  <c r="T65" i="6"/>
  <c r="W30" i="6"/>
  <c r="V30" i="6"/>
  <c r="V170" i="5"/>
  <c r="W170" i="5"/>
  <c r="C112" i="5"/>
  <c r="G96" i="5"/>
  <c r="V39" i="5"/>
  <c r="W39" i="5"/>
  <c r="V9" i="14" l="1"/>
  <c r="V20" i="14"/>
  <c r="V7" i="14"/>
  <c r="V8" i="14"/>
  <c r="W270" i="14"/>
  <c r="V270" i="14"/>
  <c r="W19" i="14"/>
  <c r="V13" i="14"/>
  <c r="V275" i="14"/>
  <c r="W23" i="14"/>
  <c r="V276" i="14"/>
  <c r="V25" i="14"/>
  <c r="V15" i="14"/>
  <c r="W13" i="14"/>
  <c r="W275" i="14"/>
  <c r="W279" i="14"/>
  <c r="W276" i="14"/>
  <c r="R269" i="14"/>
  <c r="P211" i="6"/>
  <c r="T123" i="6"/>
  <c r="T215" i="6" s="1"/>
  <c r="R269" i="13"/>
  <c r="R281" i="13" s="1"/>
  <c r="R283" i="13" s="1"/>
  <c r="W25" i="14"/>
  <c r="V277" i="14"/>
  <c r="W9" i="14"/>
  <c r="W277" i="14"/>
  <c r="W274" i="14"/>
  <c r="U269" i="14"/>
  <c r="U116" i="6"/>
  <c r="V19" i="13"/>
  <c r="T269" i="14"/>
  <c r="T281" i="14" s="1"/>
  <c r="V5" i="14"/>
  <c r="V278" i="14"/>
  <c r="W278" i="14"/>
  <c r="W272" i="14"/>
  <c r="R214" i="6"/>
  <c r="U281" i="13"/>
  <c r="V74" i="6"/>
  <c r="W116" i="6"/>
  <c r="V214" i="6"/>
  <c r="R114" i="6"/>
  <c r="R97" i="6"/>
  <c r="F217" i="6"/>
  <c r="R117" i="6"/>
  <c r="R213" i="6" s="1"/>
  <c r="T117" i="6"/>
  <c r="N211" i="6"/>
  <c r="G217" i="6"/>
  <c r="V83" i="6"/>
  <c r="V103" i="6"/>
  <c r="W123" i="6"/>
  <c r="U215" i="6"/>
  <c r="U108" i="6"/>
  <c r="W103" i="6"/>
  <c r="J217" i="6"/>
  <c r="W214" i="6"/>
  <c r="W114" i="6"/>
  <c r="V110" i="6"/>
  <c r="U97" i="6"/>
  <c r="W110" i="6"/>
  <c r="T97" i="6"/>
  <c r="V115" i="6"/>
  <c r="T108" i="6"/>
  <c r="T212" i="6" s="1"/>
  <c r="T113" i="6"/>
  <c r="V113" i="6" s="1"/>
  <c r="L213" i="6"/>
  <c r="V123" i="6"/>
  <c r="R215" i="6"/>
  <c r="V215" i="6" s="1"/>
  <c r="R108" i="6"/>
  <c r="U105" i="6"/>
  <c r="W105" i="6" s="1"/>
  <c r="N213" i="6"/>
  <c r="L211" i="6"/>
  <c r="P213" i="6"/>
  <c r="P127" i="6"/>
  <c r="U106" i="6"/>
  <c r="W106" i="6" s="1"/>
  <c r="T114" i="6"/>
  <c r="V114" i="6" s="1"/>
  <c r="T116" i="6"/>
  <c r="V116" i="6" s="1"/>
  <c r="T106" i="6"/>
  <c r="V106" i="6" s="1"/>
  <c r="U113" i="6"/>
  <c r="T104" i="6"/>
  <c r="L127" i="6"/>
  <c r="N127" i="6"/>
  <c r="T105" i="6"/>
  <c r="V105" i="6" s="1"/>
  <c r="R104" i="6"/>
  <c r="V104" i="6" s="1"/>
  <c r="V65" i="6"/>
  <c r="T66" i="6"/>
  <c r="T67" i="6" s="1"/>
  <c r="W65" i="6"/>
  <c r="U66" i="6"/>
  <c r="U67" i="6" s="1"/>
  <c r="V269" i="13" l="1"/>
  <c r="R282" i="13"/>
  <c r="W269" i="13"/>
  <c r="W117" i="6"/>
  <c r="W215" i="6"/>
  <c r="R282" i="14"/>
  <c r="R281" i="14"/>
  <c r="R283" i="14" s="1"/>
  <c r="V269" i="14"/>
  <c r="U281" i="14"/>
  <c r="W269" i="14"/>
  <c r="P217" i="6"/>
  <c r="V97" i="6"/>
  <c r="N217" i="6"/>
  <c r="V117" i="6"/>
  <c r="L217" i="6"/>
  <c r="W97" i="6"/>
  <c r="U127" i="6"/>
  <c r="W113" i="6"/>
  <c r="U213" i="6"/>
  <c r="W213" i="6" s="1"/>
  <c r="T211" i="6"/>
  <c r="W104" i="6"/>
  <c r="V108" i="6"/>
  <c r="R212" i="6"/>
  <c r="V212" i="6" s="1"/>
  <c r="U211" i="6"/>
  <c r="V213" i="6"/>
  <c r="T213" i="6"/>
  <c r="U212" i="6"/>
  <c r="W108" i="6"/>
  <c r="R211" i="6"/>
  <c r="E161" i="6"/>
  <c r="H178" i="6"/>
  <c r="E194" i="6"/>
  <c r="H179" i="6"/>
  <c r="E160" i="6"/>
  <c r="H161" i="6"/>
  <c r="E162" i="6"/>
  <c r="R127" i="6"/>
  <c r="T127" i="6"/>
  <c r="E178" i="6" s="1"/>
  <c r="V127" i="6" l="1"/>
  <c r="W212" i="6"/>
  <c r="T217" i="6"/>
  <c r="V211" i="6"/>
  <c r="R217" i="6"/>
  <c r="V217" i="6" s="1"/>
  <c r="H194" i="6"/>
  <c r="W127" i="6"/>
  <c r="W211" i="6"/>
  <c r="U217" i="6"/>
  <c r="W217" i="6" s="1"/>
  <c r="E177" i="6"/>
  <c r="H160" i="6"/>
  <c r="H193" i="6"/>
</calcChain>
</file>

<file path=xl/sharedStrings.xml><?xml version="1.0" encoding="utf-8"?>
<sst xmlns="http://schemas.openxmlformats.org/spreadsheetml/2006/main" count="2627" uniqueCount="179">
  <si>
    <t xml:space="preserve"> </t>
  </si>
  <si>
    <t>lundi 8h</t>
  </si>
  <si>
    <t>lundi 12h</t>
  </si>
  <si>
    <t>lundi 18h/ mardi 8h</t>
  </si>
  <si>
    <t>mardi 12h</t>
  </si>
  <si>
    <t>mardi 18h/ mercredi 8h</t>
  </si>
  <si>
    <t>mercredi 12h</t>
  </si>
  <si>
    <t>mercredi 18h / jeudi 8h</t>
  </si>
  <si>
    <t>jeudi 12h</t>
  </si>
  <si>
    <t>jeudi 18h / vendredi 8h</t>
  </si>
  <si>
    <t>vendredi 12h</t>
  </si>
  <si>
    <t>samedi</t>
  </si>
  <si>
    <t>dimanche</t>
  </si>
  <si>
    <t>vendredi 18h / samedi 8h</t>
  </si>
  <si>
    <t>samedi/ dimanche</t>
  </si>
  <si>
    <t>Besoins</t>
  </si>
  <si>
    <t>Besoins actuel</t>
  </si>
  <si>
    <t>Anciennes demandes non satisfaites</t>
  </si>
  <si>
    <t>EVOLUTION DE LA DEMANDE</t>
  </si>
  <si>
    <t>lundi</t>
  </si>
  <si>
    <t>mardi</t>
  </si>
  <si>
    <t>mercredi</t>
  </si>
  <si>
    <t>jeudi</t>
  </si>
  <si>
    <t>vendredi</t>
  </si>
  <si>
    <t>Besoins ( bleu + rouge)</t>
  </si>
  <si>
    <t>Ceux avec missions hebdomadaires finies</t>
  </si>
  <si>
    <t>Ceux avec missions 15 jours finies</t>
  </si>
  <si>
    <t>Ceux avec missions mensuelles finies</t>
  </si>
  <si>
    <t>Qt offres (bleu+rouge+violet)</t>
  </si>
  <si>
    <t>EVOLUTION MENSUELLE DE LA DEMANDE</t>
  </si>
  <si>
    <t>EVOLUTION MENSUELLE DE L'OFFRE</t>
  </si>
  <si>
    <t>EVOLUTION MENSUELLE DE L'OFFRE ET DE LA DEMANDE</t>
  </si>
  <si>
    <t>OFFRE</t>
  </si>
  <si>
    <t>DEMANDE</t>
  </si>
  <si>
    <t>OFFRE NON PLACEE</t>
  </si>
  <si>
    <t>DEMANDE NON SATISFAITE</t>
  </si>
  <si>
    <t>CAPACITE</t>
  </si>
  <si>
    <t>CAPACITE A 100%</t>
  </si>
  <si>
    <t>(A) quantité de demandes que l’on n’a pas pu satisfaire avec notre offre actuelle</t>
  </si>
  <si>
    <t>(D) quantité d’offres hors demande, susceptible de répondre à des besoins du marché</t>
  </si>
  <si>
    <t>demandes</t>
  </si>
  <si>
    <t>offres</t>
  </si>
  <si>
    <t>offre à 80%</t>
  </si>
  <si>
    <t>offre à 20%</t>
  </si>
  <si>
    <t>Capacité 100%</t>
  </si>
  <si>
    <t>(A) demandes hors offres</t>
  </si>
  <si>
    <t>(B) offres non satisfaisantes</t>
  </si>
  <si>
    <t>(D) offres hors demandes</t>
  </si>
  <si>
    <t>(C) offres hors demandes</t>
  </si>
  <si>
    <t>Capacité à 80%</t>
  </si>
  <si>
    <t>offres non placées</t>
  </si>
  <si>
    <t>demandes non satisfaites</t>
  </si>
  <si>
    <t>test</t>
  </si>
  <si>
    <t>somme</t>
  </si>
  <si>
    <t>moyenne</t>
  </si>
  <si>
    <t>Taux de capacité :</t>
  </si>
  <si>
    <t>MISSIONS</t>
  </si>
  <si>
    <t>DUREE MISSIONS EN SEMAINE (BASE SUR LA DUREE MOYENNE D'UNE MISSION)</t>
  </si>
  <si>
    <t>semaine/mission</t>
  </si>
  <si>
    <t>Nb semaines de missions</t>
  </si>
  <si>
    <t>Nb mois de missions (ETP)</t>
  </si>
  <si>
    <t>Base durée annuelle (BDA)</t>
  </si>
  <si>
    <t>Durée moyenne d'une mission (DMM)</t>
  </si>
  <si>
    <t>semaines</t>
  </si>
  <si>
    <t>Quotité de travail moyen général intérimaire (QTMGI)</t>
  </si>
  <si>
    <t>Nb intérimaires au mois</t>
  </si>
  <si>
    <t>EMPLOI EQUIVALENTS A TEMPS PLEIN (BASE MENSUELLE)</t>
  </si>
  <si>
    <t>NOMBRES MENSUELS D’EMPLOIS D’INTERIMAIRES EQUIVALENTS SUR BASE DE LA QUOTITE DE TRAVAIL MOYEN GENERAL INTERIMAIRE (QTMGI)</t>
  </si>
  <si>
    <t>semaine</t>
  </si>
  <si>
    <t>S1</t>
  </si>
  <si>
    <t>S2</t>
  </si>
  <si>
    <t>S3</t>
  </si>
  <si>
    <t>S4</t>
  </si>
  <si>
    <t>S5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</si>
  <si>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</si>
  <si>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</si>
  <si>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</si>
  <si>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</si>
  <si>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</si>
  <si>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</si>
  <si>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</si>
  <si>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</si>
  <si>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</si>
  <si>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</si>
  <si>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</si>
  <si>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</si>
  <si>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CMD</t>
  </si>
  <si>
    <t>CMO</t>
  </si>
  <si>
    <t>MODELE MENSUEL DE MISSIONS (MODELE GENERIQUE)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</si>
  <si>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</si>
  <si>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</si>
  <si>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</si>
  <si>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</si>
  <si>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</si>
  <si>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</si>
  <si>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</si>
  <si>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</si>
  <si>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</si>
  <si>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</si>
  <si>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</si>
  <si>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</si>
  <si>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Moyenne Demande</t>
  </si>
  <si>
    <t>Moyenne Offre</t>
  </si>
  <si>
    <t>Somme</t>
  </si>
  <si>
    <t>Moyenne mensuelle</t>
  </si>
  <si>
    <t>Moyenne journalière</t>
  </si>
  <si>
    <t>EMPLOIS EQUIVALENTS A TEMPS PLEIN (SUR BASE ANNUELLE)</t>
  </si>
  <si>
    <t>EMPLOIS EQUIVALENTS A TEMPS PLEIN (SUR BASE MENSUELLE)</t>
  </si>
  <si>
    <t>EMPLOIS MENSUELS D'INTERIMAIRES EQUIVALENTS (SUR BASE DE LA QUOTITE DE TRAVAIL MOYEN GENEAL INTERIMAIRE (QTMGI))</t>
  </si>
  <si>
    <t>intérimaires « permanent »</t>
  </si>
  <si>
    <t>intérimaires «occasionnel»</t>
  </si>
  <si>
    <t>intermittents « irréguliers »</t>
  </si>
  <si>
    <t>interimaires en « insertion progressive »</t>
  </si>
  <si>
    <t>« intensifs récents »</t>
  </si>
  <si>
    <t>TOTAL</t>
  </si>
  <si>
    <t>Part</t>
  </si>
  <si>
    <t>Quotité</t>
  </si>
  <si>
    <t>CAPACITE EFFECTIVE</t>
  </si>
  <si>
    <t>EIE</t>
  </si>
  <si>
    <t>REPARTITION PAR TYPE</t>
  </si>
  <si>
    <t xml:space="preserve"> QUOTITE DE TRAVAIL MOYEN GENERAL INTERIMAIRE (QTMGI)</t>
  </si>
  <si>
    <t>RST</t>
  </si>
  <si>
    <t>QTMGI modele</t>
  </si>
  <si>
    <t>PAR LA QUANTITE D'EIE</t>
  </si>
  <si>
    <t>PAR LA QUANTITE D'ETP</t>
  </si>
  <si>
    <t>REPARTITION PAR CSP</t>
  </si>
  <si>
    <t>cadre</t>
  </si>
  <si>
    <t>profession intermédiaire</t>
  </si>
  <si>
    <t>employé</t>
  </si>
  <si>
    <t>ouvrier qualifié</t>
  </si>
  <si>
    <t>ouvrier non qualifié</t>
  </si>
  <si>
    <t>RST = rapport entre QTMGI STATISTIQUE ET QTMGI MODELE</t>
  </si>
  <si>
    <t>valeurs 2.4.5.5</t>
  </si>
  <si>
    <t>ZONES DE CROISSANCE</t>
  </si>
  <si>
    <t>Si l'agence avait réussi à fournir à chaque fois, l'intérimaire répond à la demande client, il aurait pu gagner 95,31 EIE repésentant 55,60 EPT</t>
  </si>
  <si>
    <t>heures</t>
  </si>
  <si>
    <t>Base Horaire Travail Normal</t>
  </si>
  <si>
    <t>heures/sem</t>
  </si>
  <si>
    <t>UNITE UTILISEE EIE MENSUEL</t>
  </si>
  <si>
    <t>Total heures</t>
  </si>
  <si>
    <t>QT (B) DUREE MISSIONS</t>
  </si>
  <si>
    <t>/heure</t>
  </si>
  <si>
    <t>Taux Horaire Moyen Général BRUT</t>
  </si>
  <si>
    <t>Coefficient de vente</t>
  </si>
  <si>
    <t>Montant vente</t>
  </si>
  <si>
    <t>Coefficient seuil de rentabilité</t>
  </si>
  <si>
    <t>Montant seuil de rentabilité</t>
  </si>
  <si>
    <t>Bénéfice</t>
  </si>
  <si>
    <t>QT (Capacité effective) DUREE MISSIONS</t>
  </si>
  <si>
    <t>QT (A) DUREE MISSIONS</t>
  </si>
  <si>
    <t>Objectifs</t>
  </si>
  <si>
    <t>ZONES DE DEVELOPPEMENT</t>
  </si>
  <si>
    <t>EIE mensuel</t>
  </si>
  <si>
    <t>ETP mensuel</t>
  </si>
  <si>
    <t>ETP annuel</t>
  </si>
  <si>
    <t>QT (D) DUREE MISSIONS</t>
  </si>
  <si>
    <t>Necessité</t>
  </si>
  <si>
    <t>70 EPT pour 7000 inscrits</t>
  </si>
  <si>
    <t>--&gt;</t>
  </si>
  <si>
    <t>inscrits</t>
  </si>
  <si>
    <t>QT CAPACITE EPT Annuel</t>
  </si>
  <si>
    <t>OBJECTIF (A) et (B) EPT ANNUEL</t>
  </si>
  <si>
    <t>QT OFFRE EPT Annuel</t>
  </si>
  <si>
    <t>OFFRE/CAPACITE</t>
  </si>
  <si>
    <t>OFFRE POUR L'OBJECTIF</t>
  </si>
  <si>
    <t>inscrits en plus</t>
  </si>
  <si>
    <t>avec TC = 80%</t>
  </si>
  <si>
    <t>NOUVELLE OFFRE</t>
  </si>
  <si>
    <t>Marge brut</t>
  </si>
  <si>
    <t>ETP Annuel</t>
  </si>
  <si>
    <t>DUREE</t>
  </si>
  <si>
    <t>disponible pour une mission au cours de l'année</t>
  </si>
  <si>
    <t>VENTE</t>
  </si>
  <si>
    <t>OBJECTIF</t>
  </si>
  <si>
    <t>ETP A OBJ</t>
  </si>
  <si>
    <t>DUREE OBJ</t>
  </si>
  <si>
    <t>TAUX DE SATISFACTION CLIENTS</t>
  </si>
  <si>
    <t>TAUX DE SATISFACTION INTERIMAIRES</t>
  </si>
  <si>
    <t>TAUX DE SATISFACTION INTERIMAIRES REPONDANT AU MARCHE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</si>
</sst>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164" formatCode="0.000"/>
    <numFmt numFmtId="165" formatCode="0.0000"/>
    <numFmt numFmtId="166" formatCode="#,##0.00\ &quot;€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FFFFFF"/>
      <name val="Liberation Sans"/>
      <family val="2"/>
    </font>
    <font>
      <b/>
      <sz val="10"/>
      <color theme="0"/>
      <name val="Liberation Sans"/>
      <family val="2"/>
    </font>
    <font>
      <sz val="10"/>
      <color theme="0"/>
      <name val="Liberation Sans"/>
      <family val="2"/>
    </font>
    <font>
      <b/>
      <sz val="10"/>
      <name val="Liberation Sans"/>
      <family val="2"/>
    </font>
    <font>
      <b/>
      <i/>
      <sz val="10"/>
      <color theme="1"/>
      <name val="Liberation Sans"/>
      <family val="2"/>
    </font>
    <font>
      <b/>
      <i/>
      <sz val="11"/>
      <color theme="1"/>
      <name val="Calibri"/>
      <family val="2"/>
      <scheme val="minor"/>
    </font>
    <font>
      <sz val="10"/>
      <name val="Liberation Sans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34BC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D320"/>
        <bgColor indexed="64"/>
      </patternFill>
    </fill>
    <fill>
      <patternFill patternType="solid">
        <fgColor rgb="FF579D1C"/>
        <bgColor indexed="64"/>
      </patternFill>
    </fill>
    <fill>
      <patternFill patternType="solid">
        <fgColor rgb="FF89C765"/>
        <bgColor indexed="64"/>
      </patternFill>
    </fill>
    <fill>
      <patternFill patternType="solid">
        <fgColor rgb="FFC2E0AE"/>
        <bgColor indexed="64"/>
      </patternFill>
    </fill>
    <fill>
      <patternFill patternType="solid">
        <fgColor rgb="FF3465A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A61A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DC578"/>
        <bgColor indexed="64"/>
      </patternFill>
    </fill>
    <fill>
      <patternFill patternType="solid">
        <fgColor rgb="FF74489D"/>
        <bgColor indexed="64"/>
      </patternFill>
    </fill>
    <fill>
      <patternFill patternType="solid">
        <fgColor rgb="FF9D85BE"/>
        <bgColor indexed="64"/>
      </patternFill>
    </fill>
    <fill>
      <patternFill patternType="solid">
        <fgColor rgb="FF1B75BC"/>
        <bgColor indexed="64"/>
      </patternFill>
    </fill>
    <fill>
      <patternFill patternType="solid">
        <fgColor rgb="FF390A5D"/>
        <bgColor indexed="64"/>
      </patternFill>
    </fill>
    <fill>
      <patternFill patternType="solid">
        <fgColor rgb="FFEF4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 wrapText="1"/>
    </xf>
    <xf numFmtId="0" fontId="4" fillId="18" borderId="2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3" borderId="4" xfId="0" applyFont="1" applyFill="1" applyBorder="1" applyAlignment="1">
      <alignment horizontal="left" vertical="center" wrapText="1"/>
    </xf>
    <xf numFmtId="0" fontId="2" fillId="13" borderId="0" xfId="0" applyFont="1" applyFill="1" applyAlignment="1">
      <alignment horizontal="left" vertical="center" wrapText="1"/>
    </xf>
    <xf numFmtId="0" fontId="3" fillId="13" borderId="0" xfId="0" applyFont="1" applyFill="1" applyAlignment="1">
      <alignment horizontal="left" vertical="center" wrapText="1"/>
    </xf>
    <xf numFmtId="0" fontId="2" fillId="13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8" borderId="0" xfId="0" applyFont="1" applyFill="1" applyAlignment="1">
      <alignment horizontal="right" vertical="center" wrapText="1"/>
    </xf>
    <xf numFmtId="0" fontId="2" fillId="9" borderId="0" xfId="0" applyFont="1" applyFill="1" applyAlignment="1">
      <alignment horizontal="right" vertical="center" wrapText="1"/>
    </xf>
    <xf numFmtId="0" fontId="2" fillId="10" borderId="0" xfId="0" applyFont="1" applyFill="1" applyAlignment="1">
      <alignment horizontal="right" vertical="center" wrapText="1"/>
    </xf>
    <xf numFmtId="0" fontId="2" fillId="11" borderId="0" xfId="0" applyFont="1" applyFill="1" applyAlignment="1">
      <alignment horizontal="right" vertical="center" wrapText="1"/>
    </xf>
    <xf numFmtId="0" fontId="2" fillId="12" borderId="0" xfId="0" applyFont="1" applyFill="1" applyAlignment="1">
      <alignment horizontal="right" vertical="center" wrapText="1"/>
    </xf>
    <xf numFmtId="0" fontId="2" fillId="14" borderId="0" xfId="0" applyFont="1" applyFill="1" applyAlignment="1">
      <alignment horizontal="right" vertical="center" wrapText="1"/>
    </xf>
    <xf numFmtId="0" fontId="2" fillId="15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horizontal="right" vertical="center" wrapText="1"/>
    </xf>
    <xf numFmtId="0" fontId="5" fillId="17" borderId="0" xfId="0" applyFont="1" applyFill="1" applyAlignment="1">
      <alignment horizontal="right" vertical="center" wrapText="1"/>
    </xf>
    <xf numFmtId="0" fontId="5" fillId="18" borderId="0" xfId="0" applyFont="1" applyFill="1" applyAlignment="1">
      <alignment horizontal="right" vertical="center" wrapText="1"/>
    </xf>
    <xf numFmtId="0" fontId="2" fillId="19" borderId="5" xfId="0" applyFont="1" applyFill="1" applyBorder="1" applyAlignment="1">
      <alignment horizontal="right" vertical="center" wrapText="1"/>
    </xf>
    <xf numFmtId="0" fontId="2" fillId="21" borderId="0" xfId="0" applyFont="1" applyFill="1" applyAlignment="1">
      <alignment horizontal="right" vertical="center" wrapText="1"/>
    </xf>
    <xf numFmtId="0" fontId="3" fillId="22" borderId="4" xfId="0" applyFont="1" applyFill="1" applyBorder="1" applyAlignment="1">
      <alignment horizontal="left" vertical="center" wrapText="1"/>
    </xf>
    <xf numFmtId="0" fontId="2" fillId="22" borderId="0" xfId="0" applyFont="1" applyFill="1" applyAlignment="1">
      <alignment horizontal="right" vertical="center" wrapText="1"/>
    </xf>
    <xf numFmtId="0" fontId="2" fillId="22" borderId="0" xfId="0" applyFont="1" applyFill="1" applyAlignment="1">
      <alignment horizontal="left" vertical="center" wrapText="1"/>
    </xf>
    <xf numFmtId="0" fontId="5" fillId="13" borderId="0" xfId="0" applyFont="1" applyFill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8" borderId="7" xfId="0" applyFont="1" applyFill="1" applyBorder="1" applyAlignment="1">
      <alignment horizontal="right" vertical="center" wrapText="1"/>
    </xf>
    <xf numFmtId="0" fontId="2" fillId="9" borderId="7" xfId="0" applyFont="1" applyFill="1" applyBorder="1" applyAlignment="1">
      <alignment horizontal="right" vertical="center" wrapText="1"/>
    </xf>
    <xf numFmtId="0" fontId="2" fillId="10" borderId="7" xfId="0" applyFont="1" applyFill="1" applyBorder="1" applyAlignment="1">
      <alignment horizontal="right" vertical="center" wrapText="1"/>
    </xf>
    <xf numFmtId="0" fontId="2" fillId="11" borderId="7" xfId="0" applyFont="1" applyFill="1" applyBorder="1" applyAlignment="1">
      <alignment horizontal="right" vertical="center" wrapText="1"/>
    </xf>
    <xf numFmtId="0" fontId="2" fillId="12" borderId="7" xfId="0" applyFont="1" applyFill="1" applyBorder="1" applyAlignment="1">
      <alignment horizontal="right" vertical="center" wrapText="1"/>
    </xf>
    <xf numFmtId="0" fontId="2" fillId="13" borderId="7" xfId="0" applyFont="1" applyFill="1" applyBorder="1" applyAlignment="1">
      <alignment horizontal="left" vertical="center" wrapText="1"/>
    </xf>
    <xf numFmtId="0" fontId="2" fillId="14" borderId="7" xfId="0" applyFont="1" applyFill="1" applyBorder="1" applyAlignment="1">
      <alignment horizontal="right" vertical="center" wrapText="1"/>
    </xf>
    <xf numFmtId="0" fontId="2" fillId="15" borderId="7" xfId="0" applyFont="1" applyFill="1" applyBorder="1" applyAlignment="1">
      <alignment horizontal="left" vertical="center" wrapText="1"/>
    </xf>
    <xf numFmtId="0" fontId="2" fillId="16" borderId="7" xfId="0" applyFont="1" applyFill="1" applyBorder="1" applyAlignment="1">
      <alignment horizontal="right" vertical="center" wrapText="1"/>
    </xf>
    <xf numFmtId="0" fontId="2" fillId="17" borderId="7" xfId="0" applyFont="1" applyFill="1" applyBorder="1" applyAlignment="1">
      <alignment horizontal="right" vertical="center" wrapText="1"/>
    </xf>
    <xf numFmtId="0" fontId="2" fillId="18" borderId="7" xfId="0" applyFont="1" applyFill="1" applyBorder="1" applyAlignment="1">
      <alignment horizontal="right" vertical="center" wrapText="1"/>
    </xf>
    <xf numFmtId="0" fontId="2" fillId="19" borderId="8" xfId="0" applyFont="1" applyFill="1" applyBorder="1" applyAlignment="1">
      <alignment horizontal="right" vertical="center" wrapText="1"/>
    </xf>
    <xf numFmtId="0" fontId="6" fillId="20" borderId="0" xfId="0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7" fillId="20" borderId="0" xfId="0" applyFont="1" applyFill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horizontal="right" vertical="center" wrapText="1"/>
    </xf>
    <xf numFmtId="2" fontId="0" fillId="0" borderId="0" xfId="0" applyNumberFormat="1"/>
    <xf numFmtId="164" fontId="1" fillId="0" borderId="0" xfId="0" applyNumberFormat="1" applyFont="1"/>
    <xf numFmtId="2" fontId="3" fillId="0" borderId="6" xfId="0" applyNumberFormat="1" applyFont="1" applyBorder="1" applyAlignment="1">
      <alignment horizontal="left" vertical="center" wrapText="1"/>
    </xf>
    <xf numFmtId="2" fontId="2" fillId="0" borderId="7" xfId="0" applyNumberFormat="1" applyFont="1" applyBorder="1" applyAlignment="1">
      <alignment horizontal="left" vertical="center" wrapText="1"/>
    </xf>
    <xf numFmtId="2" fontId="2" fillId="8" borderId="7" xfId="0" applyNumberFormat="1" applyFont="1" applyFill="1" applyBorder="1" applyAlignment="1">
      <alignment horizontal="right" vertical="center" wrapText="1"/>
    </xf>
    <xf numFmtId="2" fontId="2" fillId="9" borderId="7" xfId="0" applyNumberFormat="1" applyFont="1" applyFill="1" applyBorder="1" applyAlignment="1">
      <alignment horizontal="right" vertical="center" wrapText="1"/>
    </xf>
    <xf numFmtId="2" fontId="2" fillId="10" borderId="7" xfId="0" applyNumberFormat="1" applyFont="1" applyFill="1" applyBorder="1" applyAlignment="1">
      <alignment horizontal="right" vertical="center" wrapText="1"/>
    </xf>
    <xf numFmtId="2" fontId="2" fillId="11" borderId="7" xfId="0" applyNumberFormat="1" applyFont="1" applyFill="1" applyBorder="1" applyAlignment="1">
      <alignment horizontal="right" vertical="center" wrapText="1"/>
    </xf>
    <xf numFmtId="2" fontId="2" fillId="12" borderId="7" xfId="0" applyNumberFormat="1" applyFont="1" applyFill="1" applyBorder="1" applyAlignment="1">
      <alignment horizontal="right" vertical="center" wrapText="1"/>
    </xf>
    <xf numFmtId="2" fontId="2" fillId="13" borderId="7" xfId="0" applyNumberFormat="1" applyFont="1" applyFill="1" applyBorder="1" applyAlignment="1">
      <alignment horizontal="left" vertical="center" wrapText="1"/>
    </xf>
    <xf numFmtId="2" fontId="2" fillId="14" borderId="7" xfId="0" applyNumberFormat="1" applyFont="1" applyFill="1" applyBorder="1" applyAlignment="1">
      <alignment horizontal="right" vertical="center" wrapText="1"/>
    </xf>
    <xf numFmtId="2" fontId="2" fillId="15" borderId="7" xfId="0" applyNumberFormat="1" applyFont="1" applyFill="1" applyBorder="1" applyAlignment="1">
      <alignment horizontal="left" vertical="center" wrapText="1"/>
    </xf>
    <xf numFmtId="2" fontId="2" fillId="16" borderId="7" xfId="0" applyNumberFormat="1" applyFont="1" applyFill="1" applyBorder="1" applyAlignment="1">
      <alignment horizontal="right" vertical="center" wrapText="1"/>
    </xf>
    <xf numFmtId="2" fontId="2" fillId="17" borderId="7" xfId="0" applyNumberFormat="1" applyFont="1" applyFill="1" applyBorder="1" applyAlignment="1">
      <alignment horizontal="right" vertical="center" wrapText="1"/>
    </xf>
    <xf numFmtId="2" fontId="2" fillId="18" borderId="7" xfId="0" applyNumberFormat="1" applyFont="1" applyFill="1" applyBorder="1" applyAlignment="1">
      <alignment horizontal="right" vertical="center" wrapText="1"/>
    </xf>
    <xf numFmtId="2" fontId="2" fillId="19" borderId="8" xfId="0" applyNumberFormat="1" applyFont="1" applyFill="1" applyBorder="1" applyAlignment="1">
      <alignment horizontal="right" vertical="center" wrapText="1"/>
    </xf>
    <xf numFmtId="2" fontId="7" fillId="20" borderId="0" xfId="0" applyNumberFormat="1" applyFont="1" applyFill="1" applyAlignment="1">
      <alignment horizontal="right" vertical="center" wrapText="1"/>
    </xf>
    <xf numFmtId="2" fontId="2" fillId="21" borderId="0" xfId="0" applyNumberFormat="1" applyFont="1" applyFill="1" applyAlignment="1">
      <alignment horizontal="right" vertical="center" wrapText="1"/>
    </xf>
    <xf numFmtId="2" fontId="2" fillId="8" borderId="0" xfId="0" applyNumberFormat="1" applyFont="1" applyFill="1" applyAlignment="1">
      <alignment horizontal="right" vertical="center" wrapText="1"/>
    </xf>
    <xf numFmtId="2" fontId="2" fillId="9" borderId="0" xfId="0" applyNumberFormat="1" applyFont="1" applyFill="1" applyAlignment="1">
      <alignment horizontal="right" vertical="center" wrapText="1"/>
    </xf>
    <xf numFmtId="2" fontId="2" fillId="10" borderId="0" xfId="0" applyNumberFormat="1" applyFont="1" applyFill="1" applyAlignment="1">
      <alignment horizontal="right" vertical="center" wrapText="1"/>
    </xf>
    <xf numFmtId="2" fontId="2" fillId="11" borderId="0" xfId="0" applyNumberFormat="1" applyFont="1" applyFill="1" applyAlignment="1">
      <alignment horizontal="right" vertical="center" wrapText="1"/>
    </xf>
    <xf numFmtId="2" fontId="2" fillId="12" borderId="0" xfId="0" applyNumberFormat="1" applyFont="1" applyFill="1" applyAlignment="1">
      <alignment horizontal="right" vertical="center" wrapText="1"/>
    </xf>
    <xf numFmtId="2" fontId="2" fillId="13" borderId="0" xfId="0" applyNumberFormat="1" applyFont="1" applyFill="1" applyAlignment="1">
      <alignment horizontal="left" vertical="center" wrapText="1"/>
    </xf>
    <xf numFmtId="2" fontId="2" fillId="14" borderId="0" xfId="0" applyNumberFormat="1" applyFont="1" applyFill="1" applyAlignment="1">
      <alignment horizontal="right" vertical="center" wrapText="1"/>
    </xf>
    <xf numFmtId="2" fontId="2" fillId="15" borderId="0" xfId="0" applyNumberFormat="1" applyFont="1" applyFill="1" applyAlignment="1">
      <alignment horizontal="left" vertical="center" wrapText="1"/>
    </xf>
    <xf numFmtId="2" fontId="2" fillId="16" borderId="0" xfId="0" applyNumberFormat="1" applyFont="1" applyFill="1" applyAlignment="1">
      <alignment horizontal="right" vertical="center" wrapText="1"/>
    </xf>
    <xf numFmtId="2" fontId="5" fillId="17" borderId="0" xfId="0" applyNumberFormat="1" applyFont="1" applyFill="1" applyAlignment="1">
      <alignment horizontal="right" vertical="center" wrapText="1"/>
    </xf>
    <xf numFmtId="2" fontId="5" fillId="18" borderId="0" xfId="0" applyNumberFormat="1" applyFont="1" applyFill="1" applyAlignment="1">
      <alignment horizontal="right" vertical="center" wrapText="1"/>
    </xf>
    <xf numFmtId="2" fontId="2" fillId="19" borderId="5" xfId="0" applyNumberFormat="1" applyFont="1" applyFill="1" applyBorder="1" applyAlignment="1">
      <alignment horizontal="right" vertical="center" wrapText="1"/>
    </xf>
    <xf numFmtId="2" fontId="5" fillId="13" borderId="0" xfId="0" applyNumberFormat="1" applyFont="1" applyFill="1" applyAlignment="1">
      <alignment horizontal="left" vertical="center" wrapText="1"/>
    </xf>
    <xf numFmtId="2" fontId="2" fillId="13" borderId="5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3" fillId="14" borderId="10" xfId="0" applyFont="1" applyFill="1" applyBorder="1" applyAlignment="1">
      <alignment horizontal="center" vertical="center" wrapText="1"/>
    </xf>
    <xf numFmtId="0" fontId="3" fillId="15" borderId="10" xfId="0" applyFont="1" applyFill="1" applyBorder="1" applyAlignment="1">
      <alignment horizontal="center" vertical="center" wrapText="1"/>
    </xf>
    <xf numFmtId="0" fontId="3" fillId="16" borderId="10" xfId="0" applyFont="1" applyFill="1" applyBorder="1" applyAlignment="1">
      <alignment horizontal="center" vertical="center" wrapText="1"/>
    </xf>
    <xf numFmtId="0" fontId="4" fillId="17" borderId="10" xfId="0" applyFont="1" applyFill="1" applyBorder="1" applyAlignment="1">
      <alignment horizontal="center" vertical="center" wrapText="1"/>
    </xf>
    <xf numFmtId="0" fontId="4" fillId="18" borderId="10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0" fontId="6" fillId="20" borderId="12" xfId="0" applyFont="1" applyFill="1" applyBorder="1" applyAlignment="1">
      <alignment horizontal="center" vertical="center" wrapText="1"/>
    </xf>
    <xf numFmtId="0" fontId="2" fillId="21" borderId="13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left" vertical="center" wrapText="1"/>
    </xf>
    <xf numFmtId="0" fontId="2" fillId="13" borderId="0" xfId="0" applyFont="1" applyFill="1" applyBorder="1" applyAlignment="1">
      <alignment horizontal="left" vertical="center" wrapText="1"/>
    </xf>
    <xf numFmtId="0" fontId="3" fillId="13" borderId="0" xfId="0" applyFont="1" applyFill="1" applyBorder="1" applyAlignment="1">
      <alignment horizontal="left" vertical="center" wrapText="1"/>
    </xf>
    <xf numFmtId="0" fontId="2" fillId="13" borderId="15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2" fontId="2" fillId="8" borderId="0" xfId="0" applyNumberFormat="1" applyFont="1" applyFill="1" applyBorder="1" applyAlignment="1">
      <alignment horizontal="right" vertical="center" wrapText="1"/>
    </xf>
    <xf numFmtId="2" fontId="2" fillId="9" borderId="0" xfId="0" applyNumberFormat="1" applyFont="1" applyFill="1" applyBorder="1" applyAlignment="1">
      <alignment horizontal="right" vertical="center" wrapText="1"/>
    </xf>
    <xf numFmtId="2" fontId="2" fillId="10" borderId="0" xfId="0" applyNumberFormat="1" applyFont="1" applyFill="1" applyBorder="1" applyAlignment="1">
      <alignment horizontal="right" vertical="center" wrapText="1"/>
    </xf>
    <xf numFmtId="2" fontId="2" fillId="11" borderId="0" xfId="0" applyNumberFormat="1" applyFont="1" applyFill="1" applyBorder="1" applyAlignment="1">
      <alignment horizontal="right" vertical="center" wrapText="1"/>
    </xf>
    <xf numFmtId="2" fontId="2" fillId="12" borderId="0" xfId="0" applyNumberFormat="1" applyFont="1" applyFill="1" applyBorder="1" applyAlignment="1">
      <alignment horizontal="right" vertical="center" wrapText="1"/>
    </xf>
    <xf numFmtId="2" fontId="2" fillId="13" borderId="0" xfId="0" applyNumberFormat="1" applyFont="1" applyFill="1" applyBorder="1" applyAlignment="1">
      <alignment horizontal="left" vertical="center" wrapText="1"/>
    </xf>
    <xf numFmtId="2" fontId="2" fillId="14" borderId="0" xfId="0" applyNumberFormat="1" applyFont="1" applyFill="1" applyBorder="1" applyAlignment="1">
      <alignment horizontal="right" vertical="center" wrapText="1"/>
    </xf>
    <xf numFmtId="2" fontId="2" fillId="15" borderId="0" xfId="0" applyNumberFormat="1" applyFont="1" applyFill="1" applyBorder="1" applyAlignment="1">
      <alignment horizontal="left" vertical="center" wrapText="1"/>
    </xf>
    <xf numFmtId="2" fontId="2" fillId="16" borderId="0" xfId="0" applyNumberFormat="1" applyFont="1" applyFill="1" applyBorder="1" applyAlignment="1">
      <alignment horizontal="right" vertical="center" wrapText="1"/>
    </xf>
    <xf numFmtId="2" fontId="5" fillId="17" borderId="0" xfId="0" applyNumberFormat="1" applyFont="1" applyFill="1" applyBorder="1" applyAlignment="1">
      <alignment horizontal="right" vertical="center" wrapText="1"/>
    </xf>
    <xf numFmtId="2" fontId="5" fillId="18" borderId="0" xfId="0" applyNumberFormat="1" applyFont="1" applyFill="1" applyBorder="1" applyAlignment="1">
      <alignment horizontal="right" vertical="center" wrapText="1"/>
    </xf>
    <xf numFmtId="2" fontId="7" fillId="20" borderId="0" xfId="0" applyNumberFormat="1" applyFont="1" applyFill="1" applyBorder="1" applyAlignment="1">
      <alignment horizontal="right" vertical="center" wrapText="1"/>
    </xf>
    <xf numFmtId="2" fontId="2" fillId="21" borderId="15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0" fillId="0" borderId="17" xfId="0" applyBorder="1"/>
    <xf numFmtId="2" fontId="8" fillId="8" borderId="17" xfId="0" applyNumberFormat="1" applyFont="1" applyFill="1" applyBorder="1" applyAlignment="1">
      <alignment horizontal="right" vertical="center" wrapText="1"/>
    </xf>
    <xf numFmtId="2" fontId="8" fillId="9" borderId="17" xfId="0" applyNumberFormat="1" applyFont="1" applyFill="1" applyBorder="1" applyAlignment="1">
      <alignment horizontal="right" vertical="center" wrapText="1"/>
    </xf>
    <xf numFmtId="2" fontId="8" fillId="10" borderId="17" xfId="0" applyNumberFormat="1" applyFont="1" applyFill="1" applyBorder="1" applyAlignment="1">
      <alignment horizontal="right" vertical="center" wrapText="1"/>
    </xf>
    <xf numFmtId="2" fontId="8" fillId="11" borderId="17" xfId="0" applyNumberFormat="1" applyFont="1" applyFill="1" applyBorder="1" applyAlignment="1">
      <alignment horizontal="right" vertical="center" wrapText="1"/>
    </xf>
    <xf numFmtId="2" fontId="8" fillId="12" borderId="17" xfId="0" applyNumberFormat="1" applyFont="1" applyFill="1" applyBorder="1" applyAlignment="1">
      <alignment horizontal="right" vertical="center" wrapText="1"/>
    </xf>
    <xf numFmtId="2" fontId="8" fillId="13" borderId="17" xfId="0" applyNumberFormat="1" applyFont="1" applyFill="1" applyBorder="1" applyAlignment="1">
      <alignment horizontal="left" vertical="center" wrapText="1"/>
    </xf>
    <xf numFmtId="2" fontId="8" fillId="14" borderId="17" xfId="0" applyNumberFormat="1" applyFont="1" applyFill="1" applyBorder="1" applyAlignment="1">
      <alignment horizontal="right" vertical="center" wrapText="1"/>
    </xf>
    <xf numFmtId="2" fontId="8" fillId="15" borderId="17" xfId="0" applyNumberFormat="1" applyFont="1" applyFill="1" applyBorder="1" applyAlignment="1">
      <alignment horizontal="left" vertical="center" wrapText="1"/>
    </xf>
    <xf numFmtId="2" fontId="8" fillId="16" borderId="17" xfId="0" applyNumberFormat="1" applyFont="1" applyFill="1" applyBorder="1" applyAlignment="1">
      <alignment horizontal="right" vertical="center" wrapText="1"/>
    </xf>
    <xf numFmtId="2" fontId="8" fillId="17" borderId="17" xfId="0" applyNumberFormat="1" applyFont="1" applyFill="1" applyBorder="1" applyAlignment="1">
      <alignment horizontal="right" vertical="center" wrapText="1"/>
    </xf>
    <xf numFmtId="2" fontId="8" fillId="18" borderId="17" xfId="0" applyNumberFormat="1" applyFont="1" applyFill="1" applyBorder="1" applyAlignment="1">
      <alignment horizontal="right" vertical="center" wrapText="1"/>
    </xf>
    <xf numFmtId="2" fontId="8" fillId="19" borderId="18" xfId="0" applyNumberFormat="1" applyFont="1" applyFill="1" applyBorder="1" applyAlignment="1">
      <alignment horizontal="right" vertical="center" wrapText="1"/>
    </xf>
    <xf numFmtId="2" fontId="6" fillId="20" borderId="17" xfId="0" applyNumberFormat="1" applyFont="1" applyFill="1" applyBorder="1" applyAlignment="1">
      <alignment horizontal="right" vertical="center" wrapText="1"/>
    </xf>
    <xf numFmtId="2" fontId="8" fillId="21" borderId="19" xfId="0" applyNumberFormat="1" applyFont="1" applyFill="1" applyBorder="1" applyAlignment="1">
      <alignment horizontal="right" vertical="center" wrapText="1"/>
    </xf>
    <xf numFmtId="0" fontId="3" fillId="13" borderId="2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13" borderId="22" xfId="0" applyFont="1" applyFill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right" vertical="center" wrapText="1"/>
    </xf>
    <xf numFmtId="0" fontId="3" fillId="13" borderId="28" xfId="0" applyFont="1" applyFill="1" applyBorder="1" applyAlignment="1">
      <alignment horizontal="left" vertical="center" wrapText="1"/>
    </xf>
    <xf numFmtId="0" fontId="2" fillId="8" borderId="28" xfId="0" applyFont="1" applyFill="1" applyBorder="1" applyAlignment="1">
      <alignment horizontal="right" vertical="center" wrapText="1"/>
    </xf>
    <xf numFmtId="0" fontId="2" fillId="9" borderId="28" xfId="0" applyFont="1" applyFill="1" applyBorder="1" applyAlignment="1">
      <alignment horizontal="right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9" borderId="29" xfId="0" applyFont="1" applyFill="1" applyBorder="1" applyAlignment="1">
      <alignment horizontal="center" vertical="center" wrapText="1"/>
    </xf>
    <xf numFmtId="0" fontId="3" fillId="9" borderId="30" xfId="0" applyFont="1" applyFill="1" applyBorder="1" applyAlignment="1">
      <alignment horizontal="center" vertical="center" wrapText="1"/>
    </xf>
    <xf numFmtId="0" fontId="3" fillId="13" borderId="31" xfId="0" applyFont="1" applyFill="1" applyBorder="1" applyAlignment="1">
      <alignment horizontal="left" vertical="center" wrapText="1"/>
    </xf>
    <xf numFmtId="0" fontId="2" fillId="8" borderId="32" xfId="0" applyFont="1" applyFill="1" applyBorder="1" applyAlignment="1">
      <alignment horizontal="right" vertical="center" wrapText="1"/>
    </xf>
    <xf numFmtId="0" fontId="2" fillId="9" borderId="32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right" vertical="center" wrapText="1"/>
    </xf>
    <xf numFmtId="2" fontId="2" fillId="8" borderId="41" xfId="0" applyNumberFormat="1" applyFont="1" applyFill="1" applyBorder="1" applyAlignment="1">
      <alignment horizontal="right" vertical="center" wrapText="1"/>
    </xf>
    <xf numFmtId="2" fontId="2" fillId="9" borderId="41" xfId="0" applyNumberFormat="1" applyFont="1" applyFill="1" applyBorder="1" applyAlignment="1">
      <alignment horizontal="right" vertical="center" wrapText="1"/>
    </xf>
    <xf numFmtId="2" fontId="2" fillId="10" borderId="41" xfId="0" applyNumberFormat="1" applyFont="1" applyFill="1" applyBorder="1" applyAlignment="1">
      <alignment horizontal="right" vertical="center" wrapText="1"/>
    </xf>
    <xf numFmtId="2" fontId="2" fillId="11" borderId="41" xfId="0" applyNumberFormat="1" applyFont="1" applyFill="1" applyBorder="1" applyAlignment="1">
      <alignment horizontal="right" vertical="center" wrapText="1"/>
    </xf>
    <xf numFmtId="2" fontId="2" fillId="12" borderId="41" xfId="0" applyNumberFormat="1" applyFont="1" applyFill="1" applyBorder="1" applyAlignment="1">
      <alignment horizontal="right" vertical="center" wrapText="1"/>
    </xf>
    <xf numFmtId="2" fontId="2" fillId="13" borderId="41" xfId="0" applyNumberFormat="1" applyFont="1" applyFill="1" applyBorder="1" applyAlignment="1">
      <alignment horizontal="left" vertical="center" wrapText="1"/>
    </xf>
    <xf numFmtId="2" fontId="2" fillId="14" borderId="41" xfId="0" applyNumberFormat="1" applyFont="1" applyFill="1" applyBorder="1" applyAlignment="1">
      <alignment horizontal="right" vertical="center" wrapText="1"/>
    </xf>
    <xf numFmtId="2" fontId="2" fillId="15" borderId="41" xfId="0" applyNumberFormat="1" applyFont="1" applyFill="1" applyBorder="1" applyAlignment="1">
      <alignment horizontal="left" vertical="center" wrapText="1"/>
    </xf>
    <xf numFmtId="2" fontId="2" fillId="16" borderId="41" xfId="0" applyNumberFormat="1" applyFont="1" applyFill="1" applyBorder="1" applyAlignment="1">
      <alignment horizontal="right" vertical="center" wrapText="1"/>
    </xf>
    <xf numFmtId="2" fontId="5" fillId="17" borderId="41" xfId="0" applyNumberFormat="1" applyFont="1" applyFill="1" applyBorder="1" applyAlignment="1">
      <alignment horizontal="right" vertical="center" wrapText="1"/>
    </xf>
    <xf numFmtId="2" fontId="5" fillId="18" borderId="41" xfId="0" applyNumberFormat="1" applyFont="1" applyFill="1" applyBorder="1" applyAlignment="1">
      <alignment horizontal="right" vertical="center" wrapText="1"/>
    </xf>
    <xf numFmtId="2" fontId="2" fillId="19" borderId="40" xfId="0" applyNumberFormat="1" applyFont="1" applyFill="1" applyBorder="1" applyAlignment="1">
      <alignment horizontal="right" vertical="center" wrapText="1"/>
    </xf>
    <xf numFmtId="2" fontId="7" fillId="20" borderId="41" xfId="0" applyNumberFormat="1" applyFont="1" applyFill="1" applyBorder="1" applyAlignment="1">
      <alignment horizontal="right" vertical="center" wrapText="1"/>
    </xf>
    <xf numFmtId="2" fontId="2" fillId="21" borderId="42" xfId="0" applyNumberFormat="1" applyFont="1" applyFill="1" applyBorder="1" applyAlignment="1">
      <alignment horizontal="right" vertical="center" wrapText="1"/>
    </xf>
    <xf numFmtId="0" fontId="2" fillId="0" borderId="23" xfId="0" applyFont="1" applyBorder="1" applyAlignment="1">
      <alignment horizontal="left" vertical="center" wrapText="1"/>
    </xf>
    <xf numFmtId="2" fontId="2" fillId="21" borderId="24" xfId="0" applyNumberFormat="1" applyFont="1" applyFill="1" applyBorder="1" applyAlignment="1">
      <alignment horizontal="righ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right" vertical="center" wrapText="1"/>
    </xf>
    <xf numFmtId="2" fontId="2" fillId="8" borderId="26" xfId="0" applyNumberFormat="1" applyFont="1" applyFill="1" applyBorder="1" applyAlignment="1">
      <alignment horizontal="right" vertical="center" wrapText="1"/>
    </xf>
    <xf numFmtId="2" fontId="2" fillId="9" borderId="26" xfId="0" applyNumberFormat="1" applyFont="1" applyFill="1" applyBorder="1" applyAlignment="1">
      <alignment horizontal="right" vertical="center" wrapText="1"/>
    </xf>
    <xf numFmtId="2" fontId="2" fillId="10" borderId="26" xfId="0" applyNumberFormat="1" applyFont="1" applyFill="1" applyBorder="1" applyAlignment="1">
      <alignment horizontal="right" vertical="center" wrapText="1"/>
    </xf>
    <xf numFmtId="2" fontId="2" fillId="11" borderId="26" xfId="0" applyNumberFormat="1" applyFont="1" applyFill="1" applyBorder="1" applyAlignment="1">
      <alignment horizontal="right" vertical="center" wrapText="1"/>
    </xf>
    <xf numFmtId="2" fontId="2" fillId="12" borderId="26" xfId="0" applyNumberFormat="1" applyFont="1" applyFill="1" applyBorder="1" applyAlignment="1">
      <alignment horizontal="right" vertical="center" wrapText="1"/>
    </xf>
    <xf numFmtId="2" fontId="2" fillId="13" borderId="26" xfId="0" applyNumberFormat="1" applyFont="1" applyFill="1" applyBorder="1" applyAlignment="1">
      <alignment horizontal="left" vertical="center" wrapText="1"/>
    </xf>
    <xf numFmtId="2" fontId="2" fillId="14" borderId="26" xfId="0" applyNumberFormat="1" applyFont="1" applyFill="1" applyBorder="1" applyAlignment="1">
      <alignment horizontal="right" vertical="center" wrapText="1"/>
    </xf>
    <xf numFmtId="2" fontId="2" fillId="15" borderId="26" xfId="0" applyNumberFormat="1" applyFont="1" applyFill="1" applyBorder="1" applyAlignment="1">
      <alignment horizontal="left" vertical="center" wrapText="1"/>
    </xf>
    <xf numFmtId="2" fontId="2" fillId="16" borderId="26" xfId="0" applyNumberFormat="1" applyFont="1" applyFill="1" applyBorder="1" applyAlignment="1">
      <alignment horizontal="right" vertical="center" wrapText="1"/>
    </xf>
    <xf numFmtId="2" fontId="5" fillId="17" borderId="26" xfId="0" applyNumberFormat="1" applyFont="1" applyFill="1" applyBorder="1" applyAlignment="1">
      <alignment horizontal="right" vertical="center" wrapText="1"/>
    </xf>
    <xf numFmtId="2" fontId="5" fillId="18" borderId="26" xfId="0" applyNumberFormat="1" applyFont="1" applyFill="1" applyBorder="1" applyAlignment="1">
      <alignment horizontal="right" vertical="center" wrapText="1"/>
    </xf>
    <xf numFmtId="2" fontId="2" fillId="19" borderId="43" xfId="0" applyNumberFormat="1" applyFont="1" applyFill="1" applyBorder="1" applyAlignment="1">
      <alignment horizontal="right" vertical="center" wrapText="1"/>
    </xf>
    <xf numFmtId="2" fontId="7" fillId="20" borderId="26" xfId="0" applyNumberFormat="1" applyFont="1" applyFill="1" applyBorder="1" applyAlignment="1">
      <alignment horizontal="right" vertical="center" wrapText="1"/>
    </xf>
    <xf numFmtId="2" fontId="2" fillId="21" borderId="27" xfId="0" applyNumberFormat="1" applyFont="1" applyFill="1" applyBorder="1" applyAlignment="1">
      <alignment horizontal="right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3" fillId="8" borderId="45" xfId="0" applyFont="1" applyFill="1" applyBorder="1" applyAlignment="1">
      <alignment horizontal="center" vertical="center" wrapText="1"/>
    </xf>
    <xf numFmtId="0" fontId="3" fillId="9" borderId="45" xfId="0" applyFont="1" applyFill="1" applyBorder="1" applyAlignment="1">
      <alignment horizontal="center" vertical="center" wrapText="1"/>
    </xf>
    <xf numFmtId="0" fontId="3" fillId="10" borderId="45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2" fillId="12" borderId="45" xfId="0" applyFont="1" applyFill="1" applyBorder="1" applyAlignment="1">
      <alignment horizontal="center" vertical="center" wrapText="1"/>
    </xf>
    <xf numFmtId="0" fontId="2" fillId="13" borderId="45" xfId="0" applyFont="1" applyFill="1" applyBorder="1" applyAlignment="1">
      <alignment horizontal="center" vertical="center" wrapText="1"/>
    </xf>
    <xf numFmtId="0" fontId="3" fillId="14" borderId="45" xfId="0" applyFont="1" applyFill="1" applyBorder="1" applyAlignment="1">
      <alignment horizontal="center" vertical="center" wrapText="1"/>
    </xf>
    <xf numFmtId="0" fontId="3" fillId="15" borderId="45" xfId="0" applyFont="1" applyFill="1" applyBorder="1" applyAlignment="1">
      <alignment horizontal="center" vertical="center" wrapText="1"/>
    </xf>
    <xf numFmtId="0" fontId="3" fillId="16" borderId="45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 wrapText="1"/>
    </xf>
    <xf numFmtId="0" fontId="3" fillId="19" borderId="46" xfId="0" applyFont="1" applyFill="1" applyBorder="1" applyAlignment="1">
      <alignment horizontal="center" vertical="center" wrapText="1"/>
    </xf>
    <xf numFmtId="0" fontId="6" fillId="20" borderId="45" xfId="0" applyFont="1" applyFill="1" applyBorder="1" applyAlignment="1">
      <alignment horizontal="center" vertical="center" wrapText="1"/>
    </xf>
    <xf numFmtId="0" fontId="2" fillId="21" borderId="47" xfId="0" applyFont="1" applyFill="1" applyBorder="1" applyAlignment="1">
      <alignment horizontal="center" vertical="center" wrapText="1"/>
    </xf>
    <xf numFmtId="0" fontId="2" fillId="13" borderId="44" xfId="0" applyFont="1" applyFill="1" applyBorder="1" applyAlignment="1">
      <alignment horizontal="left" vertical="center" wrapText="1"/>
    </xf>
    <xf numFmtId="0" fontId="2" fillId="13" borderId="45" xfId="0" applyFont="1" applyFill="1" applyBorder="1" applyAlignment="1">
      <alignment horizontal="left" vertical="center" wrapText="1"/>
    </xf>
    <xf numFmtId="0" fontId="3" fillId="13" borderId="45" xfId="0" applyFont="1" applyFill="1" applyBorder="1" applyAlignment="1">
      <alignment horizontal="left" vertical="center" wrapText="1"/>
    </xf>
    <xf numFmtId="0" fontId="2" fillId="13" borderId="46" xfId="0" applyFont="1" applyFill="1" applyBorder="1" applyAlignment="1">
      <alignment horizontal="left" vertical="center" wrapText="1"/>
    </xf>
    <xf numFmtId="0" fontId="2" fillId="13" borderId="47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right" vertical="center" wrapText="1"/>
    </xf>
    <xf numFmtId="2" fontId="2" fillId="8" borderId="39" xfId="0" applyNumberFormat="1" applyFont="1" applyFill="1" applyBorder="1" applyAlignment="1">
      <alignment horizontal="right" vertical="center" wrapText="1"/>
    </xf>
    <xf numFmtId="2" fontId="2" fillId="8" borderId="23" xfId="0" applyNumberFormat="1" applyFont="1" applyFill="1" applyBorder="1" applyAlignment="1">
      <alignment horizontal="right" vertical="center" wrapText="1"/>
    </xf>
    <xf numFmtId="2" fontId="2" fillId="8" borderId="25" xfId="0" applyNumberFormat="1" applyFont="1" applyFill="1" applyBorder="1" applyAlignment="1">
      <alignment horizontal="right" vertical="center" wrapText="1"/>
    </xf>
    <xf numFmtId="0" fontId="2" fillId="0" borderId="48" xfId="0" applyFont="1" applyBorder="1" applyAlignment="1">
      <alignment horizontal="right" vertical="center" wrapText="1"/>
    </xf>
    <xf numFmtId="2" fontId="2" fillId="8" borderId="28" xfId="0" applyNumberFormat="1" applyFont="1" applyFill="1" applyBorder="1" applyAlignment="1">
      <alignment horizontal="right" vertical="center" wrapText="1"/>
    </xf>
    <xf numFmtId="2" fontId="2" fillId="8" borderId="32" xfId="0" applyNumberFormat="1" applyFont="1" applyFill="1" applyBorder="1" applyAlignment="1">
      <alignment horizontal="right" vertical="center" wrapText="1"/>
    </xf>
    <xf numFmtId="2" fontId="2" fillId="9" borderId="31" xfId="0" applyNumberFormat="1" applyFont="1" applyFill="1" applyBorder="1" applyAlignment="1">
      <alignment horizontal="right" vertical="center" wrapText="1"/>
    </xf>
    <xf numFmtId="2" fontId="2" fillId="9" borderId="33" xfId="0" applyNumberFormat="1" applyFont="1" applyFill="1" applyBorder="1" applyAlignment="1">
      <alignment horizontal="right" vertical="center" wrapText="1"/>
    </xf>
    <xf numFmtId="0" fontId="3" fillId="0" borderId="39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right" vertical="center" wrapText="1"/>
    </xf>
    <xf numFmtId="0" fontId="9" fillId="0" borderId="25" xfId="0" applyFont="1" applyBorder="1" applyAlignment="1">
      <alignment horizontal="left" vertical="center" wrapText="1"/>
    </xf>
    <xf numFmtId="2" fontId="10" fillId="0" borderId="0" xfId="0" applyNumberFormat="1" applyFont="1"/>
    <xf numFmtId="2" fontId="10" fillId="0" borderId="41" xfId="0" applyNumberFormat="1" applyFont="1" applyBorder="1"/>
    <xf numFmtId="2" fontId="0" fillId="0" borderId="41" xfId="0" applyNumberFormat="1" applyBorder="1"/>
    <xf numFmtId="2" fontId="0" fillId="0" borderId="42" xfId="0" applyNumberFormat="1" applyBorder="1"/>
    <xf numFmtId="2" fontId="10" fillId="0" borderId="26" xfId="0" applyNumberFormat="1" applyFont="1" applyBorder="1"/>
    <xf numFmtId="2" fontId="0" fillId="0" borderId="26" xfId="0" applyNumberFormat="1" applyBorder="1"/>
    <xf numFmtId="2" fontId="0" fillId="0" borderId="27" xfId="0" applyNumberFormat="1" applyBorder="1"/>
    <xf numFmtId="2" fontId="11" fillId="14" borderId="26" xfId="0" applyNumberFormat="1" applyFont="1" applyFill="1" applyBorder="1" applyAlignment="1">
      <alignment horizontal="right" vertical="center" wrapText="1"/>
    </xf>
    <xf numFmtId="2" fontId="3" fillId="8" borderId="26" xfId="0" applyNumberFormat="1" applyFont="1" applyFill="1" applyBorder="1" applyAlignment="1">
      <alignment horizontal="right" vertical="center" wrapText="1"/>
    </xf>
    <xf numFmtId="2" fontId="3" fillId="9" borderId="26" xfId="0" applyNumberFormat="1" applyFont="1" applyFill="1" applyBorder="1" applyAlignment="1">
      <alignment horizontal="right" vertical="center" wrapText="1"/>
    </xf>
    <xf numFmtId="2" fontId="3" fillId="10" borderId="26" xfId="0" applyNumberFormat="1" applyFont="1" applyFill="1" applyBorder="1" applyAlignment="1">
      <alignment horizontal="right" vertical="center" wrapText="1"/>
    </xf>
    <xf numFmtId="2" fontId="3" fillId="11" borderId="26" xfId="0" applyNumberFormat="1" applyFont="1" applyFill="1" applyBorder="1" applyAlignment="1">
      <alignment horizontal="right" vertical="center" wrapText="1"/>
    </xf>
    <xf numFmtId="2" fontId="3" fillId="12" borderId="26" xfId="0" applyNumberFormat="1" applyFont="1" applyFill="1" applyBorder="1" applyAlignment="1">
      <alignment horizontal="right" vertical="center" wrapText="1"/>
    </xf>
    <xf numFmtId="2" fontId="3" fillId="13" borderId="26" xfId="0" applyNumberFormat="1" applyFont="1" applyFill="1" applyBorder="1" applyAlignment="1">
      <alignment horizontal="left" vertical="center" wrapText="1"/>
    </xf>
    <xf numFmtId="2" fontId="8" fillId="14" borderId="26" xfId="0" applyNumberFormat="1" applyFont="1" applyFill="1" applyBorder="1" applyAlignment="1">
      <alignment horizontal="right" vertical="center" wrapText="1"/>
    </xf>
    <xf numFmtId="2" fontId="3" fillId="15" borderId="26" xfId="0" applyNumberFormat="1" applyFont="1" applyFill="1" applyBorder="1" applyAlignment="1">
      <alignment horizontal="left" vertical="center" wrapText="1"/>
    </xf>
    <xf numFmtId="2" fontId="3" fillId="16" borderId="26" xfId="0" applyNumberFormat="1" applyFont="1" applyFill="1" applyBorder="1" applyAlignment="1">
      <alignment horizontal="right" vertical="center" wrapText="1"/>
    </xf>
    <xf numFmtId="2" fontId="4" fillId="17" borderId="26" xfId="0" applyNumberFormat="1" applyFont="1" applyFill="1" applyBorder="1" applyAlignment="1">
      <alignment horizontal="right" vertical="center" wrapText="1"/>
    </xf>
    <xf numFmtId="2" fontId="4" fillId="18" borderId="26" xfId="0" applyNumberFormat="1" applyFont="1" applyFill="1" applyBorder="1" applyAlignment="1">
      <alignment horizontal="right" vertical="center" wrapText="1"/>
    </xf>
    <xf numFmtId="2" fontId="3" fillId="19" borderId="43" xfId="0" applyNumberFormat="1" applyFont="1" applyFill="1" applyBorder="1" applyAlignment="1">
      <alignment horizontal="right" vertical="center" wrapText="1"/>
    </xf>
    <xf numFmtId="2" fontId="6" fillId="20" borderId="26" xfId="0" applyNumberFormat="1" applyFont="1" applyFill="1" applyBorder="1" applyAlignment="1">
      <alignment horizontal="right" vertical="center" wrapText="1"/>
    </xf>
    <xf numFmtId="2" fontId="3" fillId="21" borderId="27" xfId="0" applyNumberFormat="1" applyFont="1" applyFill="1" applyBorder="1" applyAlignment="1">
      <alignment horizontal="right" vertical="center" wrapText="1"/>
    </xf>
    <xf numFmtId="0" fontId="3" fillId="13" borderId="41" xfId="0" applyFont="1" applyFill="1" applyBorder="1" applyAlignment="1">
      <alignment horizontal="left" vertical="center" wrapText="1"/>
    </xf>
    <xf numFmtId="0" fontId="2" fillId="13" borderId="39" xfId="0" applyFont="1" applyFill="1" applyBorder="1" applyAlignment="1">
      <alignment horizontal="left" vertical="center" wrapText="1"/>
    </xf>
    <xf numFmtId="0" fontId="2" fillId="13" borderId="41" xfId="0" applyFont="1" applyFill="1" applyBorder="1" applyAlignment="1">
      <alignment horizontal="left" vertical="center" wrapText="1"/>
    </xf>
    <xf numFmtId="0" fontId="2" fillId="13" borderId="40" xfId="0" applyFont="1" applyFill="1" applyBorder="1" applyAlignment="1">
      <alignment horizontal="left" vertical="center" wrapText="1"/>
    </xf>
    <xf numFmtId="0" fontId="2" fillId="13" borderId="42" xfId="0" applyFont="1" applyFill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10" fontId="0" fillId="0" borderId="0" xfId="0" applyNumberFormat="1"/>
    <xf numFmtId="0" fontId="3" fillId="19" borderId="54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1" fillId="19" borderId="5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2" fontId="0" fillId="19" borderId="57" xfId="0" applyNumberFormat="1" applyFont="1" applyFill="1" applyBorder="1" applyAlignment="1">
      <alignment horizontal="center" vertical="center" wrapText="1"/>
    </xf>
    <xf numFmtId="2" fontId="0" fillId="19" borderId="5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right" vertical="center" wrapText="1"/>
    </xf>
    <xf numFmtId="2" fontId="0" fillId="19" borderId="5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10" fontId="0" fillId="0" borderId="25" xfId="0" applyNumberFormat="1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center" wrapText="1"/>
    </xf>
    <xf numFmtId="0" fontId="0" fillId="0" borderId="48" xfId="0" applyFont="1" applyBorder="1" applyAlignment="1">
      <alignment horizontal="right" vertical="center" wrapText="1"/>
    </xf>
    <xf numFmtId="0" fontId="0" fillId="29" borderId="0" xfId="0" applyFont="1" applyFill="1"/>
    <xf numFmtId="0" fontId="12" fillId="29" borderId="0" xfId="0" applyFont="1" applyFill="1"/>
    <xf numFmtId="0" fontId="13" fillId="29" borderId="0" xfId="0" applyFont="1" applyFill="1"/>
    <xf numFmtId="0" fontId="13" fillId="29" borderId="0" xfId="0" applyFont="1" applyFill="1" applyAlignment="1">
      <alignment horizontal="center"/>
    </xf>
    <xf numFmtId="0" fontId="13" fillId="29" borderId="14" xfId="0" applyFont="1" applyFill="1" applyBorder="1"/>
    <xf numFmtId="0" fontId="1" fillId="0" borderId="4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10" fontId="0" fillId="0" borderId="53" xfId="0" applyNumberFormat="1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10" fillId="0" borderId="44" xfId="0" applyFont="1" applyBorder="1" applyAlignment="1">
      <alignment horizontal="left" vertical="center" wrapText="1"/>
    </xf>
    <xf numFmtId="0" fontId="0" fillId="0" borderId="47" xfId="0" applyFont="1" applyBorder="1" applyAlignment="1">
      <alignment horizontal="left" vertical="center" wrapText="1"/>
    </xf>
    <xf numFmtId="0" fontId="1" fillId="0" borderId="54" xfId="0" applyFont="1" applyBorder="1" applyAlignment="1">
      <alignment horizontal="center" vertical="center" wrapText="1"/>
    </xf>
    <xf numFmtId="2" fontId="0" fillId="30" borderId="57" xfId="0" applyNumberFormat="1" applyFont="1" applyFill="1" applyBorder="1" applyAlignment="1">
      <alignment horizontal="center" vertical="center" wrapText="1"/>
    </xf>
    <xf numFmtId="2" fontId="0" fillId="30" borderId="55" xfId="0" applyNumberFormat="1" applyFont="1" applyFill="1" applyBorder="1" applyAlignment="1">
      <alignment horizontal="center" vertical="center" wrapText="1"/>
    </xf>
    <xf numFmtId="165" fontId="1" fillId="30" borderId="56" xfId="0" applyNumberFormat="1" applyFont="1" applyFill="1" applyBorder="1" applyAlignment="1">
      <alignment horizontal="center" vertical="center" wrapText="1"/>
    </xf>
    <xf numFmtId="2" fontId="0" fillId="30" borderId="56" xfId="0" applyNumberFormat="1" applyFont="1" applyFill="1" applyBorder="1" applyAlignment="1">
      <alignment horizontal="center" vertical="center" wrapText="1"/>
    </xf>
    <xf numFmtId="0" fontId="1" fillId="24" borderId="44" xfId="0" applyFont="1" applyFill="1" applyBorder="1" applyAlignment="1">
      <alignment vertical="center" wrapText="1"/>
    </xf>
    <xf numFmtId="0" fontId="1" fillId="24" borderId="46" xfId="0" applyFont="1" applyFill="1" applyBorder="1" applyAlignment="1">
      <alignment vertical="center" wrapText="1"/>
    </xf>
    <xf numFmtId="0" fontId="1" fillId="23" borderId="58" xfId="0" applyFont="1" applyFill="1" applyBorder="1" applyAlignment="1">
      <alignment vertical="center" wrapText="1"/>
    </xf>
    <xf numFmtId="0" fontId="1" fillId="23" borderId="46" xfId="0" applyFont="1" applyFill="1" applyBorder="1" applyAlignment="1">
      <alignment vertical="center" wrapText="1"/>
    </xf>
    <xf numFmtId="0" fontId="1" fillId="26" borderId="58" xfId="0" applyFont="1" applyFill="1" applyBorder="1" applyAlignment="1">
      <alignment vertical="center" wrapText="1"/>
    </xf>
    <xf numFmtId="0" fontId="1" fillId="26" borderId="47" xfId="0" applyFont="1" applyFill="1" applyBorder="1" applyAlignment="1">
      <alignment vertical="center" wrapText="1"/>
    </xf>
    <xf numFmtId="0" fontId="1" fillId="27" borderId="44" xfId="0" applyFont="1" applyFill="1" applyBorder="1" applyAlignment="1">
      <alignment vertical="center" wrapText="1"/>
    </xf>
    <xf numFmtId="0" fontId="1" fillId="27" borderId="47" xfId="0" applyFont="1" applyFill="1" applyBorder="1" applyAlignment="1">
      <alignment vertical="center" wrapText="1"/>
    </xf>
    <xf numFmtId="0" fontId="1" fillId="28" borderId="44" xfId="0" applyFont="1" applyFill="1" applyBorder="1" applyAlignment="1">
      <alignment vertical="center" wrapText="1"/>
    </xf>
    <xf numFmtId="0" fontId="1" fillId="28" borderId="47" xfId="0" applyFont="1" applyFill="1" applyBorder="1" applyAlignment="1">
      <alignment vertical="center" wrapText="1"/>
    </xf>
    <xf numFmtId="2" fontId="0" fillId="30" borderId="42" xfId="0" applyNumberFormat="1" applyFont="1" applyFill="1" applyBorder="1" applyAlignment="1">
      <alignment horizontal="center" vertical="center" wrapText="1"/>
    </xf>
    <xf numFmtId="2" fontId="0" fillId="30" borderId="24" xfId="0" applyNumberFormat="1" applyFont="1" applyFill="1" applyBorder="1" applyAlignment="1">
      <alignment horizontal="center" vertical="center" wrapText="1"/>
    </xf>
    <xf numFmtId="2" fontId="0" fillId="30" borderId="27" xfId="0" applyNumberFormat="1" applyFont="1" applyFill="1" applyBorder="1" applyAlignment="1">
      <alignment horizontal="center" vertical="center" wrapText="1"/>
    </xf>
    <xf numFmtId="10" fontId="0" fillId="0" borderId="0" xfId="0" applyNumberFormat="1" applyFon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left"/>
    </xf>
    <xf numFmtId="10" fontId="0" fillId="0" borderId="44" xfId="0" applyNumberFormat="1" applyFont="1" applyBorder="1" applyAlignment="1">
      <alignment vertical="center" wrapText="1"/>
    </xf>
    <xf numFmtId="10" fontId="0" fillId="0" borderId="47" xfId="0" applyNumberFormat="1" applyFont="1" applyBorder="1" applyAlignment="1">
      <alignment vertical="center" wrapText="1"/>
    </xf>
    <xf numFmtId="2" fontId="1" fillId="0" borderId="25" xfId="0" applyNumberFormat="1" applyFont="1" applyBorder="1" applyAlignment="1">
      <alignment vertical="center" wrapText="1"/>
    </xf>
    <xf numFmtId="2" fontId="1" fillId="0" borderId="27" xfId="0" applyNumberFormat="1" applyFont="1" applyBorder="1" applyAlignment="1">
      <alignment vertical="center" wrapText="1"/>
    </xf>
    <xf numFmtId="2" fontId="2" fillId="19" borderId="0" xfId="0" applyNumberFormat="1" applyFont="1" applyFill="1" applyBorder="1" applyAlignment="1">
      <alignment horizontal="right" vertical="center" wrapText="1"/>
    </xf>
    <xf numFmtId="0" fontId="9" fillId="0" borderId="44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right" vertical="center" wrapText="1"/>
    </xf>
    <xf numFmtId="2" fontId="3" fillId="8" borderId="45" xfId="0" applyNumberFormat="1" applyFont="1" applyFill="1" applyBorder="1" applyAlignment="1">
      <alignment horizontal="right" vertical="center" wrapText="1"/>
    </xf>
    <xf numFmtId="2" fontId="3" fillId="9" borderId="45" xfId="0" applyNumberFormat="1" applyFont="1" applyFill="1" applyBorder="1" applyAlignment="1">
      <alignment horizontal="right" vertical="center" wrapText="1"/>
    </xf>
    <xf numFmtId="2" fontId="3" fillId="10" borderId="45" xfId="0" applyNumberFormat="1" applyFont="1" applyFill="1" applyBorder="1" applyAlignment="1">
      <alignment horizontal="right" vertical="center" wrapText="1"/>
    </xf>
    <xf numFmtId="2" fontId="3" fillId="11" borderId="45" xfId="0" applyNumberFormat="1" applyFont="1" applyFill="1" applyBorder="1" applyAlignment="1">
      <alignment horizontal="right" vertical="center" wrapText="1"/>
    </xf>
    <xf numFmtId="2" fontId="3" fillId="12" borderId="45" xfId="0" applyNumberFormat="1" applyFont="1" applyFill="1" applyBorder="1" applyAlignment="1">
      <alignment horizontal="right" vertical="center" wrapText="1"/>
    </xf>
    <xf numFmtId="2" fontId="3" fillId="13" borderId="45" xfId="0" applyNumberFormat="1" applyFont="1" applyFill="1" applyBorder="1" applyAlignment="1">
      <alignment horizontal="left" vertical="center" wrapText="1"/>
    </xf>
    <xf numFmtId="2" fontId="8" fillId="14" borderId="45" xfId="0" applyNumberFormat="1" applyFont="1" applyFill="1" applyBorder="1" applyAlignment="1">
      <alignment horizontal="right" vertical="center" wrapText="1"/>
    </xf>
    <xf numFmtId="2" fontId="3" fillId="15" borderId="45" xfId="0" applyNumberFormat="1" applyFont="1" applyFill="1" applyBorder="1" applyAlignment="1">
      <alignment horizontal="left" vertical="center" wrapText="1"/>
    </xf>
    <xf numFmtId="2" fontId="3" fillId="16" borderId="45" xfId="0" applyNumberFormat="1" applyFont="1" applyFill="1" applyBorder="1" applyAlignment="1">
      <alignment horizontal="right" vertical="center" wrapText="1"/>
    </xf>
    <xf numFmtId="2" fontId="4" fillId="17" borderId="45" xfId="0" applyNumberFormat="1" applyFont="1" applyFill="1" applyBorder="1" applyAlignment="1">
      <alignment horizontal="right" vertical="center" wrapText="1"/>
    </xf>
    <xf numFmtId="2" fontId="4" fillId="18" borderId="45" xfId="0" applyNumberFormat="1" applyFont="1" applyFill="1" applyBorder="1" applyAlignment="1">
      <alignment horizontal="right" vertical="center" wrapText="1"/>
    </xf>
    <xf numFmtId="2" fontId="3" fillId="19" borderId="46" xfId="0" applyNumberFormat="1" applyFont="1" applyFill="1" applyBorder="1" applyAlignment="1">
      <alignment horizontal="right" vertical="center" wrapText="1"/>
    </xf>
    <xf numFmtId="2" fontId="6" fillId="20" borderId="45" xfId="0" applyNumberFormat="1" applyFont="1" applyFill="1" applyBorder="1" applyAlignment="1">
      <alignment horizontal="right" vertical="center" wrapText="1"/>
    </xf>
    <xf numFmtId="2" fontId="3" fillId="21" borderId="47" xfId="0" applyNumberFormat="1" applyFont="1" applyFill="1" applyBorder="1" applyAlignment="1">
      <alignment horizontal="right" vertical="center" wrapText="1"/>
    </xf>
    <xf numFmtId="2" fontId="2" fillId="19" borderId="41" xfId="0" applyNumberFormat="1" applyFont="1" applyFill="1" applyBorder="1" applyAlignment="1">
      <alignment horizontal="right" vertical="center" wrapText="1"/>
    </xf>
    <xf numFmtId="2" fontId="2" fillId="19" borderId="26" xfId="0" applyNumberFormat="1" applyFont="1" applyFill="1" applyBorder="1" applyAlignment="1">
      <alignment horizontal="right" vertical="center" wrapText="1"/>
    </xf>
    <xf numFmtId="2" fontId="2" fillId="19" borderId="55" xfId="0" applyNumberFormat="1" applyFont="1" applyFill="1" applyBorder="1" applyAlignment="1">
      <alignment horizontal="right" vertical="center" wrapText="1"/>
    </xf>
    <xf numFmtId="2" fontId="3" fillId="19" borderId="54" xfId="0" applyNumberFormat="1" applyFont="1" applyFill="1" applyBorder="1" applyAlignment="1">
      <alignment horizontal="right" vertical="center" wrapText="1"/>
    </xf>
    <xf numFmtId="0" fontId="3" fillId="16" borderId="54" xfId="0" applyFont="1" applyFill="1" applyBorder="1" applyAlignment="1">
      <alignment horizontal="center" vertical="center" wrapText="1"/>
    </xf>
    <xf numFmtId="2" fontId="2" fillId="16" borderId="55" xfId="0" applyNumberFormat="1" applyFont="1" applyFill="1" applyBorder="1" applyAlignment="1">
      <alignment horizontal="right" vertical="center" wrapText="1"/>
    </xf>
    <xf numFmtId="2" fontId="3" fillId="16" borderId="54" xfId="0" applyNumberFormat="1" applyFont="1" applyFill="1" applyBorder="1" applyAlignment="1">
      <alignment horizontal="right" vertical="center" wrapText="1"/>
    </xf>
    <xf numFmtId="0" fontId="3" fillId="14" borderId="54" xfId="0" applyFont="1" applyFill="1" applyBorder="1" applyAlignment="1">
      <alignment horizontal="center" vertical="center" wrapText="1"/>
    </xf>
    <xf numFmtId="2" fontId="2" fillId="14" borderId="55" xfId="0" applyNumberFormat="1" applyFont="1" applyFill="1" applyBorder="1" applyAlignment="1">
      <alignment horizontal="right" vertical="center" wrapText="1"/>
    </xf>
    <xf numFmtId="2" fontId="8" fillId="14" borderId="54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166" fontId="1" fillId="0" borderId="0" xfId="0" applyNumberFormat="1" applyFont="1"/>
    <xf numFmtId="4" fontId="0" fillId="0" borderId="0" xfId="0" applyNumberFormat="1"/>
    <xf numFmtId="0" fontId="0" fillId="25" borderId="0" xfId="0" applyFill="1"/>
    <xf numFmtId="2" fontId="1" fillId="0" borderId="0" xfId="0" applyNumberFormat="1" applyFont="1"/>
    <xf numFmtId="0" fontId="0" fillId="31" borderId="0" xfId="0" applyFill="1"/>
    <xf numFmtId="0" fontId="0" fillId="29" borderId="0" xfId="0" applyFill="1"/>
    <xf numFmtId="2" fontId="0" fillId="0" borderId="0" xfId="0" applyNumberFormat="1" applyFont="1"/>
    <xf numFmtId="2" fontId="2" fillId="19" borderId="23" xfId="0" applyNumberFormat="1" applyFont="1" applyFill="1" applyBorder="1" applyAlignment="1">
      <alignment horizontal="right" vertical="center" wrapText="1"/>
    </xf>
    <xf numFmtId="2" fontId="5" fillId="17" borderId="57" xfId="0" applyNumberFormat="1" applyFont="1" applyFill="1" applyBorder="1" applyAlignment="1">
      <alignment horizontal="right" vertical="center" wrapText="1"/>
    </xf>
    <xf numFmtId="2" fontId="5" fillId="17" borderId="55" xfId="0" applyNumberFormat="1" applyFont="1" applyFill="1" applyBorder="1" applyAlignment="1">
      <alignment horizontal="right" vertical="center" wrapText="1"/>
    </xf>
    <xf numFmtId="2" fontId="5" fillId="17" borderId="56" xfId="0" applyNumberFormat="1" applyFont="1" applyFill="1" applyBorder="1" applyAlignment="1">
      <alignment horizontal="right" vertical="center" wrapText="1"/>
    </xf>
    <xf numFmtId="0" fontId="4" fillId="17" borderId="54" xfId="0" applyFont="1" applyFill="1" applyBorder="1" applyAlignment="1">
      <alignment horizontal="center" vertical="center" wrapText="1"/>
    </xf>
    <xf numFmtId="2" fontId="4" fillId="17" borderId="54" xfId="0" applyNumberFormat="1" applyFont="1" applyFill="1" applyBorder="1" applyAlignment="1">
      <alignment horizontal="right" vertical="center" wrapText="1"/>
    </xf>
    <xf numFmtId="0" fontId="0" fillId="17" borderId="0" xfId="0" applyFill="1"/>
    <xf numFmtId="1" fontId="0" fillId="0" borderId="0" xfId="0" applyNumberFormat="1"/>
    <xf numFmtId="0" fontId="1" fillId="0" borderId="0" xfId="0" quotePrefix="1" applyFont="1" applyAlignment="1">
      <alignment horizontal="center"/>
    </xf>
    <xf numFmtId="1" fontId="1" fillId="0" borderId="0" xfId="0" applyNumberFormat="1" applyFont="1"/>
    <xf numFmtId="0" fontId="0" fillId="0" borderId="0" xfId="0" quotePrefix="1" applyFont="1" applyAlignment="1">
      <alignment horizontal="center"/>
    </xf>
    <xf numFmtId="1" fontId="0" fillId="0" borderId="0" xfId="0" applyNumberFormat="1" applyFont="1"/>
    <xf numFmtId="8" fontId="0" fillId="0" borderId="0" xfId="0" applyNumberFormat="1"/>
    <xf numFmtId="0" fontId="0" fillId="0" borderId="0" xfId="0" applyFill="1"/>
    <xf numFmtId="4" fontId="0" fillId="31" borderId="23" xfId="0" applyNumberFormat="1" applyFill="1" applyBorder="1"/>
    <xf numFmtId="4" fontId="0" fillId="23" borderId="0" xfId="0" applyNumberFormat="1" applyFill="1" applyBorder="1"/>
    <xf numFmtId="4" fontId="0" fillId="29" borderId="24" xfId="0" applyNumberFormat="1" applyFill="1" applyBorder="1"/>
    <xf numFmtId="2" fontId="0" fillId="31" borderId="25" xfId="0" applyNumberFormat="1" applyFill="1" applyBorder="1"/>
    <xf numFmtId="2" fontId="0" fillId="23" borderId="26" xfId="0" applyNumberFormat="1" applyFill="1" applyBorder="1"/>
    <xf numFmtId="2" fontId="0" fillId="29" borderId="27" xfId="0" applyNumberFormat="1" applyFill="1" applyBorder="1"/>
    <xf numFmtId="0" fontId="3" fillId="31" borderId="39" xfId="0" applyFont="1" applyFill="1" applyBorder="1" applyAlignment="1">
      <alignment horizontal="center" vertical="center" wrapText="1"/>
    </xf>
    <xf numFmtId="0" fontId="3" fillId="23" borderId="41" xfId="0" applyFont="1" applyFill="1" applyBorder="1" applyAlignment="1">
      <alignment horizontal="center" vertical="center" wrapText="1"/>
    </xf>
    <xf numFmtId="0" fontId="3" fillId="29" borderId="42" xfId="0" applyFont="1" applyFill="1" applyBorder="1" applyAlignment="1">
      <alignment horizontal="center" vertical="center" wrapText="1"/>
    </xf>
    <xf numFmtId="2" fontId="11" fillId="31" borderId="39" xfId="0" applyNumberFormat="1" applyFont="1" applyFill="1" applyBorder="1" applyAlignment="1">
      <alignment horizontal="right" vertical="center" wrapText="1"/>
    </xf>
    <xf numFmtId="2" fontId="2" fillId="23" borderId="41" xfId="0" applyNumberFormat="1" applyFont="1" applyFill="1" applyBorder="1" applyAlignment="1">
      <alignment horizontal="right" vertical="center" wrapText="1"/>
    </xf>
    <xf numFmtId="2" fontId="2" fillId="29" borderId="42" xfId="0" applyNumberFormat="1" applyFont="1" applyFill="1" applyBorder="1" applyAlignment="1">
      <alignment horizontal="right" vertical="center" wrapText="1"/>
    </xf>
    <xf numFmtId="2" fontId="11" fillId="31" borderId="23" xfId="0" applyNumberFormat="1" applyFont="1" applyFill="1" applyBorder="1" applyAlignment="1">
      <alignment horizontal="right" vertical="center" wrapText="1"/>
    </xf>
    <xf numFmtId="2" fontId="2" fillId="23" borderId="0" xfId="0" applyNumberFormat="1" applyFont="1" applyFill="1" applyBorder="1" applyAlignment="1">
      <alignment horizontal="right" vertical="center" wrapText="1"/>
    </xf>
    <xf numFmtId="2" fontId="2" fillId="29" borderId="24" xfId="0" applyNumberFormat="1" applyFont="1" applyFill="1" applyBorder="1" applyAlignment="1">
      <alignment horizontal="right" vertical="center" wrapText="1"/>
    </xf>
    <xf numFmtId="166" fontId="11" fillId="31" borderId="23" xfId="0" applyNumberFormat="1" applyFont="1" applyFill="1" applyBorder="1" applyAlignment="1">
      <alignment horizontal="right" vertical="center" wrapText="1"/>
    </xf>
    <xf numFmtId="166" fontId="2" fillId="23" borderId="0" xfId="0" applyNumberFormat="1" applyFont="1" applyFill="1" applyBorder="1" applyAlignment="1">
      <alignment horizontal="right" vertical="center" wrapText="1"/>
    </xf>
    <xf numFmtId="166" fontId="2" fillId="29" borderId="24" xfId="0" applyNumberFormat="1" applyFont="1" applyFill="1" applyBorder="1" applyAlignment="1">
      <alignment horizontal="right" vertical="center" wrapText="1"/>
    </xf>
    <xf numFmtId="10" fontId="0" fillId="32" borderId="0" xfId="0" applyNumberFormat="1" applyFill="1" applyAlignment="1">
      <alignment horizontal="center"/>
    </xf>
    <xf numFmtId="10" fontId="0" fillId="0" borderId="0" xfId="0" applyNumberFormat="1" applyAlignment="1">
      <alignment wrapText="1"/>
    </xf>
    <xf numFmtId="10" fontId="1" fillId="0" borderId="0" xfId="0" applyNumberFormat="1" applyFont="1" applyFill="1" applyBorder="1" applyAlignment="1">
      <alignment horizontal="center" wrapText="1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/>
    <xf numFmtId="10" fontId="1" fillId="0" borderId="0" xfId="0" applyNumberFormat="1" applyFont="1" applyFill="1"/>
    <xf numFmtId="0" fontId="2" fillId="0" borderId="0" xfId="0" applyFont="1" applyAlignment="1">
      <alignment horizontal="right" vertical="center" wrapText="1"/>
    </xf>
    <xf numFmtId="0" fontId="9" fillId="0" borderId="39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39" xfId="0" applyFont="1" applyFill="1" applyBorder="1" applyAlignment="1">
      <alignment horizontal="left" vertical="center" wrapText="1"/>
    </xf>
    <xf numFmtId="0" fontId="9" fillId="0" borderId="41" xfId="0" applyFont="1" applyFill="1" applyBorder="1" applyAlignment="1">
      <alignment horizontal="left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  <xf numFmtId="2" fontId="0" fillId="0" borderId="23" xfId="0" applyNumberFormat="1" applyFont="1" applyBorder="1" applyAlignment="1">
      <alignment horizontal="center" vertical="center" wrapText="1"/>
    </xf>
    <xf numFmtId="2" fontId="0" fillId="0" borderId="24" xfId="0" applyNumberFormat="1" applyFont="1" applyBorder="1" applyAlignment="1">
      <alignment horizontal="center" vertical="center" wrapText="1"/>
    </xf>
    <xf numFmtId="2" fontId="0" fillId="0" borderId="25" xfId="0" applyNumberFormat="1" applyFont="1" applyBorder="1" applyAlignment="1">
      <alignment horizontal="center" vertical="center" wrapText="1"/>
    </xf>
    <xf numFmtId="2" fontId="0" fillId="0" borderId="27" xfId="0" applyNumberFormat="1" applyFont="1" applyBorder="1" applyAlignment="1">
      <alignment horizontal="center" vertical="center" wrapText="1"/>
    </xf>
    <xf numFmtId="2" fontId="0" fillId="0" borderId="39" xfId="0" applyNumberFormat="1" applyFont="1" applyBorder="1" applyAlignment="1">
      <alignment horizontal="center" vertical="center" wrapText="1"/>
    </xf>
    <xf numFmtId="2" fontId="0" fillId="0" borderId="42" xfId="0" applyNumberFormat="1" applyFont="1" applyBorder="1" applyAlignment="1">
      <alignment horizontal="center" vertical="center" wrapText="1"/>
    </xf>
    <xf numFmtId="2" fontId="1" fillId="0" borderId="44" xfId="0" applyNumberFormat="1" applyFont="1" applyBorder="1" applyAlignment="1">
      <alignment horizontal="center" vertical="center" wrapText="1"/>
    </xf>
    <xf numFmtId="2" fontId="1" fillId="0" borderId="47" xfId="0" applyNumberFormat="1" applyFont="1" applyBorder="1" applyAlignment="1">
      <alignment horizontal="center" vertical="center" wrapText="1"/>
    </xf>
    <xf numFmtId="0" fontId="1" fillId="24" borderId="39" xfId="0" applyFont="1" applyFill="1" applyBorder="1" applyAlignment="1">
      <alignment horizontal="center" vertical="center" wrapText="1"/>
    </xf>
    <xf numFmtId="0" fontId="1" fillId="24" borderId="40" xfId="0" applyFont="1" applyFill="1" applyBorder="1" applyAlignment="1">
      <alignment horizontal="center" vertical="center" wrapText="1"/>
    </xf>
    <xf numFmtId="0" fontId="1" fillId="23" borderId="50" xfId="0" applyFont="1" applyFill="1" applyBorder="1" applyAlignment="1">
      <alignment horizontal="center" vertical="center" wrapText="1"/>
    </xf>
    <xf numFmtId="0" fontId="1" fillId="23" borderId="40" xfId="0" applyFont="1" applyFill="1" applyBorder="1" applyAlignment="1">
      <alignment horizontal="center" vertical="center" wrapText="1"/>
    </xf>
    <xf numFmtId="0" fontId="1" fillId="26" borderId="50" xfId="0" applyFont="1" applyFill="1" applyBorder="1" applyAlignment="1">
      <alignment horizontal="center" vertical="center" wrapText="1"/>
    </xf>
    <xf numFmtId="0" fontId="1" fillId="26" borderId="42" xfId="0" applyFont="1" applyFill="1" applyBorder="1" applyAlignment="1">
      <alignment horizontal="center" vertical="center" wrapText="1"/>
    </xf>
    <xf numFmtId="0" fontId="1" fillId="27" borderId="39" xfId="0" applyFont="1" applyFill="1" applyBorder="1" applyAlignment="1">
      <alignment horizontal="center" vertical="center" wrapText="1"/>
    </xf>
    <xf numFmtId="0" fontId="1" fillId="27" borderId="42" xfId="0" applyFont="1" applyFill="1" applyBorder="1" applyAlignment="1">
      <alignment horizontal="center" vertical="center" wrapText="1"/>
    </xf>
    <xf numFmtId="0" fontId="1" fillId="28" borderId="39" xfId="0" applyFont="1" applyFill="1" applyBorder="1" applyAlignment="1">
      <alignment horizontal="center" vertical="center" wrapText="1"/>
    </xf>
    <xf numFmtId="0" fontId="1" fillId="28" borderId="42" xfId="0" applyFont="1" applyFill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0" fontId="1" fillId="24" borderId="41" xfId="0" applyFont="1" applyFill="1" applyBorder="1" applyAlignment="1">
      <alignment horizontal="center" vertical="center" wrapText="1"/>
    </xf>
    <xf numFmtId="0" fontId="1" fillId="24" borderId="23" xfId="0" applyFont="1" applyFill="1" applyBorder="1" applyAlignment="1">
      <alignment horizontal="center" vertical="center" wrapText="1"/>
    </xf>
    <xf numFmtId="0" fontId="1" fillId="24" borderId="0" xfId="0" applyFont="1" applyFill="1" applyBorder="1" applyAlignment="1">
      <alignment horizontal="center" vertical="center" wrapText="1"/>
    </xf>
    <xf numFmtId="0" fontId="1" fillId="23" borderId="41" xfId="0" applyFont="1" applyFill="1" applyBorder="1" applyAlignment="1">
      <alignment horizontal="center" vertical="center" wrapText="1"/>
    </xf>
    <xf numFmtId="0" fontId="1" fillId="23" borderId="0" xfId="0" applyFont="1" applyFill="1" applyBorder="1" applyAlignment="1">
      <alignment horizontal="center" vertical="center" wrapText="1"/>
    </xf>
    <xf numFmtId="0" fontId="1" fillId="26" borderId="41" xfId="0" applyFont="1" applyFill="1" applyBorder="1" applyAlignment="1">
      <alignment horizontal="center" vertical="center" wrapText="1"/>
    </xf>
    <xf numFmtId="0" fontId="1" fillId="26" borderId="0" xfId="0" applyFont="1" applyFill="1" applyBorder="1" applyAlignment="1">
      <alignment horizontal="center" vertical="center" wrapText="1"/>
    </xf>
    <xf numFmtId="0" fontId="1" fillId="27" borderId="41" xfId="0" applyFont="1" applyFill="1" applyBorder="1" applyAlignment="1">
      <alignment horizontal="center" vertical="center" wrapText="1"/>
    </xf>
    <xf numFmtId="0" fontId="1" fillId="27" borderId="0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 wrapText="1"/>
    </xf>
    <xf numFmtId="0" fontId="1" fillId="28" borderId="0" xfId="0" applyFont="1" applyFill="1" applyBorder="1" applyAlignment="1">
      <alignment horizontal="center" vertical="center" wrapText="1"/>
    </xf>
    <xf numFmtId="0" fontId="1" fillId="28" borderId="24" xfId="0" applyFont="1" applyFill="1" applyBorder="1" applyAlignment="1">
      <alignment horizontal="center" vertical="center" wrapText="1"/>
    </xf>
    <xf numFmtId="0" fontId="1" fillId="26" borderId="58" xfId="0" applyFont="1" applyFill="1" applyBorder="1" applyAlignment="1">
      <alignment horizontal="center" vertical="center" wrapText="1"/>
    </xf>
    <xf numFmtId="0" fontId="1" fillId="26" borderId="47" xfId="0" applyFont="1" applyFill="1" applyBorder="1" applyAlignment="1">
      <alignment horizontal="center" vertical="center" wrapText="1"/>
    </xf>
    <xf numFmtId="0" fontId="1" fillId="24" borderId="44" xfId="0" applyFont="1" applyFill="1" applyBorder="1" applyAlignment="1">
      <alignment horizontal="center" vertical="center" wrapText="1"/>
    </xf>
    <xf numFmtId="0" fontId="1" fillId="24" borderId="4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1" fillId="23" borderId="58" xfId="0" applyFont="1" applyFill="1" applyBorder="1" applyAlignment="1">
      <alignment horizontal="center" vertical="center" wrapText="1"/>
    </xf>
    <xf numFmtId="0" fontId="1" fillId="23" borderId="46" xfId="0" applyFont="1" applyFill="1" applyBorder="1" applyAlignment="1">
      <alignment horizontal="center" vertical="center" wrapText="1"/>
    </xf>
    <xf numFmtId="0" fontId="1" fillId="27" borderId="44" xfId="0" applyFont="1" applyFill="1" applyBorder="1" applyAlignment="1">
      <alignment horizontal="center" vertical="center" wrapText="1"/>
    </xf>
    <xf numFmtId="0" fontId="1" fillId="27" borderId="47" xfId="0" applyFont="1" applyFill="1" applyBorder="1" applyAlignment="1">
      <alignment horizontal="center" vertical="center" wrapText="1"/>
    </xf>
    <xf numFmtId="0" fontId="1" fillId="28" borderId="44" xfId="0" applyFont="1" applyFill="1" applyBorder="1" applyAlignment="1">
      <alignment horizontal="center" vertical="center" wrapText="1"/>
    </xf>
    <xf numFmtId="0" fontId="1" fillId="28" borderId="47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2" fontId="0" fillId="0" borderId="26" xfId="0" applyNumberFormat="1" applyFont="1" applyBorder="1" applyAlignment="1">
      <alignment horizontal="center" vertical="center" wrapText="1"/>
    </xf>
    <xf numFmtId="2" fontId="0" fillId="0" borderId="41" xfId="0" applyNumberFormat="1" applyFont="1" applyBorder="1" applyAlignment="1">
      <alignment horizontal="center" vertical="center" wrapText="1"/>
    </xf>
    <xf numFmtId="0" fontId="1" fillId="24" borderId="42" xfId="0" applyFont="1" applyFill="1" applyBorder="1" applyAlignment="1">
      <alignment horizontal="center" vertical="center" wrapText="1"/>
    </xf>
    <xf numFmtId="0" fontId="1" fillId="24" borderId="24" xfId="0" applyFont="1" applyFill="1" applyBorder="1" applyAlignment="1">
      <alignment horizontal="center" vertical="center" wrapText="1"/>
    </xf>
    <xf numFmtId="0" fontId="1" fillId="24" borderId="25" xfId="0" applyFont="1" applyFill="1" applyBorder="1" applyAlignment="1">
      <alignment horizontal="center" vertical="center" wrapText="1"/>
    </xf>
    <xf numFmtId="0" fontId="1" fillId="24" borderId="27" xfId="0" applyFont="1" applyFill="1" applyBorder="1" applyAlignment="1">
      <alignment horizontal="center" vertical="center" wrapText="1"/>
    </xf>
    <xf numFmtId="0" fontId="1" fillId="23" borderId="39" xfId="0" applyFont="1" applyFill="1" applyBorder="1" applyAlignment="1">
      <alignment horizontal="center" vertical="center" wrapText="1"/>
    </xf>
    <xf numFmtId="0" fontId="1" fillId="23" borderId="42" xfId="0" applyFont="1" applyFill="1" applyBorder="1" applyAlignment="1">
      <alignment horizontal="center" vertical="center" wrapText="1"/>
    </xf>
    <xf numFmtId="0" fontId="1" fillId="23" borderId="23" xfId="0" applyFont="1" applyFill="1" applyBorder="1" applyAlignment="1">
      <alignment horizontal="center" vertical="center" wrapText="1"/>
    </xf>
    <xf numFmtId="0" fontId="1" fillId="23" borderId="24" xfId="0" applyFont="1" applyFill="1" applyBorder="1" applyAlignment="1">
      <alignment horizontal="center" vertical="center" wrapText="1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6" borderId="39" xfId="0" applyFont="1" applyFill="1" applyBorder="1" applyAlignment="1">
      <alignment horizontal="center" vertical="center" wrapText="1"/>
    </xf>
    <xf numFmtId="0" fontId="1" fillId="26" borderId="23" xfId="0" applyFont="1" applyFill="1" applyBorder="1" applyAlignment="1">
      <alignment horizontal="center" vertical="center" wrapText="1"/>
    </xf>
    <xf numFmtId="0" fontId="1" fillId="26" borderId="24" xfId="0" applyFont="1" applyFill="1" applyBorder="1" applyAlignment="1">
      <alignment horizontal="center" vertical="center" wrapText="1"/>
    </xf>
    <xf numFmtId="0" fontId="1" fillId="26" borderId="25" xfId="0" applyFont="1" applyFill="1" applyBorder="1" applyAlignment="1">
      <alignment horizontal="center" vertical="center" wrapText="1"/>
    </xf>
    <xf numFmtId="0" fontId="1" fillId="26" borderId="27" xfId="0" applyFont="1" applyFill="1" applyBorder="1" applyAlignment="1">
      <alignment horizontal="center" vertical="center" wrapText="1"/>
    </xf>
    <xf numFmtId="0" fontId="1" fillId="27" borderId="23" xfId="0" applyFont="1" applyFill="1" applyBorder="1" applyAlignment="1">
      <alignment horizontal="center" vertical="center" wrapText="1"/>
    </xf>
    <xf numFmtId="0" fontId="1" fillId="27" borderId="24" xfId="0" applyFont="1" applyFill="1" applyBorder="1" applyAlignment="1">
      <alignment horizontal="center" vertical="center" wrapText="1"/>
    </xf>
    <xf numFmtId="0" fontId="1" fillId="27" borderId="25" xfId="0" applyFont="1" applyFill="1" applyBorder="1" applyAlignment="1">
      <alignment horizontal="center" vertical="center" wrapText="1"/>
    </xf>
    <xf numFmtId="0" fontId="1" fillId="27" borderId="27" xfId="0" applyFont="1" applyFill="1" applyBorder="1" applyAlignment="1">
      <alignment horizontal="center" vertical="center" wrapText="1"/>
    </xf>
    <xf numFmtId="0" fontId="1" fillId="28" borderId="23" xfId="0" applyFont="1" applyFill="1" applyBorder="1" applyAlignment="1">
      <alignment horizontal="center" vertical="center" wrapText="1"/>
    </xf>
    <xf numFmtId="0" fontId="1" fillId="28" borderId="25" xfId="0" applyFont="1" applyFill="1" applyBorder="1" applyAlignment="1">
      <alignment horizontal="center" vertical="center" wrapText="1"/>
    </xf>
    <xf numFmtId="0" fontId="1" fillId="28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99FF"/>
      <color rgb="FF9933FF"/>
      <color rgb="FFFA7E10"/>
      <color rgb="FF74489D"/>
      <color rgb="FF993366"/>
      <color rgb="FF2C095F"/>
      <color rgb="FF934BC9"/>
      <color rgb="FF4A206A"/>
      <color rgb="FF5945CF"/>
      <color rgb="FF543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demande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'2.2.1'!$E$2</c:f>
              <c:strCache>
                <c:ptCount val="1"/>
                <c:pt idx="0">
                  <c:v>Besoins ( bleu + rouge)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'2.2.1'!$B$3:$B$33</c:f>
              <c:strCache>
                <c:ptCount val="31"/>
                <c:pt idx="0">
                  <c:v>lundi 8h</c:v>
                </c:pt>
                <c:pt idx="1">
                  <c:v>lundi 12h</c:v>
                </c:pt>
                <c:pt idx="2">
                  <c:v>lundi 18h/ mardi 8h</c:v>
                </c:pt>
                <c:pt idx="3">
                  <c:v>mardi 12h</c:v>
                </c:pt>
                <c:pt idx="4">
                  <c:v>mardi 18h/ mercredi 8h</c:v>
                </c:pt>
                <c:pt idx="5">
                  <c:v>mercredi 12h</c:v>
                </c:pt>
                <c:pt idx="6">
                  <c:v>mercredi 18h / jeudi 8h</c:v>
                </c:pt>
                <c:pt idx="7">
                  <c:v>jeudi 12h</c:v>
                </c:pt>
                <c:pt idx="8">
                  <c:v>jeudi 18h / vendredi 8h</c:v>
                </c:pt>
                <c:pt idx="9">
                  <c:v>vendredi 12h</c:v>
                </c:pt>
                <c:pt idx="10">
                  <c:v>vendredi 18h / samedi 8h</c:v>
                </c:pt>
                <c:pt idx="11">
                  <c:v>samedi</c:v>
                </c:pt>
                <c:pt idx="12">
                  <c:v>samedi/ dimanche</c:v>
                </c:pt>
                <c:pt idx="13">
                  <c:v>dimanche</c:v>
                </c:pt>
                <c:pt idx="14">
                  <c:v>lundi 8h</c:v>
                </c:pt>
                <c:pt idx="15">
                  <c:v>lundi 12h</c:v>
                </c:pt>
                <c:pt idx="16">
                  <c:v>lundi 18h/ mardi 8h</c:v>
                </c:pt>
                <c:pt idx="17">
                  <c:v>mardi 12h</c:v>
                </c:pt>
                <c:pt idx="18">
                  <c:v>mardi 18h/ mercredi 8h</c:v>
                </c:pt>
                <c:pt idx="19">
                  <c:v>mercredi 12h</c:v>
                </c:pt>
                <c:pt idx="20">
                  <c:v>mercredi 18h / jeudi 8h</c:v>
                </c:pt>
                <c:pt idx="21">
                  <c:v>jeudi 12h</c:v>
                </c:pt>
                <c:pt idx="22">
                  <c:v>jeudi 18h / vendredi 8h</c:v>
                </c:pt>
                <c:pt idx="23">
                  <c:v>vendredi 12h</c:v>
                </c:pt>
                <c:pt idx="24">
                  <c:v>vendredi 18h / samedi 8h</c:v>
                </c:pt>
                <c:pt idx="25">
                  <c:v>samedi</c:v>
                </c:pt>
                <c:pt idx="26">
                  <c:v>samedi/ dimanche</c:v>
                </c:pt>
                <c:pt idx="27">
                  <c:v>dimanche</c:v>
                </c:pt>
                <c:pt idx="28">
                  <c:v>lundi 8h</c:v>
                </c:pt>
                <c:pt idx="29">
                  <c:v>lundi 12h</c:v>
                </c:pt>
                <c:pt idx="30">
                  <c:v>lundi 18h/ mardi 8h</c:v>
                </c:pt>
              </c:strCache>
            </c:strRef>
          </c:cat>
          <c:val>
            <c:numRef>
              <c:f>'2.2.1'!$E$3:$E$33</c:f>
              <c:numCache>
                <c:formatCode>General</c:formatCode>
                <c:ptCount val="31"/>
                <c:pt idx="0">
                  <c:v>22</c:v>
                </c:pt>
                <c:pt idx="1">
                  <c:v>27</c:v>
                </c:pt>
                <c:pt idx="2">
                  <c:v>23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14</c:v>
                </c:pt>
                <c:pt idx="18">
                  <c:v>13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</c:v>
                </c:pt>
                <c:pt idx="29">
                  <c:v>20</c:v>
                </c:pt>
                <c:pt idx="3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'2.2.1'!$C$2</c:f>
              <c:strCache>
                <c:ptCount val="1"/>
                <c:pt idx="0">
                  <c:v>Besoins actuel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'2.2.1'!$B$3:$B$33</c:f>
              <c:strCache>
                <c:ptCount val="31"/>
                <c:pt idx="0">
                  <c:v>lundi 8h</c:v>
                </c:pt>
                <c:pt idx="1">
                  <c:v>lundi 12h</c:v>
                </c:pt>
                <c:pt idx="2">
                  <c:v>lundi 18h/ mardi 8h</c:v>
                </c:pt>
                <c:pt idx="3">
                  <c:v>mardi 12h</c:v>
                </c:pt>
                <c:pt idx="4">
                  <c:v>mardi 18h/ mercredi 8h</c:v>
                </c:pt>
                <c:pt idx="5">
                  <c:v>mercredi 12h</c:v>
                </c:pt>
                <c:pt idx="6">
                  <c:v>mercredi 18h / jeudi 8h</c:v>
                </c:pt>
                <c:pt idx="7">
                  <c:v>jeudi 12h</c:v>
                </c:pt>
                <c:pt idx="8">
                  <c:v>jeudi 18h / vendredi 8h</c:v>
                </c:pt>
                <c:pt idx="9">
                  <c:v>vendredi 12h</c:v>
                </c:pt>
                <c:pt idx="10">
                  <c:v>vendredi 18h / samedi 8h</c:v>
                </c:pt>
                <c:pt idx="11">
                  <c:v>samedi</c:v>
                </c:pt>
                <c:pt idx="12">
                  <c:v>samedi/ dimanche</c:v>
                </c:pt>
                <c:pt idx="13">
                  <c:v>dimanche</c:v>
                </c:pt>
                <c:pt idx="14">
                  <c:v>lundi 8h</c:v>
                </c:pt>
                <c:pt idx="15">
                  <c:v>lundi 12h</c:v>
                </c:pt>
                <c:pt idx="16">
                  <c:v>lundi 18h/ mardi 8h</c:v>
                </c:pt>
                <c:pt idx="17">
                  <c:v>mardi 12h</c:v>
                </c:pt>
                <c:pt idx="18">
                  <c:v>mardi 18h/ mercredi 8h</c:v>
                </c:pt>
                <c:pt idx="19">
                  <c:v>mercredi 12h</c:v>
                </c:pt>
                <c:pt idx="20">
                  <c:v>mercredi 18h / jeudi 8h</c:v>
                </c:pt>
                <c:pt idx="21">
                  <c:v>jeudi 12h</c:v>
                </c:pt>
                <c:pt idx="22">
                  <c:v>jeudi 18h / vendredi 8h</c:v>
                </c:pt>
                <c:pt idx="23">
                  <c:v>vendredi 12h</c:v>
                </c:pt>
                <c:pt idx="24">
                  <c:v>vendredi 18h / samedi 8h</c:v>
                </c:pt>
                <c:pt idx="25">
                  <c:v>samedi</c:v>
                </c:pt>
                <c:pt idx="26">
                  <c:v>samedi/ dimanche</c:v>
                </c:pt>
                <c:pt idx="27">
                  <c:v>dimanche</c:v>
                </c:pt>
                <c:pt idx="28">
                  <c:v>lundi 8h</c:v>
                </c:pt>
                <c:pt idx="29">
                  <c:v>lundi 12h</c:v>
                </c:pt>
                <c:pt idx="30">
                  <c:v>lundi 18h/ mardi 8h</c:v>
                </c:pt>
              </c:strCache>
            </c:strRef>
          </c:cat>
          <c:val>
            <c:numRef>
              <c:f>'2.2.1'!$C$3:$C$33</c:f>
              <c:numCache>
                <c:formatCode>General</c:formatCode>
                <c:ptCount val="31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'2.2.1'!$D$2</c:f>
              <c:strCache>
                <c:ptCount val="1"/>
                <c:pt idx="0">
                  <c:v>Anciennes demandes non satisfaites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'2.2.1'!$B$3:$B$33</c:f>
              <c:strCache>
                <c:ptCount val="31"/>
                <c:pt idx="0">
                  <c:v>lundi 8h</c:v>
                </c:pt>
                <c:pt idx="1">
                  <c:v>lundi 12h</c:v>
                </c:pt>
                <c:pt idx="2">
                  <c:v>lundi 18h/ mardi 8h</c:v>
                </c:pt>
                <c:pt idx="3">
                  <c:v>mardi 12h</c:v>
                </c:pt>
                <c:pt idx="4">
                  <c:v>mardi 18h/ mercredi 8h</c:v>
                </c:pt>
                <c:pt idx="5">
                  <c:v>mercredi 12h</c:v>
                </c:pt>
                <c:pt idx="6">
                  <c:v>mercredi 18h / jeudi 8h</c:v>
                </c:pt>
                <c:pt idx="7">
                  <c:v>jeudi 12h</c:v>
                </c:pt>
                <c:pt idx="8">
                  <c:v>jeudi 18h / vendredi 8h</c:v>
                </c:pt>
                <c:pt idx="9">
                  <c:v>vendredi 12h</c:v>
                </c:pt>
                <c:pt idx="10">
                  <c:v>vendredi 18h / samedi 8h</c:v>
                </c:pt>
                <c:pt idx="11">
                  <c:v>samedi</c:v>
                </c:pt>
                <c:pt idx="12">
                  <c:v>samedi/ dimanche</c:v>
                </c:pt>
                <c:pt idx="13">
                  <c:v>dimanche</c:v>
                </c:pt>
                <c:pt idx="14">
                  <c:v>lundi 8h</c:v>
                </c:pt>
                <c:pt idx="15">
                  <c:v>lundi 12h</c:v>
                </c:pt>
                <c:pt idx="16">
                  <c:v>lundi 18h/ mardi 8h</c:v>
                </c:pt>
                <c:pt idx="17">
                  <c:v>mardi 12h</c:v>
                </c:pt>
                <c:pt idx="18">
                  <c:v>mardi 18h/ mercredi 8h</c:v>
                </c:pt>
                <c:pt idx="19">
                  <c:v>mercredi 12h</c:v>
                </c:pt>
                <c:pt idx="20">
                  <c:v>mercredi 18h / jeudi 8h</c:v>
                </c:pt>
                <c:pt idx="21">
                  <c:v>jeudi 12h</c:v>
                </c:pt>
                <c:pt idx="22">
                  <c:v>jeudi 18h / vendredi 8h</c:v>
                </c:pt>
                <c:pt idx="23">
                  <c:v>vendredi 12h</c:v>
                </c:pt>
                <c:pt idx="24">
                  <c:v>vendredi 18h / samedi 8h</c:v>
                </c:pt>
                <c:pt idx="25">
                  <c:v>samedi</c:v>
                </c:pt>
                <c:pt idx="26">
                  <c:v>samedi/ dimanche</c:v>
                </c:pt>
                <c:pt idx="27">
                  <c:v>dimanche</c:v>
                </c:pt>
                <c:pt idx="28">
                  <c:v>lundi 8h</c:v>
                </c:pt>
                <c:pt idx="29">
                  <c:v>lundi 12h</c:v>
                </c:pt>
                <c:pt idx="30">
                  <c:v>lundi 18h/ mardi 8h</c:v>
                </c:pt>
              </c:strCache>
            </c:strRef>
          </c:cat>
          <c:val>
            <c:numRef>
              <c:f>'2.2.1'!$D$3:$D$33</c:f>
              <c:numCache>
                <c:formatCode>General</c:formatCode>
                <c:ptCount val="31"/>
                <c:pt idx="0">
                  <c:v>22</c:v>
                </c:pt>
                <c:pt idx="1">
                  <c:v>20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15</c:v>
                </c:pt>
                <c:pt idx="16">
                  <c:v>11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34368"/>
        <c:axId val="432943888"/>
      </c:lineChart>
      <c:catAx>
        <c:axId val="432934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43888"/>
        <c:crosses val="autoZero"/>
        <c:auto val="1"/>
        <c:lblAlgn val="ctr"/>
        <c:lblOffset val="100"/>
        <c:noMultiLvlLbl val="0"/>
      </c:catAx>
      <c:valAx>
        <c:axId val="432943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3436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mensuelle de la capacité de l'agence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'2.3.3'!$G$2</c:f>
              <c:strCache>
                <c:ptCount val="1"/>
                <c:pt idx="0">
                  <c:v>CAPACITE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'2.3.3'!$G$3:$G$33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10.94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20.64</c:v>
                </c:pt>
                <c:pt idx="22">
                  <c:v>15.690000000000001</c:v>
                </c:pt>
                <c:pt idx="23">
                  <c:v>7.43</c:v>
                </c:pt>
                <c:pt idx="24">
                  <c:v>9.9</c:v>
                </c:pt>
                <c:pt idx="25">
                  <c:v>15.680000000000001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</c:ser>
        <c:ser>
          <c:idx val="0"/>
          <c:order val="1"/>
          <c:tx>
            <c:strRef>
              <c:f>'2.3.3'!$E$2</c:f>
              <c:strCache>
                <c:ptCount val="1"/>
                <c:pt idx="0">
                  <c:v>OFFRE NON PLACEE</c:v>
                </c:pt>
              </c:strCache>
            </c:strRef>
          </c:tx>
          <c:spPr>
            <a:solidFill>
              <a:srgbClr val="934BC9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'2.3.3'!$E$3:$E$33</c:f>
              <c:numCache>
                <c:formatCode>General</c:formatCode>
                <c:ptCount val="31"/>
                <c:pt idx="0">
                  <c:v>20.89</c:v>
                </c:pt>
                <c:pt idx="1">
                  <c:v>14.379999999999997</c:v>
                </c:pt>
                <c:pt idx="2">
                  <c:v>5.4799999999999995</c:v>
                </c:pt>
                <c:pt idx="3">
                  <c:v>13.21</c:v>
                </c:pt>
                <c:pt idx="4">
                  <c:v>19.600000000000001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3.0600000000000005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11.89</c:v>
                </c:pt>
                <c:pt idx="15">
                  <c:v>8.7799999999999994</c:v>
                </c:pt>
                <c:pt idx="16">
                  <c:v>4.78</c:v>
                </c:pt>
                <c:pt idx="17">
                  <c:v>14.16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2"/>
          <c:tx>
            <c:strRef>
              <c:f>'2.3.3'!$F$2</c:f>
              <c:strCache>
                <c:ptCount val="1"/>
                <c:pt idx="0">
                  <c:v>DEMANDE NON SATISFAITE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'2.3.3'!$F$3:$F$33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3.8999999999999986</c:v>
                </c:pt>
                <c:pt idx="8">
                  <c:v>2.9400000000000013</c:v>
                </c:pt>
                <c:pt idx="9">
                  <c:v>2.5500000000000007</c:v>
                </c:pt>
                <c:pt idx="10">
                  <c:v>0</c:v>
                </c:pt>
                <c:pt idx="11">
                  <c:v>1.8399999999999999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15.479999999999997</c:v>
                </c:pt>
                <c:pt idx="22">
                  <c:v>13.709999999999997</c:v>
                </c:pt>
                <c:pt idx="23">
                  <c:v>9.5100000000000016</c:v>
                </c:pt>
                <c:pt idx="24">
                  <c:v>3.9699999999999989</c:v>
                </c:pt>
                <c:pt idx="25">
                  <c:v>10.37</c:v>
                </c:pt>
                <c:pt idx="26">
                  <c:v>0</c:v>
                </c:pt>
                <c:pt idx="27">
                  <c:v>0</c:v>
                </c:pt>
                <c:pt idx="28">
                  <c:v>13.340000000000003</c:v>
                </c:pt>
                <c:pt idx="29">
                  <c:v>14.159999999999997</c:v>
                </c:pt>
                <c:pt idx="30">
                  <c:v>10.329999999999998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967408"/>
        <c:axId val="432967968"/>
      </c:barChart>
      <c:catAx>
        <c:axId val="432967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67968"/>
        <c:crosses val="autoZero"/>
        <c:auto val="1"/>
        <c:lblAlgn val="ctr"/>
        <c:lblOffset val="100"/>
        <c:noMultiLvlLbl val="0"/>
      </c:catAx>
      <c:valAx>
        <c:axId val="432967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6740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8.9887955182072835E-2"/>
          <c:w val="0.46943274157151021"/>
          <c:h val="4.7269238404023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mensuelle de la capacité de l'agence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'2.3.4 et 2.3.5.1'!$E$5</c:f>
              <c:strCache>
                <c:ptCount val="1"/>
                <c:pt idx="0">
                  <c:v>offres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'2.3.4 et 2.3.5.1'!$E$7:$E$37</c:f>
              <c:numCache>
                <c:formatCode>General</c:formatCode>
                <c:ptCount val="31"/>
                <c:pt idx="0">
                  <c:v>39</c:v>
                </c:pt>
                <c:pt idx="1">
                  <c:v>28.6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20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24.75</c:v>
                </c:pt>
                <c:pt idx="22">
                  <c:v>15.68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'2.3.4 et 2.3.5.1'!$D$5</c:f>
              <c:strCache>
                <c:ptCount val="1"/>
                <c:pt idx="0">
                  <c:v>demandes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'2.3.4 et 2.3.5.1'!$D$7:$D$37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36.119999999999997</c:v>
                </c:pt>
                <c:pt idx="22">
                  <c:v>29.4</c:v>
                </c:pt>
                <c:pt idx="23">
                  <c:v>16.940000000000001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35.159999999999997</c:v>
                </c:pt>
                <c:pt idx="30">
                  <c:v>20.329999999999998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'2.3.4 et 2.3.5.1'!$F$5</c:f>
              <c:strCache>
                <c:ptCount val="1"/>
                <c:pt idx="0">
                  <c:v>offre à 80%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'2.3.4 et 2.3.5.1'!$F$7:$F$37</c:f>
              <c:numCache>
                <c:formatCode>General</c:formatCode>
                <c:ptCount val="31"/>
                <c:pt idx="0">
                  <c:v>31.200000000000003</c:v>
                </c:pt>
                <c:pt idx="1">
                  <c:v>22.880000000000003</c:v>
                </c:pt>
                <c:pt idx="2">
                  <c:v>9.36</c:v>
                </c:pt>
                <c:pt idx="3">
                  <c:v>14.040000000000001</c:v>
                </c:pt>
                <c:pt idx="4">
                  <c:v>22.880000000000003</c:v>
                </c:pt>
                <c:pt idx="7">
                  <c:v>16</c:v>
                </c:pt>
                <c:pt idx="8">
                  <c:v>16.400000000000002</c:v>
                </c:pt>
                <c:pt idx="9">
                  <c:v>8.8000000000000007</c:v>
                </c:pt>
                <c:pt idx="10">
                  <c:v>11.200000000000001</c:v>
                </c:pt>
                <c:pt idx="11">
                  <c:v>15.200000000000001</c:v>
                </c:pt>
                <c:pt idx="14">
                  <c:v>24</c:v>
                </c:pt>
                <c:pt idx="15">
                  <c:v>18.400000000000002</c:v>
                </c:pt>
                <c:pt idx="16">
                  <c:v>8.8000000000000007</c:v>
                </c:pt>
                <c:pt idx="17">
                  <c:v>14.8</c:v>
                </c:pt>
                <c:pt idx="18">
                  <c:v>17.600000000000001</c:v>
                </c:pt>
                <c:pt idx="21">
                  <c:v>19.8</c:v>
                </c:pt>
                <c:pt idx="22">
                  <c:v>12.544</c:v>
                </c:pt>
                <c:pt idx="23">
                  <c:v>5.944</c:v>
                </c:pt>
                <c:pt idx="24">
                  <c:v>7.9200000000000008</c:v>
                </c:pt>
                <c:pt idx="25">
                  <c:v>12.544</c:v>
                </c:pt>
                <c:pt idx="28">
                  <c:v>24</c:v>
                </c:pt>
                <c:pt idx="29">
                  <c:v>16.8</c:v>
                </c:pt>
                <c:pt idx="3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71888"/>
        <c:axId val="432972448"/>
      </c:lineChart>
      <c:catAx>
        <c:axId val="43297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72448"/>
        <c:crosses val="autoZero"/>
        <c:auto val="1"/>
        <c:lblAlgn val="ctr"/>
        <c:lblOffset val="100"/>
        <c:noMultiLvlLbl val="0"/>
      </c:catAx>
      <c:valAx>
        <c:axId val="432972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7188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8.9887955182072835E-2"/>
          <c:w val="0.34112728528860092"/>
          <c:h val="4.7269238404023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Représentation mensuelle de la capacité de l'agence par rapport à l'offre et la demande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7.938505841751331E-2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63356647677302458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'2.3.4 et 2.3.5.1'!$R$5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'2.3.4 et 2.3.5.1'!$R$7:$R$37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16</c:v>
                </c:pt>
                <c:pt idx="8">
                  <c:v>16.400000000000002</c:v>
                </c:pt>
                <c:pt idx="9">
                  <c:v>8.8000000000000007</c:v>
                </c:pt>
                <c:pt idx="10">
                  <c:v>10.94</c:v>
                </c:pt>
                <c:pt idx="11">
                  <c:v>15.200000000000001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19.8</c:v>
                </c:pt>
                <c:pt idx="22">
                  <c:v>12.544</c:v>
                </c:pt>
                <c:pt idx="23">
                  <c:v>5.944</c:v>
                </c:pt>
                <c:pt idx="24">
                  <c:v>7.9200000000000008</c:v>
                </c:pt>
                <c:pt idx="25">
                  <c:v>12.544</c:v>
                </c:pt>
                <c:pt idx="28">
                  <c:v>24</c:v>
                </c:pt>
                <c:pt idx="29">
                  <c:v>16.8</c:v>
                </c:pt>
                <c:pt idx="30">
                  <c:v>8</c:v>
                </c:pt>
              </c:numCache>
            </c:numRef>
          </c:val>
        </c:ser>
        <c:ser>
          <c:idx val="0"/>
          <c:order val="1"/>
          <c:tx>
            <c:strRef>
              <c:f>'2.3.4 et 2.3.5.1'!$N$5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934BC9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'2.3.4 et 2.3.5.1'!$N$7:$N$37</c:f>
              <c:numCache>
                <c:formatCode>General</c:formatCode>
                <c:ptCount val="31"/>
                <c:pt idx="0">
                  <c:v>13.090000000000003</c:v>
                </c:pt>
                <c:pt idx="1">
                  <c:v>8.6600000000000019</c:v>
                </c:pt>
                <c:pt idx="2">
                  <c:v>3.1399999999999997</c:v>
                </c:pt>
                <c:pt idx="3">
                  <c:v>9.7000000000000011</c:v>
                </c:pt>
                <c:pt idx="4">
                  <c:v>13.880000000000003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0.26000000000000156</c:v>
                </c:pt>
                <c:pt idx="11">
                  <c:v>0</c:v>
                </c:pt>
                <c:pt idx="14">
                  <c:v>5.8900000000000006</c:v>
                </c:pt>
                <c:pt idx="15">
                  <c:v>4.1800000000000015</c:v>
                </c:pt>
                <c:pt idx="16">
                  <c:v>2.580000000000001</c:v>
                </c:pt>
                <c:pt idx="17">
                  <c:v>10.46</c:v>
                </c:pt>
                <c:pt idx="18">
                  <c:v>8.6000000000000014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2"/>
          <c:tx>
            <c:strRef>
              <c:f>'2.3.4 et 2.3.5.1'!$P$5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alpha val="25000"/>
                </a:schemeClr>
              </a:glow>
            </a:effectLst>
          </c:spPr>
          <c:invertIfNegative val="0"/>
          <c:val>
            <c:numRef>
              <c:f>'2.3.4 et 2.3.5.1'!$P$7:$P$37</c:f>
              <c:numCache>
                <c:formatCode>General</c:formatCode>
                <c:ptCount val="31"/>
                <c:pt idx="0">
                  <c:v>7.799999999999998</c:v>
                </c:pt>
                <c:pt idx="1">
                  <c:v>5.7199999999999989</c:v>
                </c:pt>
                <c:pt idx="2">
                  <c:v>2.3399999999999994</c:v>
                </c:pt>
                <c:pt idx="3">
                  <c:v>3.5099999999999993</c:v>
                </c:pt>
                <c:pt idx="4">
                  <c:v>5.7199999999999989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2.7999999999999994</c:v>
                </c:pt>
                <c:pt idx="11">
                  <c:v>0</c:v>
                </c:pt>
                <c:pt idx="14">
                  <c:v>5.9999999999999982</c:v>
                </c:pt>
                <c:pt idx="15">
                  <c:v>4.5999999999999988</c:v>
                </c:pt>
                <c:pt idx="16">
                  <c:v>2.1999999999999993</c:v>
                </c:pt>
                <c:pt idx="17">
                  <c:v>3.6999999999999993</c:v>
                </c:pt>
                <c:pt idx="18">
                  <c:v>4.3999999999999986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3"/>
          <c:tx>
            <c:strRef>
              <c:f>'2.3.4 et 2.3.5.1'!$L$5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'2.3.4 et 2.3.5.1'!$L$7:$L$37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3.9999999999999991</c:v>
                </c:pt>
                <c:pt idx="8">
                  <c:v>4.0999999999999988</c:v>
                </c:pt>
                <c:pt idx="9">
                  <c:v>2.1999999999999993</c:v>
                </c:pt>
                <c:pt idx="10">
                  <c:v>0</c:v>
                </c:pt>
                <c:pt idx="11">
                  <c:v>3.7999999999999989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4.9499999999999993</c:v>
                </c:pt>
                <c:pt idx="22">
                  <c:v>3.1359999999999992</c:v>
                </c:pt>
                <c:pt idx="23">
                  <c:v>1.4859999999999995</c:v>
                </c:pt>
                <c:pt idx="24">
                  <c:v>1.9799999999999995</c:v>
                </c:pt>
                <c:pt idx="25">
                  <c:v>3.1359999999999992</c:v>
                </c:pt>
                <c:pt idx="28">
                  <c:v>5.9999999999999982</c:v>
                </c:pt>
                <c:pt idx="29">
                  <c:v>4.1999999999999993</c:v>
                </c:pt>
                <c:pt idx="30">
                  <c:v>1.9999999999999996</c:v>
                </c:pt>
              </c:numCache>
            </c:numRef>
          </c:val>
        </c:ser>
        <c:ser>
          <c:idx val="3"/>
          <c:order val="4"/>
          <c:tx>
            <c:strRef>
              <c:f>'2.3.4 et 2.3.5.1'!$J$5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3">
                  <a:alpha val="25000"/>
                </a:schemeClr>
              </a:glow>
            </a:effectLst>
          </c:spPr>
          <c:invertIfNegative val="0"/>
          <c:val>
            <c:numRef>
              <c:f>'2.3.4 et 2.3.5.1'!$J$7:$J$37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8.8999999999999986</c:v>
                </c:pt>
                <c:pt idx="8">
                  <c:v>2.9400000000000013</c:v>
                </c:pt>
                <c:pt idx="9">
                  <c:v>2.5500000000000007</c:v>
                </c:pt>
                <c:pt idx="10">
                  <c:v>0</c:v>
                </c:pt>
                <c:pt idx="11">
                  <c:v>1.8399999999999999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11.369999999999997</c:v>
                </c:pt>
                <c:pt idx="22">
                  <c:v>13.719999999999999</c:v>
                </c:pt>
                <c:pt idx="23">
                  <c:v>9.5100000000000016</c:v>
                </c:pt>
                <c:pt idx="24">
                  <c:v>3.9699999999999989</c:v>
                </c:pt>
                <c:pt idx="25">
                  <c:v>10.370000000000001</c:v>
                </c:pt>
                <c:pt idx="28">
                  <c:v>13.340000000000003</c:v>
                </c:pt>
                <c:pt idx="29">
                  <c:v>14.159999999999997</c:v>
                </c:pt>
                <c:pt idx="30">
                  <c:v>10.329999999999998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977488"/>
        <c:axId val="432978048"/>
      </c:barChart>
      <c:catAx>
        <c:axId val="432977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78048"/>
        <c:crosses val="autoZero"/>
        <c:auto val="1"/>
        <c:lblAlgn val="ctr"/>
        <c:lblOffset val="100"/>
        <c:noMultiLvlLbl val="0"/>
      </c:catAx>
      <c:valAx>
        <c:axId val="43297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7748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0.16345121799346041"/>
          <c:w val="0.89999993543242518"/>
          <c:h val="4.1379629924612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C00000"/>
                </a:solidFill>
              </a:rPr>
              <a:t>Demande non satisfaite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alpha val="25000"/>
                  </a:schemeClr>
                </a:glow>
              </a:effectLst>
            </c:spPr>
          </c:dPt>
          <c:dLbls>
            <c:dLbl>
              <c:idx val="0"/>
              <c:layout>
                <c:manualLayout>
                  <c:x val="8.1991333691571133E-2"/>
                  <c:y val="-4.661139445325844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938200443781129E-2"/>
                  <c:y val="-1.45747323356369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'2.3.4 et 2.3.5.1'!$B$128:$B$129</c:f>
              <c:strCache>
                <c:ptCount val="2"/>
                <c:pt idx="0">
                  <c:v>(A) demandes hors offres</c:v>
                </c:pt>
                <c:pt idx="1">
                  <c:v>(B) offres non satisfaisantes</c:v>
                </c:pt>
              </c:strCache>
            </c:strRef>
          </c:cat>
          <c:val>
            <c:numRef>
              <c:f>'2.3.4 et 2.3.5.1'!$C$128:$C$129</c:f>
              <c:numCache>
                <c:formatCode>General</c:formatCode>
                <c:ptCount val="2"/>
                <c:pt idx="0">
                  <c:v>103</c:v>
                </c:pt>
                <c:pt idx="1">
                  <c:v>40.988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7030A0"/>
                </a:solidFill>
              </a:rPr>
              <a:t>Offre non placée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</c:spPr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2">
                    <a:lumMod val="20000"/>
                    <a:lumOff val="80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solidFill>
                <a:srgbClr val="9999FF"/>
              </a:solidFill>
              <a:ln w="9525" cap="flat" cmpd="sng" algn="ctr">
                <a:solidFill>
                  <a:srgbClr val="9999FF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solidFill>
                <a:srgbClr val="934BC9"/>
              </a:solidFill>
              <a:ln w="9525" cap="flat" cmpd="sng" algn="ctr">
                <a:solidFill>
                  <a:schemeClr val="accent2">
                    <a:lumMod val="20000"/>
                    <a:lumOff val="80000"/>
                  </a:schemeClr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Lbls>
            <c:dLbl>
              <c:idx val="0"/>
              <c:layout>
                <c:manualLayout>
                  <c:x val="4.4132300599711356E-2"/>
                  <c:y val="2.35101026388947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6571812774669831E-2"/>
                  <c:y val="-9.11040258817622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2684471266359263E-2"/>
                  <c:y val="-8.3240565912972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'2.3.4 et 2.3.5.1'!$B$96:$B$98</c:f>
              <c:strCache>
                <c:ptCount val="3"/>
                <c:pt idx="0">
                  <c:v>(B) offres non satisfaisantes</c:v>
                </c:pt>
                <c:pt idx="1">
                  <c:v>(C) offres hors demandes</c:v>
                </c:pt>
                <c:pt idx="2">
                  <c:v>(D) offres hors demandes</c:v>
                </c:pt>
              </c:strCache>
            </c:strRef>
          </c:cat>
          <c:val>
            <c:numRef>
              <c:f>'2.3.4 et 2.3.5.1'!$C$96:$C$98</c:f>
              <c:numCache>
                <c:formatCode>General</c:formatCode>
                <c:ptCount val="3"/>
                <c:pt idx="0">
                  <c:v>40.988</c:v>
                </c:pt>
                <c:pt idx="1">
                  <c:v>48.79</c:v>
                </c:pt>
                <c:pt idx="2">
                  <c:v>80.440000000000026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>
                    <a:lumMod val="75000"/>
                  </a:schemeClr>
                </a:solidFill>
              </a:rPr>
              <a:t>Offre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solidFill>
                <a:srgbClr val="2C095F">
                  <a:alpha val="98000"/>
                </a:srgbClr>
              </a:solidFill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3">
                    <a:alpha val="98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solidFill>
                <a:srgbClr val="2C095F"/>
              </a:solidFill>
              <a:ln w="9525" cap="flat" cmpd="sng" algn="ctr">
                <a:solidFill>
                  <a:schemeClr val="accent3">
                    <a:alpha val="98000"/>
                  </a:schemeClr>
                </a:solidFill>
                <a:miter lim="800000"/>
              </a:ln>
              <a:effectLst>
                <a:glow rad="63500">
                  <a:schemeClr val="accent3">
                    <a:alpha val="25000"/>
                  </a:schemeClr>
                </a:glow>
              </a:effectLst>
            </c:spPr>
          </c:dPt>
          <c:dLbls>
            <c:dLbl>
              <c:idx val="0"/>
              <c:layout>
                <c:manualLayout>
                  <c:x val="4.0231846176983006E-2"/>
                  <c:y val="5.56915422562366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233856647966179E-2"/>
                  <c:y val="-5.853280068824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97030641653335"/>
                      <c:h val="8.3977910294561892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'2.3.4 et 2.3.5.1'!$B$112:$B$113</c:f>
              <c:strCache>
                <c:ptCount val="2"/>
                <c:pt idx="0">
                  <c:v>Capacité à 80%</c:v>
                </c:pt>
                <c:pt idx="1">
                  <c:v>offres non placées</c:v>
                </c:pt>
              </c:strCache>
            </c:strRef>
          </c:cat>
          <c:val>
            <c:numRef>
              <c:f>'2.3.4 et 2.3.5.1'!$C$112:$C$113</c:f>
              <c:numCache>
                <c:formatCode>General</c:formatCode>
                <c:ptCount val="2"/>
                <c:pt idx="0">
                  <c:v>278.67200000000003</c:v>
                </c:pt>
                <c:pt idx="1">
                  <c:v>170.21799999999996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cat>
            <c:strRef>
              <c:f>'2.3.4 et 2.3.5.1'!$B$112:$B$113</c:f>
              <c:strCache>
                <c:ptCount val="2"/>
                <c:pt idx="0">
                  <c:v>Capacité à 80%</c:v>
                </c:pt>
                <c:pt idx="1">
                  <c:v>offres non placées</c:v>
                </c:pt>
              </c:strCache>
            </c:strRef>
          </c:cat>
          <c:val>
            <c:numRef>
              <c:f>'2.3.4 et 2.3.5.1'!$D$113:$D$114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078545565838526"/>
          <c:y val="0.2657237877320559"/>
          <c:w val="0.58167516382348317"/>
          <c:h val="0.15838008826787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/>
                </a:solidFill>
              </a:rPr>
              <a:t>Offre à 80%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spPr>
            <a:solidFill>
              <a:srgbClr val="934BC9"/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solidFill>
                <a:srgbClr val="934BC9"/>
              </a:solidFill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alpha val="25000"/>
                  </a:schemeClr>
                </a:glow>
              </a:effectLst>
            </c:spPr>
          </c:dPt>
          <c:dLbls>
            <c:dLbl>
              <c:idx val="0"/>
              <c:layout>
                <c:manualLayout>
                  <c:x val="8.9354265918647161E-2"/>
                  <c:y val="1.2875452835713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53575006134312"/>
                      <c:h val="7.3664833591720949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8.162459423401143E-2"/>
                  <c:y val="1.1183133792506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'2.3.4 et 2.3.5.1'!$F$96:$F$97</c:f>
              <c:strCache>
                <c:ptCount val="2"/>
                <c:pt idx="0">
                  <c:v>Capacité à 80%</c:v>
                </c:pt>
                <c:pt idx="1">
                  <c:v>(D) offres hors demandes</c:v>
                </c:pt>
              </c:strCache>
            </c:strRef>
          </c:cat>
          <c:val>
            <c:numRef>
              <c:f>'2.3.4 et 2.3.5.1'!$G$96:$G$97</c:f>
              <c:numCache>
                <c:formatCode>General</c:formatCode>
                <c:ptCount val="2"/>
                <c:pt idx="0">
                  <c:v>278.67200000000003</c:v>
                </c:pt>
                <c:pt idx="1">
                  <c:v>80.440000000000026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2776059388926"/>
          <c:y val="0.23625785429536744"/>
          <c:w val="0.67661407136204577"/>
          <c:h val="0.20552558176657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>
                    <a:lumMod val="75000"/>
                  </a:schemeClr>
                </a:solidFill>
              </a:rPr>
              <a:t>Offre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spPr>
            <a:solidFill>
              <a:schemeClr val="accent6"/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63500">
                <a:schemeClr val="accent3">
                  <a:alpha val="25000"/>
                </a:schemeClr>
              </a:glow>
            </a:effectLst>
          </c:spPr>
          <c:dPt>
            <c:idx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3"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solidFill>
                <a:srgbClr val="9999FF"/>
              </a:solidFill>
              <a:ln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3"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3">
                    <a:alpha val="25000"/>
                  </a:schemeClr>
                </a:glow>
              </a:effectLst>
            </c:spPr>
          </c:dPt>
          <c:dLbls>
            <c:dLbl>
              <c:idx val="0"/>
              <c:layout>
                <c:manualLayout>
                  <c:x val="0.1074671935284997"/>
                  <c:y val="-7.1830057201033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7842543008336504E-2"/>
                  <c:y val="4.2880589652770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5410444774930174E-2"/>
                  <c:y val="1.1486145674934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'2.3.4 et 2.3.5.1'!$F$112:$F$114</c:f>
              <c:strCache>
                <c:ptCount val="3"/>
                <c:pt idx="0">
                  <c:v>offre à 80%</c:v>
                </c:pt>
                <c:pt idx="1">
                  <c:v>(C) offres hors demandes</c:v>
                </c:pt>
                <c:pt idx="2">
                  <c:v>(B) offres non satisfaisantes</c:v>
                </c:pt>
              </c:strCache>
            </c:strRef>
          </c:cat>
          <c:val>
            <c:numRef>
              <c:f>'2.3.4 et 2.3.5.1'!$G$112:$G$114</c:f>
              <c:numCache>
                <c:formatCode>General</c:formatCode>
                <c:ptCount val="3"/>
                <c:pt idx="0">
                  <c:v>359.11200000000002</c:v>
                </c:pt>
                <c:pt idx="1">
                  <c:v>48.79</c:v>
                </c:pt>
                <c:pt idx="2">
                  <c:v>40.988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961617241855439"/>
          <c:y val="0.22447148092069213"/>
          <c:w val="0.67661407136204577"/>
          <c:h val="0.20552558176657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C000"/>
                </a:solidFill>
              </a:rPr>
              <a:t>Demande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1752953044157373"/>
          <c:y val="0.5441782508001044"/>
          <c:w val="0.32584844777744454"/>
          <c:h val="0.34385120214047965"/>
        </c:manualLayout>
      </c:layout>
      <c:pie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3"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Lbls>
            <c:dLbl>
              <c:idx val="0"/>
              <c:layout>
                <c:manualLayout>
                  <c:x val="7.1849932324697219E-2"/>
                  <c:y val="-1.4184018698570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6600949652916707E-2"/>
                  <c:y val="2.571935160097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'2.3.4 et 2.3.5.1'!$F$128:$F$129</c:f>
              <c:strCache>
                <c:ptCount val="2"/>
                <c:pt idx="0">
                  <c:v>Capacité à 80%</c:v>
                </c:pt>
                <c:pt idx="1">
                  <c:v>demandes non satisfaites</c:v>
                </c:pt>
              </c:strCache>
            </c:strRef>
          </c:cat>
          <c:val>
            <c:numRef>
              <c:f>'2.3.4 et 2.3.5.1'!$G$128:$G$129</c:f>
              <c:numCache>
                <c:formatCode>General</c:formatCode>
                <c:ptCount val="2"/>
                <c:pt idx="0">
                  <c:v>278.67200000000003</c:v>
                </c:pt>
                <c:pt idx="1">
                  <c:v>143.988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00185040723914"/>
          <c:y val="0.27161697441939348"/>
          <c:w val="0.64165773270586002"/>
          <c:h val="0.21362940950733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Représentation mensuelle de la capacité de l'agence par rapport à l'offre et la demande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7.938505841751331E-2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63356647677302458"/>
        </c:manualLayout>
      </c:layout>
      <c:areaChart>
        <c:grouping val="stacked"/>
        <c:varyColors val="0"/>
        <c:ser>
          <c:idx val="4"/>
          <c:order val="0"/>
          <c:tx>
            <c:strRef>
              <c:f>'2.3.4 et 2.3.5.1'!$R$144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noFill/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val>
            <c:numRef>
              <c:f>'2.3.4 et 2.3.5.1'!$R$146:$R$168</c:f>
              <c:numCache>
                <c:formatCode>General</c:formatCode>
                <c:ptCount val="23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5">
                  <c:v>16</c:v>
                </c:pt>
                <c:pt idx="6">
                  <c:v>16.400000000000002</c:v>
                </c:pt>
                <c:pt idx="7">
                  <c:v>8.8000000000000007</c:v>
                </c:pt>
                <c:pt idx="8">
                  <c:v>10.94</c:v>
                </c:pt>
                <c:pt idx="9">
                  <c:v>15.200000000000001</c:v>
                </c:pt>
                <c:pt idx="10">
                  <c:v>18.11</c:v>
                </c:pt>
                <c:pt idx="11">
                  <c:v>14.22</c:v>
                </c:pt>
                <c:pt idx="12">
                  <c:v>6.22</c:v>
                </c:pt>
                <c:pt idx="13">
                  <c:v>4.34</c:v>
                </c:pt>
                <c:pt idx="14">
                  <c:v>9</c:v>
                </c:pt>
                <c:pt idx="15">
                  <c:v>19.8</c:v>
                </c:pt>
                <c:pt idx="16">
                  <c:v>12.544</c:v>
                </c:pt>
                <c:pt idx="17">
                  <c:v>5.944</c:v>
                </c:pt>
                <c:pt idx="18">
                  <c:v>7.9200000000000008</c:v>
                </c:pt>
                <c:pt idx="19">
                  <c:v>12.544</c:v>
                </c:pt>
                <c:pt idx="20">
                  <c:v>24</c:v>
                </c:pt>
                <c:pt idx="21">
                  <c:v>16.8</c:v>
                </c:pt>
                <c:pt idx="22">
                  <c:v>8</c:v>
                </c:pt>
              </c:numCache>
            </c:numRef>
          </c:val>
        </c:ser>
        <c:ser>
          <c:idx val="0"/>
          <c:order val="1"/>
          <c:tx>
            <c:strRef>
              <c:f>'2.3.4 et 2.3.5.1'!$N$144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5945CF"/>
            </a:solidFill>
            <a:ln w="9525" cap="flat" cmpd="sng" algn="ctr">
              <a:noFill/>
              <a:miter lim="800000"/>
            </a:ln>
            <a:effectLst/>
          </c:spPr>
          <c:val>
            <c:numRef>
              <c:f>'2.3.4 et 2.3.5.1'!$N$146:$N$168</c:f>
              <c:numCache>
                <c:formatCode>General</c:formatCode>
                <c:ptCount val="23"/>
                <c:pt idx="0">
                  <c:v>13.090000000000003</c:v>
                </c:pt>
                <c:pt idx="1">
                  <c:v>8.6600000000000019</c:v>
                </c:pt>
                <c:pt idx="2">
                  <c:v>3.1399999999999997</c:v>
                </c:pt>
                <c:pt idx="3">
                  <c:v>9.7000000000000011</c:v>
                </c:pt>
                <c:pt idx="4">
                  <c:v>13.880000000000003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0.26000000000000156</c:v>
                </c:pt>
                <c:pt idx="9">
                  <c:v>0</c:v>
                </c:pt>
                <c:pt idx="10">
                  <c:v>5.8900000000000006</c:v>
                </c:pt>
                <c:pt idx="11">
                  <c:v>4.1800000000000015</c:v>
                </c:pt>
                <c:pt idx="12">
                  <c:v>2.580000000000001</c:v>
                </c:pt>
                <c:pt idx="13">
                  <c:v>10.46</c:v>
                </c:pt>
                <c:pt idx="14">
                  <c:v>8.6000000000000014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2"/>
          <c:tx>
            <c:strRef>
              <c:f>'2.3.4 et 2.3.5.1'!$P$144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9525" cap="flat" cmpd="sng" algn="ctr">
              <a:noFill/>
              <a:miter lim="800000"/>
            </a:ln>
            <a:effectLst/>
          </c:spPr>
          <c:val>
            <c:numRef>
              <c:f>'2.3.4 et 2.3.5.1'!$P$146:$P$168</c:f>
              <c:numCache>
                <c:formatCode>General</c:formatCode>
                <c:ptCount val="23"/>
                <c:pt idx="0">
                  <c:v>7.799999999999998</c:v>
                </c:pt>
                <c:pt idx="1">
                  <c:v>5.7199999999999989</c:v>
                </c:pt>
                <c:pt idx="2">
                  <c:v>2.3399999999999994</c:v>
                </c:pt>
                <c:pt idx="3">
                  <c:v>3.5099999999999993</c:v>
                </c:pt>
                <c:pt idx="4">
                  <c:v>5.7199999999999989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2.7999999999999994</c:v>
                </c:pt>
                <c:pt idx="9">
                  <c:v>0</c:v>
                </c:pt>
                <c:pt idx="10">
                  <c:v>5.9999999999999982</c:v>
                </c:pt>
                <c:pt idx="11">
                  <c:v>4.5999999999999988</c:v>
                </c:pt>
                <c:pt idx="12">
                  <c:v>2.1999999999999993</c:v>
                </c:pt>
                <c:pt idx="13">
                  <c:v>3.6999999999999993</c:v>
                </c:pt>
                <c:pt idx="14">
                  <c:v>4.3999999999999986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3"/>
          <c:tx>
            <c:strRef>
              <c:f>'2.3.4 et 2.3.5.1'!$L$144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val>
            <c:numRef>
              <c:f>'2.3.4 et 2.3.5.1'!$L$146:$L$168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3.9999999999999991</c:v>
                </c:pt>
                <c:pt idx="6">
                  <c:v>4.0999999999999988</c:v>
                </c:pt>
                <c:pt idx="7">
                  <c:v>2.1999999999999993</c:v>
                </c:pt>
                <c:pt idx="8">
                  <c:v>0</c:v>
                </c:pt>
                <c:pt idx="9">
                  <c:v>3.7999999999999989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4.9499999999999993</c:v>
                </c:pt>
                <c:pt idx="16">
                  <c:v>3.1359999999999992</c:v>
                </c:pt>
                <c:pt idx="17">
                  <c:v>1.4859999999999995</c:v>
                </c:pt>
                <c:pt idx="18">
                  <c:v>1.9799999999999995</c:v>
                </c:pt>
                <c:pt idx="19">
                  <c:v>3.1359999999999992</c:v>
                </c:pt>
                <c:pt idx="20">
                  <c:v>5.9999999999999982</c:v>
                </c:pt>
                <c:pt idx="21">
                  <c:v>4.1999999999999993</c:v>
                </c:pt>
                <c:pt idx="22">
                  <c:v>1.9999999999999996</c:v>
                </c:pt>
              </c:numCache>
            </c:numRef>
          </c:val>
        </c:ser>
        <c:ser>
          <c:idx val="3"/>
          <c:order val="4"/>
          <c:tx>
            <c:strRef>
              <c:f>'2.3.4 et 2.3.5.1'!$J$144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noFill/>
              <a:miter lim="800000"/>
            </a:ln>
            <a:effectLst/>
          </c:spPr>
          <c:val>
            <c:numRef>
              <c:f>'2.3.4 et 2.3.5.1'!$J$146:$J$168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8.8999999999999986</c:v>
                </c:pt>
                <c:pt idx="6">
                  <c:v>2.9400000000000013</c:v>
                </c:pt>
                <c:pt idx="7">
                  <c:v>2.5500000000000007</c:v>
                </c:pt>
                <c:pt idx="8">
                  <c:v>0</c:v>
                </c:pt>
                <c:pt idx="9">
                  <c:v>1.8399999999999999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11.369999999999997</c:v>
                </c:pt>
                <c:pt idx="16">
                  <c:v>13.719999999999999</c:v>
                </c:pt>
                <c:pt idx="17">
                  <c:v>9.5100000000000016</c:v>
                </c:pt>
                <c:pt idx="18">
                  <c:v>3.9699999999999989</c:v>
                </c:pt>
                <c:pt idx="19">
                  <c:v>10.370000000000001</c:v>
                </c:pt>
                <c:pt idx="20">
                  <c:v>13.340000000000003</c:v>
                </c:pt>
                <c:pt idx="21">
                  <c:v>14.159999999999997</c:v>
                </c:pt>
                <c:pt idx="22">
                  <c:v>10.329999999999998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96528"/>
        <c:axId val="432997088"/>
      </c:areaChart>
      <c:catAx>
        <c:axId val="432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97088"/>
        <c:crosses val="autoZero"/>
        <c:auto val="1"/>
        <c:lblAlgn val="ctr"/>
        <c:lblOffset val="100"/>
        <c:noMultiLvlLbl val="0"/>
      </c:catAx>
      <c:valAx>
        <c:axId val="43299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96528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0.16345121799346041"/>
          <c:w val="0.89999993543242518"/>
          <c:h val="4.1379629924612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demande en moyennes journalières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'2.2.1'!$C$37</c:f>
              <c:strCache>
                <c:ptCount val="1"/>
                <c:pt idx="0">
                  <c:v>Besoins actuel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'2.2.1'!$B$38:$B$52</c:f>
              <c:strCache>
                <c:ptCount val="15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</c:strCache>
            </c:strRef>
          </c:cat>
          <c:val>
            <c:numRef>
              <c:f>'2.2.1'!$C$38:$C$52</c:f>
              <c:numCache>
                <c:formatCode>General</c:formatCode>
                <c:ptCount val="15"/>
                <c:pt idx="0">
                  <c:v>6</c:v>
                </c:pt>
                <c:pt idx="1">
                  <c:v>11.333333333333334</c:v>
                </c:pt>
                <c:pt idx="2">
                  <c:v>8.3333333333333339</c:v>
                </c:pt>
                <c:pt idx="3">
                  <c:v>6.666666666666667</c:v>
                </c:pt>
                <c:pt idx="4">
                  <c:v>13.666666666666666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9.3333333333333339</c:v>
                </c:pt>
                <c:pt idx="9">
                  <c:v>8</c:v>
                </c:pt>
                <c:pt idx="10">
                  <c:v>7</c:v>
                </c:pt>
                <c:pt idx="11">
                  <c:v>13.333333333333334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</c:numCache>
            </c:numRef>
          </c:val>
        </c:ser>
        <c:ser>
          <c:idx val="1"/>
          <c:order val="1"/>
          <c:tx>
            <c:strRef>
              <c:f>'2.2.1'!$D$37</c:f>
              <c:strCache>
                <c:ptCount val="1"/>
                <c:pt idx="0">
                  <c:v>Anciennes demandes non satisfaites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'2.2.1'!$B$38:$B$52</c:f>
              <c:strCache>
                <c:ptCount val="15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</c:strCache>
            </c:strRef>
          </c:cat>
          <c:val>
            <c:numRef>
              <c:f>'2.2.1'!$D$38:$D$52</c:f>
              <c:numCache>
                <c:formatCode>General</c:formatCode>
                <c:ptCount val="15"/>
                <c:pt idx="0">
                  <c:v>18</c:v>
                </c:pt>
                <c:pt idx="1">
                  <c:v>6.666666666666667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14.666666666666666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9.6666666666666661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937168"/>
        <c:axId val="432948368"/>
      </c:barChart>
      <c:barChart>
        <c:barDir val="col"/>
        <c:grouping val="clustered"/>
        <c:varyColors val="0"/>
        <c:ser>
          <c:idx val="2"/>
          <c:order val="2"/>
          <c:tx>
            <c:strRef>
              <c:f>'2.2.1'!$E$37</c:f>
              <c:strCache>
                <c:ptCount val="1"/>
                <c:pt idx="0">
                  <c:v>Besoins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'2.2.1'!$E$38:$E$52</c:f>
              <c:numCache>
                <c:formatCode>General</c:formatCode>
                <c:ptCount val="15"/>
                <c:pt idx="0">
                  <c:v>24</c:v>
                </c:pt>
                <c:pt idx="1">
                  <c:v>18</c:v>
                </c:pt>
                <c:pt idx="2">
                  <c:v>9</c:v>
                </c:pt>
                <c:pt idx="3">
                  <c:v>6.666666666666667</c:v>
                </c:pt>
                <c:pt idx="4">
                  <c:v>13.666666666666666</c:v>
                </c:pt>
                <c:pt idx="5">
                  <c:v>0</c:v>
                </c:pt>
                <c:pt idx="6">
                  <c:v>0</c:v>
                </c:pt>
                <c:pt idx="7">
                  <c:v>18.666666666666664</c:v>
                </c:pt>
                <c:pt idx="8">
                  <c:v>15.333333333333334</c:v>
                </c:pt>
                <c:pt idx="9">
                  <c:v>9</c:v>
                </c:pt>
                <c:pt idx="10">
                  <c:v>7</c:v>
                </c:pt>
                <c:pt idx="11">
                  <c:v>13.333333333333334</c:v>
                </c:pt>
                <c:pt idx="12">
                  <c:v>0</c:v>
                </c:pt>
                <c:pt idx="13">
                  <c:v>0</c:v>
                </c:pt>
                <c:pt idx="14">
                  <c:v>23.666666666666664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24848"/>
        <c:axId val="432951168"/>
      </c:barChart>
      <c:catAx>
        <c:axId val="432937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48368"/>
        <c:crosses val="autoZero"/>
        <c:auto val="1"/>
        <c:lblAlgn val="ctr"/>
        <c:lblOffset val="100"/>
        <c:noMultiLvlLbl val="0"/>
      </c:catAx>
      <c:valAx>
        <c:axId val="432948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37168"/>
        <c:crossesAt val="1"/>
        <c:crossBetween val="between"/>
      </c:valAx>
      <c:valAx>
        <c:axId val="43295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24848"/>
        <c:crosses val="max"/>
        <c:crossBetween val="between"/>
      </c:valAx>
      <c:catAx>
        <c:axId val="43292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329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8.9887955182072835E-2"/>
          <c:w val="0.9445781638918751"/>
          <c:h val="4.7269238404023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Représentation mensuelle de la capacité de l'agence par rapport à l'offre et la demande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7.938505841751331E-2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63356647677302458"/>
        </c:manualLayout>
      </c:layout>
      <c:areaChart>
        <c:grouping val="stacked"/>
        <c:varyColors val="0"/>
        <c:ser>
          <c:idx val="4"/>
          <c:order val="0"/>
          <c:tx>
            <c:strRef>
              <c:f>'2.3.5'!$R$101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miter lim="800000"/>
            </a:ln>
            <a:effectLst/>
          </c:spPr>
          <c:val>
            <c:numRef>
              <c:f>'2.3.5'!$R$103:$R$125</c:f>
              <c:numCache>
                <c:formatCode>0.00</c:formatCode>
                <c:ptCount val="23"/>
                <c:pt idx="0">
                  <c:v>12.179472527472527</c:v>
                </c:pt>
                <c:pt idx="1">
                  <c:v>9.5633406593406587</c:v>
                </c:pt>
                <c:pt idx="2">
                  <c:v>4.1831208791208789</c:v>
                </c:pt>
                <c:pt idx="3">
                  <c:v>2.9187692307692297</c:v>
                </c:pt>
                <c:pt idx="4">
                  <c:v>6.0527472527472517</c:v>
                </c:pt>
                <c:pt idx="5">
                  <c:v>10.760439560439561</c:v>
                </c:pt>
                <c:pt idx="6">
                  <c:v>11.029450549450551</c:v>
                </c:pt>
                <c:pt idx="7">
                  <c:v>5.9182417582417584</c:v>
                </c:pt>
                <c:pt idx="8">
                  <c:v>7.3574505494505491</c:v>
                </c:pt>
                <c:pt idx="9">
                  <c:v>10.222417582417581</c:v>
                </c:pt>
                <c:pt idx="10">
                  <c:v>12.179472527472527</c:v>
                </c:pt>
                <c:pt idx="11">
                  <c:v>9.5633406593406587</c:v>
                </c:pt>
                <c:pt idx="12">
                  <c:v>4.1831208791208789</c:v>
                </c:pt>
                <c:pt idx="13">
                  <c:v>2.9187692307692297</c:v>
                </c:pt>
                <c:pt idx="14">
                  <c:v>6.0527472527472517</c:v>
                </c:pt>
                <c:pt idx="15">
                  <c:v>13.316043956043954</c:v>
                </c:pt>
                <c:pt idx="16">
                  <c:v>8.4361846153846134</c:v>
                </c:pt>
                <c:pt idx="17">
                  <c:v>3.9975032967032962</c:v>
                </c:pt>
                <c:pt idx="18">
                  <c:v>5.3264175824175828</c:v>
                </c:pt>
                <c:pt idx="19">
                  <c:v>8.4361846153846134</c:v>
                </c:pt>
                <c:pt idx="20">
                  <c:v>16.14065934065934</c:v>
                </c:pt>
                <c:pt idx="21">
                  <c:v>11.298461538461538</c:v>
                </c:pt>
                <c:pt idx="22">
                  <c:v>5.3802197802197806</c:v>
                </c:pt>
              </c:numCache>
            </c:numRef>
          </c:val>
        </c:ser>
        <c:ser>
          <c:idx val="0"/>
          <c:order val="1"/>
          <c:tx>
            <c:strRef>
              <c:f>'2.3.5'!$N$101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74489D"/>
            </a:solidFill>
            <a:ln w="9525" cap="flat" cmpd="sng" algn="ctr">
              <a:noFill/>
              <a:miter lim="800000"/>
            </a:ln>
            <a:effectLst/>
          </c:spPr>
          <c:val>
            <c:numRef>
              <c:f>'2.3.5'!$N$103:$N$125</c:f>
              <c:numCache>
                <c:formatCode>0.00</c:formatCode>
                <c:ptCount val="23"/>
                <c:pt idx="0">
                  <c:v>8.8033846153846156</c:v>
                </c:pt>
                <c:pt idx="1">
                  <c:v>5.8240879120879132</c:v>
                </c:pt>
                <c:pt idx="2">
                  <c:v>2.1117362637362636</c:v>
                </c:pt>
                <c:pt idx="3">
                  <c:v>6.5235164835164854</c:v>
                </c:pt>
                <c:pt idx="4">
                  <c:v>9.3346813186813193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0.17485714285714415</c:v>
                </c:pt>
                <c:pt idx="9">
                  <c:v>0</c:v>
                </c:pt>
                <c:pt idx="10">
                  <c:v>3.96118681318681</c:v>
                </c:pt>
                <c:pt idx="11">
                  <c:v>2.8111648351648348</c:v>
                </c:pt>
                <c:pt idx="12">
                  <c:v>1.7351208791208794</c:v>
                </c:pt>
                <c:pt idx="13">
                  <c:v>7.0346373626373628</c:v>
                </c:pt>
                <c:pt idx="14">
                  <c:v>5.783736263736265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2"/>
          <c:tx>
            <c:strRef>
              <c:f>'2.3.5'!$P$101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9525" cap="flat" cmpd="sng" algn="ctr">
              <a:noFill/>
              <a:miter lim="800000"/>
            </a:ln>
            <a:effectLst/>
          </c:spPr>
          <c:val>
            <c:numRef>
              <c:f>'2.3.5'!$P$103:$P$125</c:f>
              <c:numCache>
                <c:formatCode>0.00</c:formatCode>
                <c:ptCount val="23"/>
                <c:pt idx="0">
                  <c:v>5.2457142857142838</c:v>
                </c:pt>
                <c:pt idx="1">
                  <c:v>3.8468571428571421</c:v>
                </c:pt>
                <c:pt idx="2">
                  <c:v>1.5737142857142852</c:v>
                </c:pt>
                <c:pt idx="3">
                  <c:v>2.3605714285714279</c:v>
                </c:pt>
                <c:pt idx="4">
                  <c:v>3.8468571428571421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1.8830769230769226</c:v>
                </c:pt>
                <c:pt idx="9">
                  <c:v>0</c:v>
                </c:pt>
                <c:pt idx="10">
                  <c:v>4.0351648351648333</c:v>
                </c:pt>
                <c:pt idx="11">
                  <c:v>3.0936263736263725</c:v>
                </c:pt>
                <c:pt idx="12">
                  <c:v>1.4795604395604391</c:v>
                </c:pt>
                <c:pt idx="13">
                  <c:v>2.4883516483516477</c:v>
                </c:pt>
                <c:pt idx="14">
                  <c:v>2.9591208791208783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3"/>
          <c:tx>
            <c:strRef>
              <c:f>'2.3.5'!$L$101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/>
          </c:spPr>
          <c:val>
            <c:numRef>
              <c:f>'2.3.5'!$L$103:$L$125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2.6901098901098894</c:v>
                </c:pt>
                <c:pt idx="6">
                  <c:v>2.757362637362637</c:v>
                </c:pt>
                <c:pt idx="7">
                  <c:v>1.4795604395604391</c:v>
                </c:pt>
                <c:pt idx="8">
                  <c:v>0</c:v>
                </c:pt>
                <c:pt idx="9">
                  <c:v>2.5556043956043943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3.3290109890109876</c:v>
                </c:pt>
                <c:pt idx="16">
                  <c:v>2.1090461538461529</c:v>
                </c:pt>
                <c:pt idx="17">
                  <c:v>0.99937582417582371</c:v>
                </c:pt>
                <c:pt idx="18">
                  <c:v>1.3316043956043953</c:v>
                </c:pt>
                <c:pt idx="19">
                  <c:v>2.1090461538461529</c:v>
                </c:pt>
                <c:pt idx="20">
                  <c:v>4.0351648351648333</c:v>
                </c:pt>
                <c:pt idx="21">
                  <c:v>2.8246153846153836</c:v>
                </c:pt>
                <c:pt idx="22">
                  <c:v>1.3450549450549447</c:v>
                </c:pt>
              </c:numCache>
            </c:numRef>
          </c:val>
        </c:ser>
        <c:ser>
          <c:idx val="3"/>
          <c:order val="4"/>
          <c:tx>
            <c:strRef>
              <c:f>'2.3.5'!$J$101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noFill/>
              <a:miter lim="800000"/>
            </a:ln>
            <a:effectLst/>
          </c:spPr>
          <c:val>
            <c:numRef>
              <c:f>'2.3.5'!$J$103:$J$125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5.9854945054945059</c:v>
                </c:pt>
                <c:pt idx="6">
                  <c:v>1.9772307692307649</c:v>
                </c:pt>
                <c:pt idx="7">
                  <c:v>1.7149450549450558</c:v>
                </c:pt>
                <c:pt idx="8">
                  <c:v>0</c:v>
                </c:pt>
                <c:pt idx="9">
                  <c:v>1.2374505494505499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7.6466373626373674</c:v>
                </c:pt>
                <c:pt idx="16">
                  <c:v>9.2270769230769254</c:v>
                </c:pt>
                <c:pt idx="17">
                  <c:v>6.3957362637362642</c:v>
                </c:pt>
                <c:pt idx="18">
                  <c:v>2.6699340659340649</c:v>
                </c:pt>
                <c:pt idx="19">
                  <c:v>6.9741098901098901</c:v>
                </c:pt>
                <c:pt idx="20">
                  <c:v>8.9715164835164813</c:v>
                </c:pt>
                <c:pt idx="21">
                  <c:v>9.5229890109890096</c:v>
                </c:pt>
                <c:pt idx="22">
                  <c:v>6.9472087912087863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02128"/>
        <c:axId val="433002688"/>
      </c:areaChart>
      <c:catAx>
        <c:axId val="433002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02688"/>
        <c:crosses val="autoZero"/>
        <c:auto val="1"/>
        <c:lblAlgn val="ctr"/>
        <c:lblOffset val="100"/>
        <c:noMultiLvlLbl val="0"/>
      </c:catAx>
      <c:valAx>
        <c:axId val="433002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02128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0.16345121799346041"/>
          <c:w val="0.89999993543242518"/>
          <c:h val="4.1379629924612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7030A0"/>
                </a:solidFill>
              </a:rPr>
              <a:t>Offre non placée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9999FF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2"/>
            <c:bubble3D val="0"/>
            <c:spPr>
              <a:solidFill>
                <a:srgbClr val="934BC9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3.5479404105547091E-2"/>
                  <c:y val="1.90902126233914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9817887914923484E-2"/>
                  <c:y val="-9.11040258817622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034568491891716E-2"/>
                  <c:y val="-0.1185996860369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'2.3.4 et 2.3.5.1'!$B$96:$B$98</c:f>
              <c:strCache>
                <c:ptCount val="3"/>
                <c:pt idx="0">
                  <c:v>(B) offres non satisfaisantes</c:v>
                </c:pt>
                <c:pt idx="1">
                  <c:v>(C) offres hors demandes</c:v>
                </c:pt>
                <c:pt idx="2">
                  <c:v>(D) offres hors demandes</c:v>
                </c:pt>
              </c:strCache>
            </c:strRef>
          </c:cat>
          <c:val>
            <c:numRef>
              <c:f>'2.3.5'!$E$160:$E$162</c:f>
              <c:numCache>
                <c:formatCode>0.00</c:formatCode>
                <c:ptCount val="3"/>
                <c:pt idx="0">
                  <c:v>27.565556043956033</c:v>
                </c:pt>
                <c:pt idx="1">
                  <c:v>32.812615384615377</c:v>
                </c:pt>
                <c:pt idx="2">
                  <c:v>54.098109890109889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/>
                </a:solidFill>
              </a:rPr>
              <a:t>Offre à 80%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5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74489D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4.3153229373983658E-2"/>
                  <c:y val="-7.75070056996859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8116964382299059E-2"/>
                  <c:y val="5.28994710516925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'2.3.4 et 2.3.5.1'!$F$96:$F$97</c:f>
              <c:strCache>
                <c:ptCount val="2"/>
                <c:pt idx="0">
                  <c:v>Capacité à 80%</c:v>
                </c:pt>
                <c:pt idx="1">
                  <c:v>(D) offres hors demandes</c:v>
                </c:pt>
              </c:strCache>
            </c:strRef>
          </c:cat>
          <c:val>
            <c:numRef>
              <c:f>'2.3.5'!$H$160:$H$161</c:f>
              <c:numCache>
                <c:formatCode>0.00</c:formatCode>
                <c:ptCount val="2"/>
                <c:pt idx="0">
                  <c:v>187.41457582417576</c:v>
                </c:pt>
                <c:pt idx="1">
                  <c:v>54.098109890109889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2776059388926"/>
          <c:y val="0.23625785429536744"/>
          <c:w val="0.67661407136204577"/>
          <c:h val="0.20552558176657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>
                    <a:lumMod val="75000"/>
                  </a:schemeClr>
                </a:solidFill>
              </a:rPr>
              <a:t>Offre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spPr>
            <a:solidFill>
              <a:srgbClr val="7030A0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5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4A206A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3.883568577200415E-2"/>
                  <c:y val="-1.502669799181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2207991402290317E-2"/>
                  <c:y val="-2.1319878925175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'2.3.5'!$D$177:$D$178</c:f>
              <c:strCache>
                <c:ptCount val="2"/>
                <c:pt idx="0">
                  <c:v>Capacité à 80%</c:v>
                </c:pt>
                <c:pt idx="1">
                  <c:v>offres non placées</c:v>
                </c:pt>
              </c:strCache>
            </c:strRef>
          </c:cat>
          <c:val>
            <c:numRef>
              <c:f>'2.3.5'!$E$177:$E$178</c:f>
              <c:numCache>
                <c:formatCode>0.00</c:formatCode>
                <c:ptCount val="2"/>
                <c:pt idx="0">
                  <c:v>187.41457582417576</c:v>
                </c:pt>
                <c:pt idx="1">
                  <c:v>114.4762813186813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078545565838526"/>
          <c:y val="0.2657237877320559"/>
          <c:w val="0.58167516382348317"/>
          <c:h val="0.15838008826787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>
                    <a:lumMod val="75000"/>
                  </a:schemeClr>
                </a:solidFill>
              </a:rPr>
              <a:t>Offre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9999FF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5.0224616924366361E-2"/>
                  <c:y val="-1.8791377014994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4596467868082851E-2"/>
                  <c:y val="3.6987402965432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664225841148167E-2"/>
                  <c:y val="-1.2086601074416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'2.3.5'!$G$177:$G$179</c:f>
              <c:strCache>
                <c:ptCount val="3"/>
                <c:pt idx="0">
                  <c:v>offre à 80%</c:v>
                </c:pt>
                <c:pt idx="1">
                  <c:v>(C) offres hors demandes</c:v>
                </c:pt>
                <c:pt idx="2">
                  <c:v>(B) offres non satisfaisantes</c:v>
                </c:pt>
              </c:strCache>
            </c:strRef>
          </c:cat>
          <c:val>
            <c:numRef>
              <c:f>'2.3.5'!$H$177:$H$179</c:f>
              <c:numCache>
                <c:formatCode>0.00</c:formatCode>
                <c:ptCount val="3"/>
                <c:pt idx="0">
                  <c:v>241.51268571428565</c:v>
                </c:pt>
                <c:pt idx="1">
                  <c:v>32.812615384615377</c:v>
                </c:pt>
                <c:pt idx="2">
                  <c:v>27.565556043956033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961617241855439"/>
          <c:y val="0.22447148092069213"/>
          <c:w val="0.67661407136204577"/>
          <c:h val="0.20552558176657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C00000"/>
                </a:solidFill>
              </a:rPr>
              <a:t>Demande non satisfaite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4291194647186973"/>
          <c:y val="0.54470863760196486"/>
          <c:w val="0.31417654679182128"/>
          <c:h val="0.33153444196394388"/>
        </c:manualLayout>
      </c:layout>
      <c:pieChart>
        <c:varyColors val="1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6.7228311582546718E-2"/>
                  <c:y val="-7.36369917648516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1298697415322324E-2"/>
                  <c:y val="6.2542951818326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'2.3.5'!$D$193:$D$194</c:f>
              <c:strCache>
                <c:ptCount val="2"/>
                <c:pt idx="0">
                  <c:v>(A) demandes hors offres</c:v>
                </c:pt>
                <c:pt idx="1">
                  <c:v>(B) offres non satisfaisantes</c:v>
                </c:pt>
              </c:strCache>
            </c:strRef>
          </c:cat>
          <c:val>
            <c:numRef>
              <c:f>'2.3.5'!$E$193:$E$194</c:f>
              <c:numCache>
                <c:formatCode>0.00</c:formatCode>
                <c:ptCount val="2"/>
                <c:pt idx="0">
                  <c:v>69.270329670329659</c:v>
                </c:pt>
                <c:pt idx="1">
                  <c:v>27.565556043956033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C000"/>
                </a:solidFill>
              </a:rPr>
              <a:t>Demande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1752953044157373"/>
          <c:y val="0.5441782508001044"/>
          <c:w val="0.32584844777744454"/>
          <c:h val="0.34385120214047965"/>
        </c:manualLayout>
      </c:layout>
      <c:pieChart>
        <c:varyColors val="1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5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3.6945922200225675E-2"/>
                  <c:y val="-2.39764532389557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9815416601072781E-2"/>
                  <c:y val="-6.69317517938257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'2.3.5'!$G$193:$G$194</c:f>
              <c:strCache>
                <c:ptCount val="2"/>
                <c:pt idx="0">
                  <c:v>Capacité à 80%</c:v>
                </c:pt>
                <c:pt idx="1">
                  <c:v>demandes non satisfaites</c:v>
                </c:pt>
              </c:strCache>
            </c:strRef>
          </c:cat>
          <c:val>
            <c:numRef>
              <c:f>'2.3.5'!$H$193:$H$194</c:f>
              <c:numCache>
                <c:formatCode>0.00</c:formatCode>
                <c:ptCount val="2"/>
                <c:pt idx="0">
                  <c:v>187.41457582417576</c:v>
                </c:pt>
                <c:pt idx="1">
                  <c:v>96.835885714285709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00185040723914"/>
          <c:y val="0.27161697441939348"/>
          <c:w val="0.64165773270586002"/>
          <c:h val="0.21362940950733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Représentation hebdomadaire de la capacité de l'agence par rapport à l'offre et la demande mensuelles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2530551762210534"/>
          <c:y val="3.0463309683670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63356647677302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'2.3.5'!$R$209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noFill/>
              <a:miter lim="800000"/>
            </a:ln>
            <a:effectLst/>
          </c:spPr>
          <c:invertIfNegative val="0"/>
          <c:val>
            <c:numRef>
              <c:f>'2.3.5'!$R$211:$R$215</c:f>
              <c:numCache>
                <c:formatCode>0.00</c:formatCode>
                <c:ptCount val="5"/>
                <c:pt idx="0">
                  <c:v>34.897450549450546</c:v>
                </c:pt>
                <c:pt idx="1">
                  <c:v>45.287999999999997</c:v>
                </c:pt>
                <c:pt idx="2">
                  <c:v>34.897450549450546</c:v>
                </c:pt>
                <c:pt idx="3">
                  <c:v>39.512334065934063</c:v>
                </c:pt>
                <c:pt idx="4">
                  <c:v>32.819340659340661</c:v>
                </c:pt>
              </c:numCache>
            </c:numRef>
          </c:val>
        </c:ser>
        <c:ser>
          <c:idx val="1"/>
          <c:order val="1"/>
          <c:tx>
            <c:strRef>
              <c:f>'2.3.5'!$N$209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74489D"/>
            </a:solidFill>
            <a:ln w="9525" cap="flat" cmpd="sng" algn="ctr">
              <a:noFill/>
              <a:miter lim="800000"/>
            </a:ln>
            <a:effectLst/>
          </c:spPr>
          <c:invertIfNegative val="0"/>
          <c:val>
            <c:numRef>
              <c:f>'2.3.5'!$N$211:$N$215</c:f>
              <c:numCache>
                <c:formatCode>0.00</c:formatCode>
                <c:ptCount val="5"/>
                <c:pt idx="0">
                  <c:v>32.597406593406596</c:v>
                </c:pt>
                <c:pt idx="1">
                  <c:v>0.17485714285714415</c:v>
                </c:pt>
                <c:pt idx="2">
                  <c:v>21.325846153846154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'2.3.5'!$P$209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9525" cap="flat" cmpd="sng" algn="ctr">
              <a:noFill/>
              <a:miter lim="800000"/>
            </a:ln>
            <a:effectLst/>
          </c:spPr>
          <c:invertIfNegative val="0"/>
          <c:val>
            <c:numRef>
              <c:f>'2.3.5'!$P$211:$P$215</c:f>
              <c:numCache>
                <c:formatCode>0.00</c:formatCode>
                <c:ptCount val="5"/>
                <c:pt idx="0">
                  <c:v>16.873714285714279</c:v>
                </c:pt>
                <c:pt idx="1">
                  <c:v>1.8830769230769226</c:v>
                </c:pt>
                <c:pt idx="2">
                  <c:v>14.055824175824171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'2.3.5'!$L$209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/>
          </c:spPr>
          <c:invertIfNegative val="0"/>
          <c:val>
            <c:numRef>
              <c:f>'2.3.5'!$L$211:$L$215</c:f>
              <c:numCache>
                <c:formatCode>0.00</c:formatCode>
                <c:ptCount val="5"/>
                <c:pt idx="0">
                  <c:v>0</c:v>
                </c:pt>
                <c:pt idx="1">
                  <c:v>9.4826373626373588</c:v>
                </c:pt>
                <c:pt idx="2">
                  <c:v>0</c:v>
                </c:pt>
                <c:pt idx="3">
                  <c:v>9.8780835164835104</c:v>
                </c:pt>
                <c:pt idx="4">
                  <c:v>8.2048351648351616</c:v>
                </c:pt>
              </c:numCache>
            </c:numRef>
          </c:val>
        </c:ser>
        <c:ser>
          <c:idx val="4"/>
          <c:order val="4"/>
          <c:tx>
            <c:strRef>
              <c:f>'2.3.5'!$J$209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noFill/>
              <a:miter lim="800000"/>
            </a:ln>
            <a:effectLst/>
          </c:spPr>
          <c:invertIfNegative val="0"/>
          <c:val>
            <c:numRef>
              <c:f>'2.3.5'!$J$211:$J$215</c:f>
              <c:numCache>
                <c:formatCode>0.00</c:formatCode>
                <c:ptCount val="5"/>
                <c:pt idx="0">
                  <c:v>0</c:v>
                </c:pt>
                <c:pt idx="1">
                  <c:v>10.915120879120877</c:v>
                </c:pt>
                <c:pt idx="2">
                  <c:v>0</c:v>
                </c:pt>
                <c:pt idx="3">
                  <c:v>32.913494505494512</c:v>
                </c:pt>
                <c:pt idx="4">
                  <c:v>25.441714285714276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016128"/>
        <c:axId val="433016688"/>
      </c:barChart>
      <c:lineChart>
        <c:grouping val="standard"/>
        <c:varyColors val="0"/>
        <c:ser>
          <c:idx val="5"/>
          <c:order val="5"/>
          <c:tx>
            <c:strRef>
              <c:f>'2.3.5'!$D$209</c:f>
              <c:strCache>
                <c:ptCount val="1"/>
                <c:pt idx="0">
                  <c:v>demandes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/>
          </c:spPr>
          <c:marker>
            <c:symbol val="none"/>
          </c:marker>
          <c:val>
            <c:numRef>
              <c:f>'2.3.5'!$D$211:$D$215</c:f>
              <c:numCache>
                <c:formatCode>0.00</c:formatCode>
                <c:ptCount val="5"/>
                <c:pt idx="0">
                  <c:v>34.897450549450546</c:v>
                </c:pt>
                <c:pt idx="1">
                  <c:v>65.685758241758236</c:v>
                </c:pt>
                <c:pt idx="2">
                  <c:v>34.897450549450546</c:v>
                </c:pt>
                <c:pt idx="3">
                  <c:v>82.303912087912082</c:v>
                </c:pt>
                <c:pt idx="4">
                  <c:v>66.465890109890097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'2.3.5'!$E$209</c:f>
              <c:strCache>
                <c:ptCount val="1"/>
                <c:pt idx="0">
                  <c:v>offres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/>
          </c:spPr>
          <c:marker>
            <c:symbol val="none"/>
          </c:marker>
          <c:val>
            <c:numRef>
              <c:f>'2.3.5'!$E$211:$E$215</c:f>
              <c:numCache>
                <c:formatCode>0.00</c:formatCode>
                <c:ptCount val="5"/>
                <c:pt idx="0">
                  <c:v>84.368571428571428</c:v>
                </c:pt>
                <c:pt idx="1">
                  <c:v>56.828571428571429</c:v>
                </c:pt>
                <c:pt idx="2">
                  <c:v>70.279120879120882</c:v>
                </c:pt>
                <c:pt idx="3">
                  <c:v>49.39041758241757</c:v>
                </c:pt>
                <c:pt idx="4">
                  <c:v>41.024175824175813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16128"/>
        <c:axId val="433016688"/>
      </c:lineChart>
      <c:catAx>
        <c:axId val="43301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16688"/>
        <c:crosses val="autoZero"/>
        <c:auto val="1"/>
        <c:lblAlgn val="ctr"/>
        <c:lblOffset val="100"/>
        <c:noMultiLvlLbl val="0"/>
      </c:catAx>
      <c:valAx>
        <c:axId val="433016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1612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0.16345121799346041"/>
          <c:w val="0.82109396841999915"/>
          <c:h val="7.9081111535456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Moyennes Journalières par mois sur une année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0549167465177967"/>
          <c:y val="5.592596379997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483700798534072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'2.4.5.1 Missions'!$E$35</c:f>
              <c:strCache>
                <c:ptCount val="1"/>
                <c:pt idx="0">
                  <c:v>Moyenne Demande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noFill/>
              <a:miter lim="800000"/>
            </a:ln>
            <a:effectLst/>
          </c:spPr>
          <c:invertIfNegative val="0"/>
          <c:cat>
            <c:strRef>
              <c:f>'2.4.5.1 Missions'!$B$37:$B$48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'2.4.5.1 Missions'!$E$37:$E$48</c:f>
              <c:numCache>
                <c:formatCode>0.00</c:formatCode>
                <c:ptCount val="12"/>
                <c:pt idx="0">
                  <c:v>4.9984139130434775</c:v>
                </c:pt>
                <c:pt idx="1">
                  <c:v>7.4966644999999996</c:v>
                </c:pt>
                <c:pt idx="2">
                  <c:v>10.00338681818182</c:v>
                </c:pt>
                <c:pt idx="3">
                  <c:v>15.001517142857145</c:v>
                </c:pt>
                <c:pt idx="4">
                  <c:v>20.002843913043474</c:v>
                </c:pt>
                <c:pt idx="5">
                  <c:v>10.001011428571427</c:v>
                </c:pt>
                <c:pt idx="6">
                  <c:v>4.9962070909090892</c:v>
                </c:pt>
                <c:pt idx="7">
                  <c:v>4.9984139130434775</c:v>
                </c:pt>
                <c:pt idx="8">
                  <c:v>9.9982512500000009</c:v>
                </c:pt>
                <c:pt idx="9">
                  <c:v>8.4991413043478268</c:v>
                </c:pt>
                <c:pt idx="10">
                  <c:v>7.0041995454545463</c:v>
                </c:pt>
                <c:pt idx="11">
                  <c:v>5.0005057142857137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019488"/>
        <c:axId val="433020048"/>
        <c:extLst/>
      </c:barChart>
      <c:catAx>
        <c:axId val="433019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20048"/>
        <c:crosses val="autoZero"/>
        <c:auto val="1"/>
        <c:lblAlgn val="ctr"/>
        <c:lblOffset val="100"/>
        <c:noMultiLvlLbl val="0"/>
      </c:catAx>
      <c:valAx>
        <c:axId val="433020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1948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344043800080546"/>
          <c:y val="0.16892592971333129"/>
          <c:w val="0.23333732588981937"/>
          <c:h val="6.3739841847484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Moyennes Journalières par mois sur une année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0549167465177967"/>
          <c:y val="5.592596379997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483700798534072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'2.4.5.1 Missions'!$G$35</c:f>
              <c:strCache>
                <c:ptCount val="1"/>
                <c:pt idx="0">
                  <c:v>Moyenne Offre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noFill/>
              <a:miter lim="800000"/>
            </a:ln>
            <a:effectLst/>
          </c:spPr>
          <c:invertIfNegative val="0"/>
          <c:cat>
            <c:strRef>
              <c:f>'2.4.5.1 Missions'!$B$37:$B$48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'2.4.5.1 Missions'!$G$37:$G$48</c:f>
              <c:numCache>
                <c:formatCode>0.00</c:formatCode>
                <c:ptCount val="12"/>
                <c:pt idx="0">
                  <c:v>20.004880434782603</c:v>
                </c:pt>
                <c:pt idx="1">
                  <c:v>14.002829</c:v>
                </c:pt>
                <c:pt idx="2">
                  <c:v>8.4985063636363645</c:v>
                </c:pt>
                <c:pt idx="3">
                  <c:v>7.0046323809523816</c:v>
                </c:pt>
                <c:pt idx="4">
                  <c:v>4.9963408695652189</c:v>
                </c:pt>
                <c:pt idx="5">
                  <c:v>9.0045345238095251</c:v>
                </c:pt>
                <c:pt idx="6">
                  <c:v>10.004697045454543</c:v>
                </c:pt>
                <c:pt idx="7">
                  <c:v>13.49597543478261</c:v>
                </c:pt>
                <c:pt idx="8">
                  <c:v>12.49975525</c:v>
                </c:pt>
                <c:pt idx="9">
                  <c:v>10.002440217391301</c:v>
                </c:pt>
                <c:pt idx="10">
                  <c:v>15.002058181818178</c:v>
                </c:pt>
                <c:pt idx="11">
                  <c:v>19.999021428571425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022288"/>
        <c:axId val="433022848"/>
        <c:extLst/>
      </c:barChart>
      <c:catAx>
        <c:axId val="433022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22848"/>
        <c:crosses val="autoZero"/>
        <c:auto val="1"/>
        <c:lblAlgn val="ctr"/>
        <c:lblOffset val="100"/>
        <c:noMultiLvlLbl val="0"/>
      </c:catAx>
      <c:valAx>
        <c:axId val="43302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2228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344043800080546"/>
          <c:y val="0.16892592971333129"/>
          <c:w val="0.23333732588981937"/>
          <c:h val="6.3739841847484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mensuelle de la demande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'2.3.1'!$C$2</c:f>
              <c:strCache>
                <c:ptCount val="1"/>
                <c:pt idx="0">
                  <c:v>Besoins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'2.3.1'!$B$3:$B$33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'2.3.1'!$C$3:$C$33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36.119999999999997</c:v>
                </c:pt>
                <c:pt idx="22">
                  <c:v>29.4</c:v>
                </c:pt>
                <c:pt idx="23">
                  <c:v>16.940000000000001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35.159999999999997</c:v>
                </c:pt>
                <c:pt idx="30">
                  <c:v>20.329999999999998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926528"/>
        <c:axId val="432942208"/>
      </c:barChart>
      <c:catAx>
        <c:axId val="43292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42208"/>
        <c:crosses val="autoZero"/>
        <c:auto val="1"/>
        <c:lblAlgn val="ctr"/>
        <c:lblOffset val="100"/>
        <c:noMultiLvlLbl val="0"/>
      </c:catAx>
      <c:valAx>
        <c:axId val="432942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2652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8.9887955182072835E-2"/>
          <c:w val="0.9445781638918751"/>
          <c:h val="4.7269238404023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Moyennes Journalières par mois sur une année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0549167465177967"/>
          <c:y val="5.592596379997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48370079853407266"/>
        </c:manualLayout>
      </c:layout>
      <c:lineChart>
        <c:grouping val="standard"/>
        <c:varyColors val="0"/>
        <c:ser>
          <c:idx val="0"/>
          <c:order val="0"/>
          <c:tx>
            <c:strRef>
              <c:f>'2.4.5.1 Missions'!$E$35</c:f>
              <c:strCache>
                <c:ptCount val="1"/>
                <c:pt idx="0">
                  <c:v>Moyenne Demande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strRef>
              <c:f>'2.4.5.1 Missions'!$B$37:$B$48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'2.4.5.1 Missions'!$E$37:$E$48</c:f>
              <c:numCache>
                <c:formatCode>0.00</c:formatCode>
                <c:ptCount val="12"/>
                <c:pt idx="0">
                  <c:v>4.9984139130434775</c:v>
                </c:pt>
                <c:pt idx="1">
                  <c:v>7.4966644999999996</c:v>
                </c:pt>
                <c:pt idx="2">
                  <c:v>10.00338681818182</c:v>
                </c:pt>
                <c:pt idx="3">
                  <c:v>15.001517142857145</c:v>
                </c:pt>
                <c:pt idx="4">
                  <c:v>20.002843913043474</c:v>
                </c:pt>
                <c:pt idx="5">
                  <c:v>10.001011428571427</c:v>
                </c:pt>
                <c:pt idx="6">
                  <c:v>4.9962070909090892</c:v>
                </c:pt>
                <c:pt idx="7">
                  <c:v>4.9984139130434775</c:v>
                </c:pt>
                <c:pt idx="8">
                  <c:v>9.9982512500000009</c:v>
                </c:pt>
                <c:pt idx="9">
                  <c:v>8.4991413043478268</c:v>
                </c:pt>
                <c:pt idx="10">
                  <c:v>7.0041995454545463</c:v>
                </c:pt>
                <c:pt idx="11">
                  <c:v>5.0005057142857137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'2.4.5.1 Missions'!$G$35</c:f>
              <c:strCache>
                <c:ptCount val="1"/>
                <c:pt idx="0">
                  <c:v>Moyenne Offre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none"/>
          </c:marker>
          <c:cat>
            <c:strRef>
              <c:f>'2.4.5.1 Missions'!$B$37:$B$48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'2.4.5.1 Missions'!$G$37:$G$48</c:f>
              <c:numCache>
                <c:formatCode>0.00</c:formatCode>
                <c:ptCount val="12"/>
                <c:pt idx="0">
                  <c:v>20.004880434782603</c:v>
                </c:pt>
                <c:pt idx="1">
                  <c:v>14.002829</c:v>
                </c:pt>
                <c:pt idx="2">
                  <c:v>8.4985063636363645</c:v>
                </c:pt>
                <c:pt idx="3">
                  <c:v>7.0046323809523816</c:v>
                </c:pt>
                <c:pt idx="4">
                  <c:v>4.9963408695652189</c:v>
                </c:pt>
                <c:pt idx="5">
                  <c:v>9.0045345238095251</c:v>
                </c:pt>
                <c:pt idx="6">
                  <c:v>10.004697045454543</c:v>
                </c:pt>
                <c:pt idx="7">
                  <c:v>13.49597543478261</c:v>
                </c:pt>
                <c:pt idx="8">
                  <c:v>12.49975525</c:v>
                </c:pt>
                <c:pt idx="9">
                  <c:v>10.002440217391301</c:v>
                </c:pt>
                <c:pt idx="10">
                  <c:v>15.002058181818178</c:v>
                </c:pt>
                <c:pt idx="11">
                  <c:v>19.999021428571425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025648"/>
        <c:axId val="433026208"/>
      </c:lineChart>
      <c:catAx>
        <c:axId val="433025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26208"/>
        <c:crosses val="autoZero"/>
        <c:auto val="1"/>
        <c:lblAlgn val="ctr"/>
        <c:lblOffset val="100"/>
        <c:noMultiLvlLbl val="0"/>
      </c:catAx>
      <c:valAx>
        <c:axId val="433026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2564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737341505781164"/>
          <c:y val="0.16026801700252566"/>
          <c:w val="0.45189608181179658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Représentation annuelle de la capacité de l'agence par rapport à l'offre et la demande journalières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2788592398172452"/>
          <c:y val="1.348099604424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31483123949393965"/>
          <c:w val="0.94265004697291066"/>
          <c:h val="0.55354043174378487"/>
        </c:manualLayout>
      </c:layout>
      <c:areaChart>
        <c:grouping val="stacked"/>
        <c:varyColors val="0"/>
        <c:ser>
          <c:idx val="4"/>
          <c:order val="0"/>
          <c:tx>
            <c:strRef>
              <c:f>'2.4.5.1 Missions'!$R$69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miter lim="800000"/>
            </a:ln>
            <a:effectLst/>
          </c:spPr>
          <c:cat>
            <c:strRef>
              <c:f>'2.4.5.1 Missions'!$A$71:$A$331</c:f>
              <c:strCache>
                <c:ptCount val="241"/>
                <c:pt idx="0">
                  <c:v>JANVIER</c:v>
                </c:pt>
                <c:pt idx="23">
                  <c:v>FEVRIER</c:v>
                </c:pt>
                <c:pt idx="43">
                  <c:v>MARS</c:v>
                </c:pt>
                <c:pt idx="65">
                  <c:v>AVRIL</c:v>
                </c:pt>
                <c:pt idx="86">
                  <c:v>MAI</c:v>
                </c:pt>
                <c:pt idx="109">
                  <c:v>JUIN</c:v>
                </c:pt>
                <c:pt idx="130">
                  <c:v>JUILLET</c:v>
                </c:pt>
                <c:pt idx="152">
                  <c:v>AOUT</c:v>
                </c:pt>
                <c:pt idx="175">
                  <c:v>SEPTEMBRE</c:v>
                </c:pt>
                <c:pt idx="195">
                  <c:v>OCTOBRE</c:v>
                </c:pt>
                <c:pt idx="218">
                  <c:v>NOVEMBRE</c:v>
                </c:pt>
                <c:pt idx="240">
                  <c:v>DECEMBRE</c:v>
                </c:pt>
              </c:strCache>
            </c:strRef>
          </c:cat>
          <c:val>
            <c:numRef>
              <c:f>'2.4.5.1 Missions'!$R$71:$R$331</c:f>
              <c:numCache>
                <c:formatCode>0.00</c:formatCode>
                <c:ptCount val="261"/>
                <c:pt idx="0">
                  <c:v>4.9259200000000005</c:v>
                </c:pt>
                <c:pt idx="1">
                  <c:v>3.8678400000000006</c:v>
                </c:pt>
                <c:pt idx="2">
                  <c:v>1.69184</c:v>
                </c:pt>
                <c:pt idx="3">
                  <c:v>1.18048</c:v>
                </c:pt>
                <c:pt idx="4">
                  <c:v>2.4480000000000004</c:v>
                </c:pt>
                <c:pt idx="5">
                  <c:v>7.8608000000000002</c:v>
                </c:pt>
                <c:pt idx="6">
                  <c:v>6.3756800000000009</c:v>
                </c:pt>
                <c:pt idx="7">
                  <c:v>3.6856000000000004</c:v>
                </c:pt>
                <c:pt idx="8">
                  <c:v>2.9756800000000001</c:v>
                </c:pt>
                <c:pt idx="9">
                  <c:v>5.6684800000000006</c:v>
                </c:pt>
                <c:pt idx="10">
                  <c:v>4.9259200000000005</c:v>
                </c:pt>
                <c:pt idx="11">
                  <c:v>3.8678400000000006</c:v>
                </c:pt>
                <c:pt idx="12">
                  <c:v>1.69184</c:v>
                </c:pt>
                <c:pt idx="13">
                  <c:v>1.18048</c:v>
                </c:pt>
                <c:pt idx="14">
                  <c:v>2.4480000000000004</c:v>
                </c:pt>
                <c:pt idx="15">
                  <c:v>9.8246400000000005</c:v>
                </c:pt>
                <c:pt idx="16">
                  <c:v>7.9968000000000004</c:v>
                </c:pt>
                <c:pt idx="17">
                  <c:v>4.6076800000000011</c:v>
                </c:pt>
                <c:pt idx="18">
                  <c:v>3.77264</c:v>
                </c:pt>
                <c:pt idx="19">
                  <c:v>7.0856000000000003</c:v>
                </c:pt>
                <c:pt idx="20">
                  <c:v>11.788480000000002</c:v>
                </c:pt>
                <c:pt idx="21">
                  <c:v>9.5635200000000005</c:v>
                </c:pt>
                <c:pt idx="22">
                  <c:v>5.5297599999999996</c:v>
                </c:pt>
                <c:pt idx="23">
                  <c:v>8.3849300000000007</c:v>
                </c:pt>
                <c:pt idx="24">
                  <c:v>6.5838600000000005</c:v>
                </c:pt>
                <c:pt idx="25">
                  <c:v>2.8798599999999999</c:v>
                </c:pt>
                <c:pt idx="26">
                  <c:v>2.00942</c:v>
                </c:pt>
                <c:pt idx="27">
                  <c:v>4.1669999999999998</c:v>
                </c:pt>
                <c:pt idx="28">
                  <c:v>11.552</c:v>
                </c:pt>
                <c:pt idx="29">
                  <c:v>10.852720000000001</c:v>
                </c:pt>
                <c:pt idx="30">
                  <c:v>6.2736500000000008</c:v>
                </c:pt>
                <c:pt idx="31">
                  <c:v>5.0652200000000001</c:v>
                </c:pt>
                <c:pt idx="32">
                  <c:v>9.6489200000000004</c:v>
                </c:pt>
                <c:pt idx="33">
                  <c:v>8.3849300000000007</c:v>
                </c:pt>
                <c:pt idx="34">
                  <c:v>6.5838600000000005</c:v>
                </c:pt>
                <c:pt idx="35">
                  <c:v>2.8798599999999999</c:v>
                </c:pt>
                <c:pt idx="36">
                  <c:v>2.00942</c:v>
                </c:pt>
                <c:pt idx="37">
                  <c:v>4.1669999999999998</c:v>
                </c:pt>
                <c:pt idx="38">
                  <c:v>14.2956</c:v>
                </c:pt>
                <c:pt idx="39">
                  <c:v>9.0567679999999999</c:v>
                </c:pt>
                <c:pt idx="40">
                  <c:v>4.2915679999999998</c:v>
                </c:pt>
                <c:pt idx="41">
                  <c:v>5.7182400000000007</c:v>
                </c:pt>
                <c:pt idx="42">
                  <c:v>9.0567679999999999</c:v>
                </c:pt>
                <c:pt idx="43">
                  <c:v>9.9061700000000013</c:v>
                </c:pt>
                <c:pt idx="44">
                  <c:v>7.7783400000000009</c:v>
                </c:pt>
                <c:pt idx="45">
                  <c:v>3.4023400000000001</c:v>
                </c:pt>
                <c:pt idx="46">
                  <c:v>2.37398</c:v>
                </c:pt>
                <c:pt idx="47">
                  <c:v>4.923</c:v>
                </c:pt>
                <c:pt idx="48">
                  <c:v>6.8159999999999998</c:v>
                </c:pt>
                <c:pt idx="49">
                  <c:v>6.9864000000000006</c:v>
                </c:pt>
                <c:pt idx="50">
                  <c:v>3.7488000000000001</c:v>
                </c:pt>
                <c:pt idx="51">
                  <c:v>4.7712000000000003</c:v>
                </c:pt>
                <c:pt idx="52">
                  <c:v>6.4752000000000001</c:v>
                </c:pt>
                <c:pt idx="53">
                  <c:v>9.9061700000000013</c:v>
                </c:pt>
                <c:pt idx="54">
                  <c:v>7.7783400000000009</c:v>
                </c:pt>
                <c:pt idx="55">
                  <c:v>3.4023400000000001</c:v>
                </c:pt>
                <c:pt idx="56">
                  <c:v>2.37398</c:v>
                </c:pt>
                <c:pt idx="57">
                  <c:v>4.923</c:v>
                </c:pt>
                <c:pt idx="58">
                  <c:v>8.434800000000001</c:v>
                </c:pt>
                <c:pt idx="59">
                  <c:v>5.343744</c:v>
                </c:pt>
                <c:pt idx="60">
                  <c:v>2.5321440000000002</c:v>
                </c:pt>
                <c:pt idx="61">
                  <c:v>3.3739200000000005</c:v>
                </c:pt>
                <c:pt idx="62">
                  <c:v>5.343744</c:v>
                </c:pt>
                <c:pt idx="63">
                  <c:v>10.224</c:v>
                </c:pt>
                <c:pt idx="64">
                  <c:v>7.1568000000000005</c:v>
                </c:pt>
                <c:pt idx="65">
                  <c:v>10.9824</c:v>
                </c:pt>
                <c:pt idx="66">
                  <c:v>8.0537600000000005</c:v>
                </c:pt>
                <c:pt idx="67">
                  <c:v>3.2947199999999999</c:v>
                </c:pt>
                <c:pt idx="68">
                  <c:v>3.7237199999999997</c:v>
                </c:pt>
                <c:pt idx="69">
                  <c:v>7.7219999999999995</c:v>
                </c:pt>
                <c:pt idx="70">
                  <c:v>5.6319999999999997</c:v>
                </c:pt>
                <c:pt idx="71">
                  <c:v>5.7728000000000002</c:v>
                </c:pt>
                <c:pt idx="72">
                  <c:v>3.0975999999999999</c:v>
                </c:pt>
                <c:pt idx="73">
                  <c:v>3.9424000000000001</c:v>
                </c:pt>
                <c:pt idx="74">
                  <c:v>5.3504000000000005</c:v>
                </c:pt>
                <c:pt idx="75">
                  <c:v>8.4480000000000004</c:v>
                </c:pt>
                <c:pt idx="76">
                  <c:v>6.4768000000000008</c:v>
                </c:pt>
                <c:pt idx="77">
                  <c:v>3.0975999999999999</c:v>
                </c:pt>
                <c:pt idx="78">
                  <c:v>3.7237199999999997</c:v>
                </c:pt>
                <c:pt idx="79">
                  <c:v>6.1951999999999998</c:v>
                </c:pt>
                <c:pt idx="80">
                  <c:v>6.9695999999999998</c:v>
                </c:pt>
                <c:pt idx="81">
                  <c:v>4.4154879999999999</c:v>
                </c:pt>
                <c:pt idx="82">
                  <c:v>2.0922879999999999</c:v>
                </c:pt>
                <c:pt idx="83">
                  <c:v>2.7878400000000001</c:v>
                </c:pt>
                <c:pt idx="84">
                  <c:v>4.4154879999999999</c:v>
                </c:pt>
                <c:pt idx="85">
                  <c:v>8.4480000000000004</c:v>
                </c:pt>
                <c:pt idx="86">
                  <c:v>7.9872000000000005</c:v>
                </c:pt>
                <c:pt idx="87">
                  <c:v>5.8572800000000003</c:v>
                </c:pt>
                <c:pt idx="88">
                  <c:v>2.3961600000000001</c:v>
                </c:pt>
                <c:pt idx="89">
                  <c:v>3.5942400000000001</c:v>
                </c:pt>
                <c:pt idx="90">
                  <c:v>5.8572800000000003</c:v>
                </c:pt>
                <c:pt idx="91">
                  <c:v>4.0960000000000001</c:v>
                </c:pt>
                <c:pt idx="92">
                  <c:v>4.1984000000000004</c:v>
                </c:pt>
                <c:pt idx="93">
                  <c:v>2.2528000000000001</c:v>
                </c:pt>
                <c:pt idx="94">
                  <c:v>2.8672000000000004</c:v>
                </c:pt>
                <c:pt idx="95">
                  <c:v>3.8912</c:v>
                </c:pt>
                <c:pt idx="96">
                  <c:v>6.1440000000000001</c:v>
                </c:pt>
                <c:pt idx="97">
                  <c:v>4.7103999999999999</c:v>
                </c:pt>
                <c:pt idx="98">
                  <c:v>2.2528000000000001</c:v>
                </c:pt>
                <c:pt idx="99">
                  <c:v>3.7888000000000002</c:v>
                </c:pt>
                <c:pt idx="100">
                  <c:v>4.5056000000000003</c:v>
                </c:pt>
                <c:pt idx="101">
                  <c:v>5.0688000000000004</c:v>
                </c:pt>
                <c:pt idx="102">
                  <c:v>3.2112639999999999</c:v>
                </c:pt>
                <c:pt idx="103">
                  <c:v>1.5216640000000001</c:v>
                </c:pt>
                <c:pt idx="104">
                  <c:v>2.0275200000000004</c:v>
                </c:pt>
                <c:pt idx="105">
                  <c:v>3.2112639999999999</c:v>
                </c:pt>
                <c:pt idx="106">
                  <c:v>6.1440000000000001</c:v>
                </c:pt>
                <c:pt idx="107">
                  <c:v>4.3008000000000006</c:v>
                </c:pt>
                <c:pt idx="108">
                  <c:v>2.048</c:v>
                </c:pt>
                <c:pt idx="109">
                  <c:v>10.358919999999999</c:v>
                </c:pt>
                <c:pt idx="110">
                  <c:v>8.1338399999999993</c:v>
                </c:pt>
                <c:pt idx="111">
                  <c:v>3.5578399999999997</c:v>
                </c:pt>
                <c:pt idx="112">
                  <c:v>2.4824799999999998</c:v>
                </c:pt>
                <c:pt idx="113">
                  <c:v>5.1479999999999997</c:v>
                </c:pt>
                <c:pt idx="114">
                  <c:v>7.2400000000000011</c:v>
                </c:pt>
                <c:pt idx="115">
                  <c:v>7.4210000000000012</c:v>
                </c:pt>
                <c:pt idx="116">
                  <c:v>3.9820000000000002</c:v>
                </c:pt>
                <c:pt idx="117">
                  <c:v>5.0680000000000005</c:v>
                </c:pt>
                <c:pt idx="118">
                  <c:v>6.8780000000000001</c:v>
                </c:pt>
                <c:pt idx="119">
                  <c:v>10.358919999999999</c:v>
                </c:pt>
                <c:pt idx="120">
                  <c:v>8.1338399999999993</c:v>
                </c:pt>
                <c:pt idx="121">
                  <c:v>3.5578399999999997</c:v>
                </c:pt>
                <c:pt idx="122">
                  <c:v>2.4824799999999998</c:v>
                </c:pt>
                <c:pt idx="123">
                  <c:v>5.1479999999999997</c:v>
                </c:pt>
                <c:pt idx="124">
                  <c:v>8.9595000000000002</c:v>
                </c:pt>
                <c:pt idx="125">
                  <c:v>5.6761600000000003</c:v>
                </c:pt>
                <c:pt idx="126">
                  <c:v>2.6896599999999999</c:v>
                </c:pt>
                <c:pt idx="127">
                  <c:v>3.5838000000000001</c:v>
                </c:pt>
                <c:pt idx="128">
                  <c:v>5.6761600000000003</c:v>
                </c:pt>
                <c:pt idx="129">
                  <c:v>10.860000000000001</c:v>
                </c:pt>
                <c:pt idx="130">
                  <c:v>4.9476519999999997</c:v>
                </c:pt>
                <c:pt idx="131">
                  <c:v>3.8849040000000001</c:v>
                </c:pt>
                <c:pt idx="132">
                  <c:v>1.6993039999999999</c:v>
                </c:pt>
                <c:pt idx="133">
                  <c:v>1.1856879999999999</c:v>
                </c:pt>
                <c:pt idx="134">
                  <c:v>2.4588000000000001</c:v>
                </c:pt>
                <c:pt idx="135">
                  <c:v>7.8954799999999992</c:v>
                </c:pt>
                <c:pt idx="136">
                  <c:v>6.4038080000000006</c:v>
                </c:pt>
                <c:pt idx="137">
                  <c:v>3.7018600000000004</c:v>
                </c:pt>
                <c:pt idx="138">
                  <c:v>2.9888079999999997</c:v>
                </c:pt>
                <c:pt idx="139">
                  <c:v>5.6934880000000003</c:v>
                </c:pt>
                <c:pt idx="140">
                  <c:v>4.9476519999999997</c:v>
                </c:pt>
                <c:pt idx="141">
                  <c:v>3.8849040000000001</c:v>
                </c:pt>
                <c:pt idx="142">
                  <c:v>1.6993039999999999</c:v>
                </c:pt>
                <c:pt idx="143">
                  <c:v>1.1856879999999999</c:v>
                </c:pt>
                <c:pt idx="144">
                  <c:v>2.4588000000000001</c:v>
                </c:pt>
                <c:pt idx="145">
                  <c:v>9.8679839999999999</c:v>
                </c:pt>
                <c:pt idx="146">
                  <c:v>6.2908159999999995</c:v>
                </c:pt>
                <c:pt idx="147">
                  <c:v>2.9809159999999997</c:v>
                </c:pt>
                <c:pt idx="148">
                  <c:v>3.7892839999999999</c:v>
                </c:pt>
                <c:pt idx="149">
                  <c:v>6.2908159999999995</c:v>
                </c:pt>
                <c:pt idx="150">
                  <c:v>11.840488000000001</c:v>
                </c:pt>
                <c:pt idx="151">
                  <c:v>8.4252000000000002</c:v>
                </c:pt>
                <c:pt idx="152">
                  <c:v>4.9259200000000005</c:v>
                </c:pt>
                <c:pt idx="153">
                  <c:v>3.8678400000000006</c:v>
                </c:pt>
                <c:pt idx="154">
                  <c:v>1.69184</c:v>
                </c:pt>
                <c:pt idx="155">
                  <c:v>1.18048</c:v>
                </c:pt>
                <c:pt idx="156">
                  <c:v>2.4480000000000004</c:v>
                </c:pt>
                <c:pt idx="157">
                  <c:v>7.8608000000000002</c:v>
                </c:pt>
                <c:pt idx="158">
                  <c:v>6.3756800000000009</c:v>
                </c:pt>
                <c:pt idx="159">
                  <c:v>3.6856000000000004</c:v>
                </c:pt>
                <c:pt idx="160">
                  <c:v>2.9756800000000001</c:v>
                </c:pt>
                <c:pt idx="161">
                  <c:v>5.6684800000000006</c:v>
                </c:pt>
                <c:pt idx="162">
                  <c:v>4.9259200000000005</c:v>
                </c:pt>
                <c:pt idx="163">
                  <c:v>3.8678400000000006</c:v>
                </c:pt>
                <c:pt idx="164">
                  <c:v>1.69184</c:v>
                </c:pt>
                <c:pt idx="165">
                  <c:v>1.18048</c:v>
                </c:pt>
                <c:pt idx="166">
                  <c:v>2.4480000000000004</c:v>
                </c:pt>
                <c:pt idx="167">
                  <c:v>9.8246400000000005</c:v>
                </c:pt>
                <c:pt idx="168">
                  <c:v>7.9968000000000004</c:v>
                </c:pt>
                <c:pt idx="169">
                  <c:v>4.1102759999999998</c:v>
                </c:pt>
                <c:pt idx="170">
                  <c:v>3.77264</c:v>
                </c:pt>
                <c:pt idx="171">
                  <c:v>7.0856000000000003</c:v>
                </c:pt>
                <c:pt idx="172">
                  <c:v>11.788480000000002</c:v>
                </c:pt>
                <c:pt idx="173">
                  <c:v>9.5635200000000005</c:v>
                </c:pt>
                <c:pt idx="174">
                  <c:v>5.5297599999999996</c:v>
                </c:pt>
                <c:pt idx="175">
                  <c:v>11.182925000000001</c:v>
                </c:pt>
                <c:pt idx="176">
                  <c:v>8.7808500000000009</c:v>
                </c:pt>
                <c:pt idx="177">
                  <c:v>3.8408500000000001</c:v>
                </c:pt>
                <c:pt idx="178">
                  <c:v>2.6799500000000003</c:v>
                </c:pt>
                <c:pt idx="179">
                  <c:v>5.5575000000000001</c:v>
                </c:pt>
                <c:pt idx="180">
                  <c:v>10.311999999999999</c:v>
                </c:pt>
                <c:pt idx="181">
                  <c:v>10.569800000000001</c:v>
                </c:pt>
                <c:pt idx="182">
                  <c:v>5.6715999999999998</c:v>
                </c:pt>
                <c:pt idx="183">
                  <c:v>6.7554500000000006</c:v>
                </c:pt>
                <c:pt idx="184">
                  <c:v>9.7964000000000002</c:v>
                </c:pt>
                <c:pt idx="185">
                  <c:v>11.182925000000001</c:v>
                </c:pt>
                <c:pt idx="186">
                  <c:v>8.7808500000000009</c:v>
                </c:pt>
                <c:pt idx="187">
                  <c:v>3.8408500000000001</c:v>
                </c:pt>
                <c:pt idx="188">
                  <c:v>2.6799500000000003</c:v>
                </c:pt>
                <c:pt idx="189">
                  <c:v>5.5575000000000001</c:v>
                </c:pt>
                <c:pt idx="190">
                  <c:v>12.761099999999999</c:v>
                </c:pt>
                <c:pt idx="191">
                  <c:v>8.0846080000000011</c:v>
                </c:pt>
                <c:pt idx="192">
                  <c:v>3.8309079999999995</c:v>
                </c:pt>
                <c:pt idx="193">
                  <c:v>5.1044400000000003</c:v>
                </c:pt>
                <c:pt idx="194">
                  <c:v>8.0846080000000011</c:v>
                </c:pt>
                <c:pt idx="195">
                  <c:v>8.3758750000000006</c:v>
                </c:pt>
                <c:pt idx="196">
                  <c:v>6.5767500000000005</c:v>
                </c:pt>
                <c:pt idx="197">
                  <c:v>2.8767499999999999</c:v>
                </c:pt>
                <c:pt idx="198">
                  <c:v>2.00725</c:v>
                </c:pt>
                <c:pt idx="199">
                  <c:v>4.1625000000000005</c:v>
                </c:pt>
                <c:pt idx="200">
                  <c:v>8.2000000000000011</c:v>
                </c:pt>
                <c:pt idx="201">
                  <c:v>8.4050000000000011</c:v>
                </c:pt>
                <c:pt idx="202">
                  <c:v>4.51</c:v>
                </c:pt>
                <c:pt idx="203">
                  <c:v>5.0597500000000002</c:v>
                </c:pt>
                <c:pt idx="204">
                  <c:v>7.7899999999999991</c:v>
                </c:pt>
                <c:pt idx="205">
                  <c:v>8.3758750000000006</c:v>
                </c:pt>
                <c:pt idx="206">
                  <c:v>6.5767500000000005</c:v>
                </c:pt>
                <c:pt idx="207">
                  <c:v>2.8767499999999999</c:v>
                </c:pt>
                <c:pt idx="208">
                  <c:v>2.00725</c:v>
                </c:pt>
                <c:pt idx="209">
                  <c:v>4.1625000000000005</c:v>
                </c:pt>
                <c:pt idx="210">
                  <c:v>10.147500000000001</c:v>
                </c:pt>
                <c:pt idx="211">
                  <c:v>6.4287999999999998</c:v>
                </c:pt>
                <c:pt idx="212">
                  <c:v>3.0463</c:v>
                </c:pt>
                <c:pt idx="213">
                  <c:v>4.0590000000000002</c:v>
                </c:pt>
                <c:pt idx="214">
                  <c:v>6.4287999999999998</c:v>
                </c:pt>
                <c:pt idx="215">
                  <c:v>12.299999999999999</c:v>
                </c:pt>
                <c:pt idx="216">
                  <c:v>8.61</c:v>
                </c:pt>
                <c:pt idx="217">
                  <c:v>4.1000000000000005</c:v>
                </c:pt>
                <c:pt idx="218">
                  <c:v>6.9361300000000004</c:v>
                </c:pt>
                <c:pt idx="219">
                  <c:v>5.4462600000000005</c:v>
                </c:pt>
                <c:pt idx="220">
                  <c:v>2.38226</c:v>
                </c:pt>
                <c:pt idx="221">
                  <c:v>1.66222</c:v>
                </c:pt>
                <c:pt idx="222">
                  <c:v>3.4470000000000001</c:v>
                </c:pt>
                <c:pt idx="223">
                  <c:v>11.0687</c:v>
                </c:pt>
                <c:pt idx="224">
                  <c:v>8.9775200000000002</c:v>
                </c:pt>
                <c:pt idx="225">
                  <c:v>5.1896500000000003</c:v>
                </c:pt>
                <c:pt idx="226">
                  <c:v>4.1900199999999996</c:v>
                </c:pt>
                <c:pt idx="227">
                  <c:v>7.9817200000000001</c:v>
                </c:pt>
                <c:pt idx="228">
                  <c:v>6.9361300000000004</c:v>
                </c:pt>
                <c:pt idx="229">
                  <c:v>5.4462600000000005</c:v>
                </c:pt>
                <c:pt idx="230">
                  <c:v>2.38226</c:v>
                </c:pt>
                <c:pt idx="231">
                  <c:v>1.66222</c:v>
                </c:pt>
                <c:pt idx="232">
                  <c:v>3.4470000000000001</c:v>
                </c:pt>
                <c:pt idx="233">
                  <c:v>13.833959999999999</c:v>
                </c:pt>
                <c:pt idx="234">
                  <c:v>9.4330879999999997</c:v>
                </c:pt>
                <c:pt idx="235">
                  <c:v>4.4698880000000001</c:v>
                </c:pt>
                <c:pt idx="236">
                  <c:v>5.3122099999999994</c:v>
                </c:pt>
                <c:pt idx="237">
                  <c:v>9.4330879999999997</c:v>
                </c:pt>
                <c:pt idx="238">
                  <c:v>16.599220000000003</c:v>
                </c:pt>
                <c:pt idx="239">
                  <c:v>12.633600000000001</c:v>
                </c:pt>
                <c:pt idx="240">
                  <c:v>5.1794599999999997</c:v>
                </c:pt>
                <c:pt idx="241">
                  <c:v>4.0669199999999996</c:v>
                </c:pt>
                <c:pt idx="242">
                  <c:v>1.7789199999999998</c:v>
                </c:pt>
                <c:pt idx="243">
                  <c:v>1.2412399999999999</c:v>
                </c:pt>
                <c:pt idx="244">
                  <c:v>2.5739999999999998</c:v>
                </c:pt>
                <c:pt idx="245">
                  <c:v>8.2653999999999996</c:v>
                </c:pt>
                <c:pt idx="246">
                  <c:v>6.7038399999999996</c:v>
                </c:pt>
                <c:pt idx="247">
                  <c:v>3.8752999999999997</c:v>
                </c:pt>
                <c:pt idx="248">
                  <c:v>3.1288399999999994</c:v>
                </c:pt>
                <c:pt idx="249">
                  <c:v>5.9602399999999998</c:v>
                </c:pt>
                <c:pt idx="250">
                  <c:v>5.1794599999999997</c:v>
                </c:pt>
                <c:pt idx="251">
                  <c:v>4.0669199999999996</c:v>
                </c:pt>
                <c:pt idx="252">
                  <c:v>1.7789199999999998</c:v>
                </c:pt>
                <c:pt idx="253">
                  <c:v>1.2412399999999999</c:v>
                </c:pt>
                <c:pt idx="254">
                  <c:v>2.5739999999999998</c:v>
                </c:pt>
                <c:pt idx="255">
                  <c:v>10.330319999999999</c:v>
                </c:pt>
                <c:pt idx="256">
                  <c:v>8.4083999999999985</c:v>
                </c:pt>
                <c:pt idx="257">
                  <c:v>4.8448399999999996</c:v>
                </c:pt>
                <c:pt idx="258">
                  <c:v>3.9668199999999993</c:v>
                </c:pt>
                <c:pt idx="259">
                  <c:v>7.4502999999999995</c:v>
                </c:pt>
                <c:pt idx="260">
                  <c:v>12.395239999999999</c:v>
                </c:pt>
              </c:numCache>
            </c:numRef>
          </c:val>
        </c:ser>
        <c:ser>
          <c:idx val="0"/>
          <c:order val="1"/>
          <c:tx>
            <c:strRef>
              <c:f>'2.4.5.1 Missions'!$N$69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74489D"/>
            </a:solidFill>
            <a:ln w="9525" cap="flat" cmpd="sng" algn="ctr">
              <a:noFill/>
              <a:miter lim="800000"/>
            </a:ln>
            <a:effectLst/>
          </c:spPr>
          <c:cat>
            <c:strRef>
              <c:f>'2.4.5.1 Missions'!$A$71:$A$331</c:f>
              <c:strCache>
                <c:ptCount val="241"/>
                <c:pt idx="0">
                  <c:v>JANVIER</c:v>
                </c:pt>
                <c:pt idx="23">
                  <c:v>FEVRIER</c:v>
                </c:pt>
                <c:pt idx="43">
                  <c:v>MARS</c:v>
                </c:pt>
                <c:pt idx="65">
                  <c:v>AVRIL</c:v>
                </c:pt>
                <c:pt idx="86">
                  <c:v>MAI</c:v>
                </c:pt>
                <c:pt idx="109">
                  <c:v>JUIN</c:v>
                </c:pt>
                <c:pt idx="130">
                  <c:v>JUILLET</c:v>
                </c:pt>
                <c:pt idx="152">
                  <c:v>AOUT</c:v>
                </c:pt>
                <c:pt idx="175">
                  <c:v>SEPTEMBRE</c:v>
                </c:pt>
                <c:pt idx="195">
                  <c:v>OCTOBRE</c:v>
                </c:pt>
                <c:pt idx="218">
                  <c:v>NOVEMBRE</c:v>
                </c:pt>
                <c:pt idx="240">
                  <c:v>DECEMBRE</c:v>
                </c:pt>
              </c:strCache>
            </c:strRef>
          </c:cat>
          <c:val>
            <c:numRef>
              <c:f>'2.4.5.1 Missions'!$N$71:$N$331</c:f>
              <c:numCache>
                <c:formatCode>0.00</c:formatCode>
                <c:ptCount val="261"/>
                <c:pt idx="0">
                  <c:v>27.054079999999995</c:v>
                </c:pt>
                <c:pt idx="1">
                  <c:v>19.584159999999997</c:v>
                </c:pt>
                <c:pt idx="2">
                  <c:v>7.9021599999999994</c:v>
                </c:pt>
                <c:pt idx="3">
                  <c:v>13.210520000000001</c:v>
                </c:pt>
                <c:pt idx="4">
                  <c:v>21.003999999999998</c:v>
                </c:pt>
                <c:pt idx="5">
                  <c:v>8.539200000000001</c:v>
                </c:pt>
                <c:pt idx="6">
                  <c:v>10.434319999999998</c:v>
                </c:pt>
                <c:pt idx="7">
                  <c:v>5.3343999999999987</c:v>
                </c:pt>
                <c:pt idx="8">
                  <c:v>8.5043199999999981</c:v>
                </c:pt>
                <c:pt idx="9">
                  <c:v>9.9115199999999977</c:v>
                </c:pt>
                <c:pt idx="10">
                  <c:v>19.674079999999996</c:v>
                </c:pt>
                <c:pt idx="11">
                  <c:v>14.992159999999998</c:v>
                </c:pt>
                <c:pt idx="12">
                  <c:v>7.3281599999999996</c:v>
                </c:pt>
                <c:pt idx="13">
                  <c:v>13.989520000000001</c:v>
                </c:pt>
                <c:pt idx="14">
                  <c:v>15.591999999999999</c:v>
                </c:pt>
                <c:pt idx="15">
                  <c:v>10.470360000000001</c:v>
                </c:pt>
                <c:pt idx="16">
                  <c:v>4.8607999999999993</c:v>
                </c:pt>
                <c:pt idx="17">
                  <c:v>1.4849199999999989</c:v>
                </c:pt>
                <c:pt idx="18">
                  <c:v>4.3453600000000003</c:v>
                </c:pt>
                <c:pt idx="19">
                  <c:v>5.7719999999999994</c:v>
                </c:pt>
                <c:pt idx="20">
                  <c:v>12.811519999999996</c:v>
                </c:pt>
                <c:pt idx="21">
                  <c:v>7.6564799999999984</c:v>
                </c:pt>
                <c:pt idx="22">
                  <c:v>2.6702400000000015</c:v>
                </c:pt>
                <c:pt idx="23">
                  <c:v>14.141469999999998</c:v>
                </c:pt>
                <c:pt idx="24">
                  <c:v>9.9355000000000011</c:v>
                </c:pt>
                <c:pt idx="25">
                  <c:v>3.8780600000000005</c:v>
                </c:pt>
                <c:pt idx="26">
                  <c:v>8.127460000000001</c:v>
                </c:pt>
                <c:pt idx="27">
                  <c:v>12.352360000000003</c:v>
                </c:pt>
                <c:pt idx="28">
                  <c:v>0</c:v>
                </c:pt>
                <c:pt idx="29">
                  <c:v>0.98808000000000007</c:v>
                </c:pt>
                <c:pt idx="30">
                  <c:v>7.9949999999999299E-2</c:v>
                </c:pt>
                <c:pt idx="31">
                  <c:v>3.0211800000000011</c:v>
                </c:pt>
                <c:pt idx="32">
                  <c:v>1.3254800000000007</c:v>
                </c:pt>
                <c:pt idx="33">
                  <c:v>8.9430699999999987</c:v>
                </c:pt>
                <c:pt idx="34">
                  <c:v>6.7009399999999983</c:v>
                </c:pt>
                <c:pt idx="35">
                  <c:v>3.4737400000000003</c:v>
                </c:pt>
                <c:pt idx="36">
                  <c:v>8.6761800000000004</c:v>
                </c:pt>
                <c:pt idx="37">
                  <c:v>8.5402000000000005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3.3850300000000004</c:v>
                </c:pt>
                <c:pt idx="44">
                  <c:v>1.96854</c:v>
                </c:pt>
                <c:pt idx="45">
                  <c:v>0.58501999999999965</c:v>
                </c:pt>
                <c:pt idx="46">
                  <c:v>3.6070600000000002</c:v>
                </c:pt>
                <c:pt idx="47">
                  <c:v>4.8238800000000008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0.31782999999999895</c:v>
                </c:pt>
                <c:pt idx="54">
                  <c:v>6.0059999999999114E-2</c:v>
                </c:pt>
                <c:pt idx="55">
                  <c:v>0.34645999999999999</c:v>
                </c:pt>
                <c:pt idx="56">
                  <c:v>3.9308200000000002</c:v>
                </c:pt>
                <c:pt idx="57">
                  <c:v>2.5746000000000002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1.218360000000001</c:v>
                </c:pt>
                <c:pt idx="69">
                  <c:v>0.33176000000000094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1.4858800000000003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3.7590800000000026</c:v>
                </c:pt>
                <c:pt idx="110">
                  <c:v>2.2193600000000018</c:v>
                </c:pt>
                <c:pt idx="111">
                  <c:v>0.67756000000000061</c:v>
                </c:pt>
                <c:pt idx="112">
                  <c:v>3.8706200000000015</c:v>
                </c:pt>
                <c:pt idx="113">
                  <c:v>5.2052000000000014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0.50108000000000175</c:v>
                </c:pt>
                <c:pt idx="120">
                  <c:v>0.19216000000000122</c:v>
                </c:pt>
                <c:pt idx="121">
                  <c:v>0.42416000000000054</c:v>
                </c:pt>
                <c:pt idx="122">
                  <c:v>4.2145200000000003</c:v>
                </c:pt>
                <c:pt idx="123">
                  <c:v>2.8160000000000007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10.699147999999999</c:v>
                </c:pt>
                <c:pt idx="131">
                  <c:v>7.5894159999999982</c:v>
                </c:pt>
                <c:pt idx="132">
                  <c:v>2.9947359999999996</c:v>
                </c:pt>
                <c:pt idx="133">
                  <c:v>5.8553720000000009</c:v>
                </c:pt>
                <c:pt idx="134">
                  <c:v>9.0155199999999986</c:v>
                </c:pt>
                <c:pt idx="135">
                  <c:v>0.12851999999999997</c:v>
                </c:pt>
                <c:pt idx="136">
                  <c:v>1.820792</c:v>
                </c:pt>
                <c:pt idx="137">
                  <c:v>0.71133999999999942</c:v>
                </c:pt>
                <c:pt idx="138">
                  <c:v>2.6279919999999999</c:v>
                </c:pt>
                <c:pt idx="139">
                  <c:v>1.9293119999999995</c:v>
                </c:pt>
                <c:pt idx="140">
                  <c:v>7.0883479999999999</c:v>
                </c:pt>
                <c:pt idx="141">
                  <c:v>5.3426960000000001</c:v>
                </c:pt>
                <c:pt idx="142">
                  <c:v>2.7138960000000001</c:v>
                </c:pt>
                <c:pt idx="143">
                  <c:v>6.2365120000000003</c:v>
                </c:pt>
                <c:pt idx="144">
                  <c:v>6.3675999999999995</c:v>
                </c:pt>
                <c:pt idx="145">
                  <c:v>6.1715999999998772E-2</c:v>
                </c:pt>
                <c:pt idx="146">
                  <c:v>0</c:v>
                </c:pt>
                <c:pt idx="147">
                  <c:v>0</c:v>
                </c:pt>
                <c:pt idx="148">
                  <c:v>0.18259599999999976</c:v>
                </c:pt>
                <c:pt idx="149">
                  <c:v>0</c:v>
                </c:pt>
                <c:pt idx="150">
                  <c:v>0.19551199999999902</c:v>
                </c:pt>
                <c:pt idx="151">
                  <c:v>0</c:v>
                </c:pt>
                <c:pt idx="152">
                  <c:v>16.648879999999998</c:v>
                </c:pt>
                <c:pt idx="153">
                  <c:v>11.95368</c:v>
                </c:pt>
                <c:pt idx="154">
                  <c:v>4.7806000000000006</c:v>
                </c:pt>
                <c:pt idx="155">
                  <c:v>8.5281800000000025</c:v>
                </c:pt>
                <c:pt idx="156">
                  <c:v>13.373520000000001</c:v>
                </c:pt>
                <c:pt idx="157">
                  <c:v>3.2031999999999998</c:v>
                </c:pt>
                <c:pt idx="158">
                  <c:v>4.9649200000000011</c:v>
                </c:pt>
                <c:pt idx="159">
                  <c:v>2.3996</c:v>
                </c:pt>
                <c:pt idx="160">
                  <c:v>4.7691200000000009</c:v>
                </c:pt>
                <c:pt idx="161">
                  <c:v>4.8423200000000008</c:v>
                </c:pt>
                <c:pt idx="162">
                  <c:v>11.670079999999999</c:v>
                </c:pt>
                <c:pt idx="163">
                  <c:v>8.8557600000000001</c:v>
                </c:pt>
                <c:pt idx="164">
                  <c:v>4.3933600000000004</c:v>
                </c:pt>
                <c:pt idx="165">
                  <c:v>9.053720000000002</c:v>
                </c:pt>
                <c:pt idx="166">
                  <c:v>9.7224000000000004</c:v>
                </c:pt>
                <c:pt idx="167">
                  <c:v>3.8670600000000004</c:v>
                </c:pt>
                <c:pt idx="168">
                  <c:v>0.67737600000000064</c:v>
                </c:pt>
                <c:pt idx="169">
                  <c:v>0</c:v>
                </c:pt>
                <c:pt idx="170">
                  <c:v>1.7040400000000009</c:v>
                </c:pt>
                <c:pt idx="171">
                  <c:v>1.5885760000000007</c:v>
                </c:pt>
                <c:pt idx="172">
                  <c:v>4.8075199999999985</c:v>
                </c:pt>
                <c:pt idx="173">
                  <c:v>2.0536799999999999</c:v>
                </c:pt>
                <c:pt idx="174">
                  <c:v>2.2400000000004638E-3</c:v>
                </c:pt>
                <c:pt idx="175">
                  <c:v>8.9254749999999987</c:v>
                </c:pt>
                <c:pt idx="176">
                  <c:v>5.9653100000000006</c:v>
                </c:pt>
                <c:pt idx="177">
                  <c:v>2.1916699999999998</c:v>
                </c:pt>
                <c:pt idx="178">
                  <c:v>6.3688299999999991</c:v>
                </c:pt>
                <c:pt idx="179">
                  <c:v>9.1886600000000023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0.46294999999999931</c:v>
                </c:pt>
                <c:pt idx="184">
                  <c:v>0</c:v>
                </c:pt>
                <c:pt idx="185">
                  <c:v>4.2850749999999973</c:v>
                </c:pt>
                <c:pt idx="186">
                  <c:v>3.0779499999999995</c:v>
                </c:pt>
                <c:pt idx="187">
                  <c:v>1.8307499999999997</c:v>
                </c:pt>
                <c:pt idx="188">
                  <c:v>6.8586500000000008</c:v>
                </c:pt>
                <c:pt idx="189">
                  <c:v>5.7856999999999994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7.6141249999999978</c:v>
                </c:pt>
                <c:pt idx="196">
                  <c:v>5.1492499999999986</c:v>
                </c:pt>
                <c:pt idx="197">
                  <c:v>1.9202499999999998</c:v>
                </c:pt>
                <c:pt idx="198">
                  <c:v>5.18825</c:v>
                </c:pt>
                <c:pt idx="199">
                  <c:v>7.5634999999999986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0.68024999999999913</c:v>
                </c:pt>
                <c:pt idx="204">
                  <c:v>0</c:v>
                </c:pt>
                <c:pt idx="205">
                  <c:v>3.9241249999999983</c:v>
                </c:pt>
                <c:pt idx="206">
                  <c:v>2.8532499999999992</c:v>
                </c:pt>
                <c:pt idx="207">
                  <c:v>1.6332499999999999</c:v>
                </c:pt>
                <c:pt idx="208">
                  <c:v>5.57775</c:v>
                </c:pt>
                <c:pt idx="209">
                  <c:v>4.857499999999999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16.526270000000004</c:v>
                </c:pt>
                <c:pt idx="219">
                  <c:v>11.759500000000001</c:v>
                </c:pt>
                <c:pt idx="220">
                  <c:v>4.6564599999999992</c:v>
                </c:pt>
                <c:pt idx="221">
                  <c:v>8.8958600000000025</c:v>
                </c:pt>
                <c:pt idx="222">
                  <c:v>13.758760000000002</c:v>
                </c:pt>
                <c:pt idx="223">
                  <c:v>0.96330000000000027</c:v>
                </c:pt>
                <c:pt idx="224">
                  <c:v>3.3552800000000005</c:v>
                </c:pt>
                <c:pt idx="225">
                  <c:v>1.4279500000000001</c:v>
                </c:pt>
                <c:pt idx="226">
                  <c:v>4.2323800000000018</c:v>
                </c:pt>
                <c:pt idx="227">
                  <c:v>3.4486800000000004</c:v>
                </c:pt>
                <c:pt idx="228">
                  <c:v>11.111869999999998</c:v>
                </c:pt>
                <c:pt idx="229">
                  <c:v>8.3905399999999997</c:v>
                </c:pt>
                <c:pt idx="230">
                  <c:v>4.2353400000000008</c:v>
                </c:pt>
                <c:pt idx="231">
                  <c:v>9.4673800000000021</c:v>
                </c:pt>
                <c:pt idx="232">
                  <c:v>9.7881999999999998</c:v>
                </c:pt>
                <c:pt idx="233">
                  <c:v>1.0556400000000004</c:v>
                </c:pt>
                <c:pt idx="234">
                  <c:v>0</c:v>
                </c:pt>
                <c:pt idx="235">
                  <c:v>0</c:v>
                </c:pt>
                <c:pt idx="236">
                  <c:v>0.64363000000000081</c:v>
                </c:pt>
                <c:pt idx="237">
                  <c:v>0</c:v>
                </c:pt>
                <c:pt idx="238">
                  <c:v>1.4487799999999957</c:v>
                </c:pt>
                <c:pt idx="239">
                  <c:v>0</c:v>
                </c:pt>
                <c:pt idx="240">
                  <c:v>26.176539999999996</c:v>
                </c:pt>
                <c:pt idx="241">
                  <c:v>18.927479999999999</c:v>
                </c:pt>
                <c:pt idx="242">
                  <c:v>7.6278799999999993</c:v>
                </c:pt>
                <c:pt idx="243">
                  <c:v>12.868960000000001</c:v>
                </c:pt>
                <c:pt idx="244">
                  <c:v>20.420400000000001</c:v>
                </c:pt>
                <c:pt idx="245">
                  <c:v>7.8145999999999987</c:v>
                </c:pt>
                <c:pt idx="246">
                  <c:v>9.7781599999999997</c:v>
                </c:pt>
                <c:pt idx="247">
                  <c:v>4.9687000000000001</c:v>
                </c:pt>
                <c:pt idx="248">
                  <c:v>8.1271599999999999</c:v>
                </c:pt>
                <c:pt idx="249">
                  <c:v>9.3157600000000009</c:v>
                </c:pt>
                <c:pt idx="250">
                  <c:v>18.940540000000002</c:v>
                </c:pt>
                <c:pt idx="251">
                  <c:v>14.425080000000001</c:v>
                </c:pt>
                <c:pt idx="252">
                  <c:v>7.06508</c:v>
                </c:pt>
                <c:pt idx="253">
                  <c:v>13.632759999999999</c:v>
                </c:pt>
                <c:pt idx="254">
                  <c:v>15.113999999999999</c:v>
                </c:pt>
                <c:pt idx="255">
                  <c:v>9.5686800000000023</c:v>
                </c:pt>
                <c:pt idx="256">
                  <c:v>4.1983200000000007</c:v>
                </c:pt>
                <c:pt idx="257">
                  <c:v>1.1288800000000005</c:v>
                </c:pt>
                <c:pt idx="258">
                  <c:v>3.9927799999999998</c:v>
                </c:pt>
                <c:pt idx="259">
                  <c:v>5.1564199999999998</c:v>
                </c:pt>
                <c:pt idx="260">
                  <c:v>11.724760000000002</c:v>
                </c:pt>
              </c:numCache>
            </c:numRef>
          </c:val>
        </c:ser>
        <c:ser>
          <c:idx val="1"/>
          <c:order val="2"/>
          <c:tx>
            <c:strRef>
              <c:f>'2.4.5.1 Missions'!$P$69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9525" cap="flat" cmpd="sng" algn="ctr">
              <a:noFill/>
              <a:miter lim="800000"/>
            </a:ln>
            <a:effectLst/>
          </c:spPr>
          <c:cat>
            <c:strRef>
              <c:f>'2.4.5.1 Missions'!$A$71:$A$331</c:f>
              <c:strCache>
                <c:ptCount val="241"/>
                <c:pt idx="0">
                  <c:v>JANVIER</c:v>
                </c:pt>
                <c:pt idx="23">
                  <c:v>FEVRIER</c:v>
                </c:pt>
                <c:pt idx="43">
                  <c:v>MARS</c:v>
                </c:pt>
                <c:pt idx="65">
                  <c:v>AVRIL</c:v>
                </c:pt>
                <c:pt idx="86">
                  <c:v>MAI</c:v>
                </c:pt>
                <c:pt idx="109">
                  <c:v>JUIN</c:v>
                </c:pt>
                <c:pt idx="130">
                  <c:v>JUILLET</c:v>
                </c:pt>
                <c:pt idx="152">
                  <c:v>AOUT</c:v>
                </c:pt>
                <c:pt idx="175">
                  <c:v>SEPTEMBRE</c:v>
                </c:pt>
                <c:pt idx="195">
                  <c:v>OCTOBRE</c:v>
                </c:pt>
                <c:pt idx="218">
                  <c:v>NOVEMBRE</c:v>
                </c:pt>
                <c:pt idx="240">
                  <c:v>DECEMBRE</c:v>
                </c:pt>
              </c:strCache>
            </c:strRef>
          </c:cat>
          <c:val>
            <c:numRef>
              <c:f>'2.4.5.1 Missions'!$P$71:$P$331</c:f>
              <c:numCache>
                <c:formatCode>0.00</c:formatCode>
                <c:ptCount val="261"/>
                <c:pt idx="0">
                  <c:v>7.9949999999999974</c:v>
                </c:pt>
                <c:pt idx="1">
                  <c:v>5.8629999999999987</c:v>
                </c:pt>
                <c:pt idx="2">
                  <c:v>2.398499999999999</c:v>
                </c:pt>
                <c:pt idx="3">
                  <c:v>3.5977499999999991</c:v>
                </c:pt>
                <c:pt idx="4">
                  <c:v>5.8629999999999987</c:v>
                </c:pt>
                <c:pt idx="5">
                  <c:v>4.0999999999999988</c:v>
                </c:pt>
                <c:pt idx="6">
                  <c:v>4.2024999999999988</c:v>
                </c:pt>
                <c:pt idx="7">
                  <c:v>2.254999999999999</c:v>
                </c:pt>
                <c:pt idx="8">
                  <c:v>2.8699999999999988</c:v>
                </c:pt>
                <c:pt idx="9">
                  <c:v>3.8949999999999987</c:v>
                </c:pt>
                <c:pt idx="10">
                  <c:v>6.1499999999999977</c:v>
                </c:pt>
                <c:pt idx="11">
                  <c:v>4.714999999999999</c:v>
                </c:pt>
                <c:pt idx="12">
                  <c:v>2.254999999999999</c:v>
                </c:pt>
                <c:pt idx="13">
                  <c:v>3.7924999999999991</c:v>
                </c:pt>
                <c:pt idx="14">
                  <c:v>4.509999999999998</c:v>
                </c:pt>
                <c:pt idx="15">
                  <c:v>5.0737499999999986</c:v>
                </c:pt>
                <c:pt idx="16">
                  <c:v>3.214399999999999</c:v>
                </c:pt>
                <c:pt idx="17">
                  <c:v>1.5231499999999996</c:v>
                </c:pt>
                <c:pt idx="18">
                  <c:v>2.0294999999999992</c:v>
                </c:pt>
                <c:pt idx="19">
                  <c:v>3.214399999999999</c:v>
                </c:pt>
                <c:pt idx="20">
                  <c:v>6.1499999999999977</c:v>
                </c:pt>
                <c:pt idx="21">
                  <c:v>4.3049999999999988</c:v>
                </c:pt>
                <c:pt idx="22">
                  <c:v>2.0499999999999994</c:v>
                </c:pt>
                <c:pt idx="23">
                  <c:v>5.6315999999999979</c:v>
                </c:pt>
                <c:pt idx="24">
                  <c:v>4.1298399999999988</c:v>
                </c:pt>
                <c:pt idx="25">
                  <c:v>1.6894799999999996</c:v>
                </c:pt>
                <c:pt idx="26">
                  <c:v>2.5342199999999995</c:v>
                </c:pt>
                <c:pt idx="27">
                  <c:v>4.1298399999999988</c:v>
                </c:pt>
                <c:pt idx="28">
                  <c:v>1.0593000000000004</c:v>
                </c:pt>
                <c:pt idx="29">
                  <c:v>2.9601999999999995</c:v>
                </c:pt>
                <c:pt idx="30">
                  <c:v>1.5883999999999996</c:v>
                </c:pt>
                <c:pt idx="31">
                  <c:v>2.0215999999999998</c:v>
                </c:pt>
                <c:pt idx="32">
                  <c:v>2.7435999999999994</c:v>
                </c:pt>
                <c:pt idx="33">
                  <c:v>4.331999999999999</c:v>
                </c:pt>
                <c:pt idx="34">
                  <c:v>3.3211999999999988</c:v>
                </c:pt>
                <c:pt idx="35">
                  <c:v>1.5883999999999996</c:v>
                </c:pt>
                <c:pt idx="36">
                  <c:v>2.6713999999999993</c:v>
                </c:pt>
                <c:pt idx="37">
                  <c:v>3.1767999999999992</c:v>
                </c:pt>
                <c:pt idx="38">
                  <c:v>1.1459399999999995</c:v>
                </c:pt>
                <c:pt idx="39">
                  <c:v>0</c:v>
                </c:pt>
                <c:pt idx="40">
                  <c:v>0</c:v>
                </c:pt>
                <c:pt idx="41">
                  <c:v>0.72599000000000036</c:v>
                </c:pt>
                <c:pt idx="42">
                  <c:v>0</c:v>
                </c:pt>
                <c:pt idx="43">
                  <c:v>3.3227999999999995</c:v>
                </c:pt>
                <c:pt idx="44">
                  <c:v>2.4367199999999993</c:v>
                </c:pt>
                <c:pt idx="45">
                  <c:v>0.99683999999999973</c:v>
                </c:pt>
                <c:pt idx="46">
                  <c:v>1.4952599999999998</c:v>
                </c:pt>
                <c:pt idx="47">
                  <c:v>2.4367199999999993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2.5559999999999992</c:v>
                </c:pt>
                <c:pt idx="54">
                  <c:v>1.9595999999999996</c:v>
                </c:pt>
                <c:pt idx="55">
                  <c:v>0.93719999999999981</c:v>
                </c:pt>
                <c:pt idx="56">
                  <c:v>1.5761999999999996</c:v>
                </c:pt>
                <c:pt idx="57">
                  <c:v>1.8743999999999996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1.2355199999999997</c:v>
                </c:pt>
                <c:pt idx="69">
                  <c:v>2.0134399999999997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1.3023999999999996</c:v>
                </c:pt>
                <c:pt idx="79">
                  <c:v>2.2000000000000242E-2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1.1909999999999421E-2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3.5294999999999992</c:v>
                </c:pt>
                <c:pt idx="110">
                  <c:v>2.5882999999999998</c:v>
                </c:pt>
                <c:pt idx="111">
                  <c:v>1.0588499999999998</c:v>
                </c:pt>
                <c:pt idx="112">
                  <c:v>1.5882749999999999</c:v>
                </c:pt>
                <c:pt idx="113">
                  <c:v>2.5882999999999998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7.7320000000001166E-2</c:v>
                </c:pt>
                <c:pt idx="118">
                  <c:v>0</c:v>
                </c:pt>
                <c:pt idx="119">
                  <c:v>2.7149999999999994</c:v>
                </c:pt>
                <c:pt idx="120">
                  <c:v>2.0814999999999997</c:v>
                </c:pt>
                <c:pt idx="121">
                  <c:v>0.99549999999999983</c:v>
                </c:pt>
                <c:pt idx="122">
                  <c:v>1.6742499999999996</c:v>
                </c:pt>
                <c:pt idx="123">
                  <c:v>1.9909999999999997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3.9116999999999988</c:v>
                </c:pt>
                <c:pt idx="131">
                  <c:v>2.8685799999999992</c:v>
                </c:pt>
                <c:pt idx="132">
                  <c:v>1.1735099999999994</c:v>
                </c:pt>
                <c:pt idx="133">
                  <c:v>1.7602649999999997</c:v>
                </c:pt>
                <c:pt idx="134">
                  <c:v>2.8685799999999992</c:v>
                </c:pt>
                <c:pt idx="135">
                  <c:v>2.0059999999999993</c:v>
                </c:pt>
                <c:pt idx="136">
                  <c:v>2.0561499999999993</c:v>
                </c:pt>
                <c:pt idx="137">
                  <c:v>1.1032999999999997</c:v>
                </c:pt>
                <c:pt idx="138">
                  <c:v>1.4041999999999994</c:v>
                </c:pt>
                <c:pt idx="139">
                  <c:v>1.9056999999999995</c:v>
                </c:pt>
                <c:pt idx="140">
                  <c:v>3.008999999999999</c:v>
                </c:pt>
                <c:pt idx="141">
                  <c:v>2.3068999999999993</c:v>
                </c:pt>
                <c:pt idx="142">
                  <c:v>1.1032999999999997</c:v>
                </c:pt>
                <c:pt idx="143">
                  <c:v>1.8555499999999994</c:v>
                </c:pt>
                <c:pt idx="144">
                  <c:v>2.2065999999999995</c:v>
                </c:pt>
                <c:pt idx="145">
                  <c:v>2.4824249999999992</c:v>
                </c:pt>
                <c:pt idx="146">
                  <c:v>0</c:v>
                </c:pt>
                <c:pt idx="147">
                  <c:v>0</c:v>
                </c:pt>
                <c:pt idx="148">
                  <c:v>0.99296999999999969</c:v>
                </c:pt>
                <c:pt idx="149">
                  <c:v>0.74665999999999944</c:v>
                </c:pt>
                <c:pt idx="150">
                  <c:v>3.008999999999999</c:v>
                </c:pt>
                <c:pt idx="151">
                  <c:v>0.92578800000000072</c:v>
                </c:pt>
                <c:pt idx="152">
                  <c:v>5.3936999999999982</c:v>
                </c:pt>
                <c:pt idx="153">
                  <c:v>3.9553799999999995</c:v>
                </c:pt>
                <c:pt idx="154">
                  <c:v>1.6181099999999997</c:v>
                </c:pt>
                <c:pt idx="155">
                  <c:v>2.4271649999999996</c:v>
                </c:pt>
                <c:pt idx="156">
                  <c:v>3.9553799999999995</c:v>
                </c:pt>
                <c:pt idx="157">
                  <c:v>2.7659999999999996</c:v>
                </c:pt>
                <c:pt idx="158">
                  <c:v>2.8351499999999996</c:v>
                </c:pt>
                <c:pt idx="159">
                  <c:v>1.5212999999999997</c:v>
                </c:pt>
                <c:pt idx="160">
                  <c:v>1.9361999999999997</c:v>
                </c:pt>
                <c:pt idx="161">
                  <c:v>2.6276999999999995</c:v>
                </c:pt>
                <c:pt idx="162">
                  <c:v>4.1489999999999991</c:v>
                </c:pt>
                <c:pt idx="163">
                  <c:v>3.1808999999999994</c:v>
                </c:pt>
                <c:pt idx="164">
                  <c:v>1.5212999999999997</c:v>
                </c:pt>
                <c:pt idx="165">
                  <c:v>2.5585499999999994</c:v>
                </c:pt>
                <c:pt idx="166">
                  <c:v>3.0425999999999993</c:v>
                </c:pt>
                <c:pt idx="167">
                  <c:v>3.4229249999999993</c:v>
                </c:pt>
                <c:pt idx="168">
                  <c:v>2.1685439999999994</c:v>
                </c:pt>
                <c:pt idx="169">
                  <c:v>0.53016499999999844</c:v>
                </c:pt>
                <c:pt idx="170">
                  <c:v>1.3691699999999998</c:v>
                </c:pt>
                <c:pt idx="171">
                  <c:v>2.1685439999999994</c:v>
                </c:pt>
                <c:pt idx="172">
                  <c:v>4.1489999999999991</c:v>
                </c:pt>
                <c:pt idx="173">
                  <c:v>2.9042999999999992</c:v>
                </c:pt>
                <c:pt idx="174">
                  <c:v>1.3829999999999998</c:v>
                </c:pt>
                <c:pt idx="175">
                  <c:v>5.0270999999999981</c:v>
                </c:pt>
                <c:pt idx="176">
                  <c:v>3.6865399999999995</c:v>
                </c:pt>
                <c:pt idx="177">
                  <c:v>1.5081299999999995</c:v>
                </c:pt>
                <c:pt idx="178">
                  <c:v>2.2621949999999993</c:v>
                </c:pt>
                <c:pt idx="179">
                  <c:v>3.6865399999999995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1.8045999999999995</c:v>
                </c:pt>
                <c:pt idx="184">
                  <c:v>0</c:v>
                </c:pt>
                <c:pt idx="185">
                  <c:v>3.8669999999999987</c:v>
                </c:pt>
                <c:pt idx="186">
                  <c:v>2.9646999999999992</c:v>
                </c:pt>
                <c:pt idx="187">
                  <c:v>1.4178999999999995</c:v>
                </c:pt>
                <c:pt idx="188">
                  <c:v>2.3846499999999993</c:v>
                </c:pt>
                <c:pt idx="189">
                  <c:v>2.835799999999999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3.9974999999999987</c:v>
                </c:pt>
                <c:pt idx="196">
                  <c:v>2.9314999999999993</c:v>
                </c:pt>
                <c:pt idx="197">
                  <c:v>1.1992499999999995</c:v>
                </c:pt>
                <c:pt idx="198">
                  <c:v>1.7988749999999996</c:v>
                </c:pt>
                <c:pt idx="199">
                  <c:v>2.9314999999999993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1.4349999999999994</c:v>
                </c:pt>
                <c:pt idx="204">
                  <c:v>9.8999999999998423E-2</c:v>
                </c:pt>
                <c:pt idx="205">
                  <c:v>3.0749999999999988</c:v>
                </c:pt>
                <c:pt idx="206">
                  <c:v>2.3574999999999995</c:v>
                </c:pt>
                <c:pt idx="207">
                  <c:v>1.1274999999999995</c:v>
                </c:pt>
                <c:pt idx="208">
                  <c:v>1.8962499999999995</c:v>
                </c:pt>
                <c:pt idx="209">
                  <c:v>2.254999999999999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5.8655999999999988</c:v>
                </c:pt>
                <c:pt idx="219">
                  <c:v>4.3014399999999995</c:v>
                </c:pt>
                <c:pt idx="220">
                  <c:v>1.7596799999999995</c:v>
                </c:pt>
                <c:pt idx="221">
                  <c:v>2.6395199999999996</c:v>
                </c:pt>
                <c:pt idx="222">
                  <c:v>4.3014399999999995</c:v>
                </c:pt>
                <c:pt idx="223">
                  <c:v>3.0079999999999991</c:v>
                </c:pt>
                <c:pt idx="224">
                  <c:v>3.0831999999999993</c:v>
                </c:pt>
                <c:pt idx="225">
                  <c:v>1.6543999999999996</c:v>
                </c:pt>
                <c:pt idx="226">
                  <c:v>2.1055999999999995</c:v>
                </c:pt>
                <c:pt idx="227">
                  <c:v>2.8575999999999993</c:v>
                </c:pt>
                <c:pt idx="228">
                  <c:v>4.5119999999999987</c:v>
                </c:pt>
                <c:pt idx="229">
                  <c:v>3.4591999999999992</c:v>
                </c:pt>
                <c:pt idx="230">
                  <c:v>1.6543999999999996</c:v>
                </c:pt>
                <c:pt idx="231">
                  <c:v>2.7823999999999995</c:v>
                </c:pt>
                <c:pt idx="232">
                  <c:v>3.3087999999999993</c:v>
                </c:pt>
                <c:pt idx="233">
                  <c:v>3.722399999999999</c:v>
                </c:pt>
                <c:pt idx="234">
                  <c:v>0.53115999999999985</c:v>
                </c:pt>
                <c:pt idx="235">
                  <c:v>0</c:v>
                </c:pt>
                <c:pt idx="236">
                  <c:v>1.4889599999999996</c:v>
                </c:pt>
                <c:pt idx="237">
                  <c:v>1.8142099999999992</c:v>
                </c:pt>
                <c:pt idx="238">
                  <c:v>4.5119999999999987</c:v>
                </c:pt>
                <c:pt idx="239">
                  <c:v>2.3257200000000005</c:v>
                </c:pt>
                <c:pt idx="240">
                  <c:v>7.8389999999999969</c:v>
                </c:pt>
                <c:pt idx="241">
                  <c:v>5.7485999999999988</c:v>
                </c:pt>
                <c:pt idx="242">
                  <c:v>2.3516999999999992</c:v>
                </c:pt>
                <c:pt idx="243">
                  <c:v>3.5275499999999993</c:v>
                </c:pt>
                <c:pt idx="244">
                  <c:v>5.7485999999999988</c:v>
                </c:pt>
                <c:pt idx="245">
                  <c:v>4.0199999999999987</c:v>
                </c:pt>
                <c:pt idx="246">
                  <c:v>4.1204999999999989</c:v>
                </c:pt>
                <c:pt idx="247">
                  <c:v>2.2109999999999994</c:v>
                </c:pt>
                <c:pt idx="248">
                  <c:v>2.8139999999999992</c:v>
                </c:pt>
                <c:pt idx="249">
                  <c:v>3.8189999999999991</c:v>
                </c:pt>
                <c:pt idx="250">
                  <c:v>6.0299999999999985</c:v>
                </c:pt>
                <c:pt idx="251">
                  <c:v>4.6229999999999984</c:v>
                </c:pt>
                <c:pt idx="252">
                  <c:v>2.2109999999999994</c:v>
                </c:pt>
                <c:pt idx="253">
                  <c:v>3.7184999999999988</c:v>
                </c:pt>
                <c:pt idx="254">
                  <c:v>4.4219999999999988</c:v>
                </c:pt>
                <c:pt idx="255">
                  <c:v>4.9747499999999985</c:v>
                </c:pt>
                <c:pt idx="256">
                  <c:v>3.1516799999999989</c:v>
                </c:pt>
                <c:pt idx="257">
                  <c:v>1.4934299999999996</c:v>
                </c:pt>
                <c:pt idx="258">
                  <c:v>1.9898999999999993</c:v>
                </c:pt>
                <c:pt idx="259">
                  <c:v>3.1516799999999989</c:v>
                </c:pt>
                <c:pt idx="260">
                  <c:v>6.0299999999999985</c:v>
                </c:pt>
              </c:numCache>
            </c:numRef>
          </c:val>
        </c:ser>
        <c:ser>
          <c:idx val="2"/>
          <c:order val="3"/>
          <c:tx>
            <c:strRef>
              <c:f>'2.4.5.1 Missions'!$L$69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/>
          </c:spPr>
          <c:cat>
            <c:strRef>
              <c:f>'2.4.5.1 Missions'!$A$71:$A$331</c:f>
              <c:strCache>
                <c:ptCount val="241"/>
                <c:pt idx="0">
                  <c:v>JANVIER</c:v>
                </c:pt>
                <c:pt idx="23">
                  <c:v>FEVRIER</c:v>
                </c:pt>
                <c:pt idx="43">
                  <c:v>MARS</c:v>
                </c:pt>
                <c:pt idx="65">
                  <c:v>AVRIL</c:v>
                </c:pt>
                <c:pt idx="86">
                  <c:v>MAI</c:v>
                </c:pt>
                <c:pt idx="109">
                  <c:v>JUIN</c:v>
                </c:pt>
                <c:pt idx="130">
                  <c:v>JUILLET</c:v>
                </c:pt>
                <c:pt idx="152">
                  <c:v>AOUT</c:v>
                </c:pt>
                <c:pt idx="175">
                  <c:v>SEPTEMBRE</c:v>
                </c:pt>
                <c:pt idx="195">
                  <c:v>OCTOBRE</c:v>
                </c:pt>
                <c:pt idx="218">
                  <c:v>NOVEMBRE</c:v>
                </c:pt>
                <c:pt idx="240">
                  <c:v>DECEMBRE</c:v>
                </c:pt>
              </c:strCache>
            </c:strRef>
          </c:cat>
          <c:val>
            <c:numRef>
              <c:f>'2.4.5.1 Missions'!$L$71:$L$331</c:f>
              <c:numCache>
                <c:formatCode>0.00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1.8286999999999995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2.4279599999999988</c:v>
                </c:pt>
                <c:pt idx="39">
                  <c:v>2.2641919999999995</c:v>
                </c:pt>
                <c:pt idx="40">
                  <c:v>1.0728919999999997</c:v>
                </c:pt>
                <c:pt idx="41">
                  <c:v>0.70356999999999914</c:v>
                </c:pt>
                <c:pt idx="42">
                  <c:v>2.2641919999999995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1.7039999999999995</c:v>
                </c:pt>
                <c:pt idx="49">
                  <c:v>1.7465999999999997</c:v>
                </c:pt>
                <c:pt idx="50">
                  <c:v>0.93719999999999981</c:v>
                </c:pt>
                <c:pt idx="51">
                  <c:v>1.1927999999999996</c:v>
                </c:pt>
                <c:pt idx="52">
                  <c:v>1.6187999999999996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2.1086999999999994</c:v>
                </c:pt>
                <c:pt idx="59">
                  <c:v>1.3359359999999996</c:v>
                </c:pt>
                <c:pt idx="60">
                  <c:v>0.63303599999999982</c:v>
                </c:pt>
                <c:pt idx="61">
                  <c:v>0.8434799999999999</c:v>
                </c:pt>
                <c:pt idx="62">
                  <c:v>1.3359359999999996</c:v>
                </c:pt>
                <c:pt idx="63">
                  <c:v>2.5559999999999992</c:v>
                </c:pt>
                <c:pt idx="64">
                  <c:v>1.7891999999999995</c:v>
                </c:pt>
                <c:pt idx="65">
                  <c:v>2.7455999999999992</c:v>
                </c:pt>
                <c:pt idx="66">
                  <c:v>2.0134399999999997</c:v>
                </c:pt>
                <c:pt idx="67">
                  <c:v>0.82367999999999975</c:v>
                </c:pt>
                <c:pt idx="68">
                  <c:v>0</c:v>
                </c:pt>
                <c:pt idx="69">
                  <c:v>0</c:v>
                </c:pt>
                <c:pt idx="70">
                  <c:v>1.4079999999999995</c:v>
                </c:pt>
                <c:pt idx="71">
                  <c:v>1.4431999999999996</c:v>
                </c:pt>
                <c:pt idx="72">
                  <c:v>0.77439999999999976</c:v>
                </c:pt>
                <c:pt idx="73">
                  <c:v>0.98559999999999981</c:v>
                </c:pt>
                <c:pt idx="74">
                  <c:v>1.3375999999999997</c:v>
                </c:pt>
                <c:pt idx="75">
                  <c:v>2.1119999999999992</c:v>
                </c:pt>
                <c:pt idx="76">
                  <c:v>1.6191999999999998</c:v>
                </c:pt>
                <c:pt idx="77">
                  <c:v>0.77439999999999976</c:v>
                </c:pt>
                <c:pt idx="78">
                  <c:v>0</c:v>
                </c:pt>
                <c:pt idx="79">
                  <c:v>1.5267999999999997</c:v>
                </c:pt>
                <c:pt idx="80">
                  <c:v>1.7423999999999995</c:v>
                </c:pt>
                <c:pt idx="81">
                  <c:v>1.1038719999999997</c:v>
                </c:pt>
                <c:pt idx="82">
                  <c:v>0.52307199999999987</c:v>
                </c:pt>
                <c:pt idx="83">
                  <c:v>0.6969599999999998</c:v>
                </c:pt>
                <c:pt idx="84">
                  <c:v>1.1038719999999997</c:v>
                </c:pt>
                <c:pt idx="85">
                  <c:v>2.1119999999999992</c:v>
                </c:pt>
                <c:pt idx="86">
                  <c:v>1.9967999999999995</c:v>
                </c:pt>
                <c:pt idx="87">
                  <c:v>1.4643199999999996</c:v>
                </c:pt>
                <c:pt idx="88">
                  <c:v>0.59903999999999991</c:v>
                </c:pt>
                <c:pt idx="89">
                  <c:v>0.8985599999999998</c:v>
                </c:pt>
                <c:pt idx="90">
                  <c:v>1.4643199999999996</c:v>
                </c:pt>
                <c:pt idx="91">
                  <c:v>1.0239999999999998</c:v>
                </c:pt>
                <c:pt idx="92">
                  <c:v>1.0495999999999999</c:v>
                </c:pt>
                <c:pt idx="93">
                  <c:v>0.56319999999999981</c:v>
                </c:pt>
                <c:pt idx="94">
                  <c:v>0.71679999999999988</c:v>
                </c:pt>
                <c:pt idx="95">
                  <c:v>0.97279999999999978</c:v>
                </c:pt>
                <c:pt idx="96">
                  <c:v>1.5359999999999996</c:v>
                </c:pt>
                <c:pt idx="97">
                  <c:v>1.1775999999999998</c:v>
                </c:pt>
                <c:pt idx="98">
                  <c:v>0.56319999999999981</c:v>
                </c:pt>
                <c:pt idx="99">
                  <c:v>0.93529000000000018</c:v>
                </c:pt>
                <c:pt idx="100">
                  <c:v>1.1263999999999996</c:v>
                </c:pt>
                <c:pt idx="101">
                  <c:v>1.2671999999999999</c:v>
                </c:pt>
                <c:pt idx="102">
                  <c:v>0.80281599999999975</c:v>
                </c:pt>
                <c:pt idx="103">
                  <c:v>0.38041599999999992</c:v>
                </c:pt>
                <c:pt idx="104">
                  <c:v>0.50687999999999989</c:v>
                </c:pt>
                <c:pt idx="105">
                  <c:v>0.80281599999999975</c:v>
                </c:pt>
                <c:pt idx="106">
                  <c:v>1.5359999999999996</c:v>
                </c:pt>
                <c:pt idx="107">
                  <c:v>1.0751999999999999</c:v>
                </c:pt>
                <c:pt idx="108">
                  <c:v>0.5119999999999999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1.8099999999999998</c:v>
                </c:pt>
                <c:pt idx="115">
                  <c:v>1.8552499999999998</c:v>
                </c:pt>
                <c:pt idx="116">
                  <c:v>0.99549999999999983</c:v>
                </c:pt>
                <c:pt idx="117">
                  <c:v>1.1896799999999983</c:v>
                </c:pt>
                <c:pt idx="118">
                  <c:v>1.7194999999999996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2.2398749999999996</c:v>
                </c:pt>
                <c:pt idx="125">
                  <c:v>1.4190399999999996</c:v>
                </c:pt>
                <c:pt idx="126">
                  <c:v>0.67241499999999987</c:v>
                </c:pt>
                <c:pt idx="127">
                  <c:v>0.8959499999999998</c:v>
                </c:pt>
                <c:pt idx="128">
                  <c:v>1.4190399999999996</c:v>
                </c:pt>
                <c:pt idx="129">
                  <c:v>2.7149999999999994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1.5727039999999994</c:v>
                </c:pt>
                <c:pt idx="147">
                  <c:v>0.7452289999999997</c:v>
                </c:pt>
                <c:pt idx="148">
                  <c:v>0</c:v>
                </c:pt>
                <c:pt idx="149">
                  <c:v>0.82604400000000044</c:v>
                </c:pt>
                <c:pt idx="150">
                  <c:v>0</c:v>
                </c:pt>
                <c:pt idx="151">
                  <c:v>1.1805119999999985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0.49740400000000129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2.5779999999999994</c:v>
                </c:pt>
                <c:pt idx="181">
                  <c:v>2.6424499999999993</c:v>
                </c:pt>
                <c:pt idx="182">
                  <c:v>1.4178999999999995</c:v>
                </c:pt>
                <c:pt idx="183">
                  <c:v>0</c:v>
                </c:pt>
                <c:pt idx="184">
                  <c:v>2.4490999999999996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3.1902749999999989</c:v>
                </c:pt>
                <c:pt idx="191">
                  <c:v>2.0211519999999994</c:v>
                </c:pt>
                <c:pt idx="192">
                  <c:v>0.95772699999999966</c:v>
                </c:pt>
                <c:pt idx="193">
                  <c:v>1.2761099999999996</c:v>
                </c:pt>
                <c:pt idx="194">
                  <c:v>2.0211519999999994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2.0499999999999994</c:v>
                </c:pt>
                <c:pt idx="201">
                  <c:v>2.1012499999999994</c:v>
                </c:pt>
                <c:pt idx="202">
                  <c:v>1.1274999999999995</c:v>
                </c:pt>
                <c:pt idx="203">
                  <c:v>0</c:v>
                </c:pt>
                <c:pt idx="204">
                  <c:v>1.8485000000000014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2.5368749999999993</c:v>
                </c:pt>
                <c:pt idx="211">
                  <c:v>1.6071999999999995</c:v>
                </c:pt>
                <c:pt idx="212">
                  <c:v>0.76157499999999978</c:v>
                </c:pt>
                <c:pt idx="213">
                  <c:v>1.0147499999999996</c:v>
                </c:pt>
                <c:pt idx="214">
                  <c:v>1.6071999999999995</c:v>
                </c:pt>
                <c:pt idx="215">
                  <c:v>3.0749999999999988</c:v>
                </c:pt>
                <c:pt idx="216">
                  <c:v>2.1524999999999994</c:v>
                </c:pt>
                <c:pt idx="217">
                  <c:v>1.0249999999999997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1.8271119999999996</c:v>
                </c:pt>
                <c:pt idx="235">
                  <c:v>1.1174719999999996</c:v>
                </c:pt>
                <c:pt idx="236">
                  <c:v>0</c:v>
                </c:pt>
                <c:pt idx="237">
                  <c:v>0.54406200000000027</c:v>
                </c:pt>
                <c:pt idx="238">
                  <c:v>0</c:v>
                </c:pt>
                <c:pt idx="239">
                  <c:v>0.83267999999999809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"/>
          <c:order val="4"/>
          <c:tx>
            <c:strRef>
              <c:f>'2.4.5.1 Missions'!$J$69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noFill/>
              <a:miter lim="800000"/>
            </a:ln>
            <a:effectLst/>
          </c:spPr>
          <c:cat>
            <c:strRef>
              <c:f>'2.4.5.1 Missions'!$A$71:$A$331</c:f>
              <c:strCache>
                <c:ptCount val="241"/>
                <c:pt idx="0">
                  <c:v>JANVIER</c:v>
                </c:pt>
                <c:pt idx="23">
                  <c:v>FEVRIER</c:v>
                </c:pt>
                <c:pt idx="43">
                  <c:v>MARS</c:v>
                </c:pt>
                <c:pt idx="65">
                  <c:v>AVRIL</c:v>
                </c:pt>
                <c:pt idx="86">
                  <c:v>MAI</c:v>
                </c:pt>
                <c:pt idx="109">
                  <c:v>JUIN</c:v>
                </c:pt>
                <c:pt idx="130">
                  <c:v>JUILLET</c:v>
                </c:pt>
                <c:pt idx="152">
                  <c:v>AOUT</c:v>
                </c:pt>
                <c:pt idx="175">
                  <c:v>SEPTEMBRE</c:v>
                </c:pt>
                <c:pt idx="195">
                  <c:v>OCTOBRE</c:v>
                </c:pt>
                <c:pt idx="218">
                  <c:v>NOVEMBRE</c:v>
                </c:pt>
                <c:pt idx="240">
                  <c:v>DECEMBRE</c:v>
                </c:pt>
              </c:strCache>
            </c:strRef>
          </c:cat>
          <c:val>
            <c:numRef>
              <c:f>'2.4.5.1 Missions'!$J$71:$J$331</c:f>
              <c:numCache>
                <c:formatCode>0.00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2.2912400000000002</c:v>
                </c:pt>
                <c:pt idx="40">
                  <c:v>2.4787600000000021</c:v>
                </c:pt>
                <c:pt idx="41">
                  <c:v>0</c:v>
                </c:pt>
                <c:pt idx="42">
                  <c:v>0.7401900000000019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7.2883000000000013</c:v>
                </c:pt>
                <c:pt idx="49">
                  <c:v>4.0886800000000019</c:v>
                </c:pt>
                <c:pt idx="50">
                  <c:v>2.7258500000000012</c:v>
                </c:pt>
                <c:pt idx="51">
                  <c:v>2.0180000000000753E-2</c:v>
                </c:pt>
                <c:pt idx="52">
                  <c:v>3.3054800000000011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9.2141399999999987</c:v>
                </c:pt>
                <c:pt idx="59">
                  <c:v>9.4021200000000018</c:v>
                </c:pt>
                <c:pt idx="60">
                  <c:v>6.1010000000000026</c:v>
                </c:pt>
                <c:pt idx="61">
                  <c:v>3.3694899999999999</c:v>
                </c:pt>
                <c:pt idx="62">
                  <c:v>7.5696700000000021</c:v>
                </c:pt>
                <c:pt idx="63">
                  <c:v>10.926980000000006</c:v>
                </c:pt>
                <c:pt idx="64">
                  <c:v>10.286520000000001</c:v>
                </c:pt>
                <c:pt idx="65">
                  <c:v>1.8103800000000003</c:v>
                </c:pt>
                <c:pt idx="66">
                  <c:v>2.133560000000001</c:v>
                </c:pt>
                <c:pt idx="67">
                  <c:v>1.2183600000000006</c:v>
                </c:pt>
                <c:pt idx="68">
                  <c:v>0</c:v>
                </c:pt>
                <c:pt idx="69">
                  <c:v>0</c:v>
                </c:pt>
                <c:pt idx="70">
                  <c:v>17.7562</c:v>
                </c:pt>
                <c:pt idx="71">
                  <c:v>12.895520000000003</c:v>
                </c:pt>
                <c:pt idx="72">
                  <c:v>7.7538999999999998</c:v>
                </c:pt>
                <c:pt idx="73">
                  <c:v>4.4585199999999992</c:v>
                </c:pt>
                <c:pt idx="74">
                  <c:v>11.192720000000001</c:v>
                </c:pt>
                <c:pt idx="75">
                  <c:v>4.9783800000000014</c:v>
                </c:pt>
                <c:pt idx="76">
                  <c:v>4.1047600000000006</c:v>
                </c:pt>
                <c:pt idx="77">
                  <c:v>1.4647600000000001</c:v>
                </c:pt>
                <c:pt idx="78">
                  <c:v>0</c:v>
                </c:pt>
                <c:pt idx="79">
                  <c:v>0</c:v>
                </c:pt>
                <c:pt idx="80">
                  <c:v>22.278959999999998</c:v>
                </c:pt>
                <c:pt idx="81">
                  <c:v>19.705839999999998</c:v>
                </c:pt>
                <c:pt idx="82">
                  <c:v>11.919160000000002</c:v>
                </c:pt>
                <c:pt idx="83">
                  <c:v>8.415659999999999</c:v>
                </c:pt>
                <c:pt idx="84">
                  <c:v>16.83154</c:v>
                </c:pt>
                <c:pt idx="85">
                  <c:v>26.625720000000005</c:v>
                </c:pt>
                <c:pt idx="86">
                  <c:v>9.7287349999999986</c:v>
                </c:pt>
                <c:pt idx="87">
                  <c:v>8.1568700000000014</c:v>
                </c:pt>
                <c:pt idx="88">
                  <c:v>3.7752699999999995</c:v>
                </c:pt>
                <c:pt idx="89">
                  <c:v>0.23129000000000044</c:v>
                </c:pt>
                <c:pt idx="90">
                  <c:v>2.4748999999999999</c:v>
                </c:pt>
                <c:pt idx="91">
                  <c:v>26.337649999999996</c:v>
                </c:pt>
                <c:pt idx="92">
                  <c:v>20.266439999999999</c:v>
                </c:pt>
                <c:pt idx="93">
                  <c:v>11.933175000000002</c:v>
                </c:pt>
                <c:pt idx="94">
                  <c:v>8.3241899999999998</c:v>
                </c:pt>
                <c:pt idx="95">
                  <c:v>17.820339999999998</c:v>
                </c:pt>
                <c:pt idx="96">
                  <c:v>12.032734999999999</c:v>
                </c:pt>
                <c:pt idx="97">
                  <c:v>9.5904700000000016</c:v>
                </c:pt>
                <c:pt idx="98">
                  <c:v>3.9544699999999997</c:v>
                </c:pt>
                <c:pt idx="99">
                  <c:v>0</c:v>
                </c:pt>
                <c:pt idx="100">
                  <c:v>4.1645000000000003</c:v>
                </c:pt>
                <c:pt idx="101">
                  <c:v>32.980620000000002</c:v>
                </c:pt>
                <c:pt idx="102">
                  <c:v>27.987819999999999</c:v>
                </c:pt>
                <c:pt idx="103">
                  <c:v>16.537110000000002</c:v>
                </c:pt>
                <c:pt idx="104">
                  <c:v>12.563095000000001</c:v>
                </c:pt>
                <c:pt idx="105">
                  <c:v>24.341345</c:v>
                </c:pt>
                <c:pt idx="106">
                  <c:v>39.495590000000007</c:v>
                </c:pt>
                <c:pt idx="107">
                  <c:v>32.895659999999999</c:v>
                </c:pt>
                <c:pt idx="108">
                  <c:v>19.569205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7.4807999999999986</c:v>
                </c:pt>
                <c:pt idx="115">
                  <c:v>4.1314299999999982</c:v>
                </c:pt>
                <c:pt idx="116">
                  <c:v>2.7730999999999995</c:v>
                </c:pt>
                <c:pt idx="117">
                  <c:v>0</c:v>
                </c:pt>
                <c:pt idx="118">
                  <c:v>3.3229799999999994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9.4612649999999974</c:v>
                </c:pt>
                <c:pt idx="125">
                  <c:v>9.7215999999999969</c:v>
                </c:pt>
                <c:pt idx="126">
                  <c:v>6.3276049999999993</c:v>
                </c:pt>
                <c:pt idx="127">
                  <c:v>3.4538899999999986</c:v>
                </c:pt>
                <c:pt idx="128">
                  <c:v>7.8053999999999988</c:v>
                </c:pt>
                <c:pt idx="129">
                  <c:v>11.215479999999998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0.16855999999999938</c:v>
                </c:pt>
                <c:pt idx="147">
                  <c:v>0.90186300000000097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4.9557500000000001</c:v>
                </c:pt>
                <c:pt idx="181">
                  <c:v>1.2619500000000023</c:v>
                </c:pt>
                <c:pt idx="182">
                  <c:v>1.2776250000000022</c:v>
                </c:pt>
                <c:pt idx="183">
                  <c:v>0</c:v>
                </c:pt>
                <c:pt idx="184">
                  <c:v>0.62320000000000064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6.3527250000000031</c:v>
                </c:pt>
                <c:pt idx="191">
                  <c:v>8.0487400000000022</c:v>
                </c:pt>
                <c:pt idx="192">
                  <c:v>5.6718150000000023</c:v>
                </c:pt>
                <c:pt idx="193">
                  <c:v>2.1841750000000015</c:v>
                </c:pt>
                <c:pt idx="194">
                  <c:v>5.9801150000000014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3.1162500000000009</c:v>
                </c:pt>
                <c:pt idx="201">
                  <c:v>0.33475000000000144</c:v>
                </c:pt>
                <c:pt idx="202">
                  <c:v>0.62937500000000135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4.0211250000000014</c:v>
                </c:pt>
                <c:pt idx="211">
                  <c:v>5.5615000000000006</c:v>
                </c:pt>
                <c:pt idx="212">
                  <c:v>4.0268750000000004</c:v>
                </c:pt>
                <c:pt idx="213">
                  <c:v>1.3411250000000008</c:v>
                </c:pt>
                <c:pt idx="214">
                  <c:v>4.0121250000000011</c:v>
                </c:pt>
                <c:pt idx="215">
                  <c:v>4.6697500000000058</c:v>
                </c:pt>
                <c:pt idx="216">
                  <c:v>5.4989999999999988</c:v>
                </c:pt>
                <c:pt idx="217">
                  <c:v>4.2776250000000005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0.90066000000000113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31248"/>
        <c:axId val="433031808"/>
      </c:areaChart>
      <c:catAx>
        <c:axId val="433031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31808"/>
        <c:crosses val="autoZero"/>
        <c:auto val="1"/>
        <c:lblAlgn val="ctr"/>
        <c:lblOffset val="100"/>
        <c:noMultiLvlLbl val="0"/>
      </c:catAx>
      <c:valAx>
        <c:axId val="433031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31248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907574053243345E-2"/>
          <c:y val="0.21011368663186764"/>
          <c:w val="0.89999993543242518"/>
          <c:h val="7.9598046716305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Représentation annuelle de la capacité de l'agence par rapport à l'offre et la demande mensuelles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2788592398172452"/>
          <c:y val="1.348099604424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36750614004762722"/>
          <c:w val="0.94265004697291066"/>
          <c:h val="0.50086550667135898"/>
        </c:manualLayout>
      </c:layout>
      <c:barChart>
        <c:barDir val="col"/>
        <c:grouping val="stacked"/>
        <c:varyColors val="0"/>
        <c:ser>
          <c:idx val="2"/>
          <c:order val="3"/>
          <c:tx>
            <c:strRef>
              <c:f>'2.4.5.1 Missions'!$R$357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noFill/>
              <a:miter lim="800000"/>
            </a:ln>
            <a:effectLst/>
          </c:spPr>
          <c:invertIfNegative val="0"/>
          <c:val>
            <c:numRef>
              <c:f>'2.4.5.1 Missions'!$R$358:$R$369</c:f>
              <c:numCache>
                <c:formatCode>0.00</c:formatCode>
                <c:ptCount val="12"/>
                <c:pt idx="0">
                  <c:v>114.96351999999999</c:v>
                </c:pt>
                <c:pt idx="1">
                  <c:v>133.861594</c:v>
                </c:pt>
                <c:pt idx="2">
                  <c:v>127.97441200000002</c:v>
                </c:pt>
                <c:pt idx="3">
                  <c:v>114.64182399999999</c:v>
                </c:pt>
                <c:pt idx="4">
                  <c:v>91.932671999999997</c:v>
                </c:pt>
                <c:pt idx="5">
                  <c:v>127.39643999999997</c:v>
                </c:pt>
                <c:pt idx="6">
                  <c:v>104.52164399999999</c:v>
                </c:pt>
                <c:pt idx="7">
                  <c:v>114.46611599999999</c:v>
                </c:pt>
                <c:pt idx="8">
                  <c:v>145.05506400000002</c:v>
                </c:pt>
                <c:pt idx="9">
                  <c:v>137.08339999999998</c:v>
                </c:pt>
                <c:pt idx="10">
                  <c:v>148.87040400000001</c:v>
                </c:pt>
                <c:pt idx="11">
                  <c:v>105.01061999999999</c:v>
                </c:pt>
              </c:numCache>
            </c:numRef>
          </c:val>
        </c:ser>
        <c:ser>
          <c:idx val="3"/>
          <c:order val="4"/>
          <c:tx>
            <c:strRef>
              <c:f>'2.4.5.1 Missions'!$N$357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9933FF"/>
            </a:solidFill>
            <a:ln w="9525" cap="flat" cmpd="sng" algn="ctr">
              <a:noFill/>
              <a:miter lim="800000"/>
            </a:ln>
            <a:effectLst/>
          </c:spPr>
          <c:invertIfNegative val="0"/>
          <c:val>
            <c:numRef>
              <c:f>'2.4.5.1 Missions'!$N$358:$N$369</c:f>
              <c:numCache>
                <c:formatCode>0.00</c:formatCode>
                <c:ptCount val="12"/>
                <c:pt idx="0">
                  <c:v>253.12627999999998</c:v>
                </c:pt>
                <c:pt idx="1">
                  <c:v>90.183670000000006</c:v>
                </c:pt>
                <c:pt idx="2">
                  <c:v>21.599299999999999</c:v>
                </c:pt>
                <c:pt idx="3">
                  <c:v>3.0360000000000023</c:v>
                </c:pt>
                <c:pt idx="4">
                  <c:v>0</c:v>
                </c:pt>
                <c:pt idx="5">
                  <c:v>23.879740000000012</c:v>
                </c:pt>
                <c:pt idx="6">
                  <c:v>71.561023999999989</c:v>
                </c:pt>
                <c:pt idx="7">
                  <c:v>133.85983200000001</c:v>
                </c:pt>
                <c:pt idx="8">
                  <c:v>54.941020000000002</c:v>
                </c:pt>
                <c:pt idx="9">
                  <c:v>46.961499999999987</c:v>
                </c:pt>
                <c:pt idx="10">
                  <c:v>115.16582000000001</c:v>
                </c:pt>
                <c:pt idx="11">
                  <c:v>230.97293999999999</c:v>
                </c:pt>
              </c:numCache>
            </c:numRef>
          </c:val>
        </c:ser>
        <c:ser>
          <c:idx val="5"/>
          <c:order val="5"/>
          <c:tx>
            <c:strRef>
              <c:f>'2.4.5.1 Missions'!$P$357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9525" cap="flat" cmpd="sng" algn="ctr">
              <a:noFill/>
              <a:miter lim="800000"/>
            </a:ln>
            <a:effectLst/>
          </c:spPr>
          <c:invertIfNegative val="0"/>
          <c:val>
            <c:numRef>
              <c:f>'2.4.5.1 Missions'!$P$358:$P$369</c:f>
              <c:numCache>
                <c:formatCode>0.00</c:formatCode>
                <c:ptCount val="12"/>
                <c:pt idx="0">
                  <c:v>92.022449999999949</c:v>
                </c:pt>
                <c:pt idx="1">
                  <c:v>45.449809999999992</c:v>
                </c:pt>
                <c:pt idx="2">
                  <c:v>19.591739999999994</c:v>
                </c:pt>
                <c:pt idx="3">
                  <c:v>4.5733599999999992</c:v>
                </c:pt>
                <c:pt idx="4">
                  <c:v>1.1909999999999421E-2</c:v>
                </c:pt>
                <c:pt idx="5">
                  <c:v>20.887794999999997</c:v>
                </c:pt>
                <c:pt idx="6">
                  <c:v>39.696177999999989</c:v>
                </c:pt>
                <c:pt idx="7">
                  <c:v>61.584082999999978</c:v>
                </c:pt>
                <c:pt idx="8">
                  <c:v>31.445154999999996</c:v>
                </c:pt>
                <c:pt idx="9">
                  <c:v>25.103874999999988</c:v>
                </c:pt>
                <c:pt idx="10">
                  <c:v>61.687729999999988</c:v>
                </c:pt>
                <c:pt idx="11">
                  <c:v>83.995889999999989</c:v>
                </c:pt>
              </c:numCache>
            </c:numRef>
          </c:val>
        </c:ser>
        <c:ser>
          <c:idx val="6"/>
          <c:order val="6"/>
          <c:tx>
            <c:strRef>
              <c:f>'2.4.5.1 Missions'!$L$357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9525" cap="flat" cmpd="sng" algn="ctr">
              <a:noFill/>
              <a:miter lim="800000"/>
            </a:ln>
            <a:effectLst/>
          </c:spPr>
          <c:invertIfNegative val="0"/>
          <c:val>
            <c:numRef>
              <c:f>'2.4.5.1 Missions'!$L$358:$L$369</c:f>
              <c:numCache>
                <c:formatCode>0.00</c:formatCode>
                <c:ptCount val="12"/>
                <c:pt idx="0">
                  <c:v>0</c:v>
                </c:pt>
                <c:pt idx="1">
                  <c:v>10.561505999999996</c:v>
                </c:pt>
                <c:pt idx="2">
                  <c:v>17.801687999999999</c:v>
                </c:pt>
                <c:pt idx="3">
                  <c:v>24.846095999999992</c:v>
                </c:pt>
                <c:pt idx="4">
                  <c:v>22.971257999999995</c:v>
                </c:pt>
                <c:pt idx="5">
                  <c:v>16.931249999999991</c:v>
                </c:pt>
                <c:pt idx="6">
                  <c:v>4.324488999999998</c:v>
                </c:pt>
                <c:pt idx="7">
                  <c:v>0.49740400000000129</c:v>
                </c:pt>
                <c:pt idx="8">
                  <c:v>18.553865999999996</c:v>
                </c:pt>
                <c:pt idx="9">
                  <c:v>20.907349999999994</c:v>
                </c:pt>
                <c:pt idx="10">
                  <c:v>4.3213259999999973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'2.4.5.1 Missions'!$J$357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noFill/>
              <a:miter lim="800000"/>
            </a:ln>
            <a:effectLst/>
          </c:spPr>
          <c:invertIfNegative val="0"/>
          <c:val>
            <c:numRef>
              <c:f>'2.4.5.1 Missions'!$J$358:$J$369</c:f>
              <c:numCache>
                <c:formatCode>0.00</c:formatCode>
                <c:ptCount val="12"/>
                <c:pt idx="0">
                  <c:v>0</c:v>
                </c:pt>
                <c:pt idx="1">
                  <c:v>5.5101900000000041</c:v>
                </c:pt>
                <c:pt idx="2">
                  <c:v>74.298410000000004</c:v>
                </c:pt>
                <c:pt idx="3">
                  <c:v>175.54393999999999</c:v>
                </c:pt>
                <c:pt idx="4">
                  <c:v>345.16148000000004</c:v>
                </c:pt>
                <c:pt idx="5">
                  <c:v>65.693549999999988</c:v>
                </c:pt>
                <c:pt idx="6">
                  <c:v>1.0704230000000003</c:v>
                </c:pt>
                <c:pt idx="7">
                  <c:v>0</c:v>
                </c:pt>
                <c:pt idx="8">
                  <c:v>36.35609500000001</c:v>
                </c:pt>
                <c:pt idx="9">
                  <c:v>37.489500000000021</c:v>
                </c:pt>
                <c:pt idx="10">
                  <c:v>0.90066000000000113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038528"/>
        <c:axId val="433039088"/>
      </c:barChart>
      <c:lineChart>
        <c:grouping val="standard"/>
        <c:varyColors val="0"/>
        <c:ser>
          <c:idx val="4"/>
          <c:order val="0"/>
          <c:tx>
            <c:strRef>
              <c:f>'2.4.5.1 Missions'!$D$357</c:f>
              <c:strCache>
                <c:ptCount val="1"/>
                <c:pt idx="0">
                  <c:v>demandes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strRef>
              <c:f>'2.4.5.1 Missions'!$B$358:$B$369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'2.4.5.1 Missions'!$D$358:$D$369</c:f>
              <c:numCache>
                <c:formatCode>0.00</c:formatCode>
                <c:ptCount val="12"/>
                <c:pt idx="0">
                  <c:v>114.96351999999999</c:v>
                </c:pt>
                <c:pt idx="1">
                  <c:v>149.93329</c:v>
                </c:pt>
                <c:pt idx="2">
                  <c:v>220.07451000000003</c:v>
                </c:pt>
                <c:pt idx="3">
                  <c:v>315.03186000000005</c:v>
                </c:pt>
                <c:pt idx="4">
                  <c:v>460.06540999999993</c:v>
                </c:pt>
                <c:pt idx="5">
                  <c:v>210.02123999999998</c:v>
                </c:pt>
                <c:pt idx="6">
                  <c:v>109.91655599999997</c:v>
                </c:pt>
                <c:pt idx="7">
                  <c:v>114.96351999999999</c:v>
                </c:pt>
                <c:pt idx="8">
                  <c:v>199.96502500000003</c:v>
                </c:pt>
                <c:pt idx="9">
                  <c:v>195.48025000000001</c:v>
                </c:pt>
                <c:pt idx="10">
                  <c:v>154.09239000000002</c:v>
                </c:pt>
                <c:pt idx="11">
                  <c:v>105.01061999999999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'2.4.5.1 Missions'!$E$357</c:f>
              <c:strCache>
                <c:ptCount val="1"/>
                <c:pt idx="0">
                  <c:v>offres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none"/>
          </c:marker>
          <c:cat>
            <c:strRef>
              <c:f>'2.4.5.1 Missions'!$B$358:$B$369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'2.4.5.1 Missions'!$E$358:$E$369</c:f>
              <c:numCache>
                <c:formatCode>0.00</c:formatCode>
                <c:ptCount val="12"/>
                <c:pt idx="0">
                  <c:v>460.11224999999985</c:v>
                </c:pt>
                <c:pt idx="1">
                  <c:v>280.05658</c:v>
                </c:pt>
                <c:pt idx="2">
                  <c:v>186.96714</c:v>
                </c:pt>
                <c:pt idx="3">
                  <c:v>147.09728000000001</c:v>
                </c:pt>
                <c:pt idx="4">
                  <c:v>114.91584000000003</c:v>
                </c:pt>
                <c:pt idx="5">
                  <c:v>189.09522500000003</c:v>
                </c:pt>
                <c:pt idx="6">
                  <c:v>220.10333499999996</c:v>
                </c:pt>
                <c:pt idx="7">
                  <c:v>310.40743500000002</c:v>
                </c:pt>
                <c:pt idx="8">
                  <c:v>249.995105</c:v>
                </c:pt>
                <c:pt idx="9">
                  <c:v>230.05612499999992</c:v>
                </c:pt>
                <c:pt idx="10">
                  <c:v>330.04527999999993</c:v>
                </c:pt>
                <c:pt idx="11">
                  <c:v>419.97944999999993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'2.4.5.1 Missions'!$F$357</c:f>
              <c:strCache>
                <c:ptCount val="1"/>
                <c:pt idx="0">
                  <c:v>offre à 80%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strRef>
              <c:f>'2.4.5.1 Missions'!$B$358:$B$369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'2.4.5.1 Missions'!$F$358:$F$369</c:f>
              <c:numCache>
                <c:formatCode>0.00</c:formatCode>
                <c:ptCount val="12"/>
                <c:pt idx="0">
                  <c:v>368.08980000000003</c:v>
                </c:pt>
                <c:pt idx="1">
                  <c:v>224.04526400000003</c:v>
                </c:pt>
                <c:pt idx="2">
                  <c:v>149.573712</c:v>
                </c:pt>
                <c:pt idx="3">
                  <c:v>117.67782399999997</c:v>
                </c:pt>
                <c:pt idx="4">
                  <c:v>91.932671999999997</c:v>
                </c:pt>
                <c:pt idx="5">
                  <c:v>151.27618000000004</c:v>
                </c:pt>
                <c:pt idx="6">
                  <c:v>176.08266800000001</c:v>
                </c:pt>
                <c:pt idx="7">
                  <c:v>248.32594799999998</c:v>
                </c:pt>
                <c:pt idx="8">
                  <c:v>199.99608400000002</c:v>
                </c:pt>
                <c:pt idx="9">
                  <c:v>184.04490000000001</c:v>
                </c:pt>
                <c:pt idx="10">
                  <c:v>264.036224</c:v>
                </c:pt>
                <c:pt idx="11">
                  <c:v>335.98355999999995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38528"/>
        <c:axId val="433039088"/>
      </c:lineChart>
      <c:catAx>
        <c:axId val="433038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39088"/>
        <c:crosses val="autoZero"/>
        <c:auto val="1"/>
        <c:lblAlgn val="ctr"/>
        <c:lblOffset val="100"/>
        <c:noMultiLvlLbl val="0"/>
      </c:catAx>
      <c:valAx>
        <c:axId val="433039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03852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2066304211973505E-2"/>
          <c:y val="0.2102889840401275"/>
          <c:w val="0.93045574164340572"/>
          <c:h val="0.1379925683446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4A206A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4A206A"/>
                </a:solidFill>
              </a:rPr>
              <a:t>Offre non placée</a:t>
            </a:r>
          </a:p>
        </c:rich>
      </c:tx>
      <c:layout/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4A206A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9999FF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2"/>
            <c:bubble3D val="0"/>
            <c:spPr>
              <a:solidFill>
                <a:srgbClr val="9933FF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1.5309711286089239E-2"/>
                  <c:y val="-1.57097508110092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7488626421697285E-2"/>
                  <c:y val="6.153043738117920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6953193350831146E-2"/>
                  <c:y val="-8.002669103135871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rgbClr val="9999FF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'2.4.5.1 Missions'!$B$402:$B$404</c:f>
              <c:strCache>
                <c:ptCount val="3"/>
                <c:pt idx="0">
                  <c:v>(B) offres non satisfaisantes</c:v>
                </c:pt>
                <c:pt idx="1">
                  <c:v>(C) offres hors demandes</c:v>
                </c:pt>
                <c:pt idx="2">
                  <c:v>(D) offres hors demandes</c:v>
                </c:pt>
              </c:strCache>
            </c:strRef>
          </c:cat>
          <c:val>
            <c:numRef>
              <c:f>'2.4.5.1 Missions'!$C$402:$C$404</c:f>
              <c:numCache>
                <c:formatCode>0.00</c:formatCode>
                <c:ptCount val="3"/>
                <c:pt idx="0">
                  <c:v>141.71623299999996</c:v>
                </c:pt>
                <c:pt idx="1">
                  <c:v>486.04997599999984</c:v>
                </c:pt>
                <c:pt idx="2">
                  <c:v>1045.2871259999999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/>
                </a:solidFill>
              </a:rPr>
              <a:t>Offre à 80%</a:t>
            </a:r>
          </a:p>
        </c:rich>
      </c:tx>
      <c:layout/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9933FF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2.763562104292952E-2"/>
                  <c:y val="-4.205368739475209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5423285053300347E-2"/>
                  <c:y val="4.234277836374511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'2.4.5.1 Missions'!$F$402:$F$403</c:f>
              <c:strCache>
                <c:ptCount val="2"/>
                <c:pt idx="0">
                  <c:v>Capacité à 80%</c:v>
                </c:pt>
                <c:pt idx="1">
                  <c:v>(D) offres hors demandes</c:v>
                </c:pt>
              </c:strCache>
            </c:strRef>
          </c:cat>
          <c:val>
            <c:numRef>
              <c:f>'2.4.5.1 Missions'!$G$402:$G$403</c:f>
              <c:numCache>
                <c:formatCode>0.00</c:formatCode>
                <c:ptCount val="2"/>
                <c:pt idx="0">
                  <c:v>1465.7777100000001</c:v>
                </c:pt>
                <c:pt idx="1">
                  <c:v>1045.2871259999999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2776059388926"/>
          <c:y val="0.23625785429536744"/>
          <c:w val="0.67661407136204577"/>
          <c:h val="0.20552558176657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>
                    <a:lumMod val="75000"/>
                  </a:schemeClr>
                </a:solidFill>
              </a:rPr>
              <a:t>Offre</a:t>
            </a:r>
          </a:p>
        </c:rich>
      </c:tx>
      <c:layout/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4A206A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2.928418965970624E-2"/>
                  <c:y val="-2.644602328226369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272551618358782E-2"/>
                  <c:y val="-2.27811108053666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'2.4.5.1 Missions'!$B$417:$B$418</c:f>
              <c:strCache>
                <c:ptCount val="2"/>
                <c:pt idx="0">
                  <c:v>Capacité à 80%</c:v>
                </c:pt>
                <c:pt idx="1">
                  <c:v>offres non placées</c:v>
                </c:pt>
              </c:strCache>
            </c:strRef>
          </c:cat>
          <c:val>
            <c:numRef>
              <c:f>'2.4.5.1 Missions'!$C$417:$C$418</c:f>
              <c:numCache>
                <c:formatCode>0.00</c:formatCode>
                <c:ptCount val="2"/>
                <c:pt idx="0">
                  <c:v>1465.7777100000001</c:v>
                </c:pt>
                <c:pt idx="1">
                  <c:v>1673.0533350000001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078545565838526"/>
          <c:y val="0.2657237877320559"/>
          <c:w val="0.58167516382348317"/>
          <c:h val="0.15838008826787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>
                    <a:lumMod val="75000"/>
                  </a:schemeClr>
                </a:solidFill>
              </a:rPr>
              <a:t>Offre</a:t>
            </a:r>
          </a:p>
        </c:rich>
      </c:tx>
      <c:layout/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9999FF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2.9784608727695512E-2"/>
                  <c:y val="-2.585113624815605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1858155379680874E-2"/>
                  <c:y val="-5.417555478320265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2448500369817555E-2"/>
                  <c:y val="-3.0302116303663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'2.4.5.1 Missions'!$F$417:$F$419</c:f>
              <c:strCache>
                <c:ptCount val="3"/>
                <c:pt idx="0">
                  <c:v>offre à 80%</c:v>
                </c:pt>
                <c:pt idx="1">
                  <c:v>(C) offres hors demandes</c:v>
                </c:pt>
                <c:pt idx="2">
                  <c:v>(B) offres non satisfaisantes</c:v>
                </c:pt>
              </c:strCache>
            </c:strRef>
          </c:cat>
          <c:val>
            <c:numRef>
              <c:f>'2.4.5.1 Missions'!$G$417:$G$419</c:f>
              <c:numCache>
                <c:formatCode>0.00</c:formatCode>
                <c:ptCount val="3"/>
                <c:pt idx="0">
                  <c:v>2511.0648360000005</c:v>
                </c:pt>
                <c:pt idx="1">
                  <c:v>486.04997599999984</c:v>
                </c:pt>
                <c:pt idx="2">
                  <c:v>141.71623299999996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961617241855439"/>
          <c:y val="0.22447148092069213"/>
          <c:w val="0.67661407136204577"/>
          <c:h val="0.20552558176657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C00000"/>
                </a:solidFill>
              </a:rPr>
              <a:t>Demande non satisfaite</a:t>
            </a:r>
          </a:p>
        </c:rich>
      </c:tx>
      <c:layout/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732730485195422"/>
          <c:y val="0.54470863760196486"/>
          <c:w val="0.31976118841173673"/>
          <c:h val="0.33742762865128156"/>
        </c:manualLayout>
      </c:layout>
      <c:pieChart>
        <c:varyColors val="1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2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4.3717190230482997E-2"/>
                  <c:y val="-3.319905838941528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466018555081714E-2"/>
                  <c:y val="1.91584250992213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'2.4.5.1 Missions'!$B$432:$B$433</c:f>
              <c:strCache>
                <c:ptCount val="2"/>
                <c:pt idx="0">
                  <c:v>(A) demandes hors offres</c:v>
                </c:pt>
                <c:pt idx="1">
                  <c:v>(B) offres non satisfaisantes</c:v>
                </c:pt>
              </c:strCache>
            </c:strRef>
          </c:cat>
          <c:val>
            <c:numRef>
              <c:f>'2.4.5.1 Missions'!$C$432:$C$433</c:f>
              <c:numCache>
                <c:formatCode>0.00</c:formatCode>
                <c:ptCount val="2"/>
                <c:pt idx="0">
                  <c:v>742.02424800000006</c:v>
                </c:pt>
                <c:pt idx="1">
                  <c:v>141.71623299999996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C000"/>
                </a:solidFill>
              </a:rPr>
              <a:t>Demande</a:t>
            </a:r>
          </a:p>
        </c:rich>
      </c:tx>
      <c:layout/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1752953044157373"/>
          <c:y val="0.5441782508001044"/>
          <c:w val="0.32584844777744454"/>
          <c:h val="0.343851202140479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3.9017076690761245E-2"/>
                  <c:y val="-2.73977497307463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2860585358388881E-2"/>
                  <c:y val="-2.14720809120611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'2.4.5.1 Missions'!$F$432:$F$433</c:f>
              <c:strCache>
                <c:ptCount val="2"/>
                <c:pt idx="0">
                  <c:v>Capacité à 80%</c:v>
                </c:pt>
                <c:pt idx="1">
                  <c:v>demandes non satisfaites</c:v>
                </c:pt>
              </c:strCache>
            </c:strRef>
          </c:cat>
          <c:val>
            <c:numRef>
              <c:f>'2.4.5.1 Missions'!$G$432:$G$433</c:f>
              <c:numCache>
                <c:formatCode>0.00</c:formatCode>
                <c:ptCount val="2"/>
                <c:pt idx="0">
                  <c:v>1465.7777100000001</c:v>
                </c:pt>
                <c:pt idx="1">
                  <c:v>883.74048099999982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00185040723914"/>
          <c:y val="0.27161697441939348"/>
          <c:w val="0.64165773270586002"/>
          <c:h val="0.21362940950733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Représentation mensuelle de la capacité de l'agence par rapport à l'offre et la demande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7.938505841751331E-2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63356647677302458"/>
        </c:manualLayout>
      </c:layout>
      <c:areaChart>
        <c:grouping val="stacked"/>
        <c:varyColors val="0"/>
        <c:ser>
          <c:idx val="4"/>
          <c:order val="0"/>
          <c:tx>
            <c:strRef>
              <c:f>'2.4.5.4 Emplois ETP  base m'!$R$268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'2.4.5.4 Emplois ETP  base m'!$B$269:$B$280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'2.4.5.4 Emplois ETP  base m'!$R$269:$R$280</c:f>
              <c:numCache>
                <c:formatCode>0.00</c:formatCode>
                <c:ptCount val="12"/>
                <c:pt idx="0">
                  <c:v>45.101073230769231</c:v>
                </c:pt>
                <c:pt idx="1">
                  <c:v>52.514933030769214</c:v>
                </c:pt>
                <c:pt idx="2">
                  <c:v>50.205346246153852</c:v>
                </c:pt>
                <c:pt idx="3">
                  <c:v>44.974869415384617</c:v>
                </c:pt>
                <c:pt idx="4">
                  <c:v>36.065894399999998</c:v>
                </c:pt>
                <c:pt idx="5">
                  <c:v>49.978603384615383</c:v>
                </c:pt>
                <c:pt idx="6">
                  <c:v>41.004644953846146</c:v>
                </c:pt>
                <c:pt idx="7">
                  <c:v>44.905937815384611</c:v>
                </c:pt>
                <c:pt idx="8">
                  <c:v>56.90621741538461</c:v>
                </c:pt>
                <c:pt idx="9">
                  <c:v>53.778872307692311</c:v>
                </c:pt>
                <c:pt idx="10">
                  <c:v>58.403004646153853</c:v>
                </c:pt>
                <c:pt idx="11">
                  <c:v>41.196473999999995</c:v>
                </c:pt>
              </c:numCache>
            </c:numRef>
          </c:val>
        </c:ser>
        <c:ser>
          <c:idx val="0"/>
          <c:order val="1"/>
          <c:tx>
            <c:strRef>
              <c:f>'2.4.5.4 Emplois ETP  base m'!$N$268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74489D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'2.4.5.4 Emplois ETP  base m'!$B$269:$B$280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'2.4.5.4 Emplois ETP  base m'!$N$269:$N$280</c:f>
              <c:numCache>
                <c:formatCode>0.00</c:formatCode>
                <c:ptCount val="12"/>
                <c:pt idx="0">
                  <c:v>99.303386769230769</c:v>
                </c:pt>
                <c:pt idx="1">
                  <c:v>35.379747461538464</c:v>
                </c:pt>
                <c:pt idx="2">
                  <c:v>8.4735715384615382</c:v>
                </c:pt>
                <c:pt idx="3">
                  <c:v>1.1910461538461541</c:v>
                </c:pt>
                <c:pt idx="4">
                  <c:v>0</c:v>
                </c:pt>
                <c:pt idx="5">
                  <c:v>9.3682056923076971</c:v>
                </c:pt>
                <c:pt idx="6">
                  <c:v>28.073940184615381</c:v>
                </c:pt>
                <c:pt idx="7">
                  <c:v>52.514241784615393</c:v>
                </c:pt>
                <c:pt idx="8">
                  <c:v>21.553784769230766</c:v>
                </c:pt>
                <c:pt idx="9">
                  <c:v>18.423357692307686</c:v>
                </c:pt>
                <c:pt idx="10">
                  <c:v>45.180437076923084</c:v>
                </c:pt>
                <c:pt idx="11">
                  <c:v>90.612461076923083</c:v>
                </c:pt>
              </c:numCache>
            </c:numRef>
          </c:val>
        </c:ser>
        <c:ser>
          <c:idx val="1"/>
          <c:order val="2"/>
          <c:tx>
            <c:strRef>
              <c:f>'2.4.5.4 Emplois ETP  base m'!$P$268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'2.4.5.4 Emplois ETP  base m'!$B$269:$B$280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'2.4.5.4 Emplois ETP  base m'!$P$269:$P$280</c:f>
              <c:numCache>
                <c:formatCode>0.00</c:formatCode>
                <c:ptCount val="12"/>
                <c:pt idx="0">
                  <c:v>36.101114999999993</c:v>
                </c:pt>
                <c:pt idx="1">
                  <c:v>17.830310076923077</c:v>
                </c:pt>
                <c:pt idx="2">
                  <c:v>7.6859903076923057</c:v>
                </c:pt>
                <c:pt idx="3">
                  <c:v>1.7941643076923068</c:v>
                </c:pt>
                <c:pt idx="4">
                  <c:v>4.6723846153844395E-3</c:v>
                </c:pt>
                <c:pt idx="5">
                  <c:v>8.194442653846151</c:v>
                </c:pt>
                <c:pt idx="6">
                  <c:v>15.573115984615381</c:v>
                </c:pt>
                <c:pt idx="7">
                  <c:v>24.159909484615383</c:v>
                </c:pt>
                <c:pt idx="8">
                  <c:v>12.336176192307688</c:v>
                </c:pt>
                <c:pt idx="9">
                  <c:v>9.8484432692307671</c:v>
                </c:pt>
                <c:pt idx="10">
                  <c:v>24.200571</c:v>
                </c:pt>
                <c:pt idx="11">
                  <c:v>32.952233769230759</c:v>
                </c:pt>
              </c:numCache>
            </c:numRef>
          </c:val>
        </c:ser>
        <c:ser>
          <c:idx val="2"/>
          <c:order val="3"/>
          <c:tx>
            <c:strRef>
              <c:f>'2.4.5.4 Emplois ETP  base m'!$L$268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'2.4.5.4 Emplois ETP  base m'!$B$269:$B$280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'2.4.5.4 Emplois ETP  base m'!$L$269:$L$280</c:f>
              <c:numCache>
                <c:formatCode>0.00</c:formatCode>
                <c:ptCount val="12"/>
                <c:pt idx="0">
                  <c:v>0</c:v>
                </c:pt>
                <c:pt idx="1">
                  <c:v>4.1433600461538429</c:v>
                </c:pt>
                <c:pt idx="2">
                  <c:v>6.9837391384615364</c:v>
                </c:pt>
                <c:pt idx="3">
                  <c:v>9.7473145846153812</c:v>
                </c:pt>
                <c:pt idx="4">
                  <c:v>9.0118012153846117</c:v>
                </c:pt>
                <c:pt idx="5">
                  <c:v>6.6422596153846136</c:v>
                </c:pt>
                <c:pt idx="6">
                  <c:v>1.696530299999998</c:v>
                </c:pt>
                <c:pt idx="7">
                  <c:v>0.19513541538461565</c:v>
                </c:pt>
                <c:pt idx="8">
                  <c:v>7.2788243538461517</c:v>
                </c:pt>
                <c:pt idx="9">
                  <c:v>8.2021142307692276</c:v>
                </c:pt>
                <c:pt idx="10">
                  <c:v>1.695289430769229</c:v>
                </c:pt>
                <c:pt idx="11">
                  <c:v>0</c:v>
                </c:pt>
              </c:numCache>
            </c:numRef>
          </c:val>
        </c:ser>
        <c:ser>
          <c:idx val="3"/>
          <c:order val="4"/>
          <c:tx>
            <c:strRef>
              <c:f>'2.4.5.4 Emplois ETP  base m'!$J$268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'2.4.5.4 Emplois ETP  base m'!$B$269:$B$280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'2.4.5.4 Emplois ETP  base m'!$J$269:$J$280</c:f>
              <c:numCache>
                <c:formatCode>0.00</c:formatCode>
                <c:ptCount val="12"/>
                <c:pt idx="0">
                  <c:v>0</c:v>
                </c:pt>
                <c:pt idx="1">
                  <c:v>2.161689923076926</c:v>
                </c:pt>
                <c:pt idx="2">
                  <c:v>29.147837769230776</c:v>
                </c:pt>
                <c:pt idx="3">
                  <c:v>68.867238</c:v>
                </c:pt>
                <c:pt idx="4">
                  <c:v>135.40950369230771</c:v>
                </c:pt>
                <c:pt idx="5">
                  <c:v>25.772084999999997</c:v>
                </c:pt>
                <c:pt idx="6">
                  <c:v>0.41993517692307658</c:v>
                </c:pt>
                <c:pt idx="7">
                  <c:v>0</c:v>
                </c:pt>
                <c:pt idx="8">
                  <c:v>14.262775730769238</c:v>
                </c:pt>
                <c:pt idx="9">
                  <c:v>14.707419230769236</c:v>
                </c:pt>
                <c:pt idx="10">
                  <c:v>0.35333584615384694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21840"/>
        <c:axId val="439420720"/>
      </c:areaChart>
      <c:catAx>
        <c:axId val="439421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420720"/>
        <c:crosses val="autoZero"/>
        <c:auto val="1"/>
        <c:lblAlgn val="ctr"/>
        <c:lblOffset val="100"/>
        <c:noMultiLvlLbl val="0"/>
      </c:catAx>
      <c:valAx>
        <c:axId val="439420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4218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0.16345121799346041"/>
          <c:w val="0.89999993543242518"/>
          <c:h val="5.8544393310569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mensuelle de l'offre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'2.3.2'!$C$2</c:f>
              <c:strCache>
                <c:ptCount val="1"/>
                <c:pt idx="0">
                  <c:v>Ceux avec missions hebdomadaires finies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solidFill>
                <a:schemeClr val="bg2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'2.3.2'!$B$3:$B$33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'2.3.2'!$C$3:$C$33</c:f>
              <c:numCache>
                <c:formatCode>General</c:formatCode>
                <c:ptCount val="31"/>
                <c:pt idx="0">
                  <c:v>19.5</c:v>
                </c:pt>
                <c:pt idx="1">
                  <c:v>15.6</c:v>
                </c:pt>
                <c:pt idx="2">
                  <c:v>6.5</c:v>
                </c:pt>
                <c:pt idx="3">
                  <c:v>9.75</c:v>
                </c:pt>
                <c:pt idx="4">
                  <c:v>19.5</c:v>
                </c:pt>
                <c:pt idx="7">
                  <c:v>15</c:v>
                </c:pt>
                <c:pt idx="8">
                  <c:v>13</c:v>
                </c:pt>
                <c:pt idx="9">
                  <c:v>6</c:v>
                </c:pt>
                <c:pt idx="10">
                  <c:v>9.5</c:v>
                </c:pt>
                <c:pt idx="11">
                  <c:v>15</c:v>
                </c:pt>
                <c:pt idx="14">
                  <c:v>15</c:v>
                </c:pt>
                <c:pt idx="15">
                  <c:v>12</c:v>
                </c:pt>
                <c:pt idx="16">
                  <c:v>5</c:v>
                </c:pt>
                <c:pt idx="17">
                  <c:v>11.5</c:v>
                </c:pt>
                <c:pt idx="18">
                  <c:v>15</c:v>
                </c:pt>
                <c:pt idx="21">
                  <c:v>12.38</c:v>
                </c:pt>
                <c:pt idx="22">
                  <c:v>10.73</c:v>
                </c:pt>
                <c:pt idx="23">
                  <c:v>4.13</c:v>
                </c:pt>
                <c:pt idx="24">
                  <c:v>6.6</c:v>
                </c:pt>
                <c:pt idx="25">
                  <c:v>12.38</c:v>
                </c:pt>
                <c:pt idx="28">
                  <c:v>15</c:v>
                </c:pt>
                <c:pt idx="29">
                  <c:v>10</c:v>
                </c:pt>
                <c:pt idx="30">
                  <c:v>5</c:v>
                </c:pt>
              </c:numCache>
            </c:numRef>
          </c:val>
        </c:ser>
        <c:ser>
          <c:idx val="1"/>
          <c:order val="1"/>
          <c:tx>
            <c:strRef>
              <c:f>'2.3.2'!$D$2</c:f>
              <c:strCache>
                <c:ptCount val="1"/>
                <c:pt idx="0">
                  <c:v>Ceux avec missions 15 jours finies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bg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'2.3.2'!$B$3:$B$33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'2.3.2'!$D$3:$D$33</c:f>
              <c:numCache>
                <c:formatCode>General</c:formatCode>
                <c:ptCount val="31"/>
                <c:pt idx="0">
                  <c:v>13</c:v>
                </c:pt>
                <c:pt idx="1">
                  <c:v>9.1</c:v>
                </c:pt>
                <c:pt idx="2">
                  <c:v>2.6</c:v>
                </c:pt>
                <c:pt idx="3">
                  <c:v>5.2</c:v>
                </c:pt>
                <c:pt idx="4">
                  <c:v>6.5</c:v>
                </c:pt>
                <c:pt idx="7">
                  <c:v>5</c:v>
                </c:pt>
                <c:pt idx="8">
                  <c:v>4.5</c:v>
                </c:pt>
                <c:pt idx="9">
                  <c:v>3</c:v>
                </c:pt>
                <c:pt idx="10">
                  <c:v>2.5</c:v>
                </c:pt>
                <c:pt idx="11">
                  <c:v>2</c:v>
                </c:pt>
                <c:pt idx="14">
                  <c:v>10</c:v>
                </c:pt>
                <c:pt idx="15">
                  <c:v>8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21">
                  <c:v>4.13</c:v>
                </c:pt>
                <c:pt idx="22">
                  <c:v>2.48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</c:numCache>
            </c:numRef>
          </c:val>
        </c:ser>
        <c:ser>
          <c:idx val="2"/>
          <c:order val="2"/>
          <c:tx>
            <c:strRef>
              <c:f>'2.3.2'!$E$2</c:f>
              <c:strCache>
                <c:ptCount val="1"/>
                <c:pt idx="0">
                  <c:v>Ceux avec missions mensuelles finies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solidFill>
                <a:schemeClr val="bg2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'2.3.2'!$B$3:$B$33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'2.3.2'!$E$3:$E$33</c:f>
              <c:numCache>
                <c:formatCode>General</c:formatCode>
                <c:ptCount val="31"/>
                <c:pt idx="0">
                  <c:v>6.5</c:v>
                </c:pt>
                <c:pt idx="1">
                  <c:v>3.9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1">
                  <c:v>4.13</c:v>
                </c:pt>
                <c:pt idx="22">
                  <c:v>2.48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936048"/>
        <c:axId val="432925968"/>
      </c:barChart>
      <c:lineChart>
        <c:grouping val="standard"/>
        <c:varyColors val="0"/>
        <c:ser>
          <c:idx val="3"/>
          <c:order val="3"/>
          <c:tx>
            <c:strRef>
              <c:f>'2.3.2'!$F$2</c:f>
              <c:strCache>
                <c:ptCount val="1"/>
                <c:pt idx="0">
                  <c:v>Qt offres (bleu+rouge+violet)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5875" cap="rnd">
                <a:solidFill>
                  <a:schemeClr val="accent6"/>
                </a:solidFill>
              </a:ln>
              <a:effectLst>
                <a:glow rad="139700">
                  <a:schemeClr val="accent4">
                    <a:satMod val="175000"/>
                    <a:alpha val="14000"/>
                  </a:schemeClr>
                </a:glow>
              </a:effectLst>
            </c:spPr>
          </c:dPt>
          <c:cat>
            <c:strRef>
              <c:f>'2.3.2'!$B$3:$B$33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'2.3.2'!$F$3:$F$33</c:f>
              <c:numCache>
                <c:formatCode>General</c:formatCode>
                <c:ptCount val="31"/>
                <c:pt idx="0">
                  <c:v>39</c:v>
                </c:pt>
                <c:pt idx="1">
                  <c:v>28.599999999999998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15.690000000000001</c:v>
                </c:pt>
                <c:pt idx="23">
                  <c:v>7.43</c:v>
                </c:pt>
                <c:pt idx="24">
                  <c:v>9.9</c:v>
                </c:pt>
                <c:pt idx="25">
                  <c:v>15.680000000000001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36048"/>
        <c:axId val="432925968"/>
      </c:lineChart>
      <c:catAx>
        <c:axId val="43293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25968"/>
        <c:crosses val="autoZero"/>
        <c:auto val="1"/>
        <c:lblAlgn val="ctr"/>
        <c:lblOffset val="100"/>
        <c:noMultiLvlLbl val="0"/>
      </c:catAx>
      <c:valAx>
        <c:axId val="43292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3604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8.9887955182072835E-2"/>
          <c:w val="0.57344994237343949"/>
          <c:h val="9.033679613577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Représentation mensuelle de la capacité de l'agence par rapport à l'offre et la demande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7.938505841751331E-2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63356647677302458"/>
        </c:manualLayout>
      </c:layout>
      <c:areaChart>
        <c:grouping val="stacked"/>
        <c:varyColors val="0"/>
        <c:ser>
          <c:idx val="4"/>
          <c:order val="0"/>
          <c:tx>
            <c:strRef>
              <c:f>'2.4.5.5 Emplois Mens. Intér Eq'!$R$268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Eq'!$R$269:$R$280</c:f>
              <c:numCache>
                <c:formatCode>0.00</c:formatCode>
                <c:ptCount val="12"/>
                <c:pt idx="0">
                  <c:v>77.316125538461549</c:v>
                </c:pt>
                <c:pt idx="1">
                  <c:v>90.025599481318679</c:v>
                </c:pt>
                <c:pt idx="2">
                  <c:v>86.06630785054945</c:v>
                </c:pt>
                <c:pt idx="3">
                  <c:v>77.09977614065933</c:v>
                </c:pt>
                <c:pt idx="4">
                  <c:v>61.827247542857144</c:v>
                </c:pt>
                <c:pt idx="5">
                  <c:v>85.677605802197803</c:v>
                </c:pt>
                <c:pt idx="6">
                  <c:v>70.293677063736254</c:v>
                </c:pt>
                <c:pt idx="7">
                  <c:v>76.981607683516486</c:v>
                </c:pt>
                <c:pt idx="8">
                  <c:v>97.553515569230768</c:v>
                </c:pt>
                <c:pt idx="9">
                  <c:v>92.192352527472522</c:v>
                </c:pt>
                <c:pt idx="10">
                  <c:v>100.11943653626373</c:v>
                </c:pt>
                <c:pt idx="11">
                  <c:v>70.622526857142844</c:v>
                </c:pt>
              </c:numCache>
            </c:numRef>
          </c:val>
        </c:ser>
        <c:ser>
          <c:idx val="0"/>
          <c:order val="1"/>
          <c:tx>
            <c:strRef>
              <c:f>'2.4.5.5 Emplois Mens. Intér Eq'!$N$268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74489D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Eq'!$N$269:$N$280</c:f>
              <c:numCache>
                <c:formatCode>0.00</c:formatCode>
                <c:ptCount val="12"/>
                <c:pt idx="0">
                  <c:v>170.23437731868131</c:v>
                </c:pt>
                <c:pt idx="1">
                  <c:v>60.650995648351632</c:v>
                </c:pt>
                <c:pt idx="2">
                  <c:v>14.526122637362636</c:v>
                </c:pt>
                <c:pt idx="3">
                  <c:v>2.0417934065934076</c:v>
                </c:pt>
                <c:pt idx="4">
                  <c:v>0</c:v>
                </c:pt>
                <c:pt idx="5">
                  <c:v>16.05978118681319</c:v>
                </c:pt>
                <c:pt idx="6">
                  <c:v>48.126754602197799</c:v>
                </c:pt>
                <c:pt idx="7">
                  <c:v>90.024414487912111</c:v>
                </c:pt>
                <c:pt idx="8">
                  <c:v>36.949345318681317</c:v>
                </c:pt>
                <c:pt idx="9">
                  <c:v>31.58289890109889</c:v>
                </c:pt>
                <c:pt idx="10">
                  <c:v>77.452177846153845</c:v>
                </c:pt>
                <c:pt idx="11">
                  <c:v>155.33564756043955</c:v>
                </c:pt>
              </c:numCache>
            </c:numRef>
          </c:val>
        </c:ser>
        <c:ser>
          <c:idx val="1"/>
          <c:order val="2"/>
          <c:tx>
            <c:strRef>
              <c:f>'2.4.5.5 Emplois Mens. Intér Eq'!$P$268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Eq'!$P$269:$P$280</c:f>
              <c:numCache>
                <c:formatCode>0.00</c:formatCode>
                <c:ptCount val="12"/>
                <c:pt idx="0">
                  <c:v>61.88762571428569</c:v>
                </c:pt>
                <c:pt idx="1">
                  <c:v>30.566245846153844</c:v>
                </c:pt>
                <c:pt idx="2">
                  <c:v>13.175983384615382</c:v>
                </c:pt>
                <c:pt idx="3">
                  <c:v>3.0757102417582405</c:v>
                </c:pt>
                <c:pt idx="4">
                  <c:v>8.0098021978018963E-3</c:v>
                </c:pt>
                <c:pt idx="5">
                  <c:v>14.047615978021977</c:v>
                </c:pt>
                <c:pt idx="6">
                  <c:v>26.696770259340649</c:v>
                </c:pt>
                <c:pt idx="7">
                  <c:v>41.416987687912091</c:v>
                </c:pt>
                <c:pt idx="8">
                  <c:v>21.147730615384607</c:v>
                </c:pt>
                <c:pt idx="9">
                  <c:v>16.883045604395598</c:v>
                </c:pt>
                <c:pt idx="10">
                  <c:v>41.486693142857142</c:v>
                </c:pt>
                <c:pt idx="11">
                  <c:v>56.489543604395571</c:v>
                </c:pt>
              </c:numCache>
            </c:numRef>
          </c:val>
        </c:ser>
        <c:ser>
          <c:idx val="2"/>
          <c:order val="3"/>
          <c:tx>
            <c:strRef>
              <c:f>'2.4.5.5 Emplois Mens. Intér Eq'!$L$268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Eq'!$L$269:$L$280</c:f>
              <c:numCache>
                <c:formatCode>0.00</c:formatCode>
                <c:ptCount val="12"/>
                <c:pt idx="0">
                  <c:v>0</c:v>
                </c:pt>
                <c:pt idx="1">
                  <c:v>7.1029029362637299</c:v>
                </c:pt>
                <c:pt idx="2">
                  <c:v>11.972124237362634</c:v>
                </c:pt>
                <c:pt idx="3">
                  <c:v>16.709682145054938</c:v>
                </c:pt>
                <c:pt idx="4">
                  <c:v>15.44880208351648</c:v>
                </c:pt>
                <c:pt idx="5">
                  <c:v>11.386730769230766</c:v>
                </c:pt>
                <c:pt idx="6">
                  <c:v>2.9083376571428543</c:v>
                </c:pt>
                <c:pt idx="7">
                  <c:v>0.33451785494505515</c:v>
                </c:pt>
                <c:pt idx="8">
                  <c:v>12.477984606593401</c:v>
                </c:pt>
                <c:pt idx="9">
                  <c:v>14.060767252747247</c:v>
                </c:pt>
                <c:pt idx="10">
                  <c:v>2.9062104527472479</c:v>
                </c:pt>
                <c:pt idx="11">
                  <c:v>0</c:v>
                </c:pt>
              </c:numCache>
            </c:numRef>
          </c:val>
        </c:ser>
        <c:ser>
          <c:idx val="3"/>
          <c:order val="4"/>
          <c:tx>
            <c:strRef>
              <c:f>'2.4.5.5 Emplois Mens. Intér Eq'!$J$268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Eq'!$J$269:$J$280</c:f>
              <c:numCache>
                <c:formatCode>0.00</c:formatCode>
                <c:ptCount val="12"/>
                <c:pt idx="0">
                  <c:v>0</c:v>
                </c:pt>
                <c:pt idx="1">
                  <c:v>3.70575415384616</c:v>
                </c:pt>
                <c:pt idx="2">
                  <c:v>49.9677218901099</c:v>
                </c:pt>
                <c:pt idx="3">
                  <c:v>118.05812228571428</c:v>
                </c:pt>
                <c:pt idx="4">
                  <c:v>232.13057775824174</c:v>
                </c:pt>
                <c:pt idx="5">
                  <c:v>44.180717142857134</c:v>
                </c:pt>
                <c:pt idx="6">
                  <c:v>0.71988887472527363</c:v>
                </c:pt>
                <c:pt idx="7">
                  <c:v>0</c:v>
                </c:pt>
                <c:pt idx="8">
                  <c:v>24.450472681318693</c:v>
                </c:pt>
                <c:pt idx="9">
                  <c:v>25.212718681318691</c:v>
                </c:pt>
                <c:pt idx="10">
                  <c:v>0.60571859340659495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59376"/>
        <c:axId val="441258816"/>
      </c:areaChart>
      <c:catAx>
        <c:axId val="44125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58816"/>
        <c:crosses val="autoZero"/>
        <c:auto val="1"/>
        <c:lblAlgn val="ctr"/>
        <c:lblOffset val="100"/>
        <c:noMultiLvlLbl val="0"/>
      </c:catAx>
      <c:valAx>
        <c:axId val="441258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59376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0.16345121799346041"/>
          <c:w val="0.89999993543242518"/>
          <c:h val="5.8544393310569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4A206A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2C095F"/>
                </a:solidFill>
              </a:rPr>
              <a:t>Offre non placée</a:t>
            </a:r>
          </a:p>
        </c:rich>
      </c:tx>
      <c:layout/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4A206A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9999FF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2"/>
            <c:bubble3D val="0"/>
            <c:spPr>
              <a:solidFill>
                <a:srgbClr val="74489D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3.7091930716993543E-2"/>
                  <c:y val="-9.816564123671538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1196863980496837E-2"/>
                  <c:y val="-1.88929996830672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6069074571708369E-2"/>
                  <c:y val="-1.53691524623079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bg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'2.4.5.5 Emplois Mens. Intér Eq'!$B$315:$B$317</c:f>
              <c:strCache>
                <c:ptCount val="3"/>
                <c:pt idx="0">
                  <c:v>(B) offres non satisfaisantes</c:v>
                </c:pt>
                <c:pt idx="1">
                  <c:v>(C) offres hors demandes</c:v>
                </c:pt>
                <c:pt idx="2">
                  <c:v>(D) offres hors demandes</c:v>
                </c:pt>
              </c:strCache>
            </c:strRef>
          </c:cat>
          <c:val>
            <c:numRef>
              <c:f>'2.4.5.5 Emplois Mens. Intér Eq'!$C$315:$C$317</c:f>
              <c:numCache>
                <c:formatCode>0.00</c:formatCode>
                <c:ptCount val="3"/>
                <c:pt idx="0">
                  <c:v>95.308059995604339</c:v>
                </c:pt>
                <c:pt idx="1">
                  <c:v>326.8819618813186</c:v>
                </c:pt>
                <c:pt idx="2">
                  <c:v>702.98430891428575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/>
                </a:solidFill>
              </a:rPr>
              <a:t>Offre à 80%</a:t>
            </a:r>
          </a:p>
        </c:rich>
      </c:tx>
      <c:layout/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74489D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3.9000383889313234E-2"/>
                  <c:y val="-4.94201707539241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5619194113873091E-2"/>
                  <c:y val="-2.3758358928479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'2.4.5.5 Emplois Mens. Intér Eq'!$F$315:$F$316</c:f>
              <c:strCache>
                <c:ptCount val="2"/>
                <c:pt idx="0">
                  <c:v>Capacité à 80%</c:v>
                </c:pt>
                <c:pt idx="1">
                  <c:v>(D) offres hors demandes</c:v>
                </c:pt>
              </c:strCache>
            </c:strRef>
          </c:cat>
          <c:val>
            <c:numRef>
              <c:f>'2.4.5.5 Emplois Mens. Intér Eq'!$G$315:$G$316</c:f>
              <c:numCache>
                <c:formatCode>0.00</c:formatCode>
                <c:ptCount val="2"/>
                <c:pt idx="0">
                  <c:v>985.77577859340647</c:v>
                </c:pt>
                <c:pt idx="1">
                  <c:v>702.98430891428575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2776059388926"/>
          <c:y val="0.23625785429536744"/>
          <c:w val="0.67661407136204577"/>
          <c:h val="0.20552558176657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>
                    <a:lumMod val="75000"/>
                  </a:schemeClr>
                </a:solidFill>
              </a:rPr>
              <a:t>Offre</a:t>
            </a:r>
          </a:p>
        </c:rich>
      </c:tx>
      <c:layout>
        <c:manualLayout>
          <c:xMode val="edge"/>
          <c:yMode val="edge"/>
          <c:x val="0.39838598737151815"/>
          <c:y val="3.5359120124026061E-2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2C095F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4.5543518045361393E-2"/>
                  <c:y val="-8.4377440510136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2448178489144151E-2"/>
                  <c:y val="-1.8267022608955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'2.4.5.5 Emplois Mens. Intér Eq'!$B$331:$B$332</c:f>
              <c:strCache>
                <c:ptCount val="2"/>
                <c:pt idx="0">
                  <c:v>Capacité à 80%</c:v>
                </c:pt>
                <c:pt idx="1">
                  <c:v>offres non placées</c:v>
                </c:pt>
              </c:strCache>
            </c:strRef>
          </c:cat>
          <c:val>
            <c:numRef>
              <c:f>'2.4.5.5 Emplois Mens. Intér Eq'!$C$331:$C$332</c:f>
              <c:numCache>
                <c:formatCode>0.00</c:formatCode>
                <c:ptCount val="2"/>
                <c:pt idx="0">
                  <c:v>985.77577859340647</c:v>
                </c:pt>
                <c:pt idx="1">
                  <c:v>1125.1743307912086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639929130558554"/>
          <c:y val="0.23036466760802979"/>
          <c:w val="0.54096918558492924"/>
          <c:h val="0.16427327495520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>
                    <a:lumMod val="75000"/>
                  </a:schemeClr>
                </a:solidFill>
              </a:rPr>
              <a:t>Offre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602832600587312"/>
          <c:y val="0.54196760974668112"/>
          <c:w val="0.3167740647484229"/>
          <c:h val="0.334275469819227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9999FF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2.3697799518313353E-2"/>
                  <c:y val="2.8354116483707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4636978346971741E-2"/>
                  <c:y val="1.8155191271030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7922881781879632"/>
                  <c:y val="-1.2622556241650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'2.4.5.5 Emplois Mens. Intér Eq'!$F$331:$F$333</c:f>
              <c:strCache>
                <c:ptCount val="3"/>
                <c:pt idx="0">
                  <c:v>offre à 80%</c:v>
                </c:pt>
                <c:pt idx="1">
                  <c:v>(C) offres hors demandes</c:v>
                </c:pt>
                <c:pt idx="2">
                  <c:v>(B) offres non satisfaisantes</c:v>
                </c:pt>
              </c:strCache>
            </c:strRef>
          </c:cat>
          <c:val>
            <c:numRef>
              <c:f>'2.4.5.5 Emplois Mens. Intér Eq'!$G$331:$G$333</c:f>
              <c:numCache>
                <c:formatCode>0.00</c:formatCode>
                <c:ptCount val="3"/>
                <c:pt idx="0">
                  <c:v>1688.7600875076921</c:v>
                </c:pt>
                <c:pt idx="1">
                  <c:v>326.8819618813186</c:v>
                </c:pt>
                <c:pt idx="2">
                  <c:v>95.308059995604339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961617241855439"/>
          <c:y val="0.22447148092069213"/>
          <c:w val="0.67661407136204577"/>
          <c:h val="0.20552558176657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C00000"/>
                </a:solidFill>
              </a:rPr>
              <a:t>Demande non satisfaite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732730485195422"/>
          <c:y val="0.54470863760196486"/>
          <c:w val="0.31976118841173673"/>
          <c:h val="0.33742762865128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3.2860562747496866E-2"/>
                  <c:y val="-2.8643671483148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1004487883957604E-2"/>
                  <c:y val="8.70985150561639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'2.4.5.5 Emplois Mens. Intér Eq'!$B$346:$B$347</c:f>
              <c:strCache>
                <c:ptCount val="2"/>
                <c:pt idx="0">
                  <c:v>(A) demandes hors offres</c:v>
                </c:pt>
                <c:pt idx="1">
                  <c:v>(B) offres non satisfaisantes</c:v>
                </c:pt>
              </c:strCache>
            </c:strRef>
          </c:cat>
          <c:val>
            <c:numRef>
              <c:f>'2.4.5.5 Emplois Mens. Intér Eq'!$C$346:$C$347</c:f>
              <c:numCache>
                <c:formatCode>0.00</c:formatCode>
                <c:ptCount val="2"/>
                <c:pt idx="0">
                  <c:v>499.03169206153842</c:v>
                </c:pt>
                <c:pt idx="1">
                  <c:v>95.308059995604339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C000"/>
                </a:solidFill>
              </a:rPr>
              <a:t>Demande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1752953044157373"/>
          <c:y val="0.5441782508001044"/>
          <c:w val="0.32584844777744454"/>
          <c:h val="0.343851202140479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3.8514915616907487E-2"/>
                  <c:y val="-8.7840963772678905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8868243295239038E-2"/>
                  <c:y val="-4.9464717676915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'2.4.5.5 Emplois Mens. Intér Eq'!$F$346:$F$347</c:f>
              <c:strCache>
                <c:ptCount val="2"/>
                <c:pt idx="0">
                  <c:v>Capacité à 80%</c:v>
                </c:pt>
                <c:pt idx="1">
                  <c:v>demandes non satisfaites</c:v>
                </c:pt>
              </c:strCache>
            </c:strRef>
          </c:cat>
          <c:val>
            <c:numRef>
              <c:f>'2.4.5.5 Emplois Mens. Intér Eq'!$G$346:$G$347</c:f>
              <c:numCache>
                <c:formatCode>0.00</c:formatCode>
                <c:ptCount val="2"/>
                <c:pt idx="0">
                  <c:v>985.77577859340647</c:v>
                </c:pt>
                <c:pt idx="1">
                  <c:v>594.33975205714273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00185040723914"/>
          <c:y val="0.27161697441939348"/>
          <c:w val="0.64165773270586002"/>
          <c:h val="0.21362940950733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4A206A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Répartition par type</a:t>
            </a:r>
          </a:p>
        </c:rich>
      </c:tx>
      <c:layout/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4A206A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1.6756813163878424E-2"/>
                  <c:y val="-1.475771223757177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1116908509726817E-2"/>
                  <c:y val="-7.637346379341844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8061447543306568E-2"/>
                  <c:y val="-1.48075599428625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1994903171238066E-3"/>
                  <c:y val="-1.87937812395569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2591144260026143E-2"/>
                  <c:y val="-9.642141329809167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('Capacité par type'!$H$3,'Capacité par type'!$J$3,'Capacité par type'!$L$3,'Capacité par type'!$N$3,'Capacité par type'!$P$3)</c:f>
              <c:strCache>
                <c:ptCount val="5"/>
                <c:pt idx="0">
                  <c:v>intérimaires « permanent »</c:v>
                </c:pt>
                <c:pt idx="1">
                  <c:v>intérimaires «occasionnel»</c:v>
                </c:pt>
                <c:pt idx="2">
                  <c:v>intermittents « irréguliers »</c:v>
                </c:pt>
                <c:pt idx="3">
                  <c:v>interimaires en « insertion progressive »</c:v>
                </c:pt>
                <c:pt idx="4">
                  <c:v>« intensifs récents »</c:v>
                </c:pt>
              </c:strCache>
            </c:strRef>
          </c:cat>
          <c:val>
            <c:numRef>
              <c:f>('Capacité par type'!$H$7,'Capacité par type'!$J$7,'Capacité par type'!$L$7,'Capacité par type'!$N$7,'Capacité par type'!$P$7)</c:f>
              <c:numCache>
                <c:formatCode>0.00%</c:formatCode>
                <c:ptCount val="5"/>
                <c:pt idx="0">
                  <c:v>0.13200000000000001</c:v>
                </c:pt>
                <c:pt idx="1">
                  <c:v>0.42199999999999999</c:v>
                </c:pt>
                <c:pt idx="2">
                  <c:v>0.122</c:v>
                </c:pt>
                <c:pt idx="3">
                  <c:v>0.16200000000000001</c:v>
                </c:pt>
                <c:pt idx="4">
                  <c:v>0.16200000000000001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4A206A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Quantité annuelle d'EIE par type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4A206A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8.7823466634750127E-3"/>
                  <c:y val="2.593929354028016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7507339141478366E-2"/>
                  <c:y val="-4.78461749251010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4639114548788253E-2"/>
                  <c:y val="-3.65983578926568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2434255255839313E-2"/>
                  <c:y val="-1.51289244094375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5.101555266311928E-3"/>
                  <c:y val="-8.490466090175783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('Capacité par type'!$H$3,'Capacité par type'!$J$3,'Capacité par type'!$L$3,'Capacité par type'!$N$3,'Capacité par type'!$P$3)</c:f>
              <c:strCache>
                <c:ptCount val="5"/>
                <c:pt idx="0">
                  <c:v>intérimaires « permanent »</c:v>
                </c:pt>
                <c:pt idx="1">
                  <c:v>intérimaires «occasionnel»</c:v>
                </c:pt>
                <c:pt idx="2">
                  <c:v>intermittents « irréguliers »</c:v>
                </c:pt>
                <c:pt idx="3">
                  <c:v>interimaires en « insertion progressive »</c:v>
                </c:pt>
                <c:pt idx="4">
                  <c:v>« intensifs récents »</c:v>
                </c:pt>
              </c:strCache>
            </c:strRef>
          </c:cat>
          <c:val>
            <c:numRef>
              <c:f>('Capacité par type'!$D$53,'Capacité par type'!$F$53,'Capacité par type'!$H$53,'Capacité par type'!$J$53,'Capacité par type'!$L$53)</c:f>
              <c:numCache>
                <c:formatCode>0.00</c:formatCode>
                <c:ptCount val="5"/>
                <c:pt idx="0">
                  <c:v>130.12240277432969</c:v>
                </c:pt>
                <c:pt idx="1">
                  <c:v>415.99737856641758</c:v>
                </c:pt>
                <c:pt idx="2">
                  <c:v>120.26464498839559</c:v>
                </c:pt>
                <c:pt idx="3">
                  <c:v>159.69567613213189</c:v>
                </c:pt>
                <c:pt idx="4">
                  <c:v>159.69567613213189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4A206A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Quantité annuelle d'ETP par type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4A206A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1.3598126038790882E-2"/>
                  <c:y val="3.544011515318909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7783212520259904E-2"/>
                  <c:y val="-5.74939516924542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4865468455220189E-2"/>
                  <c:y val="2.111121087629700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3867065309223823E-2"/>
                  <c:y val="-8.49068357137686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4371157737725501E-3"/>
                  <c:y val="-2.76608125905459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'Capacité par type'!$D$40:$M$40</c15:sqref>
                  </c15:fullRef>
                </c:ext>
              </c:extLst>
              <c:f>('Capacité par type'!$D$40,'Capacité par type'!$F$40,'Capacité par type'!$H$40,'Capacité par type'!$J$40,'Capacité par type'!$L$40)</c:f>
              <c:strCache>
                <c:ptCount val="5"/>
                <c:pt idx="0">
                  <c:v>intérimaires « permanent »</c:v>
                </c:pt>
                <c:pt idx="1">
                  <c:v>intérimaires «occasionnel»</c:v>
                </c:pt>
                <c:pt idx="2">
                  <c:v>intermittents « irréguliers »</c:v>
                </c:pt>
                <c:pt idx="3">
                  <c:v>interimaires en « insertion progressive »</c:v>
                </c:pt>
                <c:pt idx="4">
                  <c:v>« intensifs récents »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'Capacité par type'!$D$92:$M$92</c15:sqref>
                  </c15:fullRef>
                </c:ext>
              </c:extLst>
              <c:f>('Capacité par type'!$D$92,'Capacité par type'!$F$92,'Capacité par type'!$H$92,'Capacité par type'!$J$92,'Capacité par type'!$L$92)</c:f>
              <c:numCache>
                <c:formatCode>0.00</c:formatCode>
                <c:ptCount val="5"/>
                <c:pt idx="0">
                  <c:v>124.66817032271108</c:v>
                </c:pt>
                <c:pt idx="1">
                  <c:v>124.55011334323881</c:v>
                </c:pt>
                <c:pt idx="2">
                  <c:v>70.814511520113172</c:v>
                </c:pt>
                <c:pt idx="3">
                  <c:v>127.50153783004542</c:v>
                </c:pt>
                <c:pt idx="4">
                  <c:v>127.50153783004542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mensuelle de l'offre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'2.3.2'!$F$2</c:f>
              <c:strCache>
                <c:ptCount val="1"/>
                <c:pt idx="0">
                  <c:v>Qt offres (bleu+rouge+violet)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bg2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9525" cap="rnd" cmpd="sng" algn="ctr">
                <a:solidFill>
                  <a:schemeClr val="bg2"/>
                </a:solidFill>
                <a:miter lim="800000"/>
              </a:ln>
              <a:effectLst>
                <a:glow rad="139700">
                  <a:schemeClr val="accent4">
                    <a:satMod val="175000"/>
                    <a:alpha val="14000"/>
                  </a:schemeClr>
                </a:glow>
              </a:effectLst>
            </c:spPr>
          </c:dPt>
          <c:cat>
            <c:strRef>
              <c:f>'2.3.2'!$B$3:$B$33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'2.3.2'!$F$3:$F$33</c:f>
              <c:numCache>
                <c:formatCode>General</c:formatCode>
                <c:ptCount val="31"/>
                <c:pt idx="0">
                  <c:v>39</c:v>
                </c:pt>
                <c:pt idx="1">
                  <c:v>28.599999999999998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15.690000000000001</c:v>
                </c:pt>
                <c:pt idx="23">
                  <c:v>7.43</c:v>
                </c:pt>
                <c:pt idx="24">
                  <c:v>9.9</c:v>
                </c:pt>
                <c:pt idx="25">
                  <c:v>15.680000000000001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41088"/>
        <c:axId val="432927088"/>
      </c:barChart>
      <c:catAx>
        <c:axId val="43294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27088"/>
        <c:crosses val="autoZero"/>
        <c:auto val="1"/>
        <c:lblAlgn val="ctr"/>
        <c:lblOffset val="100"/>
        <c:noMultiLvlLbl val="0"/>
      </c:catAx>
      <c:valAx>
        <c:axId val="43292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410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4A206A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Répartition par CSP</a:t>
            </a:r>
          </a:p>
        </c:rich>
      </c:tx>
      <c:layout/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4A206A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3.0057797762125839E-2"/>
                  <c:y val="-1.872293764655818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0342492460624051E-3"/>
                  <c:y val="2.14203906213806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9500599694969968E-2"/>
                  <c:y val="-2.6705152619938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931259655582593E-2"/>
                  <c:y val="1.61617072741949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6290824913747575E-2"/>
                  <c:y val="8.1242669214397505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('Capacité par CSP'!$H$3,'Capacité par CSP'!$J$3,'Capacité par CSP'!$L$3,'Capacité par CSP'!$N$3,'Capacité par CSP'!$P$3)</c:f>
              <c:strCache>
                <c:ptCount val="5"/>
                <c:pt idx="0">
                  <c:v>cadre</c:v>
                </c:pt>
                <c:pt idx="1">
                  <c:v>profession intermédiaire</c:v>
                </c:pt>
                <c:pt idx="2">
                  <c:v>employé</c:v>
                </c:pt>
                <c:pt idx="3">
                  <c:v>ouvrier qualifié</c:v>
                </c:pt>
                <c:pt idx="4">
                  <c:v>ouvrier non qualifié</c:v>
                </c:pt>
              </c:strCache>
            </c:strRef>
          </c:cat>
          <c:val>
            <c:numRef>
              <c:f>('Capacité par CSP'!$H$6,'Capacité par CSP'!$J$6,'Capacité par CSP'!$L$6,'Capacité par CSP'!$N$6,'Capacité par CSP'!$P$6)</c:f>
              <c:numCache>
                <c:formatCode>0.00%</c:formatCode>
                <c:ptCount val="5"/>
                <c:pt idx="0">
                  <c:v>1.9199999999999998E-2</c:v>
                </c:pt>
                <c:pt idx="1">
                  <c:v>7.9200000000000007E-2</c:v>
                </c:pt>
                <c:pt idx="2">
                  <c:v>0.12720000000000001</c:v>
                </c:pt>
                <c:pt idx="3">
                  <c:v>0.40720000000000001</c:v>
                </c:pt>
                <c:pt idx="4">
                  <c:v>0.36720000000000003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4A206A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Quantité annuelle d'EIE par CSP</a:t>
            </a:r>
          </a:p>
        </c:rich>
      </c:tx>
      <c:layout/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4A206A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noFill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4.0322601343514071E-2"/>
                  <c:y val="-2.889852060412883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889083577242193E-2"/>
                  <c:y val="-4.36219135532592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81543708632152E-2"/>
                  <c:y val="5.342748646901503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298495086449855E-2"/>
                  <c:y val="-3.12679961869943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9398330725606233E-2"/>
                  <c:y val="-1.28923648151744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('Capacité par CSP'!$D$30,'Capacité par CSP'!$F$30,'Capacité par CSP'!$H$30,'Capacité par CSP'!$J$30,'Capacité par CSP'!$L$30)</c:f>
              <c:strCache>
                <c:ptCount val="5"/>
                <c:pt idx="0">
                  <c:v>cadre</c:v>
                </c:pt>
                <c:pt idx="1">
                  <c:v>profession intermédiaire</c:v>
                </c:pt>
                <c:pt idx="2">
                  <c:v>employé</c:v>
                </c:pt>
                <c:pt idx="3">
                  <c:v>ouvrier qualifié</c:v>
                </c:pt>
                <c:pt idx="4">
                  <c:v>ouvrier non qualifié</c:v>
                </c:pt>
              </c:strCache>
            </c:strRef>
          </c:cat>
          <c:val>
            <c:numRef>
              <c:f>('Capacité par CSP'!$D$43,'Capacité par CSP'!$F$43,'Capacité par CSP'!$H$43,'Capacité par CSP'!$J$43,'Capacité par CSP'!$L$43)</c:f>
              <c:numCache>
                <c:formatCode>0.00</c:formatCode>
                <c:ptCount val="5"/>
                <c:pt idx="0">
                  <c:v>18.926894948993407</c:v>
                </c:pt>
                <c:pt idx="1">
                  <c:v>78.073441664597809</c:v>
                </c:pt>
                <c:pt idx="2">
                  <c:v>125.39067903708133</c:v>
                </c:pt>
                <c:pt idx="3">
                  <c:v>401.40789704323521</c:v>
                </c:pt>
                <c:pt idx="4">
                  <c:v>361.97686589949893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39728159587336E-2"/>
          <c:y val="0.34986299084252609"/>
          <c:w val="0.94265004697291066"/>
          <c:h val="0.49338723857561823"/>
        </c:manualLayout>
      </c:layout>
      <c:areaChart>
        <c:grouping val="stacked"/>
        <c:varyColors val="0"/>
        <c:ser>
          <c:idx val="4"/>
          <c:order val="0"/>
          <c:tx>
            <c:strRef>
              <c:f>'2.4.5.5 Emplois Mens. Intér Eq'!$R$268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Eq'!$R$269:$R$280</c:f>
              <c:numCache>
                <c:formatCode>0.00</c:formatCode>
                <c:ptCount val="12"/>
                <c:pt idx="0">
                  <c:v>77.316125538461549</c:v>
                </c:pt>
                <c:pt idx="1">
                  <c:v>90.025599481318679</c:v>
                </c:pt>
                <c:pt idx="2">
                  <c:v>86.06630785054945</c:v>
                </c:pt>
                <c:pt idx="3">
                  <c:v>77.09977614065933</c:v>
                </c:pt>
                <c:pt idx="4">
                  <c:v>61.827247542857144</c:v>
                </c:pt>
                <c:pt idx="5">
                  <c:v>85.677605802197803</c:v>
                </c:pt>
                <c:pt idx="6">
                  <c:v>70.293677063736254</c:v>
                </c:pt>
                <c:pt idx="7">
                  <c:v>76.981607683516486</c:v>
                </c:pt>
                <c:pt idx="8">
                  <c:v>97.553515569230768</c:v>
                </c:pt>
                <c:pt idx="9">
                  <c:v>92.192352527472522</c:v>
                </c:pt>
                <c:pt idx="10">
                  <c:v>100.11943653626373</c:v>
                </c:pt>
                <c:pt idx="11">
                  <c:v>70.622526857142844</c:v>
                </c:pt>
              </c:numCache>
            </c:numRef>
          </c:val>
        </c:ser>
        <c:ser>
          <c:idx val="0"/>
          <c:order val="1"/>
          <c:tx>
            <c:strRef>
              <c:f>'2.4.5.5 Emplois Mens. Intér Eq'!$N$268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74489D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Eq'!$N$269:$N$280</c:f>
              <c:numCache>
                <c:formatCode>0.00</c:formatCode>
                <c:ptCount val="12"/>
                <c:pt idx="0">
                  <c:v>170.23437731868131</c:v>
                </c:pt>
                <c:pt idx="1">
                  <c:v>60.650995648351632</c:v>
                </c:pt>
                <c:pt idx="2">
                  <c:v>14.526122637362636</c:v>
                </c:pt>
                <c:pt idx="3">
                  <c:v>2.0417934065934076</c:v>
                </c:pt>
                <c:pt idx="4">
                  <c:v>0</c:v>
                </c:pt>
                <c:pt idx="5">
                  <c:v>16.05978118681319</c:v>
                </c:pt>
                <c:pt idx="6">
                  <c:v>48.126754602197799</c:v>
                </c:pt>
                <c:pt idx="7">
                  <c:v>90.024414487912111</c:v>
                </c:pt>
                <c:pt idx="8">
                  <c:v>36.949345318681317</c:v>
                </c:pt>
                <c:pt idx="9">
                  <c:v>31.58289890109889</c:v>
                </c:pt>
                <c:pt idx="10">
                  <c:v>77.452177846153845</c:v>
                </c:pt>
                <c:pt idx="11">
                  <c:v>155.33564756043955</c:v>
                </c:pt>
              </c:numCache>
            </c:numRef>
          </c:val>
        </c:ser>
        <c:ser>
          <c:idx val="1"/>
          <c:order val="2"/>
          <c:tx>
            <c:strRef>
              <c:f>'2.4.5.5 Emplois Mens. Intér Eq'!$P$268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Eq'!$P$269:$P$280</c:f>
              <c:numCache>
                <c:formatCode>0.00</c:formatCode>
                <c:ptCount val="12"/>
                <c:pt idx="0">
                  <c:v>61.88762571428569</c:v>
                </c:pt>
                <c:pt idx="1">
                  <c:v>30.566245846153844</c:v>
                </c:pt>
                <c:pt idx="2">
                  <c:v>13.175983384615382</c:v>
                </c:pt>
                <c:pt idx="3">
                  <c:v>3.0757102417582405</c:v>
                </c:pt>
                <c:pt idx="4">
                  <c:v>8.0098021978018963E-3</c:v>
                </c:pt>
                <c:pt idx="5">
                  <c:v>14.047615978021977</c:v>
                </c:pt>
                <c:pt idx="6">
                  <c:v>26.696770259340649</c:v>
                </c:pt>
                <c:pt idx="7">
                  <c:v>41.416987687912091</c:v>
                </c:pt>
                <c:pt idx="8">
                  <c:v>21.147730615384607</c:v>
                </c:pt>
                <c:pt idx="9">
                  <c:v>16.883045604395598</c:v>
                </c:pt>
                <c:pt idx="10">
                  <c:v>41.486693142857142</c:v>
                </c:pt>
                <c:pt idx="11">
                  <c:v>56.489543604395571</c:v>
                </c:pt>
              </c:numCache>
            </c:numRef>
          </c:val>
        </c:ser>
        <c:ser>
          <c:idx val="2"/>
          <c:order val="3"/>
          <c:tx>
            <c:strRef>
              <c:f>'2.4.5.5 Emplois Mens. Intér Eq'!$L$268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Eq'!$L$269:$L$280</c:f>
              <c:numCache>
                <c:formatCode>0.00</c:formatCode>
                <c:ptCount val="12"/>
                <c:pt idx="0">
                  <c:v>0</c:v>
                </c:pt>
                <c:pt idx="1">
                  <c:v>7.1029029362637299</c:v>
                </c:pt>
                <c:pt idx="2">
                  <c:v>11.972124237362634</c:v>
                </c:pt>
                <c:pt idx="3">
                  <c:v>16.709682145054938</c:v>
                </c:pt>
                <c:pt idx="4">
                  <c:v>15.44880208351648</c:v>
                </c:pt>
                <c:pt idx="5">
                  <c:v>11.386730769230766</c:v>
                </c:pt>
                <c:pt idx="6">
                  <c:v>2.9083376571428543</c:v>
                </c:pt>
                <c:pt idx="7">
                  <c:v>0.33451785494505515</c:v>
                </c:pt>
                <c:pt idx="8">
                  <c:v>12.477984606593401</c:v>
                </c:pt>
                <c:pt idx="9">
                  <c:v>14.060767252747247</c:v>
                </c:pt>
                <c:pt idx="10">
                  <c:v>2.9062104527472479</c:v>
                </c:pt>
                <c:pt idx="11">
                  <c:v>0</c:v>
                </c:pt>
              </c:numCache>
            </c:numRef>
          </c:val>
        </c:ser>
        <c:ser>
          <c:idx val="3"/>
          <c:order val="4"/>
          <c:tx>
            <c:strRef>
              <c:f>'2.4.5.5 Emplois Mens. Intér Eq'!$J$268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Eq'!$J$269:$J$280</c:f>
              <c:numCache>
                <c:formatCode>0.00</c:formatCode>
                <c:ptCount val="12"/>
                <c:pt idx="0">
                  <c:v>0</c:v>
                </c:pt>
                <c:pt idx="1">
                  <c:v>3.70575415384616</c:v>
                </c:pt>
                <c:pt idx="2">
                  <c:v>49.9677218901099</c:v>
                </c:pt>
                <c:pt idx="3">
                  <c:v>118.05812228571428</c:v>
                </c:pt>
                <c:pt idx="4">
                  <c:v>232.13057775824174</c:v>
                </c:pt>
                <c:pt idx="5">
                  <c:v>44.180717142857134</c:v>
                </c:pt>
                <c:pt idx="6">
                  <c:v>0.71988887472527363</c:v>
                </c:pt>
                <c:pt idx="7">
                  <c:v>0</c:v>
                </c:pt>
                <c:pt idx="8">
                  <c:v>24.450472681318693</c:v>
                </c:pt>
                <c:pt idx="9">
                  <c:v>25.212718681318691</c:v>
                </c:pt>
                <c:pt idx="10">
                  <c:v>0.60571859340659495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08880"/>
        <c:axId val="507809440"/>
      </c:areaChart>
      <c:catAx>
        <c:axId val="507808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809440"/>
        <c:crosses val="autoZero"/>
        <c:auto val="1"/>
        <c:lblAlgn val="ctr"/>
        <c:lblOffset val="100"/>
        <c:noMultiLvlLbl val="0"/>
      </c:catAx>
      <c:valAx>
        <c:axId val="50780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80888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390992517944208E-2"/>
          <c:y val="5.8729021892723721E-2"/>
          <c:w val="0.89999993543242518"/>
          <c:h val="0.12038011955726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39728159587336E-2"/>
          <c:y val="0.34986299084252609"/>
          <c:w val="0.94265004697291066"/>
          <c:h val="0.49338723857561823"/>
        </c:manualLayout>
      </c:layout>
      <c:areaChart>
        <c:grouping val="stacked"/>
        <c:varyColors val="0"/>
        <c:ser>
          <c:idx val="4"/>
          <c:order val="0"/>
          <c:tx>
            <c:strRef>
              <c:f>'2.4.5.5 Emplois Mens. Intér Eq'!$R$268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Eq'!$R$269:$R$280</c:f>
              <c:numCache>
                <c:formatCode>0.00</c:formatCode>
                <c:ptCount val="12"/>
                <c:pt idx="0">
                  <c:v>77.316125538461549</c:v>
                </c:pt>
                <c:pt idx="1">
                  <c:v>90.025599481318679</c:v>
                </c:pt>
                <c:pt idx="2">
                  <c:v>86.06630785054945</c:v>
                </c:pt>
                <c:pt idx="3">
                  <c:v>77.09977614065933</c:v>
                </c:pt>
                <c:pt idx="4">
                  <c:v>61.827247542857144</c:v>
                </c:pt>
                <c:pt idx="5">
                  <c:v>85.677605802197803</c:v>
                </c:pt>
                <c:pt idx="6">
                  <c:v>70.293677063736254</c:v>
                </c:pt>
                <c:pt idx="7">
                  <c:v>76.981607683516486</c:v>
                </c:pt>
                <c:pt idx="8">
                  <c:v>97.553515569230768</c:v>
                </c:pt>
                <c:pt idx="9">
                  <c:v>92.192352527472522</c:v>
                </c:pt>
                <c:pt idx="10">
                  <c:v>100.11943653626373</c:v>
                </c:pt>
                <c:pt idx="11">
                  <c:v>70.622526857142844</c:v>
                </c:pt>
              </c:numCache>
            </c:numRef>
          </c:val>
        </c:ser>
        <c:ser>
          <c:idx val="0"/>
          <c:order val="1"/>
          <c:tx>
            <c:strRef>
              <c:f>'2.4.5.5 Emplois Mens. Intér Eq'!$N$268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74489D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Eq'!$N$269:$N$280</c:f>
              <c:numCache>
                <c:formatCode>0.00</c:formatCode>
                <c:ptCount val="12"/>
                <c:pt idx="0">
                  <c:v>170.23437731868131</c:v>
                </c:pt>
                <c:pt idx="1">
                  <c:v>60.650995648351632</c:v>
                </c:pt>
                <c:pt idx="2">
                  <c:v>14.526122637362636</c:v>
                </c:pt>
                <c:pt idx="3">
                  <c:v>2.0417934065934076</c:v>
                </c:pt>
                <c:pt idx="4">
                  <c:v>0</c:v>
                </c:pt>
                <c:pt idx="5">
                  <c:v>16.05978118681319</c:v>
                </c:pt>
                <c:pt idx="6">
                  <c:v>48.126754602197799</c:v>
                </c:pt>
                <c:pt idx="7">
                  <c:v>90.024414487912111</c:v>
                </c:pt>
                <c:pt idx="8">
                  <c:v>36.949345318681317</c:v>
                </c:pt>
                <c:pt idx="9">
                  <c:v>31.58289890109889</c:v>
                </c:pt>
                <c:pt idx="10">
                  <c:v>77.452177846153845</c:v>
                </c:pt>
                <c:pt idx="11">
                  <c:v>155.33564756043955</c:v>
                </c:pt>
              </c:numCache>
            </c:numRef>
          </c:val>
        </c:ser>
        <c:ser>
          <c:idx val="1"/>
          <c:order val="2"/>
          <c:tx>
            <c:strRef>
              <c:f>'2.4.5.5 Emplois Mens. Intér Eq'!$P$268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Eq'!$P$269:$P$280</c:f>
              <c:numCache>
                <c:formatCode>0.00</c:formatCode>
                <c:ptCount val="12"/>
                <c:pt idx="0">
                  <c:v>61.88762571428569</c:v>
                </c:pt>
                <c:pt idx="1">
                  <c:v>30.566245846153844</c:v>
                </c:pt>
                <c:pt idx="2">
                  <c:v>13.175983384615382</c:v>
                </c:pt>
                <c:pt idx="3">
                  <c:v>3.0757102417582405</c:v>
                </c:pt>
                <c:pt idx="4">
                  <c:v>8.0098021978018963E-3</c:v>
                </c:pt>
                <c:pt idx="5">
                  <c:v>14.047615978021977</c:v>
                </c:pt>
                <c:pt idx="6">
                  <c:v>26.696770259340649</c:v>
                </c:pt>
                <c:pt idx="7">
                  <c:v>41.416987687912091</c:v>
                </c:pt>
                <c:pt idx="8">
                  <c:v>21.147730615384607</c:v>
                </c:pt>
                <c:pt idx="9">
                  <c:v>16.883045604395598</c:v>
                </c:pt>
                <c:pt idx="10">
                  <c:v>41.486693142857142</c:v>
                </c:pt>
                <c:pt idx="11">
                  <c:v>56.489543604395571</c:v>
                </c:pt>
              </c:numCache>
            </c:numRef>
          </c:val>
        </c:ser>
        <c:ser>
          <c:idx val="2"/>
          <c:order val="3"/>
          <c:tx>
            <c:strRef>
              <c:f>'2.4.5.5 Emplois Mens. Intér Eq'!$L$268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Eq'!$L$269:$L$280</c:f>
              <c:numCache>
                <c:formatCode>0.00</c:formatCode>
                <c:ptCount val="12"/>
                <c:pt idx="0">
                  <c:v>0</c:v>
                </c:pt>
                <c:pt idx="1">
                  <c:v>7.1029029362637299</c:v>
                </c:pt>
                <c:pt idx="2">
                  <c:v>11.972124237362634</c:v>
                </c:pt>
                <c:pt idx="3">
                  <c:v>16.709682145054938</c:v>
                </c:pt>
                <c:pt idx="4">
                  <c:v>15.44880208351648</c:v>
                </c:pt>
                <c:pt idx="5">
                  <c:v>11.386730769230766</c:v>
                </c:pt>
                <c:pt idx="6">
                  <c:v>2.9083376571428543</c:v>
                </c:pt>
                <c:pt idx="7">
                  <c:v>0.33451785494505515</c:v>
                </c:pt>
                <c:pt idx="8">
                  <c:v>12.477984606593401</c:v>
                </c:pt>
                <c:pt idx="9">
                  <c:v>14.060767252747247</c:v>
                </c:pt>
                <c:pt idx="10">
                  <c:v>2.9062104527472479</c:v>
                </c:pt>
                <c:pt idx="11">
                  <c:v>0</c:v>
                </c:pt>
              </c:numCache>
            </c:numRef>
          </c:val>
        </c:ser>
        <c:ser>
          <c:idx val="3"/>
          <c:order val="4"/>
          <c:tx>
            <c:strRef>
              <c:f>'2.4.5.5 Emplois Mens. Intér Eq'!$J$268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noFill/>
              <a:miter lim="800000"/>
            </a:ln>
            <a:effectLst/>
          </c:spPr>
          <c:cat>
            <c:strRef>
              <c:f>'2.4.5.5 Emplois Mens. Intér Eq'!$B$269:$B$280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'2.4.5.5 Emplois Mens. Intér Eq'!$J$269:$J$280</c:f>
              <c:numCache>
                <c:formatCode>0.00</c:formatCode>
                <c:ptCount val="12"/>
                <c:pt idx="0">
                  <c:v>0</c:v>
                </c:pt>
                <c:pt idx="1">
                  <c:v>3.70575415384616</c:v>
                </c:pt>
                <c:pt idx="2">
                  <c:v>49.9677218901099</c:v>
                </c:pt>
                <c:pt idx="3">
                  <c:v>118.05812228571428</c:v>
                </c:pt>
                <c:pt idx="4">
                  <c:v>232.13057775824174</c:v>
                </c:pt>
                <c:pt idx="5">
                  <c:v>44.180717142857134</c:v>
                </c:pt>
                <c:pt idx="6">
                  <c:v>0.71988887472527363</c:v>
                </c:pt>
                <c:pt idx="7">
                  <c:v>0</c:v>
                </c:pt>
                <c:pt idx="8">
                  <c:v>24.450472681318693</c:v>
                </c:pt>
                <c:pt idx="9">
                  <c:v>25.212718681318691</c:v>
                </c:pt>
                <c:pt idx="10">
                  <c:v>0.60571859340659495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06640"/>
        <c:axId val="507307200"/>
      </c:areaChart>
      <c:catAx>
        <c:axId val="507306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07200"/>
        <c:crosses val="autoZero"/>
        <c:auto val="1"/>
        <c:lblAlgn val="ctr"/>
        <c:lblOffset val="100"/>
        <c:noMultiLvlLbl val="0"/>
      </c:catAx>
      <c:valAx>
        <c:axId val="50730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066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390992517944208E-2"/>
          <c:y val="5.8729021892723721E-2"/>
          <c:w val="0.89999993543242518"/>
          <c:h val="0.12038011955726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177188384397458E-2"/>
          <c:y val="3.4591194968553458E-2"/>
          <c:w val="0.88299453531485417"/>
          <c:h val="0.82052394394096961"/>
        </c:manualLayout>
      </c:layout>
      <c:bar3DChart>
        <c:barDir val="col"/>
        <c:grouping val="stacked"/>
        <c:varyColors val="0"/>
        <c:ser>
          <c:idx val="4"/>
          <c:order val="0"/>
          <c:tx>
            <c:strRef>
              <c:f>Feuil1!$D$2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0.13383835722612802"/>
                  <c:y val="-5.6603773584905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Feuil1!$A$3</c:f>
              <c:strCache>
                <c:ptCount val="1"/>
                <c:pt idx="0">
                  <c:v>ETP Annuel</c:v>
                </c:pt>
              </c:strCache>
            </c:strRef>
          </c:cat>
          <c:val>
            <c:numRef>
              <c:f>Feuil1!$D$3</c:f>
              <c:numCache>
                <c:formatCode>0.00</c:formatCode>
                <c:ptCount val="1"/>
                <c:pt idx="0">
                  <c:v>47.919655903846156</c:v>
                </c:pt>
              </c:numCache>
            </c:numRef>
          </c:val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-0.13131310520299352"/>
                  <c:y val="-1.5723270440251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Feuil1!$A$3</c:f>
              <c:strCache>
                <c:ptCount val="1"/>
                <c:pt idx="0">
                  <c:v>ETP Annuel</c:v>
                </c:pt>
              </c:strCache>
            </c:strRef>
          </c:cat>
          <c:val>
            <c:numRef>
              <c:f>Feuil1!$C$3</c:f>
              <c:numCache>
                <c:formatCode>0.00</c:formatCode>
                <c:ptCount val="1"/>
                <c:pt idx="0">
                  <c:v>4.6330306942307677</c:v>
                </c:pt>
              </c:numCache>
            </c:numRef>
          </c:val>
        </c:ser>
        <c:ser>
          <c:idx val="0"/>
          <c:order val="2"/>
          <c:tx>
            <c:strRef>
              <c:f>Feuil1!$B$2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0.13131310520299352"/>
                  <c:y val="-9.4339622641510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Feuil1!$A$3</c:f>
              <c:strCache>
                <c:ptCount val="1"/>
                <c:pt idx="0">
                  <c:v>ETP Annuel</c:v>
                </c:pt>
              </c:strCache>
            </c:strRef>
          </c:cat>
          <c:val>
            <c:numRef>
              <c:f>Feuil1!$B$3</c:f>
              <c:numCache>
                <c:formatCode>0.00</c:formatCode>
                <c:ptCount val="1"/>
                <c:pt idx="0">
                  <c:v>24.258485030769229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07311120"/>
        <c:axId val="507311680"/>
        <c:axId val="0"/>
      </c:bar3DChart>
      <c:catAx>
        <c:axId val="5073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11680"/>
        <c:crosses val="autoZero"/>
        <c:auto val="1"/>
        <c:lblAlgn val="ctr"/>
        <c:lblOffset val="100"/>
        <c:noMultiLvlLbl val="0"/>
      </c:catAx>
      <c:valAx>
        <c:axId val="5073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177188384397458E-2"/>
          <c:y val="3.4591194968553458E-2"/>
          <c:w val="0.88299453531485417"/>
          <c:h val="0.82052394394096961"/>
        </c:manualLayout>
      </c:layout>
      <c:bar3DChart>
        <c:barDir val="col"/>
        <c:grouping val="stacked"/>
        <c:varyColors val="0"/>
        <c:ser>
          <c:idx val="4"/>
          <c:order val="0"/>
          <c:tx>
            <c:strRef>
              <c:f>Feuil1!$D$2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0.138888861272397"/>
                  <c:y val="-2.83018867924529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Feuil1!$A$3</c:f>
              <c:strCache>
                <c:ptCount val="1"/>
                <c:pt idx="0">
                  <c:v>ETP Annuel</c:v>
                </c:pt>
              </c:strCache>
            </c:strRef>
          </c:cat>
          <c:val>
            <c:numRef>
              <c:f>Feuil1!$D$9</c:f>
              <c:numCache>
                <c:formatCode>0.00</c:formatCode>
                <c:ptCount val="1"/>
                <c:pt idx="0">
                  <c:v>57.503587084615376</c:v>
                </c:pt>
              </c:numCache>
            </c:numRef>
          </c:val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0.14393936531866597"/>
                  <c:y val="-1.2578616352201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Feuil1!$A$3</c:f>
              <c:strCache>
                <c:ptCount val="1"/>
                <c:pt idx="0">
                  <c:v>ETP Annuel</c:v>
                </c:pt>
              </c:strCache>
            </c:strRef>
          </c:cat>
          <c:val>
            <c:numRef>
              <c:f>Feuil1!$C$9</c:f>
              <c:numCache>
                <c:formatCode>0.00</c:formatCode>
                <c:ptCount val="1"/>
                <c:pt idx="0">
                  <c:v>1.1119273666153844</c:v>
                </c:pt>
              </c:numCache>
            </c:numRef>
          </c:val>
        </c:ser>
        <c:ser>
          <c:idx val="0"/>
          <c:order val="2"/>
          <c:tx>
            <c:strRef>
              <c:f>Feuil1!$B$2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0.14646461734180047"/>
                  <c:y val="-2.882566281061130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Feuil1!$A$3</c:f>
              <c:strCache>
                <c:ptCount val="1"/>
                <c:pt idx="0">
                  <c:v>ETP Annuel</c:v>
                </c:pt>
              </c:strCache>
            </c:strRef>
          </c:cat>
          <c:val>
            <c:numRef>
              <c:f>Feuil1!$B$9</c:f>
              <c:numCache>
                <c:formatCode>0.00</c:formatCode>
                <c:ptCount val="1"/>
                <c:pt idx="0">
                  <c:v>18.19386377307692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07315600"/>
        <c:axId val="507316160"/>
        <c:axId val="0"/>
      </c:bar3DChart>
      <c:catAx>
        <c:axId val="5073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16160"/>
        <c:crosses val="autoZero"/>
        <c:auto val="1"/>
        <c:lblAlgn val="ctr"/>
        <c:lblOffset val="100"/>
        <c:noMultiLvlLbl val="0"/>
      </c:catAx>
      <c:valAx>
        <c:axId val="5073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Satisfaction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7.938505841751331E-2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63356647677302458"/>
        </c:manualLayout>
      </c:layout>
      <c:lineChart>
        <c:grouping val="standard"/>
        <c:varyColors val="0"/>
        <c:ser>
          <c:idx val="1"/>
          <c:order val="0"/>
          <c:tx>
            <c:strRef>
              <c:f>'3.6.1'!$Y$3</c:f>
              <c:strCache>
                <c:ptCount val="1"/>
                <c:pt idx="0">
                  <c:v>TAUX DE SATISFACTION INTERIMAIRES REPONDANT AU MARCHE</c:v>
                </c:pt>
              </c:strCache>
            </c:strRef>
          </c:tx>
          <c:spPr>
            <a:ln w="6350" cap="rnd">
              <a:solidFill>
                <a:schemeClr val="accent6"/>
              </a:solidFill>
            </a:ln>
            <a:effectLst/>
          </c:spPr>
          <c:marker>
            <c:symbol val="none"/>
          </c:marker>
          <c:cat>
            <c:strRef>
              <c:f>'3.6.1'!$A$5:$A$265</c:f>
              <c:strCache>
                <c:ptCount val="241"/>
                <c:pt idx="0">
                  <c:v>JANVIER</c:v>
                </c:pt>
                <c:pt idx="23">
                  <c:v>FEVRIER</c:v>
                </c:pt>
                <c:pt idx="43">
                  <c:v>MARS</c:v>
                </c:pt>
                <c:pt idx="65">
                  <c:v>AVRIL</c:v>
                </c:pt>
                <c:pt idx="86">
                  <c:v>MAI</c:v>
                </c:pt>
                <c:pt idx="109">
                  <c:v>JUIN</c:v>
                </c:pt>
                <c:pt idx="130">
                  <c:v>JUILLET</c:v>
                </c:pt>
                <c:pt idx="152">
                  <c:v>AOUT</c:v>
                </c:pt>
                <c:pt idx="175">
                  <c:v>SEPTEMBRE</c:v>
                </c:pt>
                <c:pt idx="195">
                  <c:v>OCTOBRE</c:v>
                </c:pt>
                <c:pt idx="218">
                  <c:v>NOVEMBRE</c:v>
                </c:pt>
                <c:pt idx="240">
                  <c:v>DECEMBRE</c:v>
                </c:pt>
              </c:strCache>
            </c:strRef>
          </c:cat>
          <c:val>
            <c:numRef>
              <c:f>'3.6.1'!$Y$5:$Y$265</c:f>
              <c:numCache>
                <c:formatCode>0.00%</c:formatCode>
                <c:ptCount val="261"/>
                <c:pt idx="0">
                  <c:v>0.15403126954346469</c:v>
                </c:pt>
                <c:pt idx="1">
                  <c:v>0.1649258059014157</c:v>
                </c:pt>
                <c:pt idx="2">
                  <c:v>0.17634354805086513</c:v>
                </c:pt>
                <c:pt idx="3">
                  <c:v>8.2029045931484953E-2</c:v>
                </c:pt>
                <c:pt idx="4">
                  <c:v>0.10438342145659221</c:v>
                </c:pt>
                <c:pt idx="5">
                  <c:v>0.47931707317073163</c:v>
                </c:pt>
                <c:pt idx="6">
                  <c:v>0.37927900059488406</c:v>
                </c:pt>
                <c:pt idx="7">
                  <c:v>0.40860310421286039</c:v>
                </c:pt>
                <c:pt idx="8">
                  <c:v>0.25920557491289203</c:v>
                </c:pt>
                <c:pt idx="9">
                  <c:v>0.36383055198973052</c:v>
                </c:pt>
                <c:pt idx="10">
                  <c:v>0.2002406504065041</c:v>
                </c:pt>
                <c:pt idx="11">
                  <c:v>0.20508165429480385</c:v>
                </c:pt>
                <c:pt idx="12">
                  <c:v>0.18756541019955655</c:v>
                </c:pt>
                <c:pt idx="13">
                  <c:v>7.7816743572841129E-2</c:v>
                </c:pt>
                <c:pt idx="14">
                  <c:v>0.13569844789356988</c:v>
                </c:pt>
                <c:pt idx="15">
                  <c:v>0.48409164818920913</c:v>
                </c:pt>
                <c:pt idx="16">
                  <c:v>0.62195121951219512</c:v>
                </c:pt>
                <c:pt idx="17">
                  <c:v>0.75627482519778111</c:v>
                </c:pt>
                <c:pt idx="18">
                  <c:v>0.46472530179847249</c:v>
                </c:pt>
                <c:pt idx="19">
                  <c:v>0.55108262817322051</c:v>
                </c:pt>
                <c:pt idx="20">
                  <c:v>0.47920650406504078</c:v>
                </c:pt>
                <c:pt idx="21">
                  <c:v>0.55537282229965168</c:v>
                </c:pt>
                <c:pt idx="22">
                  <c:v>0.67436097560975594</c:v>
                </c:pt>
                <c:pt idx="23">
                  <c:v>0.37222680943248815</c:v>
                </c:pt>
                <c:pt idx="24">
                  <c:v>0.3985541812757879</c:v>
                </c:pt>
                <c:pt idx="25">
                  <c:v>0.42614591471932189</c:v>
                </c:pt>
                <c:pt idx="26">
                  <c:v>0.19822864628958808</c:v>
                </c:pt>
                <c:pt idx="27">
                  <c:v>0.25224948182011891</c:v>
                </c:pt>
                <c:pt idx="28">
                  <c:v>1</c:v>
                </c:pt>
                <c:pt idx="29">
                  <c:v>0.91655293561245865</c:v>
                </c:pt>
                <c:pt idx="30">
                  <c:v>0.98741658272475463</c:v>
                </c:pt>
                <c:pt idx="31">
                  <c:v>0.62638751483973087</c:v>
                </c:pt>
                <c:pt idx="32">
                  <c:v>0.8792207318851144</c:v>
                </c:pt>
                <c:pt idx="33">
                  <c:v>0.48389485226223461</c:v>
                </c:pt>
                <c:pt idx="34">
                  <c:v>0.4955934601951103</c:v>
                </c:pt>
                <c:pt idx="35">
                  <c:v>0.45326429111055144</c:v>
                </c:pt>
                <c:pt idx="36">
                  <c:v>0.18804933742606872</c:v>
                </c:pt>
                <c:pt idx="37">
                  <c:v>0.32792432636615459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0.74531795473696882</c:v>
                </c:pt>
                <c:pt idx="44">
                  <c:v>0.79803383236481829</c:v>
                </c:pt>
                <c:pt idx="45">
                  <c:v>0.85328136912643959</c:v>
                </c:pt>
                <c:pt idx="46">
                  <c:v>0.39691759292698259</c:v>
                </c:pt>
                <c:pt idx="47">
                  <c:v>0.50508470402836592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1.0000000000000002</c:v>
                </c:pt>
                <c:pt idx="52">
                  <c:v>1</c:v>
                </c:pt>
                <c:pt idx="53">
                  <c:v>0.9689133411580596</c:v>
                </c:pt>
                <c:pt idx="54">
                  <c:v>0.99233772198407855</c:v>
                </c:pt>
                <c:pt idx="55">
                  <c:v>0.90758109261630393</c:v>
                </c:pt>
                <c:pt idx="56">
                  <c:v>0.37653533815505646</c:v>
                </c:pt>
                <c:pt idx="57">
                  <c:v>0.65661011523687574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0.7534722222222221</c:v>
                </c:pt>
                <c:pt idx="69">
                  <c:v>0.95880681818181812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1.0000000000000002</c:v>
                </c:pt>
                <c:pt idx="76">
                  <c:v>1</c:v>
                </c:pt>
                <c:pt idx="77">
                  <c:v>1</c:v>
                </c:pt>
                <c:pt idx="78">
                  <c:v>0.71478040540540533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1.0000000000000002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0.73373848987108636</c:v>
                </c:pt>
                <c:pt idx="110">
                  <c:v>0.785635359116022</c:v>
                </c:pt>
                <c:pt idx="111">
                  <c:v>0.84002455494168193</c:v>
                </c:pt>
                <c:pt idx="112">
                  <c:v>0.39075097196644148</c:v>
                </c:pt>
                <c:pt idx="113">
                  <c:v>0.49723756906077338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0.95386003683241238</c:v>
                </c:pt>
                <c:pt idx="120">
                  <c:v>0.97692049003122738</c:v>
                </c:pt>
                <c:pt idx="121">
                  <c:v>0.89348066298342532</c:v>
                </c:pt>
                <c:pt idx="122">
                  <c:v>0.37068538151411073</c:v>
                </c:pt>
                <c:pt idx="123">
                  <c:v>0.64640883977900543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0.3162085538257024</c:v>
                </c:pt>
                <c:pt idx="131">
                  <c:v>0.33857378912214409</c:v>
                </c:pt>
                <c:pt idx="132">
                  <c:v>0.36201310598120173</c:v>
                </c:pt>
                <c:pt idx="133">
                  <c:v>0.16839623579404234</c:v>
                </c:pt>
                <c:pt idx="134">
                  <c:v>0.21428720830515449</c:v>
                </c:pt>
                <c:pt idx="135">
                  <c:v>0.98398305084745763</c:v>
                </c:pt>
                <c:pt idx="136">
                  <c:v>0.77861634608370012</c:v>
                </c:pt>
                <c:pt idx="137">
                  <c:v>0.8388153720656214</c:v>
                </c:pt>
                <c:pt idx="138">
                  <c:v>0.53211935621706308</c:v>
                </c:pt>
                <c:pt idx="139">
                  <c:v>0.74690245054310755</c:v>
                </c:pt>
                <c:pt idx="140">
                  <c:v>0.41107111997341306</c:v>
                </c:pt>
                <c:pt idx="141">
                  <c:v>0.42100914647362259</c:v>
                </c:pt>
                <c:pt idx="142">
                  <c:v>0.38505030363455089</c:v>
                </c:pt>
                <c:pt idx="143">
                  <c:v>0.15974886152353748</c:v>
                </c:pt>
                <c:pt idx="144">
                  <c:v>0.2785733707967008</c:v>
                </c:pt>
                <c:pt idx="145">
                  <c:v>0.99378470648660089</c:v>
                </c:pt>
                <c:pt idx="146">
                  <c:v>1</c:v>
                </c:pt>
                <c:pt idx="147">
                  <c:v>1</c:v>
                </c:pt>
                <c:pt idx="148">
                  <c:v>0.95402781554326921</c:v>
                </c:pt>
                <c:pt idx="149">
                  <c:v>1</c:v>
                </c:pt>
                <c:pt idx="150">
                  <c:v>0.98375606513791969</c:v>
                </c:pt>
                <c:pt idx="151">
                  <c:v>1</c:v>
                </c:pt>
                <c:pt idx="152">
                  <c:v>0.22831822311214939</c:v>
                </c:pt>
                <c:pt idx="153">
                  <c:v>0.24446702971648743</c:v>
                </c:pt>
                <c:pt idx="154">
                  <c:v>0.26139137635883836</c:v>
                </c:pt>
                <c:pt idx="155">
                  <c:v>0.12159041515512951</c:v>
                </c:pt>
                <c:pt idx="156">
                  <c:v>0.15472596817499204</c:v>
                </c:pt>
                <c:pt idx="157">
                  <c:v>0.71048445408532179</c:v>
                </c:pt>
                <c:pt idx="158">
                  <c:v>0.5621995308890182</c:v>
                </c:pt>
                <c:pt idx="159">
                  <c:v>0.60566620653388548</c:v>
                </c:pt>
                <c:pt idx="160">
                  <c:v>0.38421650655923967</c:v>
                </c:pt>
                <c:pt idx="161">
                  <c:v>0.53930052897971603</c:v>
                </c:pt>
                <c:pt idx="162">
                  <c:v>0.29681369004579422</c:v>
                </c:pt>
                <c:pt idx="163">
                  <c:v>0.30398943695180614</c:v>
                </c:pt>
                <c:pt idx="164">
                  <c:v>0.27802537303621899</c:v>
                </c:pt>
                <c:pt idx="165">
                  <c:v>0.11534658302554179</c:v>
                </c:pt>
                <c:pt idx="166">
                  <c:v>0.20114375862748968</c:v>
                </c:pt>
                <c:pt idx="167">
                  <c:v>0.7175617344814742</c:v>
                </c:pt>
                <c:pt idx="168">
                  <c:v>0.92190889370932749</c:v>
                </c:pt>
                <c:pt idx="169">
                  <c:v>1</c:v>
                </c:pt>
                <c:pt idx="170">
                  <c:v>0.6888552918921681</c:v>
                </c:pt>
                <c:pt idx="171">
                  <c:v>0.81686145173904701</c:v>
                </c:pt>
                <c:pt idx="172">
                  <c:v>0.71032055917088466</c:v>
                </c:pt>
                <c:pt idx="173">
                  <c:v>0.82322074165891956</c:v>
                </c:pt>
                <c:pt idx="174">
                  <c:v>0.99959508315256684</c:v>
                </c:pt>
                <c:pt idx="175">
                  <c:v>0.55613201448151028</c:v>
                </c:pt>
                <c:pt idx="176">
                  <c:v>0.59546688765075106</c:v>
                </c:pt>
                <c:pt idx="177">
                  <c:v>0.63669080251702437</c:v>
                </c:pt>
                <c:pt idx="178">
                  <c:v>0.29616699709795141</c:v>
                </c:pt>
                <c:pt idx="179">
                  <c:v>0.37687777699414626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0.93586528870663865</c:v>
                </c:pt>
                <c:pt idx="184">
                  <c:v>1</c:v>
                </c:pt>
                <c:pt idx="185">
                  <c:v>0.72297161882596339</c:v>
                </c:pt>
                <c:pt idx="186">
                  <c:v>0.74045012986136882</c:v>
                </c:pt>
                <c:pt idx="187">
                  <c:v>0.67720748994992597</c:v>
                </c:pt>
                <c:pt idx="188">
                  <c:v>0.2809584215712998</c:v>
                </c:pt>
                <c:pt idx="189">
                  <c:v>0.48994111009239016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0.52381957473420893</c:v>
                </c:pt>
                <c:pt idx="196">
                  <c:v>0.5608690090397408</c:v>
                </c:pt>
                <c:pt idx="197">
                  <c:v>0.5996977277465082</c:v>
                </c:pt>
                <c:pt idx="198">
                  <c:v>0.27895907164199846</c:v>
                </c:pt>
                <c:pt idx="199">
                  <c:v>0.35498038546819044</c:v>
                </c:pt>
                <c:pt idx="200">
                  <c:v>1</c:v>
                </c:pt>
                <c:pt idx="201">
                  <c:v>1.0000000000000002</c:v>
                </c:pt>
                <c:pt idx="202">
                  <c:v>1</c:v>
                </c:pt>
                <c:pt idx="203">
                  <c:v>0.88148954703832771</c:v>
                </c:pt>
                <c:pt idx="204">
                  <c:v>1</c:v>
                </c:pt>
                <c:pt idx="205">
                  <c:v>0.6809654471544716</c:v>
                </c:pt>
                <c:pt idx="206">
                  <c:v>0.69742841993637339</c:v>
                </c:pt>
                <c:pt idx="207">
                  <c:v>0.63786031042128599</c:v>
                </c:pt>
                <c:pt idx="208">
                  <c:v>0.26463414634146343</c:v>
                </c:pt>
                <c:pt idx="209">
                  <c:v>0.46147450110864752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0.29562747204037099</c:v>
                </c:pt>
                <c:pt idx="219">
                  <c:v>0.31653702016069035</c:v>
                </c:pt>
                <c:pt idx="220">
                  <c:v>0.33845074104382616</c:v>
                </c:pt>
                <c:pt idx="221">
                  <c:v>0.15743582166454503</c:v>
                </c:pt>
                <c:pt idx="222">
                  <c:v>0.20033988617765211</c:v>
                </c:pt>
                <c:pt idx="223">
                  <c:v>0.91993849734042554</c:v>
                </c:pt>
                <c:pt idx="224">
                  <c:v>0.72793850544888428</c:v>
                </c:pt>
                <c:pt idx="225">
                  <c:v>0.7842193544487428</c:v>
                </c:pt>
                <c:pt idx="226">
                  <c:v>0.49748527735562298</c:v>
                </c:pt>
                <c:pt idx="227">
                  <c:v>0.69828877379619259</c:v>
                </c:pt>
                <c:pt idx="228">
                  <c:v>0.38431571365248235</c:v>
                </c:pt>
                <c:pt idx="229">
                  <c:v>0.39360690333024978</c:v>
                </c:pt>
                <c:pt idx="230">
                  <c:v>0.35998851547388783</c:v>
                </c:pt>
                <c:pt idx="231">
                  <c:v>0.1493512794709603</c:v>
                </c:pt>
                <c:pt idx="232">
                  <c:v>0.26044185203094777</c:v>
                </c:pt>
                <c:pt idx="233">
                  <c:v>0.92910219213410705</c:v>
                </c:pt>
                <c:pt idx="234">
                  <c:v>1</c:v>
                </c:pt>
                <c:pt idx="235">
                  <c:v>1</c:v>
                </c:pt>
                <c:pt idx="236">
                  <c:v>0.8919329599183321</c:v>
                </c:pt>
                <c:pt idx="237">
                  <c:v>1</c:v>
                </c:pt>
                <c:pt idx="238">
                  <c:v>0.91972628546099311</c:v>
                </c:pt>
                <c:pt idx="239">
                  <c:v>1</c:v>
                </c:pt>
                <c:pt idx="240">
                  <c:v>0.16518242122719737</c:v>
                </c:pt>
                <c:pt idx="241">
                  <c:v>0.17686567164179104</c:v>
                </c:pt>
                <c:pt idx="242">
                  <c:v>0.18911000552791599</c:v>
                </c:pt>
                <c:pt idx="243">
                  <c:v>8.7967569559609354E-2</c:v>
                </c:pt>
                <c:pt idx="244">
                  <c:v>0.11194029850746269</c:v>
                </c:pt>
                <c:pt idx="245">
                  <c:v>0.51401741293532344</c:v>
                </c:pt>
                <c:pt idx="246">
                  <c:v>0.40673704647494235</c:v>
                </c:pt>
                <c:pt idx="247">
                  <c:v>0.43818407960199007</c:v>
                </c:pt>
                <c:pt idx="248">
                  <c:v>0.2779708599857853</c:v>
                </c:pt>
                <c:pt idx="249">
                  <c:v>0.39017020162346161</c:v>
                </c:pt>
                <c:pt idx="250">
                  <c:v>0.21473714759535653</c:v>
                </c:pt>
                <c:pt idx="251">
                  <c:v>0.21992861778066189</c:v>
                </c:pt>
                <c:pt idx="252">
                  <c:v>0.20114427860696518</c:v>
                </c:pt>
                <c:pt idx="253">
                  <c:v>8.345031598762942E-2</c:v>
                </c:pt>
                <c:pt idx="254">
                  <c:v>0.1455223880597015</c:v>
                </c:pt>
                <c:pt idx="255">
                  <c:v>0.51913764510779425</c:v>
                </c:pt>
                <c:pt idx="256">
                  <c:v>0.66697761194029848</c:v>
                </c:pt>
                <c:pt idx="257">
                  <c:v>0.81102562557334446</c:v>
                </c:pt>
                <c:pt idx="258">
                  <c:v>0.49836926478717519</c:v>
                </c:pt>
                <c:pt idx="259">
                  <c:v>0.5909784622804346</c:v>
                </c:pt>
                <c:pt idx="260">
                  <c:v>0.51389883913764511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'3.6.1'!$Z$3</c:f>
              <c:strCache>
                <c:ptCount val="1"/>
                <c:pt idx="0">
                  <c:v>TAUX DE SATISFACTION INTERIMAIRES</c:v>
                </c:pt>
              </c:strCache>
            </c:strRef>
          </c:tx>
          <c:spPr>
            <a:ln w="6350" cap="rnd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strRef>
              <c:f>'3.6.1'!$A$5:$A$265</c:f>
              <c:strCache>
                <c:ptCount val="241"/>
                <c:pt idx="0">
                  <c:v>JANVIER</c:v>
                </c:pt>
                <c:pt idx="23">
                  <c:v>FEVRIER</c:v>
                </c:pt>
                <c:pt idx="43">
                  <c:v>MARS</c:v>
                </c:pt>
                <c:pt idx="65">
                  <c:v>AVRIL</c:v>
                </c:pt>
                <c:pt idx="86">
                  <c:v>MAI</c:v>
                </c:pt>
                <c:pt idx="109">
                  <c:v>JUIN</c:v>
                </c:pt>
                <c:pt idx="130">
                  <c:v>JUILLET</c:v>
                </c:pt>
                <c:pt idx="152">
                  <c:v>AOUT</c:v>
                </c:pt>
                <c:pt idx="175">
                  <c:v>SEPTEMBRE</c:v>
                </c:pt>
                <c:pt idx="195">
                  <c:v>OCTOBRE</c:v>
                </c:pt>
                <c:pt idx="218">
                  <c:v>NOVEMBRE</c:v>
                </c:pt>
                <c:pt idx="240">
                  <c:v>DECEMBRE</c:v>
                </c:pt>
              </c:strCache>
            </c:strRef>
          </c:cat>
          <c:val>
            <c:numRef>
              <c:f>'3.6.1'!$Z$5:$Z$265</c:f>
              <c:numCache>
                <c:formatCode>0.00%</c:formatCode>
                <c:ptCount val="261"/>
                <c:pt idx="0">
                  <c:v>0.12322501563477176</c:v>
                </c:pt>
                <c:pt idx="1">
                  <c:v>0.13194064472113257</c:v>
                </c:pt>
                <c:pt idx="2">
                  <c:v>0.14107483844069213</c:v>
                </c:pt>
                <c:pt idx="3">
                  <c:v>6.5623236745187968E-2</c:v>
                </c:pt>
                <c:pt idx="4">
                  <c:v>8.3506737165273764E-2</c:v>
                </c:pt>
                <c:pt idx="5">
                  <c:v>0.38345365853658536</c:v>
                </c:pt>
                <c:pt idx="6">
                  <c:v>0.30342320047590726</c:v>
                </c:pt>
                <c:pt idx="7">
                  <c:v>0.3268824833702883</c:v>
                </c:pt>
                <c:pt idx="8">
                  <c:v>0.20736445993031363</c:v>
                </c:pt>
                <c:pt idx="9">
                  <c:v>0.29106444159178441</c:v>
                </c:pt>
                <c:pt idx="10">
                  <c:v>0.16019252032520329</c:v>
                </c:pt>
                <c:pt idx="11">
                  <c:v>0.1640653234358431</c:v>
                </c:pt>
                <c:pt idx="12">
                  <c:v>0.15005232815964525</c:v>
                </c:pt>
                <c:pt idx="13">
                  <c:v>6.2253394858272908E-2</c:v>
                </c:pt>
                <c:pt idx="14">
                  <c:v>0.10855875831485591</c:v>
                </c:pt>
                <c:pt idx="15">
                  <c:v>0.38727331855136737</c:v>
                </c:pt>
                <c:pt idx="16">
                  <c:v>0.49756097560975615</c:v>
                </c:pt>
                <c:pt idx="17">
                  <c:v>0.60501986015822495</c:v>
                </c:pt>
                <c:pt idx="18">
                  <c:v>0.37178024143877808</c:v>
                </c:pt>
                <c:pt idx="19">
                  <c:v>0.44086610253857644</c:v>
                </c:pt>
                <c:pt idx="20">
                  <c:v>0.3833652032520326</c:v>
                </c:pt>
                <c:pt idx="21">
                  <c:v>0.44429825783972132</c:v>
                </c:pt>
                <c:pt idx="22">
                  <c:v>0.5394887804878048</c:v>
                </c:pt>
                <c:pt idx="23">
                  <c:v>0.29778144754599051</c:v>
                </c:pt>
                <c:pt idx="24">
                  <c:v>0.31884334502063033</c:v>
                </c:pt>
                <c:pt idx="25">
                  <c:v>0.3409167317754575</c:v>
                </c:pt>
                <c:pt idx="26">
                  <c:v>0.15858291703167049</c:v>
                </c:pt>
                <c:pt idx="27">
                  <c:v>0.20179958545609514</c:v>
                </c:pt>
                <c:pt idx="28">
                  <c:v>0.8</c:v>
                </c:pt>
                <c:pt idx="29">
                  <c:v>0.73324234848996694</c:v>
                </c:pt>
                <c:pt idx="30">
                  <c:v>0.78993326617980364</c:v>
                </c:pt>
                <c:pt idx="31">
                  <c:v>0.50111001187178472</c:v>
                </c:pt>
                <c:pt idx="32">
                  <c:v>0.70337658550809157</c:v>
                </c:pt>
                <c:pt idx="33">
                  <c:v>0.38711588180978768</c:v>
                </c:pt>
                <c:pt idx="34">
                  <c:v>0.39647476815608823</c:v>
                </c:pt>
                <c:pt idx="35">
                  <c:v>0.36261143288844117</c:v>
                </c:pt>
                <c:pt idx="36">
                  <c:v>0.150439469940855</c:v>
                </c:pt>
                <c:pt idx="37">
                  <c:v>0.26233946109292366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0.59625436378957508</c:v>
                </c:pt>
                <c:pt idx="44">
                  <c:v>0.63842706589185472</c:v>
                </c:pt>
                <c:pt idx="45">
                  <c:v>0.68262509530115179</c:v>
                </c:pt>
                <c:pt idx="46">
                  <c:v>0.31753407434158609</c:v>
                </c:pt>
                <c:pt idx="47">
                  <c:v>0.40406776322269278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0.80000000000000016</c:v>
                </c:pt>
                <c:pt idx="52">
                  <c:v>0.8</c:v>
                </c:pt>
                <c:pt idx="53">
                  <c:v>0.77513067292644766</c:v>
                </c:pt>
                <c:pt idx="54">
                  <c:v>0.79387017758726275</c:v>
                </c:pt>
                <c:pt idx="55">
                  <c:v>0.7260648740930431</c:v>
                </c:pt>
                <c:pt idx="56">
                  <c:v>0.30122827052404516</c:v>
                </c:pt>
                <c:pt idx="57">
                  <c:v>0.52528809218950068</c:v>
                </c:pt>
                <c:pt idx="58">
                  <c:v>0.80000000000000016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0.60277777777777775</c:v>
                </c:pt>
                <c:pt idx="69">
                  <c:v>0.76704545454545447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0.80000000000000016</c:v>
                </c:pt>
                <c:pt idx="75">
                  <c:v>0.80000000000000016</c:v>
                </c:pt>
                <c:pt idx="76">
                  <c:v>0.8</c:v>
                </c:pt>
                <c:pt idx="77">
                  <c:v>0.8</c:v>
                </c:pt>
                <c:pt idx="78">
                  <c:v>0.57182432432432428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0.80000000000000016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0.80000000000000016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0.5869907918968692</c:v>
                </c:pt>
                <c:pt idx="110">
                  <c:v>0.6285082872928176</c:v>
                </c:pt>
                <c:pt idx="111">
                  <c:v>0.67201964395334557</c:v>
                </c:pt>
                <c:pt idx="112">
                  <c:v>0.31260077757315319</c:v>
                </c:pt>
                <c:pt idx="113">
                  <c:v>0.39779005524861871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0.76308802946592991</c:v>
                </c:pt>
                <c:pt idx="120">
                  <c:v>0.78153639202498182</c:v>
                </c:pt>
                <c:pt idx="121">
                  <c:v>0.71478453038674028</c:v>
                </c:pt>
                <c:pt idx="122">
                  <c:v>0.29654830521128861</c:v>
                </c:pt>
                <c:pt idx="123">
                  <c:v>0.51712707182320439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0.25296684306056189</c:v>
                </c:pt>
                <c:pt idx="131">
                  <c:v>0.27085903129771527</c:v>
                </c:pt>
                <c:pt idx="132">
                  <c:v>0.28961048478496143</c:v>
                </c:pt>
                <c:pt idx="133">
                  <c:v>0.13471698863523388</c:v>
                </c:pt>
                <c:pt idx="134">
                  <c:v>0.1714297666441236</c:v>
                </c:pt>
                <c:pt idx="135">
                  <c:v>0.78718644067796606</c:v>
                </c:pt>
                <c:pt idx="136">
                  <c:v>0.62289307686696016</c:v>
                </c:pt>
                <c:pt idx="137">
                  <c:v>0.67105229765249719</c:v>
                </c:pt>
                <c:pt idx="138">
                  <c:v>0.42569548497365051</c:v>
                </c:pt>
                <c:pt idx="139">
                  <c:v>0.59752196043448613</c:v>
                </c:pt>
                <c:pt idx="140">
                  <c:v>0.32885689597873052</c:v>
                </c:pt>
                <c:pt idx="141">
                  <c:v>0.33680731717889811</c:v>
                </c:pt>
                <c:pt idx="142">
                  <c:v>0.3080402429076407</c:v>
                </c:pt>
                <c:pt idx="143">
                  <c:v>0.12779908921882999</c:v>
                </c:pt>
                <c:pt idx="144">
                  <c:v>0.22285869663736066</c:v>
                </c:pt>
                <c:pt idx="145">
                  <c:v>0.79502776518928076</c:v>
                </c:pt>
                <c:pt idx="146">
                  <c:v>0.8</c:v>
                </c:pt>
                <c:pt idx="147">
                  <c:v>0.8</c:v>
                </c:pt>
                <c:pt idx="148">
                  <c:v>0.76322225243461539</c:v>
                </c:pt>
                <c:pt idx="149">
                  <c:v>0.8</c:v>
                </c:pt>
                <c:pt idx="150">
                  <c:v>0.78700485211033577</c:v>
                </c:pt>
                <c:pt idx="151">
                  <c:v>0.8</c:v>
                </c:pt>
                <c:pt idx="152">
                  <c:v>0.18265457848971953</c:v>
                </c:pt>
                <c:pt idx="153">
                  <c:v>0.19557362377318996</c:v>
                </c:pt>
                <c:pt idx="154">
                  <c:v>0.20911310108707071</c:v>
                </c:pt>
                <c:pt idx="155">
                  <c:v>9.7272332124103633E-2</c:v>
                </c:pt>
                <c:pt idx="156">
                  <c:v>0.12378077453999364</c:v>
                </c:pt>
                <c:pt idx="157">
                  <c:v>0.56838756326825746</c:v>
                </c:pt>
                <c:pt idx="158">
                  <c:v>0.44975962471121461</c:v>
                </c:pt>
                <c:pt idx="159">
                  <c:v>0.48453296522710843</c:v>
                </c:pt>
                <c:pt idx="160">
                  <c:v>0.30737320524739176</c:v>
                </c:pt>
                <c:pt idx="161">
                  <c:v>0.4314404231837729</c:v>
                </c:pt>
                <c:pt idx="162">
                  <c:v>0.23745095203663535</c:v>
                </c:pt>
                <c:pt idx="163">
                  <c:v>0.2431915495614449</c:v>
                </c:pt>
                <c:pt idx="164">
                  <c:v>0.2224202984289752</c:v>
                </c:pt>
                <c:pt idx="165">
                  <c:v>9.2277266420433449E-2</c:v>
                </c:pt>
                <c:pt idx="166">
                  <c:v>0.16091500690199173</c:v>
                </c:pt>
                <c:pt idx="167">
                  <c:v>0.57404938758517932</c:v>
                </c:pt>
                <c:pt idx="168">
                  <c:v>0.73752711496746204</c:v>
                </c:pt>
                <c:pt idx="169">
                  <c:v>0.8</c:v>
                </c:pt>
                <c:pt idx="170">
                  <c:v>0.55108423351373459</c:v>
                </c:pt>
                <c:pt idx="171">
                  <c:v>0.65348916139123769</c:v>
                </c:pt>
                <c:pt idx="172">
                  <c:v>0.56825644733670766</c:v>
                </c:pt>
                <c:pt idx="173">
                  <c:v>0.6585765933271357</c:v>
                </c:pt>
                <c:pt idx="174">
                  <c:v>0.79967606652205347</c:v>
                </c:pt>
                <c:pt idx="175">
                  <c:v>0.44490561158520825</c:v>
                </c:pt>
                <c:pt idx="176">
                  <c:v>0.47637351012060092</c:v>
                </c:pt>
                <c:pt idx="177">
                  <c:v>0.50935264201361952</c:v>
                </c:pt>
                <c:pt idx="178">
                  <c:v>0.23693359767836111</c:v>
                </c:pt>
                <c:pt idx="179">
                  <c:v>0.30150222159531703</c:v>
                </c:pt>
                <c:pt idx="180">
                  <c:v>0.8</c:v>
                </c:pt>
                <c:pt idx="181">
                  <c:v>0.80000000000000016</c:v>
                </c:pt>
                <c:pt idx="182">
                  <c:v>0.8</c:v>
                </c:pt>
                <c:pt idx="183">
                  <c:v>0.74869223096531101</c:v>
                </c:pt>
                <c:pt idx="184">
                  <c:v>0.8</c:v>
                </c:pt>
                <c:pt idx="185">
                  <c:v>0.57837729506077074</c:v>
                </c:pt>
                <c:pt idx="186">
                  <c:v>0.5923601038890951</c:v>
                </c:pt>
                <c:pt idx="187">
                  <c:v>0.5417659919599408</c:v>
                </c:pt>
                <c:pt idx="188">
                  <c:v>0.22476673725703986</c:v>
                </c:pt>
                <c:pt idx="189">
                  <c:v>0.39195288807391215</c:v>
                </c:pt>
                <c:pt idx="190">
                  <c:v>0.8</c:v>
                </c:pt>
                <c:pt idx="191">
                  <c:v>0.80000000000000016</c:v>
                </c:pt>
                <c:pt idx="192">
                  <c:v>0.8</c:v>
                </c:pt>
                <c:pt idx="193">
                  <c:v>0.80000000000000016</c:v>
                </c:pt>
                <c:pt idx="194">
                  <c:v>0.80000000000000016</c:v>
                </c:pt>
                <c:pt idx="195">
                  <c:v>0.4190556597873672</c:v>
                </c:pt>
                <c:pt idx="196">
                  <c:v>0.44869520723179268</c:v>
                </c:pt>
                <c:pt idx="197">
                  <c:v>0.47975818219720667</c:v>
                </c:pt>
                <c:pt idx="198">
                  <c:v>0.22316725731359879</c:v>
                </c:pt>
                <c:pt idx="199">
                  <c:v>0.28398430837455235</c:v>
                </c:pt>
                <c:pt idx="200">
                  <c:v>0.80000000000000016</c:v>
                </c:pt>
                <c:pt idx="201">
                  <c:v>0.80000000000000016</c:v>
                </c:pt>
                <c:pt idx="202">
                  <c:v>0.8</c:v>
                </c:pt>
                <c:pt idx="203">
                  <c:v>0.70519163763066217</c:v>
                </c:pt>
                <c:pt idx="204">
                  <c:v>0.8</c:v>
                </c:pt>
                <c:pt idx="205">
                  <c:v>0.54477235772357735</c:v>
                </c:pt>
                <c:pt idx="206">
                  <c:v>0.55794273594909871</c:v>
                </c:pt>
                <c:pt idx="207">
                  <c:v>0.5102882483370289</c:v>
                </c:pt>
                <c:pt idx="208">
                  <c:v>0.21170731707317075</c:v>
                </c:pt>
                <c:pt idx="209">
                  <c:v>0.36917960088691804</c:v>
                </c:pt>
                <c:pt idx="210">
                  <c:v>0.80000000000000016</c:v>
                </c:pt>
                <c:pt idx="211">
                  <c:v>0.8</c:v>
                </c:pt>
                <c:pt idx="212">
                  <c:v>0.8</c:v>
                </c:pt>
                <c:pt idx="213">
                  <c:v>0.80000000000000016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0.80000000000000016</c:v>
                </c:pt>
                <c:pt idx="218">
                  <c:v>0.2365019776322968</c:v>
                </c:pt>
                <c:pt idx="219">
                  <c:v>0.25322961612855233</c:v>
                </c:pt>
                <c:pt idx="220">
                  <c:v>0.27076059283506093</c:v>
                </c:pt>
                <c:pt idx="221">
                  <c:v>0.12594865733163604</c:v>
                </c:pt>
                <c:pt idx="222">
                  <c:v>0.1602719089421217</c:v>
                </c:pt>
                <c:pt idx="223">
                  <c:v>0.73595079787234041</c:v>
                </c:pt>
                <c:pt idx="224">
                  <c:v>0.58235080435910747</c:v>
                </c:pt>
                <c:pt idx="225">
                  <c:v>0.6273754835589942</c:v>
                </c:pt>
                <c:pt idx="226">
                  <c:v>0.39798822188449845</c:v>
                </c:pt>
                <c:pt idx="227">
                  <c:v>0.55863101903695411</c:v>
                </c:pt>
                <c:pt idx="228">
                  <c:v>0.30745257092198586</c:v>
                </c:pt>
                <c:pt idx="229">
                  <c:v>0.31488552266419984</c:v>
                </c:pt>
                <c:pt idx="230">
                  <c:v>0.28799081237911023</c:v>
                </c:pt>
                <c:pt idx="231">
                  <c:v>0.11948102357676825</c:v>
                </c:pt>
                <c:pt idx="232">
                  <c:v>0.20835348162475822</c:v>
                </c:pt>
                <c:pt idx="233">
                  <c:v>0.74328175370728566</c:v>
                </c:pt>
                <c:pt idx="234">
                  <c:v>0.8</c:v>
                </c:pt>
                <c:pt idx="235">
                  <c:v>0.8</c:v>
                </c:pt>
                <c:pt idx="236">
                  <c:v>0.71354636793466575</c:v>
                </c:pt>
                <c:pt idx="237">
                  <c:v>0.8</c:v>
                </c:pt>
                <c:pt idx="238">
                  <c:v>0.73578102836879444</c:v>
                </c:pt>
                <c:pt idx="239">
                  <c:v>0.8</c:v>
                </c:pt>
                <c:pt idx="240">
                  <c:v>0.13214593698175789</c:v>
                </c:pt>
                <c:pt idx="241">
                  <c:v>0.14149253731343284</c:v>
                </c:pt>
                <c:pt idx="242">
                  <c:v>0.15128800442233278</c:v>
                </c:pt>
                <c:pt idx="243">
                  <c:v>7.0374055647687478E-2</c:v>
                </c:pt>
                <c:pt idx="244">
                  <c:v>8.9552238805970144E-2</c:v>
                </c:pt>
                <c:pt idx="245">
                  <c:v>0.4112139303482587</c:v>
                </c:pt>
                <c:pt idx="246">
                  <c:v>0.32538963717995389</c:v>
                </c:pt>
                <c:pt idx="247">
                  <c:v>0.350547263681592</c:v>
                </c:pt>
                <c:pt idx="248">
                  <c:v>0.22237668798862828</c:v>
                </c:pt>
                <c:pt idx="249">
                  <c:v>0.31213616129876931</c:v>
                </c:pt>
                <c:pt idx="250">
                  <c:v>0.17178971807628524</c:v>
                </c:pt>
                <c:pt idx="251">
                  <c:v>0.17594289422452952</c:v>
                </c:pt>
                <c:pt idx="252">
                  <c:v>0.16091542288557212</c:v>
                </c:pt>
                <c:pt idx="253">
                  <c:v>6.6760252790103544E-2</c:v>
                </c:pt>
                <c:pt idx="254">
                  <c:v>0.11641791044776119</c:v>
                </c:pt>
                <c:pt idx="255">
                  <c:v>0.41531011608623547</c:v>
                </c:pt>
                <c:pt idx="256">
                  <c:v>0.53358208955223874</c:v>
                </c:pt>
                <c:pt idx="257">
                  <c:v>0.64882050045867568</c:v>
                </c:pt>
                <c:pt idx="258">
                  <c:v>0.39869541182974017</c:v>
                </c:pt>
                <c:pt idx="259">
                  <c:v>0.47278276982434769</c:v>
                </c:pt>
                <c:pt idx="260">
                  <c:v>0.4111190713101161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'3.6.1'!$X$3</c:f>
              <c:strCache>
                <c:ptCount val="1"/>
                <c:pt idx="0">
                  <c:v>TAUX DE SATISFACTION CLIENTS</c:v>
                </c:pt>
              </c:strCache>
            </c:strRef>
          </c:tx>
          <c:spPr>
            <a:ln w="6350" cap="rnd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strRef>
              <c:f>'3.6.1'!$A$5:$A$265</c:f>
              <c:strCache>
                <c:ptCount val="241"/>
                <c:pt idx="0">
                  <c:v>JANVIER</c:v>
                </c:pt>
                <c:pt idx="23">
                  <c:v>FEVRIER</c:v>
                </c:pt>
                <c:pt idx="43">
                  <c:v>MARS</c:v>
                </c:pt>
                <c:pt idx="65">
                  <c:v>AVRIL</c:v>
                </c:pt>
                <c:pt idx="86">
                  <c:v>MAI</c:v>
                </c:pt>
                <c:pt idx="109">
                  <c:v>JUIN</c:v>
                </c:pt>
                <c:pt idx="130">
                  <c:v>JUILLET</c:v>
                </c:pt>
                <c:pt idx="152">
                  <c:v>AOUT</c:v>
                </c:pt>
                <c:pt idx="175">
                  <c:v>SEPTEMBRE</c:v>
                </c:pt>
                <c:pt idx="195">
                  <c:v>OCTOBRE</c:v>
                </c:pt>
                <c:pt idx="218">
                  <c:v>NOVEMBRE</c:v>
                </c:pt>
                <c:pt idx="240">
                  <c:v>DECEMBRE</c:v>
                </c:pt>
              </c:strCache>
            </c:strRef>
          </c:cat>
          <c:val>
            <c:numRef>
              <c:f>'3.6.1'!$X$5:$X$265</c:f>
              <c:numCache>
                <c:formatCode>0.00%</c:formatCode>
                <c:ptCount val="2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0.86333300948380876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0.85481799329807773</c:v>
                </c:pt>
                <c:pt idx="39">
                  <c:v>0.66534197264218864</c:v>
                </c:pt>
                <c:pt idx="40">
                  <c:v>0.54716914736549516</c:v>
                </c:pt>
                <c:pt idx="41">
                  <c:v>0.89044054557827168</c:v>
                </c:pt>
                <c:pt idx="42">
                  <c:v>0.75090418409521476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0.43116590651746234</c:v>
                </c:pt>
                <c:pt idx="49">
                  <c:v>0.54488959325143038</c:v>
                </c:pt>
                <c:pt idx="50">
                  <c:v>0.5057846556527722</c:v>
                </c:pt>
                <c:pt idx="51">
                  <c:v>0.79730222018722696</c:v>
                </c:pt>
                <c:pt idx="52">
                  <c:v>0.56802590995378732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0.42691333580326402</c:v>
                </c:pt>
                <c:pt idx="59">
                  <c:v>0.33228519195612427</c:v>
                </c:pt>
                <c:pt idx="60">
                  <c:v>0.27326730108847441</c:v>
                </c:pt>
                <c:pt idx="61">
                  <c:v>0.44470395643010513</c:v>
                </c:pt>
                <c:pt idx="62">
                  <c:v>0.37501668497159518</c:v>
                </c:pt>
                <c:pt idx="63">
                  <c:v>0.43126539103673256</c:v>
                </c:pt>
                <c:pt idx="64">
                  <c:v>0.37211972222048906</c:v>
                </c:pt>
                <c:pt idx="65">
                  <c:v>0.70679182771949201</c:v>
                </c:pt>
                <c:pt idx="66">
                  <c:v>0.66010314111579937</c:v>
                </c:pt>
                <c:pt idx="67">
                  <c:v>0.61736334405144688</c:v>
                </c:pt>
                <c:pt idx="68">
                  <c:v>1</c:v>
                </c:pt>
                <c:pt idx="69">
                  <c:v>1</c:v>
                </c:pt>
                <c:pt idx="70">
                  <c:v>0.22713157661254546</c:v>
                </c:pt>
                <c:pt idx="71">
                  <c:v>0.28703946792683993</c:v>
                </c:pt>
                <c:pt idx="72">
                  <c:v>0.26643958747279778</c:v>
                </c:pt>
                <c:pt idx="73">
                  <c:v>0.42000656260254071</c:v>
                </c:pt>
                <c:pt idx="74">
                  <c:v>0.29922732417933956</c:v>
                </c:pt>
                <c:pt idx="75">
                  <c:v>0.54368602132268617</c:v>
                </c:pt>
                <c:pt idx="76">
                  <c:v>0.53085217642179672</c:v>
                </c:pt>
                <c:pt idx="77">
                  <c:v>0.58042707560392448</c:v>
                </c:pt>
                <c:pt idx="78">
                  <c:v>1</c:v>
                </c:pt>
                <c:pt idx="79">
                  <c:v>0.80227920227920235</c:v>
                </c:pt>
                <c:pt idx="80">
                  <c:v>0.22489138768208536</c:v>
                </c:pt>
                <c:pt idx="81">
                  <c:v>0.17504273504273504</c:v>
                </c:pt>
                <c:pt idx="82">
                  <c:v>0.1439530166802894</c:v>
                </c:pt>
                <c:pt idx="83">
                  <c:v>0.2342632133547779</c:v>
                </c:pt>
                <c:pt idx="84">
                  <c:v>0.19755302918450712</c:v>
                </c:pt>
                <c:pt idx="85">
                  <c:v>0.22718398352916119</c:v>
                </c:pt>
                <c:pt idx="86">
                  <c:v>0.40517969728705838</c:v>
                </c:pt>
                <c:pt idx="87">
                  <c:v>0.37841466243110589</c:v>
                </c:pt>
                <c:pt idx="88">
                  <c:v>0.35391339153707208</c:v>
                </c:pt>
                <c:pt idx="89">
                  <c:v>0.76083224494029533</c:v>
                </c:pt>
                <c:pt idx="90">
                  <c:v>0.59789516664114739</c:v>
                </c:pt>
                <c:pt idx="91">
                  <c:v>0.1302068018431129</c:v>
                </c:pt>
                <c:pt idx="92">
                  <c:v>0.16454995680877182</c:v>
                </c:pt>
                <c:pt idx="93">
                  <c:v>0.15274074651633057</c:v>
                </c:pt>
                <c:pt idx="94">
                  <c:v>0.24077546629672525</c:v>
                </c:pt>
                <c:pt idx="95">
                  <c:v>0.17153683995214319</c:v>
                </c:pt>
                <c:pt idx="96">
                  <c:v>0.31167669022081412</c:v>
                </c:pt>
                <c:pt idx="97">
                  <c:v>0.30431948377326695</c:v>
                </c:pt>
                <c:pt idx="98">
                  <c:v>0.33273908606049513</c:v>
                </c:pt>
                <c:pt idx="99">
                  <c:v>0.80201689637580997</c:v>
                </c:pt>
                <c:pt idx="100">
                  <c:v>0.45991935895472874</c:v>
                </c:pt>
                <c:pt idx="101">
                  <c:v>0.12892257778008384</c:v>
                </c:pt>
                <c:pt idx="102">
                  <c:v>0.100346041953759</c:v>
                </c:pt>
                <c:pt idx="103">
                  <c:v>8.252336463803453E-2</c:v>
                </c:pt>
                <c:pt idx="104">
                  <c:v>0.13429512644316163</c:v>
                </c:pt>
                <c:pt idx="105">
                  <c:v>0.1132504273873518</c:v>
                </c:pt>
                <c:pt idx="106">
                  <c:v>0.1302368449445995</c:v>
                </c:pt>
                <c:pt idx="107">
                  <c:v>0.11237558025964907</c:v>
                </c:pt>
                <c:pt idx="108">
                  <c:v>9.2547382520067945E-2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0.43797033416410586</c:v>
                </c:pt>
                <c:pt idx="115">
                  <c:v>0.55348874674813253</c:v>
                </c:pt>
                <c:pt idx="116">
                  <c:v>0.51376667612829985</c:v>
                </c:pt>
                <c:pt idx="117">
                  <c:v>0.80988481354112085</c:v>
                </c:pt>
                <c:pt idx="118">
                  <c:v>0.5769901883145645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0.43365065167390754</c:v>
                </c:pt>
                <c:pt idx="125">
                  <c:v>0.3375291375291376</c:v>
                </c:pt>
                <c:pt idx="126">
                  <c:v>0.27757985815837055</c:v>
                </c:pt>
                <c:pt idx="127">
                  <c:v>0.45172203427430546</c:v>
                </c:pt>
                <c:pt idx="128">
                  <c:v>0.38093499590620516</c:v>
                </c:pt>
                <c:pt idx="129">
                  <c:v>0.43807138869436985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0.78321132259638859</c:v>
                </c:pt>
                <c:pt idx="147">
                  <c:v>0.64410346740973645</c:v>
                </c:pt>
                <c:pt idx="148">
                  <c:v>1</c:v>
                </c:pt>
                <c:pt idx="149">
                  <c:v>0.88393139671147103</c:v>
                </c:pt>
                <c:pt idx="150">
                  <c:v>1</c:v>
                </c:pt>
                <c:pt idx="151">
                  <c:v>0.8771031236414335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0.89204892700881977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0.57784066234257458</c:v>
                </c:pt>
                <c:pt idx="181">
                  <c:v>0.73025106741650658</c:v>
                </c:pt>
                <c:pt idx="182">
                  <c:v>0.67784334523507161</c:v>
                </c:pt>
                <c:pt idx="183">
                  <c:v>1</c:v>
                </c:pt>
                <c:pt idx="184">
                  <c:v>0.76125793592204338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0.57214144484646312</c:v>
                </c:pt>
                <c:pt idx="191">
                  <c:v>0.44532253711201081</c:v>
                </c:pt>
                <c:pt idx="192">
                  <c:v>0.36622783914649931</c:v>
                </c:pt>
                <c:pt idx="193">
                  <c:v>0.5959841092387671</c:v>
                </c:pt>
                <c:pt idx="194">
                  <c:v>0.50259050253716386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0.61348545777611529</c:v>
                </c:pt>
                <c:pt idx="201">
                  <c:v>0.77529748178212343</c:v>
                </c:pt>
                <c:pt idx="202">
                  <c:v>0.71965692629899258</c:v>
                </c:pt>
                <c:pt idx="203">
                  <c:v>1</c:v>
                </c:pt>
                <c:pt idx="204">
                  <c:v>0.80821704622088486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0.60743467720211908</c:v>
                </c:pt>
                <c:pt idx="211">
                  <c:v>0.47279279279279279</c:v>
                </c:pt>
                <c:pt idx="212">
                  <c:v>0.38881904336449791</c:v>
                </c:pt>
                <c:pt idx="213">
                  <c:v>0.63274810499035439</c:v>
                </c:pt>
                <c:pt idx="214">
                  <c:v>0.53359340146288314</c:v>
                </c:pt>
                <c:pt idx="215">
                  <c:v>0.61362700956609573</c:v>
                </c:pt>
                <c:pt idx="216">
                  <c:v>0.52947145097315751</c:v>
                </c:pt>
                <c:pt idx="217">
                  <c:v>0.4360484439185866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0.83773716275021759</c:v>
                </c:pt>
                <c:pt idx="235">
                  <c:v>0.68894485528712912</c:v>
                </c:pt>
                <c:pt idx="236">
                  <c:v>1</c:v>
                </c:pt>
                <c:pt idx="237">
                  <c:v>0.94546919711540867</c:v>
                </c:pt>
                <c:pt idx="238">
                  <c:v>1</c:v>
                </c:pt>
                <c:pt idx="239">
                  <c:v>0.93816555128810641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20080"/>
        <c:axId val="507320640"/>
      </c:lineChart>
      <c:catAx>
        <c:axId val="507320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20640"/>
        <c:crosses val="autoZero"/>
        <c:auto val="1"/>
        <c:lblAlgn val="ctr"/>
        <c:lblOffset val="100"/>
        <c:noMultiLvlLbl val="0"/>
      </c:catAx>
      <c:valAx>
        <c:axId val="507320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20080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657134793008539"/>
          <c:y val="4.3644414013465707E-2"/>
          <c:w val="0.65658749336207411"/>
          <c:h val="0.12463859408878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Satisfactions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7.938505841751331E-2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63356647677302458"/>
        </c:manualLayout>
      </c:layout>
      <c:lineChart>
        <c:grouping val="standard"/>
        <c:varyColors val="0"/>
        <c:ser>
          <c:idx val="0"/>
          <c:order val="0"/>
          <c:tx>
            <c:strRef>
              <c:f>'3.6.1'!$Y$268</c:f>
              <c:strCache>
                <c:ptCount val="1"/>
                <c:pt idx="0">
                  <c:v>TAUX DE SATISFACTION INTERIMAIRES REPONDANT AU MARCHE</c:v>
                </c:pt>
              </c:strCache>
            </c:strRef>
          </c:tx>
          <c:spPr>
            <a:ln w="6350" cap="rnd">
              <a:solidFill>
                <a:schemeClr val="accent6"/>
              </a:solidFill>
            </a:ln>
            <a:effectLst/>
          </c:spPr>
          <c:marker>
            <c:symbol val="none"/>
          </c:marker>
          <c:cat>
            <c:strRef>
              <c:f>'3.6.1'!$B$269:$B$280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'3.6.1'!$Y$269:$Y$280</c:f>
              <c:numCache>
                <c:formatCode>0.00%</c:formatCode>
                <c:ptCount val="12"/>
                <c:pt idx="0">
                  <c:v>0.34632248812945754</c:v>
                </c:pt>
                <c:pt idx="1">
                  <c:v>0.65028545329797416</c:v>
                </c:pt>
                <c:pt idx="2">
                  <c:v>0.87275513919699776</c:v>
                </c:pt>
                <c:pt idx="3">
                  <c:v>0.97271711646711656</c:v>
                </c:pt>
                <c:pt idx="4">
                  <c:v>1</c:v>
                </c:pt>
                <c:pt idx="5">
                  <c:v>0.86136868362362795</c:v>
                </c:pt>
                <c:pt idx="6">
                  <c:v>0.63031531174340028</c:v>
                </c:pt>
                <c:pt idx="7">
                  <c:v>0.50808707987200075</c:v>
                </c:pt>
                <c:pt idx="8">
                  <c:v>0.76543642688744851</c:v>
                </c:pt>
                <c:pt idx="9">
                  <c:v>0.78009470176657469</c:v>
                </c:pt>
                <c:pt idx="10">
                  <c:v>0.60112395686131415</c:v>
                </c:pt>
                <c:pt idx="11">
                  <c:v>0.34396741733059449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'3.6.1'!$Z$268</c:f>
              <c:strCache>
                <c:ptCount val="1"/>
                <c:pt idx="0">
                  <c:v>TAUX DE SATISFACTION INTERIMAIRES</c:v>
                </c:pt>
              </c:strCache>
            </c:strRef>
          </c:tx>
          <c:spPr>
            <a:ln w="6350" cap="rnd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'3.6.1'!$Z$269:$Z$280</c:f>
              <c:numCache>
                <c:formatCode>0.00%</c:formatCode>
                <c:ptCount val="12"/>
                <c:pt idx="0">
                  <c:v>0.27705799050356605</c:v>
                </c:pt>
                <c:pt idx="1">
                  <c:v>0.52022836263837946</c:v>
                </c:pt>
                <c:pt idx="2">
                  <c:v>0.6982041113575983</c:v>
                </c:pt>
                <c:pt idx="3">
                  <c:v>0.77817369317369345</c:v>
                </c:pt>
                <c:pt idx="4">
                  <c:v>0.80000000000000027</c:v>
                </c:pt>
                <c:pt idx="5">
                  <c:v>0.68909494689890249</c:v>
                </c:pt>
                <c:pt idx="6">
                  <c:v>0.50425224939472046</c:v>
                </c:pt>
                <c:pt idx="7">
                  <c:v>0.40646966389760059</c:v>
                </c:pt>
                <c:pt idx="8">
                  <c:v>0.61234914150995912</c:v>
                </c:pt>
                <c:pt idx="9">
                  <c:v>0.62407576141325993</c:v>
                </c:pt>
                <c:pt idx="10">
                  <c:v>0.48089916548905154</c:v>
                </c:pt>
                <c:pt idx="11">
                  <c:v>0.27517393386447569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'3.6.1'!$X$268</c:f>
              <c:strCache>
                <c:ptCount val="1"/>
                <c:pt idx="0">
                  <c:v>TAUX DE SATISFACTION CLIENTS</c:v>
                </c:pt>
              </c:strCache>
            </c:strRef>
          </c:tx>
          <c:spPr>
            <a:ln w="6350" cap="rnd">
              <a:solidFill>
                <a:schemeClr val="accent4"/>
              </a:solidFill>
            </a:ln>
            <a:effectLst/>
          </c:spPr>
          <c:marker>
            <c:symbol val="none"/>
          </c:marker>
          <c:val>
            <c:numRef>
              <c:f>'3.6.1'!$X$269:$X$280</c:f>
              <c:numCache>
                <c:formatCode>0.00%</c:formatCode>
                <c:ptCount val="12"/>
                <c:pt idx="0">
                  <c:v>1</c:v>
                </c:pt>
                <c:pt idx="1">
                  <c:v>0.92860034262315272</c:v>
                </c:pt>
                <c:pt idx="2">
                  <c:v>0.70466999404861186</c:v>
                </c:pt>
                <c:pt idx="3">
                  <c:v>0.48305879394199824</c:v>
                </c:pt>
                <c:pt idx="4">
                  <c:v>0.28092234067676453</c:v>
                </c:pt>
                <c:pt idx="5">
                  <c:v>0.72436137262535816</c:v>
                </c:pt>
                <c:pt idx="6">
                  <c:v>0.96310678683450135</c:v>
                </c:pt>
                <c:pt idx="7">
                  <c:v>0.99530647508733994</c:v>
                </c:pt>
                <c:pt idx="8">
                  <c:v>0.81147297218985504</c:v>
                </c:pt>
                <c:pt idx="9">
                  <c:v>0.78831268853689596</c:v>
                </c:pt>
                <c:pt idx="10">
                  <c:v>0.97319621665640288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24560"/>
        <c:axId val="507325120"/>
      </c:lineChart>
      <c:catAx>
        <c:axId val="507324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25120"/>
        <c:crosses val="autoZero"/>
        <c:auto val="1"/>
        <c:lblAlgn val="ctr"/>
        <c:lblOffset val="100"/>
        <c:noMultiLvlLbl val="0"/>
      </c:catAx>
      <c:valAx>
        <c:axId val="507325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24560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085067665718032"/>
          <c:y val="3.4336186237589869E-2"/>
          <c:w val="0.65658749336207411"/>
          <c:h val="0.14734436456312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Missions: Demande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7.938505841751331E-2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63356647677302458"/>
        </c:manualLayout>
      </c:layout>
      <c:areaChart>
        <c:grouping val="stacked"/>
        <c:varyColors val="0"/>
        <c:ser>
          <c:idx val="5"/>
          <c:order val="2"/>
          <c:tx>
            <c:strRef>
              <c:f>'3.6.1'!$R$268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 cap="flat" cmpd="sng" algn="ctr">
              <a:noFill/>
              <a:miter lim="800000"/>
            </a:ln>
            <a:effectLst/>
          </c:spPr>
          <c:val>
            <c:numRef>
              <c:f>'3.6.1'!$R$269:$R$280</c:f>
              <c:numCache>
                <c:formatCode>0.00</c:formatCode>
                <c:ptCount val="12"/>
                <c:pt idx="0">
                  <c:v>114.96351999999999</c:v>
                </c:pt>
                <c:pt idx="1">
                  <c:v>133.861594</c:v>
                </c:pt>
                <c:pt idx="2">
                  <c:v>127.97441200000002</c:v>
                </c:pt>
                <c:pt idx="3">
                  <c:v>114.64182399999999</c:v>
                </c:pt>
                <c:pt idx="4">
                  <c:v>91.932671999999997</c:v>
                </c:pt>
                <c:pt idx="5">
                  <c:v>127.39643999999997</c:v>
                </c:pt>
                <c:pt idx="6">
                  <c:v>104.52164399999999</c:v>
                </c:pt>
                <c:pt idx="7">
                  <c:v>114.46611599999999</c:v>
                </c:pt>
                <c:pt idx="8">
                  <c:v>145.05506400000002</c:v>
                </c:pt>
                <c:pt idx="9">
                  <c:v>137.08339999999998</c:v>
                </c:pt>
                <c:pt idx="10">
                  <c:v>148.87040400000001</c:v>
                </c:pt>
                <c:pt idx="11">
                  <c:v>105.01061999999999</c:v>
                </c:pt>
              </c:numCache>
            </c:numRef>
          </c:val>
        </c:ser>
        <c:ser>
          <c:idx val="6"/>
          <c:order val="3"/>
          <c:tx>
            <c:strRef>
              <c:f>'3.6.1'!$L$268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val>
            <c:numRef>
              <c:f>'3.6.1'!$L$269:$L$280</c:f>
              <c:numCache>
                <c:formatCode>0.00</c:formatCode>
                <c:ptCount val="12"/>
                <c:pt idx="0">
                  <c:v>0</c:v>
                </c:pt>
                <c:pt idx="1">
                  <c:v>10.561505999999996</c:v>
                </c:pt>
                <c:pt idx="2">
                  <c:v>17.801687999999999</c:v>
                </c:pt>
                <c:pt idx="3">
                  <c:v>24.846095999999992</c:v>
                </c:pt>
                <c:pt idx="4">
                  <c:v>22.971257999999995</c:v>
                </c:pt>
                <c:pt idx="5">
                  <c:v>16.931249999999991</c:v>
                </c:pt>
                <c:pt idx="6">
                  <c:v>4.324488999999998</c:v>
                </c:pt>
                <c:pt idx="7">
                  <c:v>0.49740400000000129</c:v>
                </c:pt>
                <c:pt idx="8">
                  <c:v>18.553865999999996</c:v>
                </c:pt>
                <c:pt idx="9">
                  <c:v>20.907349999999994</c:v>
                </c:pt>
                <c:pt idx="10">
                  <c:v>4.3213259999999973</c:v>
                </c:pt>
                <c:pt idx="11">
                  <c:v>0</c:v>
                </c:pt>
              </c:numCache>
            </c:numRef>
          </c:val>
        </c:ser>
        <c:ser>
          <c:idx val="7"/>
          <c:order val="4"/>
          <c:tx>
            <c:strRef>
              <c:f>'3.6.1'!$J$268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 cap="flat" cmpd="sng" algn="ctr">
              <a:noFill/>
              <a:miter lim="800000"/>
            </a:ln>
            <a:effectLst/>
          </c:spPr>
          <c:val>
            <c:numRef>
              <c:f>'3.6.1'!$J$269:$J$280</c:f>
              <c:numCache>
                <c:formatCode>0.00</c:formatCode>
                <c:ptCount val="12"/>
                <c:pt idx="0">
                  <c:v>0</c:v>
                </c:pt>
                <c:pt idx="1">
                  <c:v>5.5101900000000041</c:v>
                </c:pt>
                <c:pt idx="2">
                  <c:v>74.298410000000004</c:v>
                </c:pt>
                <c:pt idx="3">
                  <c:v>175.54393999999999</c:v>
                </c:pt>
                <c:pt idx="4">
                  <c:v>345.16148000000004</c:v>
                </c:pt>
                <c:pt idx="5">
                  <c:v>65.693549999999988</c:v>
                </c:pt>
                <c:pt idx="6">
                  <c:v>1.0704230000000003</c:v>
                </c:pt>
                <c:pt idx="7">
                  <c:v>0</c:v>
                </c:pt>
                <c:pt idx="8">
                  <c:v>36.35609500000001</c:v>
                </c:pt>
                <c:pt idx="9">
                  <c:v>37.489500000000021</c:v>
                </c:pt>
                <c:pt idx="10">
                  <c:v>0.90066000000000113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31280"/>
        <c:axId val="507331840"/>
      </c:areaChart>
      <c:lineChart>
        <c:grouping val="standard"/>
        <c:varyColors val="0"/>
        <c:ser>
          <c:idx val="0"/>
          <c:order val="0"/>
          <c:tx>
            <c:strRef>
              <c:f>'3.6.1'!$R$268</c:f>
              <c:strCache>
                <c:ptCount val="1"/>
                <c:pt idx="0">
                  <c:v>Capacité à 80%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strRef>
              <c:f>'3.6.1'!$B$269:$B$280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'3.6.1'!$R$269:$R$280</c:f>
              <c:numCache>
                <c:formatCode>0.00</c:formatCode>
                <c:ptCount val="12"/>
                <c:pt idx="0">
                  <c:v>114.96351999999999</c:v>
                </c:pt>
                <c:pt idx="1">
                  <c:v>133.861594</c:v>
                </c:pt>
                <c:pt idx="2">
                  <c:v>127.97441200000002</c:v>
                </c:pt>
                <c:pt idx="3">
                  <c:v>114.64182399999999</c:v>
                </c:pt>
                <c:pt idx="4">
                  <c:v>91.932671999999997</c:v>
                </c:pt>
                <c:pt idx="5">
                  <c:v>127.39643999999997</c:v>
                </c:pt>
                <c:pt idx="6">
                  <c:v>104.52164399999999</c:v>
                </c:pt>
                <c:pt idx="7">
                  <c:v>114.46611599999999</c:v>
                </c:pt>
                <c:pt idx="8">
                  <c:v>145.05506400000002</c:v>
                </c:pt>
                <c:pt idx="9">
                  <c:v>137.08339999999998</c:v>
                </c:pt>
                <c:pt idx="10">
                  <c:v>148.87040400000001</c:v>
                </c:pt>
                <c:pt idx="11">
                  <c:v>105.01061999999999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'3.6.1'!$H$268</c:f>
              <c:strCache>
                <c:ptCount val="1"/>
                <c:pt idx="0">
                  <c:v>Capacité 100%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/>
          </c:spPr>
          <c:marker>
            <c:symbol val="none"/>
          </c:marker>
          <c:val>
            <c:numRef>
              <c:f>'3.6.1'!$H$269:$H$280</c:f>
              <c:numCache>
                <c:formatCode>0.00</c:formatCode>
                <c:ptCount val="12"/>
                <c:pt idx="0">
                  <c:v>114.96351999999999</c:v>
                </c:pt>
                <c:pt idx="1">
                  <c:v>144.42309999999998</c:v>
                </c:pt>
                <c:pt idx="2">
                  <c:v>145.77610000000001</c:v>
                </c:pt>
                <c:pt idx="3">
                  <c:v>139.48792</c:v>
                </c:pt>
                <c:pt idx="4">
                  <c:v>114.90393000000003</c:v>
                </c:pt>
                <c:pt idx="5">
                  <c:v>144.32768999999996</c:v>
                </c:pt>
                <c:pt idx="6">
                  <c:v>108.84613299999999</c:v>
                </c:pt>
                <c:pt idx="7">
                  <c:v>114.96351999999999</c:v>
                </c:pt>
                <c:pt idx="8">
                  <c:v>163.60893000000002</c:v>
                </c:pt>
                <c:pt idx="9">
                  <c:v>157.99074999999999</c:v>
                </c:pt>
                <c:pt idx="10">
                  <c:v>153.19173000000004</c:v>
                </c:pt>
                <c:pt idx="11">
                  <c:v>105.01061999999999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'3.6.1'!$D$268</c:f>
              <c:strCache>
                <c:ptCount val="1"/>
                <c:pt idx="0">
                  <c:v>demandes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/>
          </c:spPr>
          <c:marker>
            <c:symbol val="none"/>
          </c:marker>
          <c:val>
            <c:numRef>
              <c:f>'3.6.1'!$D$269:$D$280</c:f>
              <c:numCache>
                <c:formatCode>0.00</c:formatCode>
                <c:ptCount val="12"/>
                <c:pt idx="0">
                  <c:v>114.96351999999999</c:v>
                </c:pt>
                <c:pt idx="1">
                  <c:v>149.93329</c:v>
                </c:pt>
                <c:pt idx="2">
                  <c:v>220.07451000000003</c:v>
                </c:pt>
                <c:pt idx="3">
                  <c:v>315.03186000000005</c:v>
                </c:pt>
                <c:pt idx="4">
                  <c:v>460.06540999999993</c:v>
                </c:pt>
                <c:pt idx="5">
                  <c:v>210.02123999999998</c:v>
                </c:pt>
                <c:pt idx="6">
                  <c:v>109.91655599999997</c:v>
                </c:pt>
                <c:pt idx="7">
                  <c:v>114.96351999999999</c:v>
                </c:pt>
                <c:pt idx="8">
                  <c:v>199.96502500000003</c:v>
                </c:pt>
                <c:pt idx="9">
                  <c:v>195.48025000000001</c:v>
                </c:pt>
                <c:pt idx="10">
                  <c:v>154.09239000000002</c:v>
                </c:pt>
                <c:pt idx="11">
                  <c:v>105.01061999999999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'3.6.1'!$E$268</c:f>
              <c:strCache>
                <c:ptCount val="1"/>
                <c:pt idx="0">
                  <c:v>offres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none"/>
          </c:marker>
          <c:val>
            <c:numRef>
              <c:f>'3.6.1'!$E$269:$E$280</c:f>
              <c:numCache>
                <c:formatCode>0.00</c:formatCode>
                <c:ptCount val="12"/>
                <c:pt idx="0">
                  <c:v>460.11224999999985</c:v>
                </c:pt>
                <c:pt idx="1">
                  <c:v>280.05658</c:v>
                </c:pt>
                <c:pt idx="2">
                  <c:v>186.96714</c:v>
                </c:pt>
                <c:pt idx="3">
                  <c:v>147.09728000000001</c:v>
                </c:pt>
                <c:pt idx="4">
                  <c:v>114.91584000000003</c:v>
                </c:pt>
                <c:pt idx="5">
                  <c:v>189.09522500000003</c:v>
                </c:pt>
                <c:pt idx="6">
                  <c:v>220.10333499999996</c:v>
                </c:pt>
                <c:pt idx="7">
                  <c:v>310.40743500000002</c:v>
                </c:pt>
                <c:pt idx="8">
                  <c:v>249.995105</c:v>
                </c:pt>
                <c:pt idx="9">
                  <c:v>230.05612499999992</c:v>
                </c:pt>
                <c:pt idx="10">
                  <c:v>330.04527999999993</c:v>
                </c:pt>
                <c:pt idx="11">
                  <c:v>419.97944999999993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31280"/>
        <c:axId val="507331840"/>
      </c:lineChart>
      <c:catAx>
        <c:axId val="507331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31840"/>
        <c:crosses val="autoZero"/>
        <c:auto val="1"/>
        <c:lblAlgn val="ctr"/>
        <c:lblOffset val="100"/>
        <c:noMultiLvlLbl val="0"/>
      </c:catAx>
      <c:valAx>
        <c:axId val="50733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31280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1737907103838177"/>
          <c:w val="0.88144742919807573"/>
          <c:h val="0.15893856746167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Missions: Offre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7.938505841751331E-2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74915497186467E-2"/>
          <c:y val="0.27831437775801932"/>
          <c:w val="0.94265004697291066"/>
          <c:h val="0.63356647677302458"/>
        </c:manualLayout>
      </c:layout>
      <c:areaChart>
        <c:grouping val="stacked"/>
        <c:varyColors val="0"/>
        <c:ser>
          <c:idx val="5"/>
          <c:order val="4"/>
          <c:tx>
            <c:strRef>
              <c:f>'3.6.1'!$R$268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25400" cap="flat" cmpd="sng" algn="ctr">
              <a:noFill/>
              <a:miter lim="800000"/>
            </a:ln>
            <a:effectLst/>
          </c:spPr>
          <c:val>
            <c:numRef>
              <c:f>'3.6.1'!$R$269:$R$280</c:f>
              <c:numCache>
                <c:formatCode>0.00</c:formatCode>
                <c:ptCount val="12"/>
                <c:pt idx="0">
                  <c:v>114.96351999999999</c:v>
                </c:pt>
                <c:pt idx="1">
                  <c:v>133.861594</c:v>
                </c:pt>
                <c:pt idx="2">
                  <c:v>127.97441200000002</c:v>
                </c:pt>
                <c:pt idx="3">
                  <c:v>114.64182399999999</c:v>
                </c:pt>
                <c:pt idx="4">
                  <c:v>91.932671999999997</c:v>
                </c:pt>
                <c:pt idx="5">
                  <c:v>127.39643999999997</c:v>
                </c:pt>
                <c:pt idx="6">
                  <c:v>104.52164399999999</c:v>
                </c:pt>
                <c:pt idx="7">
                  <c:v>114.46611599999999</c:v>
                </c:pt>
                <c:pt idx="8">
                  <c:v>145.05506400000002</c:v>
                </c:pt>
                <c:pt idx="9">
                  <c:v>137.08339999999998</c:v>
                </c:pt>
                <c:pt idx="10">
                  <c:v>148.87040400000001</c:v>
                </c:pt>
                <c:pt idx="11">
                  <c:v>105.01061999999999</c:v>
                </c:pt>
              </c:numCache>
            </c:numRef>
          </c:val>
        </c:ser>
        <c:ser>
          <c:idx val="8"/>
          <c:order val="5"/>
          <c:tx>
            <c:strRef>
              <c:f>'3.6.1'!$N$268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7030A0">
                <a:alpha val="50000"/>
              </a:srgbClr>
            </a:solidFill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val>
            <c:numRef>
              <c:f>'3.6.1'!$N$269:$N$280</c:f>
              <c:numCache>
                <c:formatCode>0.00</c:formatCode>
                <c:ptCount val="12"/>
                <c:pt idx="0">
                  <c:v>253.12627999999998</c:v>
                </c:pt>
                <c:pt idx="1">
                  <c:v>90.183670000000006</c:v>
                </c:pt>
                <c:pt idx="2">
                  <c:v>21.599299999999999</c:v>
                </c:pt>
                <c:pt idx="3">
                  <c:v>3.0360000000000023</c:v>
                </c:pt>
                <c:pt idx="4">
                  <c:v>0</c:v>
                </c:pt>
                <c:pt idx="5">
                  <c:v>23.879740000000012</c:v>
                </c:pt>
                <c:pt idx="6">
                  <c:v>71.561023999999989</c:v>
                </c:pt>
                <c:pt idx="7">
                  <c:v>133.85983200000001</c:v>
                </c:pt>
                <c:pt idx="8">
                  <c:v>54.941020000000002</c:v>
                </c:pt>
                <c:pt idx="9">
                  <c:v>46.961499999999987</c:v>
                </c:pt>
                <c:pt idx="10">
                  <c:v>115.16582000000001</c:v>
                </c:pt>
                <c:pt idx="11">
                  <c:v>230.97293999999999</c:v>
                </c:pt>
              </c:numCache>
            </c:numRef>
          </c:val>
        </c:ser>
        <c:ser>
          <c:idx val="3"/>
          <c:order val="6"/>
          <c:tx>
            <c:strRef>
              <c:f>'3.6.1'!$P$268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>
                <a:alpha val="50000"/>
              </a:srgbClr>
            </a:solidFill>
            <a:ln w="9525" cap="flat" cmpd="sng" algn="ctr">
              <a:noFill/>
              <a:miter lim="800000"/>
            </a:ln>
            <a:effectLst/>
          </c:spPr>
          <c:val>
            <c:numRef>
              <c:f>'3.6.1'!$P$269:$P$280</c:f>
              <c:numCache>
                <c:formatCode>0.00</c:formatCode>
                <c:ptCount val="12"/>
                <c:pt idx="0">
                  <c:v>92.022449999999949</c:v>
                </c:pt>
                <c:pt idx="1">
                  <c:v>45.449809999999992</c:v>
                </c:pt>
                <c:pt idx="2">
                  <c:v>19.591739999999994</c:v>
                </c:pt>
                <c:pt idx="3">
                  <c:v>4.5733599999999992</c:v>
                </c:pt>
                <c:pt idx="4">
                  <c:v>1.1909999999999421E-2</c:v>
                </c:pt>
                <c:pt idx="5">
                  <c:v>20.887794999999997</c:v>
                </c:pt>
                <c:pt idx="6">
                  <c:v>39.696177999999989</c:v>
                </c:pt>
                <c:pt idx="7">
                  <c:v>61.584082999999978</c:v>
                </c:pt>
                <c:pt idx="8">
                  <c:v>31.445154999999996</c:v>
                </c:pt>
                <c:pt idx="9">
                  <c:v>25.103874999999988</c:v>
                </c:pt>
                <c:pt idx="10">
                  <c:v>61.687729999999988</c:v>
                </c:pt>
                <c:pt idx="11">
                  <c:v>83.995889999999989</c:v>
                </c:pt>
              </c:numCache>
            </c:numRef>
          </c:val>
        </c:ser>
        <c:ser>
          <c:idx val="6"/>
          <c:order val="7"/>
          <c:tx>
            <c:strRef>
              <c:f>'3.6.1'!$L$268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val>
            <c:numRef>
              <c:f>'3.6.1'!$L$269:$L$280</c:f>
              <c:numCache>
                <c:formatCode>0.00</c:formatCode>
                <c:ptCount val="12"/>
                <c:pt idx="0">
                  <c:v>0</c:v>
                </c:pt>
                <c:pt idx="1">
                  <c:v>10.561505999999996</c:v>
                </c:pt>
                <c:pt idx="2">
                  <c:v>17.801687999999999</c:v>
                </c:pt>
                <c:pt idx="3">
                  <c:v>24.846095999999992</c:v>
                </c:pt>
                <c:pt idx="4">
                  <c:v>22.971257999999995</c:v>
                </c:pt>
                <c:pt idx="5">
                  <c:v>16.931249999999991</c:v>
                </c:pt>
                <c:pt idx="6">
                  <c:v>4.324488999999998</c:v>
                </c:pt>
                <c:pt idx="7">
                  <c:v>0.49740400000000129</c:v>
                </c:pt>
                <c:pt idx="8">
                  <c:v>18.553865999999996</c:v>
                </c:pt>
                <c:pt idx="9">
                  <c:v>20.907349999999994</c:v>
                </c:pt>
                <c:pt idx="10">
                  <c:v>4.3213259999999973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34816"/>
        <c:axId val="509235376"/>
      </c:areaChart>
      <c:lineChart>
        <c:grouping val="standard"/>
        <c:varyColors val="0"/>
        <c:ser>
          <c:idx val="0"/>
          <c:order val="0"/>
          <c:tx>
            <c:strRef>
              <c:f>'3.6.1'!$R$268</c:f>
              <c:strCache>
                <c:ptCount val="1"/>
                <c:pt idx="0">
                  <c:v>Capacité à 80%</c:v>
                </c:pt>
              </c:strCache>
            </c:strRef>
          </c:tx>
          <c:spPr>
            <a:ln w="22225" cap="rnd">
              <a:noFill/>
            </a:ln>
            <a:effectLst/>
          </c:spPr>
          <c:marker>
            <c:symbol val="none"/>
          </c:marker>
          <c:cat>
            <c:strRef>
              <c:f>'3.6.1'!$B$269:$B$280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'3.6.1'!$R$269:$R$280</c:f>
              <c:numCache>
                <c:formatCode>0.00</c:formatCode>
                <c:ptCount val="12"/>
                <c:pt idx="0">
                  <c:v>114.96351999999999</c:v>
                </c:pt>
                <c:pt idx="1">
                  <c:v>133.861594</c:v>
                </c:pt>
                <c:pt idx="2">
                  <c:v>127.97441200000002</c:v>
                </c:pt>
                <c:pt idx="3">
                  <c:v>114.64182399999999</c:v>
                </c:pt>
                <c:pt idx="4">
                  <c:v>91.932671999999997</c:v>
                </c:pt>
                <c:pt idx="5">
                  <c:v>127.39643999999997</c:v>
                </c:pt>
                <c:pt idx="6">
                  <c:v>104.52164399999999</c:v>
                </c:pt>
                <c:pt idx="7">
                  <c:v>114.46611599999999</c:v>
                </c:pt>
                <c:pt idx="8">
                  <c:v>145.05506400000002</c:v>
                </c:pt>
                <c:pt idx="9">
                  <c:v>137.08339999999998</c:v>
                </c:pt>
                <c:pt idx="10">
                  <c:v>148.87040400000001</c:v>
                </c:pt>
                <c:pt idx="11">
                  <c:v>105.01061999999999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'3.6.1'!$F$268</c:f>
              <c:strCache>
                <c:ptCount val="1"/>
                <c:pt idx="0">
                  <c:v>offre à 80%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'3.6.1'!$F$269:$F$280</c:f>
              <c:numCache>
                <c:formatCode>0.00</c:formatCode>
                <c:ptCount val="12"/>
                <c:pt idx="0">
                  <c:v>368.08980000000003</c:v>
                </c:pt>
                <c:pt idx="1">
                  <c:v>224.04526400000003</c:v>
                </c:pt>
                <c:pt idx="2">
                  <c:v>149.573712</c:v>
                </c:pt>
                <c:pt idx="3">
                  <c:v>117.67782399999997</c:v>
                </c:pt>
                <c:pt idx="4">
                  <c:v>91.932671999999997</c:v>
                </c:pt>
                <c:pt idx="5">
                  <c:v>151.27618000000004</c:v>
                </c:pt>
                <c:pt idx="6">
                  <c:v>176.08266800000001</c:v>
                </c:pt>
                <c:pt idx="7">
                  <c:v>248.32594799999998</c:v>
                </c:pt>
                <c:pt idx="8">
                  <c:v>199.99608400000002</c:v>
                </c:pt>
                <c:pt idx="9">
                  <c:v>184.04490000000001</c:v>
                </c:pt>
                <c:pt idx="10">
                  <c:v>264.036224</c:v>
                </c:pt>
                <c:pt idx="11">
                  <c:v>335.98355999999995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'3.6.1'!$E$268</c:f>
              <c:strCache>
                <c:ptCount val="1"/>
                <c:pt idx="0">
                  <c:v>offres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none"/>
          </c:marker>
          <c:val>
            <c:numRef>
              <c:f>'3.6.1'!$E$269:$E$280</c:f>
              <c:numCache>
                <c:formatCode>0.00</c:formatCode>
                <c:ptCount val="12"/>
                <c:pt idx="0">
                  <c:v>460.11224999999985</c:v>
                </c:pt>
                <c:pt idx="1">
                  <c:v>280.05658</c:v>
                </c:pt>
                <c:pt idx="2">
                  <c:v>186.96714</c:v>
                </c:pt>
                <c:pt idx="3">
                  <c:v>147.09728000000001</c:v>
                </c:pt>
                <c:pt idx="4">
                  <c:v>114.91584000000003</c:v>
                </c:pt>
                <c:pt idx="5">
                  <c:v>189.09522500000003</c:v>
                </c:pt>
                <c:pt idx="6">
                  <c:v>220.10333499999996</c:v>
                </c:pt>
                <c:pt idx="7">
                  <c:v>310.40743500000002</c:v>
                </c:pt>
                <c:pt idx="8">
                  <c:v>249.995105</c:v>
                </c:pt>
                <c:pt idx="9">
                  <c:v>230.05612499999992</c:v>
                </c:pt>
                <c:pt idx="10">
                  <c:v>330.04527999999993</c:v>
                </c:pt>
                <c:pt idx="11">
                  <c:v>419.97944999999993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34816"/>
        <c:axId val="509235376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'3.6.1'!$H$268</c15:sqref>
                        </c15:formulaRef>
                      </c:ext>
                    </c:extLst>
                    <c:strCache>
                      <c:ptCount val="1"/>
                      <c:pt idx="0">
                        <c:v>Capacité 100%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'3.6.1'!$H$269:$H$280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114.96351999999999</c:v>
                      </c:pt>
                      <c:pt idx="1">
                        <c:v>144.42309999999998</c:v>
                      </c:pt>
                      <c:pt idx="2">
                        <c:v>145.77610000000001</c:v>
                      </c:pt>
                      <c:pt idx="3">
                        <c:v>139.48792</c:v>
                      </c:pt>
                      <c:pt idx="4">
                        <c:v>114.90393000000003</c:v>
                      </c:pt>
                      <c:pt idx="5">
                        <c:v>144.32768999999996</c:v>
                      </c:pt>
                      <c:pt idx="6">
                        <c:v>108.84613299999999</c:v>
                      </c:pt>
                      <c:pt idx="7">
                        <c:v>114.96351999999999</c:v>
                      </c:pt>
                      <c:pt idx="8">
                        <c:v>163.60893000000002</c:v>
                      </c:pt>
                      <c:pt idx="9">
                        <c:v>157.99074999999999</c:v>
                      </c:pt>
                      <c:pt idx="10">
                        <c:v>153.19173000000004</c:v>
                      </c:pt>
                      <c:pt idx="11">
                        <c:v>105.01061999999999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923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235376"/>
        <c:crosses val="autoZero"/>
        <c:auto val="1"/>
        <c:lblAlgn val="ctr"/>
        <c:lblOffset val="100"/>
        <c:noMultiLvlLbl val="0"/>
      </c:catAx>
      <c:valAx>
        <c:axId val="509235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234816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6524840210469638E-2"/>
          <c:y val="0.12116760972443304"/>
          <c:w val="0.91224940920020936"/>
          <c:h val="0.15959353454550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mensuelle de l'offre et de la demande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'2.3.3'!$C$2</c:f>
              <c:strCache>
                <c:ptCount val="1"/>
                <c:pt idx="0">
                  <c:v>OFFRE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bg2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'2.3.3'!$C$3:$C$33</c:f>
              <c:numCache>
                <c:formatCode>General</c:formatCode>
                <c:ptCount val="31"/>
                <c:pt idx="0">
                  <c:v>39</c:v>
                </c:pt>
                <c:pt idx="1">
                  <c:v>28.599999999999998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15.690000000000001</c:v>
                </c:pt>
                <c:pt idx="23">
                  <c:v>7.43</c:v>
                </c:pt>
                <c:pt idx="24">
                  <c:v>9.9</c:v>
                </c:pt>
                <c:pt idx="25">
                  <c:v>15.680000000000001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'2.3.3'!$D$2</c:f>
              <c:strCache>
                <c:ptCount val="1"/>
                <c:pt idx="0">
                  <c:v>DEMANDE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bg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'2.3.3'!$D$3:$D$33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36.119999999999997</c:v>
                </c:pt>
                <c:pt idx="22">
                  <c:v>29.4</c:v>
                </c:pt>
                <c:pt idx="23">
                  <c:v>16.940000000000001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35.159999999999997</c:v>
                </c:pt>
                <c:pt idx="30">
                  <c:v>20.329999999999998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37728"/>
        <c:axId val="432933248"/>
      </c:barChart>
      <c:catAx>
        <c:axId val="432937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33248"/>
        <c:crosses val="autoZero"/>
        <c:auto val="1"/>
        <c:lblAlgn val="ctr"/>
        <c:lblOffset val="100"/>
        <c:noMultiLvlLbl val="0"/>
      </c:catAx>
      <c:valAx>
        <c:axId val="432933248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3772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8.9887955182072835E-2"/>
          <c:w val="0.16109894012325951"/>
          <c:h val="4.7468686667331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mensuelle de l'offre non placée et de la demande non satisfaite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'2.3.3'!$E$2</c:f>
              <c:strCache>
                <c:ptCount val="1"/>
                <c:pt idx="0">
                  <c:v>OFFRE NON PLACEE</c:v>
                </c:pt>
              </c:strCache>
            </c:strRef>
          </c:tx>
          <c:spPr>
            <a:solidFill>
              <a:srgbClr val="934BC9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'2.3.3'!$E$3:$E$33</c:f>
              <c:numCache>
                <c:formatCode>General</c:formatCode>
                <c:ptCount val="31"/>
                <c:pt idx="0">
                  <c:v>20.89</c:v>
                </c:pt>
                <c:pt idx="1">
                  <c:v>14.379999999999997</c:v>
                </c:pt>
                <c:pt idx="2">
                  <c:v>5.4799999999999995</c:v>
                </c:pt>
                <c:pt idx="3">
                  <c:v>13.21</c:v>
                </c:pt>
                <c:pt idx="4">
                  <c:v>19.600000000000001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3.0600000000000005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11.89</c:v>
                </c:pt>
                <c:pt idx="15">
                  <c:v>8.7799999999999994</c:v>
                </c:pt>
                <c:pt idx="16">
                  <c:v>4.78</c:v>
                </c:pt>
                <c:pt idx="17">
                  <c:v>14.16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'2.3.3'!$F$2</c:f>
              <c:strCache>
                <c:ptCount val="1"/>
                <c:pt idx="0">
                  <c:v>DEMANDE NON SATISFAITE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alpha val="25000"/>
                </a:schemeClr>
              </a:glow>
            </a:effectLst>
          </c:spPr>
          <c:invertIfNegative val="0"/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'2.3.3'!$F$3:$F$33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3.8999999999999986</c:v>
                </c:pt>
                <c:pt idx="8">
                  <c:v>2.9400000000000013</c:v>
                </c:pt>
                <c:pt idx="9">
                  <c:v>2.5500000000000007</c:v>
                </c:pt>
                <c:pt idx="10">
                  <c:v>0</c:v>
                </c:pt>
                <c:pt idx="11">
                  <c:v>1.8399999999999999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15.479999999999997</c:v>
                </c:pt>
                <c:pt idx="22">
                  <c:v>13.709999999999997</c:v>
                </c:pt>
                <c:pt idx="23">
                  <c:v>9.5100000000000016</c:v>
                </c:pt>
                <c:pt idx="24">
                  <c:v>3.9699999999999989</c:v>
                </c:pt>
                <c:pt idx="25">
                  <c:v>10.37</c:v>
                </c:pt>
                <c:pt idx="26">
                  <c:v>0</c:v>
                </c:pt>
                <c:pt idx="27">
                  <c:v>0</c:v>
                </c:pt>
                <c:pt idx="28">
                  <c:v>13.340000000000003</c:v>
                </c:pt>
                <c:pt idx="29">
                  <c:v>14.159999999999997</c:v>
                </c:pt>
                <c:pt idx="30">
                  <c:v>10.329999999999998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53968"/>
        <c:axId val="432954528"/>
      </c:barChart>
      <c:lineChart>
        <c:grouping val="standard"/>
        <c:varyColors val="0"/>
        <c:ser>
          <c:idx val="0"/>
          <c:order val="0"/>
          <c:tx>
            <c:strRef>
              <c:f>'2.3.3'!$C$2</c:f>
              <c:strCache>
                <c:ptCount val="1"/>
                <c:pt idx="0">
                  <c:v>OFFRE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'2.3.3'!$C$3:$C$33</c:f>
              <c:numCache>
                <c:formatCode>General</c:formatCode>
                <c:ptCount val="31"/>
                <c:pt idx="0">
                  <c:v>39</c:v>
                </c:pt>
                <c:pt idx="1">
                  <c:v>28.599999999999998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15.690000000000001</c:v>
                </c:pt>
                <c:pt idx="23">
                  <c:v>7.43</c:v>
                </c:pt>
                <c:pt idx="24">
                  <c:v>9.9</c:v>
                </c:pt>
                <c:pt idx="25">
                  <c:v>15.680000000000001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'2.3.3'!$D$2</c:f>
              <c:strCache>
                <c:ptCount val="1"/>
                <c:pt idx="0">
                  <c:v>DEMANDE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'2.3.3'!$D$3:$D$33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36.119999999999997</c:v>
                </c:pt>
                <c:pt idx="22">
                  <c:v>29.4</c:v>
                </c:pt>
                <c:pt idx="23">
                  <c:v>16.940000000000001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35.159999999999997</c:v>
                </c:pt>
                <c:pt idx="30">
                  <c:v>20.329999999999998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53968"/>
        <c:axId val="432954528"/>
      </c:lineChart>
      <c:catAx>
        <c:axId val="432953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54528"/>
        <c:crosses val="autoZero"/>
        <c:auto val="1"/>
        <c:lblAlgn val="ctr"/>
        <c:lblOffset val="100"/>
        <c:noMultiLvlLbl val="0"/>
      </c:catAx>
      <c:valAx>
        <c:axId val="432954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5396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8.9887955182072835E-2"/>
          <c:w val="0.65187940068377059"/>
          <c:h val="4.7269238404023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mensuelle de la capacité de l'agence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2"/>
          <c:tx>
            <c:strRef>
              <c:f>'2.3.3'!$G$2</c:f>
              <c:strCache>
                <c:ptCount val="1"/>
                <c:pt idx="0">
                  <c:v>CAPACITE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'2.3.3'!$G$3:$G$33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10.94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20.64</c:v>
                </c:pt>
                <c:pt idx="22">
                  <c:v>15.690000000000001</c:v>
                </c:pt>
                <c:pt idx="23">
                  <c:v>7.43</c:v>
                </c:pt>
                <c:pt idx="24">
                  <c:v>9.9</c:v>
                </c:pt>
                <c:pt idx="25">
                  <c:v>15.680000000000001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58448"/>
        <c:axId val="432959008"/>
      </c:barChart>
      <c:lineChart>
        <c:grouping val="standard"/>
        <c:varyColors val="0"/>
        <c:ser>
          <c:idx val="0"/>
          <c:order val="0"/>
          <c:tx>
            <c:strRef>
              <c:f>'2.3.3'!$C$2</c:f>
              <c:strCache>
                <c:ptCount val="1"/>
                <c:pt idx="0">
                  <c:v>OFFRE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'2.3.3'!$C$3:$C$33</c:f>
              <c:numCache>
                <c:formatCode>General</c:formatCode>
                <c:ptCount val="31"/>
                <c:pt idx="0">
                  <c:v>39</c:v>
                </c:pt>
                <c:pt idx="1">
                  <c:v>28.599999999999998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15.690000000000001</c:v>
                </c:pt>
                <c:pt idx="23">
                  <c:v>7.43</c:v>
                </c:pt>
                <c:pt idx="24">
                  <c:v>9.9</c:v>
                </c:pt>
                <c:pt idx="25">
                  <c:v>15.680000000000001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'2.3.3'!$D$2</c:f>
              <c:strCache>
                <c:ptCount val="1"/>
                <c:pt idx="0">
                  <c:v>DEMANDE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'2.3.3'!$D$3:$D$33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36.119999999999997</c:v>
                </c:pt>
                <c:pt idx="22">
                  <c:v>29.4</c:v>
                </c:pt>
                <c:pt idx="23">
                  <c:v>16.940000000000001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35.159999999999997</c:v>
                </c:pt>
                <c:pt idx="30">
                  <c:v>20.329999999999998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58448"/>
        <c:axId val="432959008"/>
      </c:lineChart>
      <c:catAx>
        <c:axId val="432958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59008"/>
        <c:crosses val="autoZero"/>
        <c:auto val="1"/>
        <c:lblAlgn val="ctr"/>
        <c:lblOffset val="100"/>
        <c:noMultiLvlLbl val="0"/>
      </c:catAx>
      <c:valAx>
        <c:axId val="432959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5844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8.9887955182072835E-2"/>
          <c:w val="0.33418033077968573"/>
          <c:h val="4.7269238404023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Représentation avec un taux de</a:t>
            </a:r>
            <a:r>
              <a:rPr lang="fr-FR" baseline="0"/>
              <a:t> capacité absolue (100%)</a:t>
            </a:r>
            <a:r>
              <a:rPr lang="fr-FR"/>
              <a:t> de l'agence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'2.3.3'!$F$101</c:f>
              <c:strCache>
                <c:ptCount val="1"/>
                <c:pt idx="0">
                  <c:v>CAPACITE A 100%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'2.3.3'!$B$3:$B$33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'2.3.3'!$G$3:$G$33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10.94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20.64</c:v>
                </c:pt>
                <c:pt idx="22">
                  <c:v>15.690000000000001</c:v>
                </c:pt>
                <c:pt idx="23">
                  <c:v>7.43</c:v>
                </c:pt>
                <c:pt idx="24">
                  <c:v>9.9</c:v>
                </c:pt>
                <c:pt idx="25">
                  <c:v>15.680000000000001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</c:ser>
        <c:ser>
          <c:idx val="0"/>
          <c:order val="1"/>
          <c:tx>
            <c:strRef>
              <c:f>'2.3.3'!$E$101</c:f>
              <c:strCache>
                <c:ptCount val="1"/>
                <c:pt idx="0">
                  <c:v>(D) quantité d’offres hors demande, susceptible de répondre à des besoins du marché</c:v>
                </c:pt>
              </c:strCache>
            </c:strRef>
          </c:tx>
          <c:spPr>
            <a:solidFill>
              <a:srgbClr val="5945CF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'2.3.3'!$E$3:$E$33</c:f>
              <c:numCache>
                <c:formatCode>General</c:formatCode>
                <c:ptCount val="31"/>
                <c:pt idx="0">
                  <c:v>20.89</c:v>
                </c:pt>
                <c:pt idx="1">
                  <c:v>14.379999999999997</c:v>
                </c:pt>
                <c:pt idx="2">
                  <c:v>5.4799999999999995</c:v>
                </c:pt>
                <c:pt idx="3">
                  <c:v>13.21</c:v>
                </c:pt>
                <c:pt idx="4">
                  <c:v>19.600000000000001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3.0600000000000005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11.89</c:v>
                </c:pt>
                <c:pt idx="15">
                  <c:v>8.7799999999999994</c:v>
                </c:pt>
                <c:pt idx="16">
                  <c:v>4.78</c:v>
                </c:pt>
                <c:pt idx="17">
                  <c:v>14.16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2"/>
          <c:tx>
            <c:strRef>
              <c:f>'2.3.3'!$D$101</c:f>
              <c:strCache>
                <c:ptCount val="1"/>
                <c:pt idx="0">
                  <c:v>(A) quantité de demandes que l’on n’a pas pu satisfaire avec notre offre actuelle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'2.3.3'!$F$3:$F$33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3.8999999999999986</c:v>
                </c:pt>
                <c:pt idx="8">
                  <c:v>2.9400000000000013</c:v>
                </c:pt>
                <c:pt idx="9">
                  <c:v>2.5500000000000007</c:v>
                </c:pt>
                <c:pt idx="10">
                  <c:v>0</c:v>
                </c:pt>
                <c:pt idx="11">
                  <c:v>1.8399999999999999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15.479999999999997</c:v>
                </c:pt>
                <c:pt idx="22">
                  <c:v>13.709999999999997</c:v>
                </c:pt>
                <c:pt idx="23">
                  <c:v>9.5100000000000016</c:v>
                </c:pt>
                <c:pt idx="24">
                  <c:v>3.9699999999999989</c:v>
                </c:pt>
                <c:pt idx="25">
                  <c:v>10.37</c:v>
                </c:pt>
                <c:pt idx="26">
                  <c:v>0</c:v>
                </c:pt>
                <c:pt idx="27">
                  <c:v>0</c:v>
                </c:pt>
                <c:pt idx="28">
                  <c:v>13.340000000000003</c:v>
                </c:pt>
                <c:pt idx="29">
                  <c:v>14.159999999999997</c:v>
                </c:pt>
                <c:pt idx="30">
                  <c:v>10.329999999999998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962928"/>
        <c:axId val="432963488"/>
      </c:barChart>
      <c:catAx>
        <c:axId val="432962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63488"/>
        <c:crosses val="autoZero"/>
        <c:auto val="1"/>
        <c:lblAlgn val="ctr"/>
        <c:lblOffset val="100"/>
        <c:noMultiLvlLbl val="0"/>
      </c:catAx>
      <c:valAx>
        <c:axId val="432963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96292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7091908714363E-2"/>
          <c:y val="8.9887955182072835E-2"/>
          <c:w val="0.53173683547859096"/>
          <c:h val="0.13760603453980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1</xdr:row>
      <xdr:rowOff>9525</xdr:rowOff>
    </xdr:from>
    <xdr:to>
      <xdr:col>16</xdr:col>
      <xdr:colOff>104774</xdr:colOff>
      <xdr:row>22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16</xdr:col>
      <xdr:colOff>123825</xdr:colOff>
      <xdr:row>57</xdr:row>
      <xdr:rowOff>152400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38553</xdr:colOff>
      <xdr:row>7</xdr:row>
      <xdr:rowOff>181535</xdr:rowOff>
    </xdr:from>
    <xdr:to>
      <xdr:col>13</xdr:col>
      <xdr:colOff>531628</xdr:colOff>
      <xdr:row>25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299041</xdr:colOff>
      <xdr:row>55</xdr:row>
      <xdr:rowOff>44302</xdr:rowOff>
    </xdr:from>
    <xdr:to>
      <xdr:col>8</xdr:col>
      <xdr:colOff>470924</xdr:colOff>
      <xdr:row>72</xdr:row>
      <xdr:rowOff>62128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96</xdr:row>
      <xdr:rowOff>0</xdr:rowOff>
    </xdr:from>
    <xdr:to>
      <xdr:col>10</xdr:col>
      <xdr:colOff>526301</xdr:colOff>
      <xdr:row>113</xdr:row>
      <xdr:rowOff>17826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38553</xdr:colOff>
      <xdr:row>7</xdr:row>
      <xdr:rowOff>181535</xdr:rowOff>
    </xdr:from>
    <xdr:to>
      <xdr:col>13</xdr:col>
      <xdr:colOff>531628</xdr:colOff>
      <xdr:row>25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12</xdr:col>
      <xdr:colOff>493075</xdr:colOff>
      <xdr:row>65</xdr:row>
      <xdr:rowOff>20871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7</xdr:row>
      <xdr:rowOff>57151</xdr:rowOff>
    </xdr:from>
    <xdr:to>
      <xdr:col>9</xdr:col>
      <xdr:colOff>600075</xdr:colOff>
      <xdr:row>22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7</xdr:row>
      <xdr:rowOff>47625</xdr:rowOff>
    </xdr:from>
    <xdr:to>
      <xdr:col>21</xdr:col>
      <xdr:colOff>200025</xdr:colOff>
      <xdr:row>22</xdr:row>
      <xdr:rowOff>171450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0.57874</cdr:x>
      <cdr:y>0.2124</cdr:y>
    </cdr:from>
    <cdr:to>
      <cdr:x>0.85185</cdr:x>
      <cdr:y>0.30671</cdr:y>
    </cdr:to>
    <cdr:sp macro="" textlink="">
      <cdr:nvSpPr>
        <cdr:cNvPr id="2" name="ZoneTexte 2"/>
        <cdr:cNvSpPr txBox="1"/>
      </cdr:nvSpPr>
      <cdr:spPr>
        <a:xfrm xmlns:a="http://schemas.openxmlformats.org/drawingml/2006/main">
          <a:off x="2679074" y="633242"/>
          <a:ext cx="1264275" cy="2811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Offres à remplacer</a:t>
          </a:r>
        </a:p>
      </cdr:txBody>
    </cdr:sp>
  </cdr:relSizeAnchor>
  <cdr:relSizeAnchor xmlns:cdr="http://schemas.openxmlformats.org/drawingml/2006/chartDrawing">
    <cdr:from>
      <cdr:x>0.13374</cdr:x>
      <cdr:y>0.30032</cdr:y>
    </cdr:from>
    <cdr:to>
      <cdr:x>0.27108</cdr:x>
      <cdr:y>0.51438</cdr:y>
    </cdr:to>
    <cdr:cxnSp macro="">
      <cdr:nvCxnSpPr>
        <cdr:cNvPr id="3" name="Connecteur droit avec flèche 2"/>
        <cdr:cNvCxnSpPr>
          <a:stCxn xmlns:a="http://schemas.openxmlformats.org/drawingml/2006/main" id="7" idx="2"/>
        </cdr:cNvCxnSpPr>
      </cdr:nvCxnSpPr>
      <cdr:spPr>
        <a:xfrm xmlns:a="http://schemas.openxmlformats.org/drawingml/2006/main" flipH="1">
          <a:off x="619124" y="895349"/>
          <a:ext cx="635757" cy="6381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0.27108</cdr:x>
      <cdr:y>0.30032</cdr:y>
    </cdr:from>
    <cdr:to>
      <cdr:x>0.63992</cdr:x>
      <cdr:y>0.56869</cdr:y>
    </cdr:to>
    <cdr:cxnSp macro="">
      <cdr:nvCxnSpPr>
        <cdr:cNvPr id="4" name="Connecteur droit avec flèche 3"/>
        <cdr:cNvCxnSpPr>
          <a:stCxn xmlns:a="http://schemas.openxmlformats.org/drawingml/2006/main" id="7" idx="2"/>
        </cdr:cNvCxnSpPr>
      </cdr:nvCxnSpPr>
      <cdr:spPr>
        <a:xfrm xmlns:a="http://schemas.openxmlformats.org/drawingml/2006/main">
          <a:off x="1254881" y="895349"/>
          <a:ext cx="1707393" cy="8001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0.7153</cdr:x>
      <cdr:y>0.30671</cdr:y>
    </cdr:from>
    <cdr:to>
      <cdr:x>0.79012</cdr:x>
      <cdr:y>0.61661</cdr:y>
    </cdr:to>
    <cdr:cxnSp macro="">
      <cdr:nvCxnSpPr>
        <cdr:cNvPr id="5" name="Connecteur droit avec flèche 4"/>
        <cdr:cNvCxnSpPr>
          <a:stCxn xmlns:a="http://schemas.openxmlformats.org/drawingml/2006/main" id="2" idx="2"/>
        </cdr:cNvCxnSpPr>
      </cdr:nvCxnSpPr>
      <cdr:spPr>
        <a:xfrm xmlns:a="http://schemas.openxmlformats.org/drawingml/2006/main">
          <a:off x="3311212" y="914399"/>
          <a:ext cx="346387" cy="923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0.15945</cdr:x>
      <cdr:y>0.21705</cdr:y>
    </cdr:from>
    <cdr:to>
      <cdr:x>0.38272</cdr:x>
      <cdr:y>0.30032</cdr:y>
    </cdr:to>
    <cdr:sp macro="" textlink="">
      <cdr:nvSpPr>
        <cdr:cNvPr id="7" name="ZoneTexte 2"/>
        <cdr:cNvSpPr txBox="1"/>
      </cdr:nvSpPr>
      <cdr:spPr>
        <a:xfrm xmlns:a="http://schemas.openxmlformats.org/drawingml/2006/main">
          <a:off x="738112" y="647110"/>
          <a:ext cx="1033537" cy="2482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Offres à retirer</a:t>
          </a:r>
        </a:p>
      </cdr:txBody>
    </cdr:sp>
  </cdr:relSizeAnchor>
  <cdr:relSizeAnchor xmlns:cdr="http://schemas.openxmlformats.org/drawingml/2006/chartDrawing">
    <cdr:from>
      <cdr:x>0.32716</cdr:x>
      <cdr:y>0.30671</cdr:y>
    </cdr:from>
    <cdr:to>
      <cdr:x>0.7153</cdr:x>
      <cdr:y>0.6901</cdr:y>
    </cdr:to>
    <cdr:cxnSp macro="">
      <cdr:nvCxnSpPr>
        <cdr:cNvPr id="8" name="Connecteur droit avec flèche 7"/>
        <cdr:cNvCxnSpPr>
          <a:stCxn xmlns:a="http://schemas.openxmlformats.org/drawingml/2006/main" id="2" idx="2"/>
        </cdr:cNvCxnSpPr>
      </cdr:nvCxnSpPr>
      <cdr:spPr>
        <a:xfrm xmlns:a="http://schemas.openxmlformats.org/drawingml/2006/main" flipH="1">
          <a:off x="1514474" y="914399"/>
          <a:ext cx="1796738" cy="1143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0.42463</cdr:x>
      <cdr:y>0.2092</cdr:y>
    </cdr:from>
    <cdr:to>
      <cdr:x>0.94227</cdr:x>
      <cdr:y>0.35783</cdr:y>
    </cdr:to>
    <cdr:sp macro="" textlink="">
      <cdr:nvSpPr>
        <cdr:cNvPr id="2" name="ZoneTexte 2"/>
        <cdr:cNvSpPr txBox="1"/>
      </cdr:nvSpPr>
      <cdr:spPr>
        <a:xfrm xmlns:a="http://schemas.openxmlformats.org/drawingml/2006/main">
          <a:off x="1961622" y="623707"/>
          <a:ext cx="2391304" cy="44309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Zones</a:t>
          </a:r>
          <a:r>
            <a:rPr lang="fr-FR" sz="1100" baseline="0"/>
            <a:t> de développement porte-feuille clients</a:t>
          </a:r>
          <a:endParaRPr lang="fr-FR" sz="1100"/>
        </a:p>
      </cdr:txBody>
    </cdr:sp>
  </cdr:relSizeAnchor>
  <cdr:relSizeAnchor xmlns:cdr="http://schemas.openxmlformats.org/drawingml/2006/chartDrawing">
    <cdr:from>
      <cdr:x>0.26406</cdr:x>
      <cdr:y>0.29712</cdr:y>
    </cdr:from>
    <cdr:to>
      <cdr:x>0.31753</cdr:x>
      <cdr:y>0.6869</cdr:y>
    </cdr:to>
    <cdr:cxnSp macro="">
      <cdr:nvCxnSpPr>
        <cdr:cNvPr id="3" name="Connecteur droit avec flèche 2"/>
        <cdr:cNvCxnSpPr>
          <a:stCxn xmlns:a="http://schemas.openxmlformats.org/drawingml/2006/main" id="7" idx="2"/>
        </cdr:cNvCxnSpPr>
      </cdr:nvCxnSpPr>
      <cdr:spPr>
        <a:xfrm xmlns:a="http://schemas.openxmlformats.org/drawingml/2006/main">
          <a:off x="1219840" y="885824"/>
          <a:ext cx="247010" cy="116205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0.26406</cdr:x>
      <cdr:y>0.29712</cdr:y>
    </cdr:from>
    <cdr:to>
      <cdr:x>0.41552</cdr:x>
      <cdr:y>0.60224</cdr:y>
    </cdr:to>
    <cdr:cxnSp macro="">
      <cdr:nvCxnSpPr>
        <cdr:cNvPr id="4" name="Connecteur droit avec flèche 3"/>
        <cdr:cNvCxnSpPr>
          <a:stCxn xmlns:a="http://schemas.openxmlformats.org/drawingml/2006/main" id="7" idx="2"/>
        </cdr:cNvCxnSpPr>
      </cdr:nvCxnSpPr>
      <cdr:spPr>
        <a:xfrm xmlns:a="http://schemas.openxmlformats.org/drawingml/2006/main">
          <a:off x="1219840" y="885824"/>
          <a:ext cx="699688" cy="90963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0.26406</cdr:x>
      <cdr:y>0.29712</cdr:y>
    </cdr:from>
    <cdr:to>
      <cdr:x>0.75541</cdr:x>
      <cdr:y>0.60844</cdr:y>
    </cdr:to>
    <cdr:cxnSp macro="">
      <cdr:nvCxnSpPr>
        <cdr:cNvPr id="5" name="Connecteur droit avec flèche 4"/>
        <cdr:cNvCxnSpPr>
          <a:stCxn xmlns:a="http://schemas.openxmlformats.org/drawingml/2006/main" id="7" idx="2"/>
        </cdr:cNvCxnSpPr>
      </cdr:nvCxnSpPr>
      <cdr:spPr>
        <a:xfrm xmlns:a="http://schemas.openxmlformats.org/drawingml/2006/main">
          <a:off x="1219840" y="885824"/>
          <a:ext cx="2269852" cy="92811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0.26406</cdr:x>
      <cdr:y>0.29712</cdr:y>
    </cdr:from>
    <cdr:to>
      <cdr:x>0.77575</cdr:x>
      <cdr:y>0.59292</cdr:y>
    </cdr:to>
    <cdr:cxnSp macro="">
      <cdr:nvCxnSpPr>
        <cdr:cNvPr id="6" name="Connecteur droit avec flèche 5"/>
        <cdr:cNvCxnSpPr>
          <a:stCxn xmlns:a="http://schemas.openxmlformats.org/drawingml/2006/main" id="7" idx="2"/>
        </cdr:cNvCxnSpPr>
      </cdr:nvCxnSpPr>
      <cdr:spPr>
        <a:xfrm xmlns:a="http://schemas.openxmlformats.org/drawingml/2006/main">
          <a:off x="1219840" y="885824"/>
          <a:ext cx="2363816" cy="8818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0.12139</cdr:x>
      <cdr:y>0.2092</cdr:y>
    </cdr:from>
    <cdr:to>
      <cdr:x>0.40673</cdr:x>
      <cdr:y>0.29712</cdr:y>
    </cdr:to>
    <cdr:sp macro="" textlink="">
      <cdr:nvSpPr>
        <cdr:cNvPr id="7" name="ZoneTexte 2"/>
        <cdr:cNvSpPr txBox="1"/>
      </cdr:nvSpPr>
      <cdr:spPr>
        <a:xfrm xmlns:a="http://schemas.openxmlformats.org/drawingml/2006/main">
          <a:off x="560758" y="623707"/>
          <a:ext cx="1318164" cy="2621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Zones</a:t>
          </a:r>
          <a:r>
            <a:rPr lang="fr-FR" sz="1100" baseline="0"/>
            <a:t> de croissance</a:t>
          </a:r>
          <a:endParaRPr lang="fr-FR" sz="1100"/>
        </a:p>
      </cdr:txBody>
    </cdr:sp>
  </cdr:relSizeAnchor>
  <cdr:relSizeAnchor xmlns:cdr="http://schemas.openxmlformats.org/drawingml/2006/chartDrawing">
    <cdr:from>
      <cdr:x>0.16205</cdr:x>
      <cdr:y>0.35783</cdr:y>
    </cdr:from>
    <cdr:to>
      <cdr:x>0.68345</cdr:x>
      <cdr:y>0.66658</cdr:y>
    </cdr:to>
    <cdr:cxnSp macro="">
      <cdr:nvCxnSpPr>
        <cdr:cNvPr id="8" name="Connecteur droit avec flèche 7"/>
        <cdr:cNvCxnSpPr>
          <a:stCxn xmlns:a="http://schemas.openxmlformats.org/drawingml/2006/main" id="2" idx="2"/>
        </cdr:cNvCxnSpPr>
      </cdr:nvCxnSpPr>
      <cdr:spPr>
        <a:xfrm xmlns:a="http://schemas.openxmlformats.org/drawingml/2006/main" flipH="1">
          <a:off x="748600" y="1066800"/>
          <a:ext cx="2408674" cy="92047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0.68345</cdr:x>
      <cdr:y>0.35783</cdr:y>
    </cdr:from>
    <cdr:to>
      <cdr:x>0.68559</cdr:x>
      <cdr:y>0.672</cdr:y>
    </cdr:to>
    <cdr:cxnSp macro="">
      <cdr:nvCxnSpPr>
        <cdr:cNvPr id="9" name="Connecteur droit avec flèche 8"/>
        <cdr:cNvCxnSpPr>
          <a:stCxn xmlns:a="http://schemas.openxmlformats.org/drawingml/2006/main" id="2" idx="2"/>
        </cdr:cNvCxnSpPr>
      </cdr:nvCxnSpPr>
      <cdr:spPr>
        <a:xfrm xmlns:a="http://schemas.openxmlformats.org/drawingml/2006/main">
          <a:off x="3157274" y="1066800"/>
          <a:ext cx="9886" cy="93663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14</xdr:row>
      <xdr:rowOff>142875</xdr:rowOff>
    </xdr:from>
    <xdr:to>
      <xdr:col>6</xdr:col>
      <xdr:colOff>714376</xdr:colOff>
      <xdr:row>35</xdr:row>
      <xdr:rowOff>180975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14</xdr:row>
      <xdr:rowOff>123825</xdr:rowOff>
    </xdr:from>
    <xdr:to>
      <xdr:col>13</xdr:col>
      <xdr:colOff>523876</xdr:colOff>
      <xdr:row>35</xdr:row>
      <xdr:rowOff>161925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304</xdr:row>
      <xdr:rowOff>180975</xdr:rowOff>
    </xdr:from>
    <xdr:to>
      <xdr:col>15</xdr:col>
      <xdr:colOff>200024</xdr:colOff>
      <xdr:row>322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530612</xdr:colOff>
      <xdr:row>305</xdr:row>
      <xdr:rowOff>16959</xdr:rowOff>
    </xdr:from>
    <xdr:to>
      <xdr:col>25</xdr:col>
      <xdr:colOff>416311</xdr:colOff>
      <xdr:row>322</xdr:row>
      <xdr:rowOff>64584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286</xdr:row>
      <xdr:rowOff>104775</xdr:rowOff>
    </xdr:from>
    <xdr:to>
      <xdr:col>25</xdr:col>
      <xdr:colOff>457199</xdr:colOff>
      <xdr:row>303</xdr:row>
      <xdr:rowOff>152400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47856</xdr:colOff>
      <xdr:row>286</xdr:row>
      <xdr:rowOff>79221</xdr:rowOff>
    </xdr:from>
    <xdr:to>
      <xdr:col>15</xdr:col>
      <xdr:colOff>247880</xdr:colOff>
      <xdr:row>303</xdr:row>
      <xdr:rowOff>126846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14</xdr:col>
      <xdr:colOff>133350</xdr:colOff>
      <xdr:row>24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123825</xdr:colOff>
      <xdr:row>25</xdr:row>
      <xdr:rowOff>152400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171450</xdr:rowOff>
    </xdr:from>
    <xdr:to>
      <xdr:col>17</xdr:col>
      <xdr:colOff>123825</xdr:colOff>
      <xdr:row>50</xdr:row>
      <xdr:rowOff>133350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9525</xdr:rowOff>
    </xdr:from>
    <xdr:to>
      <xdr:col>17</xdr:col>
      <xdr:colOff>200025</xdr:colOff>
      <xdr:row>25</xdr:row>
      <xdr:rowOff>142875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26</xdr:row>
      <xdr:rowOff>0</xdr:rowOff>
    </xdr:from>
    <xdr:to>
      <xdr:col>17</xdr:col>
      <xdr:colOff>200025</xdr:colOff>
      <xdr:row>49</xdr:row>
      <xdr:rowOff>152400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50</xdr:row>
      <xdr:rowOff>47625</xdr:rowOff>
    </xdr:from>
    <xdr:to>
      <xdr:col>17</xdr:col>
      <xdr:colOff>190500</xdr:colOff>
      <xdr:row>74</xdr:row>
      <xdr:rowOff>9525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104775</xdr:colOff>
      <xdr:row>99</xdr:row>
      <xdr:rowOff>9525</xdr:rowOff>
    </xdr:from>
    <xdr:to>
      <xdr:col>17</xdr:col>
      <xdr:colOff>228600</xdr:colOff>
      <xdr:row>122</xdr:row>
      <xdr:rowOff>161925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66675</xdr:colOff>
      <xdr:row>74</xdr:row>
      <xdr:rowOff>85725</xdr:rowOff>
    </xdr:from>
    <xdr:to>
      <xdr:col>17</xdr:col>
      <xdr:colOff>190500</xdr:colOff>
      <xdr:row>98</xdr:row>
      <xdr:rowOff>47625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13</xdr:col>
      <xdr:colOff>695325</xdr:colOff>
      <xdr:row>65</xdr:row>
      <xdr:rowOff>152400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71440</xdr:rowOff>
    </xdr:from>
    <xdr:to>
      <xdr:col>13</xdr:col>
      <xdr:colOff>695325</xdr:colOff>
      <xdr:row>93</xdr:row>
      <xdr:rowOff>107155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750094</xdr:colOff>
      <xdr:row>130</xdr:row>
      <xdr:rowOff>11906</xdr:rowOff>
    </xdr:from>
    <xdr:to>
      <xdr:col>3</xdr:col>
      <xdr:colOff>738188</xdr:colOff>
      <xdr:row>141</xdr:row>
      <xdr:rowOff>71437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750094</xdr:colOff>
      <xdr:row>98</xdr:row>
      <xdr:rowOff>178594</xdr:rowOff>
    </xdr:from>
    <xdr:to>
      <xdr:col>3</xdr:col>
      <xdr:colOff>738188</xdr:colOff>
      <xdr:row>110</xdr:row>
      <xdr:rowOff>47625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114</xdr:row>
      <xdr:rowOff>142875</xdr:rowOff>
    </xdr:from>
    <xdr:to>
      <xdr:col>3</xdr:col>
      <xdr:colOff>750094</xdr:colOff>
      <xdr:row>126</xdr:row>
      <xdr:rowOff>11906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98</xdr:row>
      <xdr:rowOff>166688</xdr:rowOff>
    </xdr:from>
    <xdr:to>
      <xdr:col>7</xdr:col>
      <xdr:colOff>750094</xdr:colOff>
      <xdr:row>110</xdr:row>
      <xdr:rowOff>35719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738188</xdr:colOff>
      <xdr:row>114</xdr:row>
      <xdr:rowOff>130969</xdr:rowOff>
    </xdr:from>
    <xdr:to>
      <xdr:col>7</xdr:col>
      <xdr:colOff>726282</xdr:colOff>
      <xdr:row>126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130</xdr:row>
      <xdr:rowOff>0</xdr:rowOff>
    </xdr:from>
    <xdr:to>
      <xdr:col>7</xdr:col>
      <xdr:colOff>750094</xdr:colOff>
      <xdr:row>141</xdr:row>
      <xdr:rowOff>59531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13</xdr:col>
      <xdr:colOff>695325</xdr:colOff>
      <xdr:row>201</xdr:row>
      <xdr:rowOff>35715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650488</xdr:colOff>
      <xdr:row>129</xdr:row>
      <xdr:rowOff>69694</xdr:rowOff>
    </xdr:from>
    <xdr:to>
      <xdr:col>19</xdr:col>
      <xdr:colOff>356142</xdr:colOff>
      <xdr:row>157</xdr:row>
      <xdr:rowOff>45007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163</xdr:row>
      <xdr:rowOff>0</xdr:rowOff>
    </xdr:from>
    <xdr:to>
      <xdr:col>5</xdr:col>
      <xdr:colOff>717569</xdr:colOff>
      <xdr:row>174</xdr:row>
      <xdr:rowOff>110641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163</xdr:row>
      <xdr:rowOff>0</xdr:rowOff>
    </xdr:from>
    <xdr:to>
      <xdr:col>9</xdr:col>
      <xdr:colOff>682722</xdr:colOff>
      <xdr:row>174</xdr:row>
      <xdr:rowOff>110641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179</xdr:row>
      <xdr:rowOff>0</xdr:rowOff>
    </xdr:from>
    <xdr:to>
      <xdr:col>5</xdr:col>
      <xdr:colOff>717569</xdr:colOff>
      <xdr:row>190</xdr:row>
      <xdr:rowOff>110641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743414</xdr:colOff>
      <xdr:row>178</xdr:row>
      <xdr:rowOff>185853</xdr:rowOff>
    </xdr:from>
    <xdr:to>
      <xdr:col>9</xdr:col>
      <xdr:colOff>659490</xdr:colOff>
      <xdr:row>190</xdr:row>
      <xdr:rowOff>110640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195</xdr:row>
      <xdr:rowOff>1</xdr:rowOff>
    </xdr:from>
    <xdr:to>
      <xdr:col>5</xdr:col>
      <xdr:colOff>717569</xdr:colOff>
      <xdr:row>206</xdr:row>
      <xdr:rowOff>110641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195</xdr:row>
      <xdr:rowOff>0</xdr:rowOff>
    </xdr:from>
    <xdr:to>
      <xdr:col>9</xdr:col>
      <xdr:colOff>682722</xdr:colOff>
      <xdr:row>206</xdr:row>
      <xdr:rowOff>110640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220</xdr:row>
      <xdr:rowOff>0</xdr:rowOff>
    </xdr:from>
    <xdr:to>
      <xdr:col>17</xdr:col>
      <xdr:colOff>530380</xdr:colOff>
      <xdr:row>247</xdr:row>
      <xdr:rowOff>161166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33</xdr:row>
      <xdr:rowOff>190500</xdr:rowOff>
    </xdr:from>
    <xdr:to>
      <xdr:col>20</xdr:col>
      <xdr:colOff>340995</xdr:colOff>
      <xdr:row>49</xdr:row>
      <xdr:rowOff>47625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361950</xdr:colOff>
      <xdr:row>33</xdr:row>
      <xdr:rowOff>190500</xdr:rowOff>
    </xdr:from>
    <xdr:to>
      <xdr:col>29</xdr:col>
      <xdr:colOff>312420</xdr:colOff>
      <xdr:row>49</xdr:row>
      <xdr:rowOff>47625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819150</xdr:colOff>
      <xdr:row>50</xdr:row>
      <xdr:rowOff>9525</xdr:rowOff>
    </xdr:from>
    <xdr:to>
      <xdr:col>11</xdr:col>
      <xdr:colOff>712470</xdr:colOff>
      <xdr:row>65</xdr:row>
      <xdr:rowOff>85725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821531</xdr:colOff>
      <xdr:row>332</xdr:row>
      <xdr:rowOff>59531</xdr:rowOff>
    </xdr:from>
    <xdr:to>
      <xdr:col>46</xdr:col>
      <xdr:colOff>488156</xdr:colOff>
      <xdr:row>355</xdr:row>
      <xdr:rowOff>139700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11905</xdr:colOff>
      <xdr:row>373</xdr:row>
      <xdr:rowOff>178593</xdr:rowOff>
    </xdr:from>
    <xdr:to>
      <xdr:col>11</xdr:col>
      <xdr:colOff>391000</xdr:colOff>
      <xdr:row>400</xdr:row>
      <xdr:rowOff>47624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821532</xdr:colOff>
      <xdr:row>404</xdr:row>
      <xdr:rowOff>11907</xdr:rowOff>
    </xdr:from>
    <xdr:to>
      <xdr:col>4</xdr:col>
      <xdr:colOff>119063</xdr:colOff>
      <xdr:row>415</xdr:row>
      <xdr:rowOff>71438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404</xdr:row>
      <xdr:rowOff>11906</xdr:rowOff>
    </xdr:from>
    <xdr:to>
      <xdr:col>9</xdr:col>
      <xdr:colOff>166687</xdr:colOff>
      <xdr:row>415</xdr:row>
      <xdr:rowOff>71437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821531</xdr:colOff>
      <xdr:row>418</xdr:row>
      <xdr:rowOff>178594</xdr:rowOff>
    </xdr:from>
    <xdr:to>
      <xdr:col>4</xdr:col>
      <xdr:colOff>107156</xdr:colOff>
      <xdr:row>430</xdr:row>
      <xdr:rowOff>47625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11907</xdr:colOff>
      <xdr:row>419</xdr:row>
      <xdr:rowOff>0</xdr:rowOff>
    </xdr:from>
    <xdr:to>
      <xdr:col>9</xdr:col>
      <xdr:colOff>178594</xdr:colOff>
      <xdr:row>430</xdr:row>
      <xdr:rowOff>59531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434</xdr:row>
      <xdr:rowOff>0</xdr:rowOff>
    </xdr:from>
    <xdr:to>
      <xdr:col>4</xdr:col>
      <xdr:colOff>119063</xdr:colOff>
      <xdr:row>445</xdr:row>
      <xdr:rowOff>59531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631032</xdr:colOff>
      <xdr:row>433</xdr:row>
      <xdr:rowOff>178593</xdr:rowOff>
    </xdr:from>
    <xdr:to>
      <xdr:col>9</xdr:col>
      <xdr:colOff>154782</xdr:colOff>
      <xdr:row>445</xdr:row>
      <xdr:rowOff>47624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797720</xdr:colOff>
      <xdr:row>284</xdr:row>
      <xdr:rowOff>11906</xdr:rowOff>
    </xdr:from>
    <xdr:to>
      <xdr:col>15</xdr:col>
      <xdr:colOff>254795</xdr:colOff>
      <xdr:row>311</xdr:row>
      <xdr:rowOff>47621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285</xdr:row>
      <xdr:rowOff>0</xdr:rowOff>
    </xdr:from>
    <xdr:to>
      <xdr:col>15</xdr:col>
      <xdr:colOff>290513</xdr:colOff>
      <xdr:row>312</xdr:row>
      <xdr:rowOff>35715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318</xdr:row>
      <xdr:rowOff>0</xdr:rowOff>
    </xdr:from>
    <xdr:to>
      <xdr:col>4</xdr:col>
      <xdr:colOff>35718</xdr:colOff>
      <xdr:row>329</xdr:row>
      <xdr:rowOff>59531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318</xdr:row>
      <xdr:rowOff>0</xdr:rowOff>
    </xdr:from>
    <xdr:to>
      <xdr:col>9</xdr:col>
      <xdr:colOff>166687</xdr:colOff>
      <xdr:row>329</xdr:row>
      <xdr:rowOff>59531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-1</xdr:colOff>
      <xdr:row>332</xdr:row>
      <xdr:rowOff>178594</xdr:rowOff>
    </xdr:from>
    <xdr:to>
      <xdr:col>4</xdr:col>
      <xdr:colOff>23812</xdr:colOff>
      <xdr:row>344</xdr:row>
      <xdr:rowOff>47625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631031</xdr:colOff>
      <xdr:row>332</xdr:row>
      <xdr:rowOff>178594</xdr:rowOff>
    </xdr:from>
    <xdr:to>
      <xdr:col>9</xdr:col>
      <xdr:colOff>154781</xdr:colOff>
      <xdr:row>344</xdr:row>
      <xdr:rowOff>47625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347</xdr:row>
      <xdr:rowOff>178594</xdr:rowOff>
    </xdr:from>
    <xdr:to>
      <xdr:col>4</xdr:col>
      <xdr:colOff>11906</xdr:colOff>
      <xdr:row>359</xdr:row>
      <xdr:rowOff>47625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23812</xdr:colOff>
      <xdr:row>347</xdr:row>
      <xdr:rowOff>166689</xdr:rowOff>
    </xdr:from>
    <xdr:to>
      <xdr:col>9</xdr:col>
      <xdr:colOff>190499</xdr:colOff>
      <xdr:row>359</xdr:row>
      <xdr:rowOff>35720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2:E52" totalsRowShown="0" headerRowDxfId="3">
  <tableColumns count="4">
    <tableColumn id="1" name=" "/>
    <tableColumn id="3" name="Besoins actuel" dataDxfId="2"/>
    <tableColumn id="4" name="Anciennes demandes non satisfaites" dataDxfId="1"/>
    <tableColumn id="2" name="Besoins ( bleu + rouge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E34" workbookViewId="0">
      <selection activeCell="B38" sqref="B38:B43"/>
    </sheetView>
  </sheetViews>
  <sheetFormatPr baseColWidth="10" defaultRowHeight="15" x14ac:dyDescent="0.25"/>
  <cols>
    <col min="2" max="2" width="21.85546875" bestFit="1" customWidth="1"/>
    <col min="3" max="3" width="13.7109375" style="6" bestFit="1" customWidth="1"/>
    <col min="4" max="4" width="16.42578125" style="6" customWidth="1"/>
    <col min="5" max="5" width="11.42578125" style="6"/>
  </cols>
  <sheetData>
    <row r="1" spans="1:17" x14ac:dyDescent="0.25">
      <c r="A1" s="2" t="s">
        <v>18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4" customFormat="1" ht="45" x14ac:dyDescent="0.25">
      <c r="B2" s="5" t="s">
        <v>0</v>
      </c>
      <c r="C2" s="9" t="s">
        <v>16</v>
      </c>
      <c r="D2" s="10" t="s">
        <v>17</v>
      </c>
      <c r="E2" s="11" t="s">
        <v>24</v>
      </c>
    </row>
    <row r="3" spans="1:17" x14ac:dyDescent="0.25">
      <c r="A3" s="6">
        <v>1</v>
      </c>
      <c r="B3" t="s">
        <v>1</v>
      </c>
      <c r="C3" s="6">
        <v>0</v>
      </c>
      <c r="D3" s="6">
        <v>22</v>
      </c>
      <c r="E3" s="8">
        <f>Tableau1[[#This Row],[Besoins actuel]]+Tableau1[[#This Row],[Anciennes demandes non satisfaites]]</f>
        <v>22</v>
      </c>
    </row>
    <row r="4" spans="1:17" x14ac:dyDescent="0.25">
      <c r="A4" s="6">
        <v>1</v>
      </c>
      <c r="B4" t="s">
        <v>2</v>
      </c>
      <c r="C4" s="6">
        <v>7</v>
      </c>
      <c r="D4" s="6">
        <v>20</v>
      </c>
      <c r="E4" s="8">
        <f>Tableau1[[#This Row],[Besoins actuel]]+Tableau1[[#This Row],[Anciennes demandes non satisfaites]]</f>
        <v>27</v>
      </c>
    </row>
    <row r="5" spans="1:17" x14ac:dyDescent="0.25">
      <c r="A5" s="6">
        <v>2</v>
      </c>
      <c r="B5" t="s">
        <v>3</v>
      </c>
      <c r="C5" s="6">
        <v>11</v>
      </c>
      <c r="D5" s="6">
        <v>12</v>
      </c>
      <c r="E5" s="8">
        <f>Tableau1[[#This Row],[Besoins actuel]]+Tableau1[[#This Row],[Anciennes demandes non satisfaites]]</f>
        <v>23</v>
      </c>
    </row>
    <row r="6" spans="1:17" x14ac:dyDescent="0.25">
      <c r="A6" s="6">
        <v>2</v>
      </c>
      <c r="B6" t="s">
        <v>4</v>
      </c>
      <c r="C6" s="6">
        <v>12</v>
      </c>
      <c r="D6" s="6">
        <v>6</v>
      </c>
      <c r="E6" s="8">
        <f>Tableau1[[#This Row],[Besoins actuel]]+Tableau1[[#This Row],[Anciennes demandes non satisfaites]]</f>
        <v>18</v>
      </c>
    </row>
    <row r="7" spans="1:17" x14ac:dyDescent="0.25">
      <c r="A7" s="6">
        <v>3</v>
      </c>
      <c r="B7" t="s">
        <v>5</v>
      </c>
      <c r="C7" s="6">
        <v>11</v>
      </c>
      <c r="D7" s="6">
        <v>2</v>
      </c>
      <c r="E7" s="8">
        <f>Tableau1[[#This Row],[Besoins actuel]]+Tableau1[[#This Row],[Anciennes demandes non satisfaites]]</f>
        <v>13</v>
      </c>
    </row>
    <row r="8" spans="1:17" x14ac:dyDescent="0.25">
      <c r="A8" s="6">
        <v>3</v>
      </c>
      <c r="B8" t="s">
        <v>6</v>
      </c>
      <c r="C8" s="6">
        <v>8</v>
      </c>
      <c r="D8" s="6">
        <v>0</v>
      </c>
      <c r="E8" s="8">
        <f>Tableau1[[#This Row],[Besoins actuel]]+Tableau1[[#This Row],[Anciennes demandes non satisfaites]]</f>
        <v>8</v>
      </c>
    </row>
    <row r="9" spans="1:17" x14ac:dyDescent="0.25">
      <c r="A9" s="6">
        <v>4</v>
      </c>
      <c r="B9" t="s">
        <v>7</v>
      </c>
      <c r="C9" s="6">
        <v>6</v>
      </c>
      <c r="D9" s="6">
        <v>0</v>
      </c>
      <c r="E9" s="8">
        <f>Tableau1[[#This Row],[Besoins actuel]]+Tableau1[[#This Row],[Anciennes demandes non satisfaites]]</f>
        <v>6</v>
      </c>
    </row>
    <row r="10" spans="1:17" x14ac:dyDescent="0.25">
      <c r="A10" s="6">
        <v>4</v>
      </c>
      <c r="B10" t="s">
        <v>8</v>
      </c>
      <c r="C10" s="6">
        <v>5</v>
      </c>
      <c r="D10" s="6">
        <v>0</v>
      </c>
      <c r="E10" s="8">
        <f>Tableau1[[#This Row],[Besoins actuel]]+Tableau1[[#This Row],[Anciennes demandes non satisfaites]]</f>
        <v>5</v>
      </c>
    </row>
    <row r="11" spans="1:17" x14ac:dyDescent="0.25">
      <c r="A11" s="6">
        <v>5</v>
      </c>
      <c r="B11" t="s">
        <v>9</v>
      </c>
      <c r="C11" s="6">
        <v>9</v>
      </c>
      <c r="D11" s="6">
        <v>0</v>
      </c>
      <c r="E11" s="8">
        <f>Tableau1[[#This Row],[Besoins actuel]]+Tableau1[[#This Row],[Anciennes demandes non satisfaites]]</f>
        <v>9</v>
      </c>
    </row>
    <row r="12" spans="1:17" x14ac:dyDescent="0.25">
      <c r="A12" s="6">
        <v>5</v>
      </c>
      <c r="B12" t="s">
        <v>10</v>
      </c>
      <c r="C12" s="6">
        <v>14</v>
      </c>
      <c r="D12" s="6">
        <v>0</v>
      </c>
      <c r="E12" s="8">
        <f>Tableau1[[#This Row],[Besoins actuel]]+Tableau1[[#This Row],[Anciennes demandes non satisfaites]]</f>
        <v>14</v>
      </c>
    </row>
    <row r="13" spans="1:17" x14ac:dyDescent="0.25">
      <c r="A13" s="6">
        <v>6</v>
      </c>
      <c r="B13" t="s">
        <v>13</v>
      </c>
      <c r="C13" s="6">
        <v>18</v>
      </c>
      <c r="D13" s="6">
        <v>0</v>
      </c>
      <c r="E13" s="8">
        <f>Tableau1[[#This Row],[Besoins actuel]]+Tableau1[[#This Row],[Anciennes demandes non satisfaites]]</f>
        <v>18</v>
      </c>
    </row>
    <row r="14" spans="1:17" x14ac:dyDescent="0.25">
      <c r="A14" s="6">
        <v>6</v>
      </c>
      <c r="B14" t="s">
        <v>11</v>
      </c>
      <c r="C14" s="6">
        <v>0</v>
      </c>
      <c r="D14" s="6">
        <v>0</v>
      </c>
      <c r="E14" s="8">
        <f>Tableau1[[#This Row],[Besoins actuel]]+Tableau1[[#This Row],[Anciennes demandes non satisfaites]]</f>
        <v>0</v>
      </c>
    </row>
    <row r="15" spans="1:17" x14ac:dyDescent="0.25">
      <c r="A15" s="6">
        <v>7</v>
      </c>
      <c r="B15" t="s">
        <v>14</v>
      </c>
      <c r="C15" s="6">
        <v>0</v>
      </c>
      <c r="D15" s="6">
        <v>0</v>
      </c>
      <c r="E15" s="8">
        <f>Tableau1[[#This Row],[Besoins actuel]]+Tableau1[[#This Row],[Anciennes demandes non satisfaites]]</f>
        <v>0</v>
      </c>
    </row>
    <row r="16" spans="1:17" x14ac:dyDescent="0.25">
      <c r="A16" s="6">
        <v>7</v>
      </c>
      <c r="B16" t="s">
        <v>12</v>
      </c>
      <c r="C16" s="6">
        <v>0</v>
      </c>
      <c r="D16" s="6">
        <v>0</v>
      </c>
      <c r="E16" s="8">
        <f>Tableau1[[#This Row],[Besoins actuel]]+Tableau1[[#This Row],[Anciennes demandes non satisfaites]]</f>
        <v>0</v>
      </c>
    </row>
    <row r="17" spans="1:5" x14ac:dyDescent="0.25">
      <c r="A17" s="6">
        <v>8</v>
      </c>
      <c r="B17" t="s">
        <v>1</v>
      </c>
      <c r="C17" s="6">
        <v>0</v>
      </c>
      <c r="D17" s="6">
        <v>18</v>
      </c>
      <c r="E17" s="8">
        <f>Tableau1[[#This Row],[Besoins actuel]]+Tableau1[[#This Row],[Anciennes demandes non satisfaites]]</f>
        <v>18</v>
      </c>
    </row>
    <row r="18" spans="1:5" x14ac:dyDescent="0.25">
      <c r="A18" s="6">
        <v>8</v>
      </c>
      <c r="B18" t="s">
        <v>2</v>
      </c>
      <c r="C18" s="6">
        <v>4</v>
      </c>
      <c r="D18" s="6">
        <v>15</v>
      </c>
      <c r="E18" s="8">
        <f>Tableau1[[#This Row],[Besoins actuel]]+Tableau1[[#This Row],[Anciennes demandes non satisfaites]]</f>
        <v>19</v>
      </c>
    </row>
    <row r="19" spans="1:5" x14ac:dyDescent="0.25">
      <c r="A19" s="6">
        <v>9</v>
      </c>
      <c r="B19" t="s">
        <v>3</v>
      </c>
      <c r="C19" s="6">
        <v>8</v>
      </c>
      <c r="D19" s="6">
        <v>11</v>
      </c>
      <c r="E19" s="8">
        <f>Tableau1[[#This Row],[Besoins actuel]]+Tableau1[[#This Row],[Anciennes demandes non satisfaites]]</f>
        <v>19</v>
      </c>
    </row>
    <row r="20" spans="1:5" x14ac:dyDescent="0.25">
      <c r="A20" s="6">
        <v>9</v>
      </c>
      <c r="B20" t="s">
        <v>4</v>
      </c>
      <c r="C20" s="6">
        <v>10</v>
      </c>
      <c r="D20" s="6">
        <v>4</v>
      </c>
      <c r="E20" s="8">
        <f>Tableau1[[#This Row],[Besoins actuel]]+Tableau1[[#This Row],[Anciennes demandes non satisfaites]]</f>
        <v>14</v>
      </c>
    </row>
    <row r="21" spans="1:5" x14ac:dyDescent="0.25">
      <c r="A21" s="6">
        <v>10</v>
      </c>
      <c r="B21" t="s">
        <v>5</v>
      </c>
      <c r="C21" s="6">
        <v>10</v>
      </c>
      <c r="D21" s="6">
        <v>3</v>
      </c>
      <c r="E21" s="8">
        <f>Tableau1[[#This Row],[Besoins actuel]]+Tableau1[[#This Row],[Anciennes demandes non satisfaites]]</f>
        <v>13</v>
      </c>
    </row>
    <row r="22" spans="1:5" x14ac:dyDescent="0.25">
      <c r="A22" s="6">
        <v>10</v>
      </c>
      <c r="B22" t="s">
        <v>6</v>
      </c>
      <c r="C22" s="6">
        <v>9</v>
      </c>
      <c r="D22" s="6">
        <v>0</v>
      </c>
      <c r="E22" s="8">
        <f>Tableau1[[#This Row],[Besoins actuel]]+Tableau1[[#This Row],[Anciennes demandes non satisfaites]]</f>
        <v>9</v>
      </c>
    </row>
    <row r="23" spans="1:5" x14ac:dyDescent="0.25">
      <c r="A23" s="6">
        <v>11</v>
      </c>
      <c r="B23" t="s">
        <v>7</v>
      </c>
      <c r="C23" s="6">
        <v>5</v>
      </c>
      <c r="D23" s="6">
        <v>0</v>
      </c>
      <c r="E23" s="8">
        <f>Tableau1[[#This Row],[Besoins actuel]]+Tableau1[[#This Row],[Anciennes demandes non satisfaites]]</f>
        <v>5</v>
      </c>
    </row>
    <row r="24" spans="1:5" x14ac:dyDescent="0.25">
      <c r="A24" s="6">
        <v>11</v>
      </c>
      <c r="B24" t="s">
        <v>8</v>
      </c>
      <c r="C24" s="6">
        <v>5</v>
      </c>
      <c r="D24" s="6">
        <v>0</v>
      </c>
      <c r="E24" s="8">
        <f>Tableau1[[#This Row],[Besoins actuel]]+Tableau1[[#This Row],[Anciennes demandes non satisfaites]]</f>
        <v>5</v>
      </c>
    </row>
    <row r="25" spans="1:5" x14ac:dyDescent="0.25">
      <c r="A25" s="6">
        <v>12</v>
      </c>
      <c r="B25" t="s">
        <v>9</v>
      </c>
      <c r="C25" s="6">
        <v>11</v>
      </c>
      <c r="D25" s="6">
        <v>0</v>
      </c>
      <c r="E25" s="8">
        <f>Tableau1[[#This Row],[Besoins actuel]]+Tableau1[[#This Row],[Anciennes demandes non satisfaites]]</f>
        <v>11</v>
      </c>
    </row>
    <row r="26" spans="1:5" x14ac:dyDescent="0.25">
      <c r="A26" s="6">
        <v>12</v>
      </c>
      <c r="B26" t="s">
        <v>10</v>
      </c>
      <c r="C26" s="6">
        <v>14</v>
      </c>
      <c r="D26" s="6">
        <v>0</v>
      </c>
      <c r="E26" s="8">
        <f>Tableau1[[#This Row],[Besoins actuel]]+Tableau1[[#This Row],[Anciennes demandes non satisfaites]]</f>
        <v>14</v>
      </c>
    </row>
    <row r="27" spans="1:5" x14ac:dyDescent="0.25">
      <c r="A27" s="6">
        <v>13</v>
      </c>
      <c r="B27" t="s">
        <v>13</v>
      </c>
      <c r="C27" s="6">
        <v>15</v>
      </c>
      <c r="D27" s="6">
        <v>0</v>
      </c>
      <c r="E27" s="8">
        <f>Tableau1[[#This Row],[Besoins actuel]]+Tableau1[[#This Row],[Anciennes demandes non satisfaites]]</f>
        <v>15</v>
      </c>
    </row>
    <row r="28" spans="1:5" x14ac:dyDescent="0.25">
      <c r="A28" s="6">
        <v>13</v>
      </c>
      <c r="B28" t="s">
        <v>11</v>
      </c>
      <c r="C28" s="6">
        <v>0</v>
      </c>
      <c r="D28" s="6">
        <v>0</v>
      </c>
      <c r="E28" s="8">
        <f>Tableau1[[#This Row],[Besoins actuel]]+Tableau1[[#This Row],[Anciennes demandes non satisfaites]]</f>
        <v>0</v>
      </c>
    </row>
    <row r="29" spans="1:5" x14ac:dyDescent="0.25">
      <c r="A29" s="6">
        <v>14</v>
      </c>
      <c r="B29" t="s">
        <v>14</v>
      </c>
      <c r="C29" s="6">
        <v>0</v>
      </c>
      <c r="D29" s="6">
        <v>0</v>
      </c>
      <c r="E29" s="8">
        <f>Tableau1[[#This Row],[Besoins actuel]]+Tableau1[[#This Row],[Anciennes demandes non satisfaites]]</f>
        <v>0</v>
      </c>
    </row>
    <row r="30" spans="1:5" x14ac:dyDescent="0.25">
      <c r="A30" s="6">
        <v>14</v>
      </c>
      <c r="B30" t="s">
        <v>12</v>
      </c>
      <c r="C30" s="6">
        <v>0</v>
      </c>
      <c r="D30" s="6">
        <v>0</v>
      </c>
      <c r="E30" s="8">
        <f>Tableau1[[#This Row],[Besoins actuel]]+Tableau1[[#This Row],[Anciennes demandes non satisfaites]]</f>
        <v>0</v>
      </c>
    </row>
    <row r="31" spans="1:5" x14ac:dyDescent="0.25">
      <c r="A31" s="6">
        <v>15</v>
      </c>
      <c r="B31" t="s">
        <v>1</v>
      </c>
      <c r="C31" s="6">
        <v>17</v>
      </c>
      <c r="D31" s="6">
        <v>15</v>
      </c>
      <c r="E31" s="8">
        <f>Tableau1[[#This Row],[Besoins actuel]]+Tableau1[[#This Row],[Anciennes demandes non satisfaites]]</f>
        <v>32</v>
      </c>
    </row>
    <row r="32" spans="1:5" x14ac:dyDescent="0.25">
      <c r="A32" s="6">
        <v>15</v>
      </c>
      <c r="B32" t="s">
        <v>2</v>
      </c>
      <c r="C32" s="6">
        <v>12</v>
      </c>
      <c r="D32" s="6">
        <v>8</v>
      </c>
      <c r="E32" s="8">
        <f>Tableau1[[#This Row],[Besoins actuel]]+Tableau1[[#This Row],[Anciennes demandes non satisfaites]]</f>
        <v>20</v>
      </c>
    </row>
    <row r="33" spans="1:17" x14ac:dyDescent="0.25">
      <c r="A33" s="6">
        <v>16</v>
      </c>
      <c r="B33" t="s">
        <v>3</v>
      </c>
      <c r="C33" s="6">
        <v>13</v>
      </c>
      <c r="D33" s="6">
        <v>6</v>
      </c>
      <c r="E33" s="8">
        <f>Tableau1[[#This Row],[Besoins actuel]]+Tableau1[[#This Row],[Anciennes demandes non satisfaites]]</f>
        <v>19</v>
      </c>
    </row>
    <row r="36" spans="1:17" x14ac:dyDescent="0.25">
      <c r="A36" s="2" t="s">
        <v>18</v>
      </c>
      <c r="B36" s="3"/>
      <c r="C36" s="7"/>
      <c r="D36" s="7"/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45" x14ac:dyDescent="0.25">
      <c r="C37" s="9" t="s">
        <v>16</v>
      </c>
      <c r="D37" s="10" t="s">
        <v>17</v>
      </c>
      <c r="E37" s="11" t="s">
        <v>15</v>
      </c>
    </row>
    <row r="38" spans="1:17" x14ac:dyDescent="0.25">
      <c r="A38">
        <v>1</v>
      </c>
      <c r="B38" t="s">
        <v>19</v>
      </c>
      <c r="C38" s="6">
        <f>AVERAGE(C3:C5)</f>
        <v>6</v>
      </c>
      <c r="D38" s="6">
        <f>AVERAGE(D3:D5)</f>
        <v>18</v>
      </c>
      <c r="E38" s="6">
        <f>Tableau1[[#This Row],[Besoins actuel]]+Tableau1[[#This Row],[Anciennes demandes non satisfaites]]</f>
        <v>24</v>
      </c>
    </row>
    <row r="39" spans="1:17" x14ac:dyDescent="0.25">
      <c r="A39">
        <v>2</v>
      </c>
      <c r="B39" t="s">
        <v>20</v>
      </c>
      <c r="C39" s="6">
        <f>AVERAGE(C5:C7)</f>
        <v>11.333333333333334</v>
      </c>
      <c r="D39" s="6">
        <f>AVERAGE(D5:D7)</f>
        <v>6.666666666666667</v>
      </c>
      <c r="E39" s="6">
        <f>Tableau1[[#This Row],[Besoins actuel]]+Tableau1[[#This Row],[Anciennes demandes non satisfaites]]</f>
        <v>18</v>
      </c>
    </row>
    <row r="40" spans="1:17" x14ac:dyDescent="0.25">
      <c r="A40">
        <v>3</v>
      </c>
      <c r="B40" t="s">
        <v>21</v>
      </c>
      <c r="C40" s="6">
        <f>AVERAGE(C7:C9)</f>
        <v>8.3333333333333339</v>
      </c>
      <c r="D40" s="6">
        <f>AVERAGE(D7:D9)</f>
        <v>0.66666666666666663</v>
      </c>
      <c r="E40" s="6">
        <f>Tableau1[[#This Row],[Besoins actuel]]+Tableau1[[#This Row],[Anciennes demandes non satisfaites]]</f>
        <v>9</v>
      </c>
    </row>
    <row r="41" spans="1:17" x14ac:dyDescent="0.25">
      <c r="A41">
        <v>4</v>
      </c>
      <c r="B41" t="s">
        <v>22</v>
      </c>
      <c r="C41" s="6">
        <f>AVERAGE(C9:C11)</f>
        <v>6.666666666666667</v>
      </c>
      <c r="D41" s="6">
        <f>AVERAGE(D9:D11)</f>
        <v>0</v>
      </c>
      <c r="E41" s="6">
        <f>Tableau1[[#This Row],[Besoins actuel]]+Tableau1[[#This Row],[Anciennes demandes non satisfaites]]</f>
        <v>6.666666666666667</v>
      </c>
    </row>
    <row r="42" spans="1:17" x14ac:dyDescent="0.25">
      <c r="A42">
        <v>5</v>
      </c>
      <c r="B42" t="s">
        <v>23</v>
      </c>
      <c r="C42" s="6">
        <f>AVERAGE(C11:C13)</f>
        <v>13.666666666666666</v>
      </c>
      <c r="D42" s="6">
        <f>AVERAGE(D11:D13)</f>
        <v>0</v>
      </c>
      <c r="E42" s="6">
        <f>Tableau1[[#This Row],[Besoins actuel]]+Tableau1[[#This Row],[Anciennes demandes non satisfaites]]</f>
        <v>13.666666666666666</v>
      </c>
    </row>
    <row r="43" spans="1:17" x14ac:dyDescent="0.25">
      <c r="A43">
        <v>6</v>
      </c>
      <c r="B43" t="s">
        <v>11</v>
      </c>
      <c r="C43" s="6">
        <v>0</v>
      </c>
      <c r="D43" s="6">
        <v>0</v>
      </c>
      <c r="E43" s="6">
        <f>Tableau1[[#This Row],[Besoins actuel]]+Tableau1[[#This Row],[Anciennes demandes non satisfaites]]</f>
        <v>0</v>
      </c>
    </row>
    <row r="44" spans="1:17" x14ac:dyDescent="0.25">
      <c r="A44">
        <v>7</v>
      </c>
      <c r="B44" t="s">
        <v>12</v>
      </c>
      <c r="C44" s="6">
        <v>0</v>
      </c>
      <c r="D44" s="6">
        <v>0</v>
      </c>
      <c r="E44" s="6">
        <f>Tableau1[[#This Row],[Besoins actuel]]+Tableau1[[#This Row],[Anciennes demandes non satisfaites]]</f>
        <v>0</v>
      </c>
    </row>
    <row r="45" spans="1:17" x14ac:dyDescent="0.25">
      <c r="A45">
        <v>8</v>
      </c>
      <c r="B45" t="s">
        <v>19</v>
      </c>
      <c r="C45" s="6">
        <f>AVERAGE(C17:C19)</f>
        <v>4</v>
      </c>
      <c r="D45" s="6">
        <f>AVERAGE(D17:D19)</f>
        <v>14.666666666666666</v>
      </c>
      <c r="E45" s="6">
        <f>Tableau1[[#This Row],[Besoins actuel]]+Tableau1[[#This Row],[Anciennes demandes non satisfaites]]</f>
        <v>18.666666666666664</v>
      </c>
    </row>
    <row r="46" spans="1:17" x14ac:dyDescent="0.25">
      <c r="A46">
        <v>9</v>
      </c>
      <c r="B46" t="s">
        <v>20</v>
      </c>
      <c r="C46" s="6">
        <f>AVERAGE(C19:C21)</f>
        <v>9.3333333333333339</v>
      </c>
      <c r="D46" s="6">
        <f>AVERAGE(D19:D21)</f>
        <v>6</v>
      </c>
      <c r="E46" s="6">
        <f>Tableau1[[#This Row],[Besoins actuel]]+Tableau1[[#This Row],[Anciennes demandes non satisfaites]]</f>
        <v>15.333333333333334</v>
      </c>
    </row>
    <row r="47" spans="1:17" x14ac:dyDescent="0.25">
      <c r="A47">
        <v>10</v>
      </c>
      <c r="B47" t="s">
        <v>21</v>
      </c>
      <c r="C47" s="6">
        <f>AVERAGE(C21:C23)</f>
        <v>8</v>
      </c>
      <c r="D47" s="6">
        <f>AVERAGE(D21:D23)</f>
        <v>1</v>
      </c>
      <c r="E47" s="6">
        <f>Tableau1[[#This Row],[Besoins actuel]]+Tableau1[[#This Row],[Anciennes demandes non satisfaites]]</f>
        <v>9</v>
      </c>
    </row>
    <row r="48" spans="1:17" x14ac:dyDescent="0.25">
      <c r="A48">
        <v>11</v>
      </c>
      <c r="B48" t="s">
        <v>22</v>
      </c>
      <c r="C48" s="6">
        <f>AVERAGE(C23:C25)</f>
        <v>7</v>
      </c>
      <c r="D48" s="6">
        <f>AVERAGE(D23:D25)</f>
        <v>0</v>
      </c>
      <c r="E48" s="6">
        <f>Tableau1[[#This Row],[Besoins actuel]]+Tableau1[[#This Row],[Anciennes demandes non satisfaites]]</f>
        <v>7</v>
      </c>
    </row>
    <row r="49" spans="1:5" x14ac:dyDescent="0.25">
      <c r="A49">
        <v>12</v>
      </c>
      <c r="B49" t="s">
        <v>23</v>
      </c>
      <c r="C49" s="6">
        <f>AVERAGE(C25:C27)</f>
        <v>13.333333333333334</v>
      </c>
      <c r="D49" s="6">
        <f>AVERAGE(D25:D27)</f>
        <v>0</v>
      </c>
      <c r="E49" s="6">
        <f>Tableau1[[#This Row],[Besoins actuel]]+Tableau1[[#This Row],[Anciennes demandes non satisfaites]]</f>
        <v>13.333333333333334</v>
      </c>
    </row>
    <row r="50" spans="1:5" x14ac:dyDescent="0.25">
      <c r="A50">
        <v>13</v>
      </c>
      <c r="B50" t="s">
        <v>11</v>
      </c>
      <c r="C50" s="6">
        <v>0</v>
      </c>
      <c r="D50" s="6">
        <v>0</v>
      </c>
      <c r="E50" s="6">
        <f>Tableau1[[#This Row],[Besoins actuel]]+Tableau1[[#This Row],[Anciennes demandes non satisfaites]]</f>
        <v>0</v>
      </c>
    </row>
    <row r="51" spans="1:5" x14ac:dyDescent="0.25">
      <c r="A51">
        <v>14</v>
      </c>
      <c r="B51" t="s">
        <v>12</v>
      </c>
      <c r="C51" s="6">
        <v>0</v>
      </c>
      <c r="D51" s="6">
        <v>0</v>
      </c>
      <c r="E51" s="6">
        <f>Tableau1[[#This Row],[Besoins actuel]]+Tableau1[[#This Row],[Anciennes demandes non satisfaites]]</f>
        <v>0</v>
      </c>
    </row>
    <row r="52" spans="1:5" x14ac:dyDescent="0.25">
      <c r="A52">
        <v>15</v>
      </c>
      <c r="B52" t="s">
        <v>19</v>
      </c>
      <c r="C52" s="6">
        <f>AVERAGE(C31:C33)</f>
        <v>14</v>
      </c>
      <c r="D52" s="6">
        <f>AVERAGE(D31:D33)</f>
        <v>9.6666666666666661</v>
      </c>
      <c r="E52" s="6">
        <f>Tableau1[[#This Row],[Besoins actuel]]+Tableau1[[#This Row],[Anciennes demandes non satisfaites]]</f>
        <v>23.666666666666664</v>
      </c>
    </row>
  </sheetData>
  <pageMargins left="0.7" right="0.7" top="0.75" bottom="0.75" header="0.3" footer="0.3"/>
  <pageSetup paperSize="9" orientation="portrait" verticalDpi="3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4"/>
  <sheetViews>
    <sheetView zoomScale="80" zoomScaleNormal="80" workbookViewId="0">
      <pane ySplit="1" topLeftCell="A260" activePane="bottomLeft" state="frozen"/>
      <selection pane="bottomLeft" activeCell="T289" sqref="T289"/>
    </sheetView>
  </sheetViews>
  <sheetFormatPr baseColWidth="10" defaultRowHeight="15" x14ac:dyDescent="0.25"/>
  <cols>
    <col min="1" max="1" width="12.42578125" customWidth="1"/>
    <col min="2" max="2" width="13.5703125" customWidth="1"/>
    <col min="3" max="3" width="8.140625" bestFit="1" customWidth="1"/>
    <col min="4" max="4" width="11.7109375" customWidth="1"/>
    <col min="5" max="5" width="9.7109375" bestFit="1" customWidth="1"/>
    <col min="6" max="6" width="9.5703125" customWidth="1"/>
    <col min="7" max="7" width="9.7109375" customWidth="1"/>
    <col min="9" max="9" width="0.85546875" customWidth="1"/>
    <col min="11" max="11" width="0.85546875" customWidth="1"/>
    <col min="13" max="13" width="0.85546875" customWidth="1"/>
    <col min="15" max="15" width="0.85546875" customWidth="1"/>
    <col min="17" max="17" width="0.85546875" customWidth="1"/>
    <col min="19" max="19" width="0.85546875" customWidth="1"/>
    <col min="22" max="22" width="4.140625" bestFit="1" customWidth="1"/>
    <col min="23" max="23" width="3" bestFit="1" customWidth="1"/>
  </cols>
  <sheetData>
    <row r="1" spans="1:23" x14ac:dyDescent="0.25">
      <c r="A1" s="2" t="s">
        <v>107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thickBot="1" x14ac:dyDescent="0.3"/>
    <row r="3" spans="1:23" ht="51.75" thickBot="1" x14ac:dyDescent="0.3">
      <c r="A3" s="175">
        <v>2018</v>
      </c>
      <c r="B3" s="216"/>
      <c r="C3" s="217"/>
      <c r="D3" s="218" t="s">
        <v>40</v>
      </c>
      <c r="E3" s="219" t="s">
        <v>41</v>
      </c>
      <c r="F3" s="220" t="s">
        <v>42</v>
      </c>
      <c r="G3" s="221" t="s">
        <v>43</v>
      </c>
      <c r="H3" s="222" t="s">
        <v>44</v>
      </c>
      <c r="I3" s="223"/>
      <c r="J3" s="224" t="s">
        <v>45</v>
      </c>
      <c r="K3" s="225"/>
      <c r="L3" s="226" t="s">
        <v>46</v>
      </c>
      <c r="M3" s="225"/>
      <c r="N3" s="227" t="s">
        <v>47</v>
      </c>
      <c r="O3" s="225"/>
      <c r="P3" s="228" t="s">
        <v>48</v>
      </c>
      <c r="Q3" s="223"/>
      <c r="R3" s="229" t="s">
        <v>49</v>
      </c>
      <c r="S3" s="225"/>
      <c r="T3" s="230" t="s">
        <v>50</v>
      </c>
      <c r="U3" s="231" t="s">
        <v>51</v>
      </c>
      <c r="V3" s="32" t="s">
        <v>52</v>
      </c>
      <c r="W3" s="32"/>
    </row>
    <row r="4" spans="1:23" ht="3" customHeight="1" thickBot="1" x14ac:dyDescent="0.3">
      <c r="A4" s="37"/>
      <c r="B4" s="272"/>
      <c r="C4" s="273"/>
      <c r="D4" s="271"/>
      <c r="E4" s="271"/>
      <c r="F4" s="271"/>
      <c r="G4" s="271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4"/>
      <c r="S4" s="273"/>
      <c r="T4" s="273"/>
      <c r="U4" s="275"/>
      <c r="V4" s="37"/>
      <c r="W4" s="37"/>
    </row>
    <row r="5" spans="1:23" x14ac:dyDescent="0.25">
      <c r="A5" s="428" t="s">
        <v>89</v>
      </c>
      <c r="B5" s="182" t="s">
        <v>19</v>
      </c>
      <c r="C5" s="247">
        <v>1</v>
      </c>
      <c r="D5" s="184">
        <f>'2.4.5.3 Emplois ETP  base a'!D5*12</f>
        <v>1.9324763076923079</v>
      </c>
      <c r="E5" s="185">
        <f>'2.4.5.3 Emplois ETP  base a'!E5*12</f>
        <v>15.682499999999994</v>
      </c>
      <c r="F5" s="186">
        <f t="shared" ref="F5:F68" si="0">E5*TC</f>
        <v>12.545999999999996</v>
      </c>
      <c r="G5" s="187">
        <f t="shared" ref="G5:G68" si="1">E5*(1-TC)</f>
        <v>3.1364999999999981</v>
      </c>
      <c r="H5" s="188">
        <f>IF(E5&gt;D5,D5,E5)</f>
        <v>1.9324763076923079</v>
      </c>
      <c r="I5" s="189"/>
      <c r="J5" s="190">
        <f>IF(E5&gt;D5,0,D5-E5)</f>
        <v>0</v>
      </c>
      <c r="K5" s="191"/>
      <c r="L5" s="192">
        <f>IF(E5&gt;D5,IF(F5&gt;H5,0,H5-F5),G5)</f>
        <v>0</v>
      </c>
      <c r="M5" s="191"/>
      <c r="N5" s="193">
        <f>IF(E5&gt;D5,IF(F5&gt;H5,F5-H5,0),0)</f>
        <v>10.613523692307687</v>
      </c>
      <c r="O5" s="191"/>
      <c r="P5" s="194">
        <f>IF(E5&gt;D5,IF(F5&gt;H5,G5,E5-H5),0)</f>
        <v>3.1364999999999981</v>
      </c>
      <c r="Q5" s="189"/>
      <c r="R5" s="195">
        <f>H5-L5</f>
        <v>1.9324763076923079</v>
      </c>
      <c r="S5" s="191"/>
      <c r="T5" s="196">
        <f>L5+N5+P5</f>
        <v>13.750023692307686</v>
      </c>
      <c r="U5" s="197">
        <f>J5+L5</f>
        <v>0</v>
      </c>
      <c r="V5" s="37" t="str">
        <f>IF(R5+T5=E5,"ok","bad")</f>
        <v>ok</v>
      </c>
      <c r="W5" s="37" t="str">
        <f>IF(U5+R5=D5,"ok","bad")</f>
        <v>ok</v>
      </c>
    </row>
    <row r="6" spans="1:23" x14ac:dyDescent="0.25">
      <c r="A6" s="429"/>
      <c r="B6" s="198" t="s">
        <v>20</v>
      </c>
      <c r="C6" s="129">
        <v>2</v>
      </c>
      <c r="D6" s="130">
        <f>'2.4.5.3 Emplois ETP  base a'!D6*12</f>
        <v>1.517383384615385</v>
      </c>
      <c r="E6" s="131">
        <f>'2.4.5.3 Emplois ETP  base a'!E6*12</f>
        <v>11.500499999999999</v>
      </c>
      <c r="F6" s="132">
        <f t="shared" si="0"/>
        <v>9.2004000000000001</v>
      </c>
      <c r="G6" s="133">
        <f t="shared" si="1"/>
        <v>2.3000999999999991</v>
      </c>
      <c r="H6" s="134">
        <f t="shared" ref="H6:H27" si="2">IF(E6&gt;D6,D6,E6)</f>
        <v>1.517383384615385</v>
      </c>
      <c r="I6" s="135"/>
      <c r="J6" s="136">
        <f t="shared" ref="J6:J27" si="3">IF(E6&gt;D6,0,D6-E6)</f>
        <v>0</v>
      </c>
      <c r="K6" s="137"/>
      <c r="L6" s="138">
        <f t="shared" ref="L6:L27" si="4">IF(E6&gt;D6,IF(F6&gt;H6,0,H6-F6),G6)</f>
        <v>0</v>
      </c>
      <c r="M6" s="137"/>
      <c r="N6" s="139">
        <f t="shared" ref="N6:N27" si="5">IF(E6&gt;D6,IF(F6&gt;H6,F6-H6,0),0)</f>
        <v>7.6830166153846147</v>
      </c>
      <c r="O6" s="137"/>
      <c r="P6" s="140">
        <f t="shared" ref="P6:P27" si="6">IF(E6&gt;D6,IF(F6&gt;H6,G6,E6-H6),0)</f>
        <v>2.3000999999999991</v>
      </c>
      <c r="Q6" s="135"/>
      <c r="R6" s="104">
        <f t="shared" ref="R6:R27" si="7">H6-L6</f>
        <v>1.517383384615385</v>
      </c>
      <c r="S6" s="137"/>
      <c r="T6" s="141">
        <f t="shared" ref="T6:T27" si="8">L6+N6+P6</f>
        <v>9.9831166153846134</v>
      </c>
      <c r="U6" s="199">
        <f t="shared" ref="U6:U27" si="9">J6+L6</f>
        <v>0</v>
      </c>
      <c r="V6" s="37" t="str">
        <f t="shared" ref="V6:V27" si="10">IF(R6+T6=E6,"ok","bad")</f>
        <v>ok</v>
      </c>
      <c r="W6" s="37" t="str">
        <f t="shared" ref="W6:W27" si="11">IF(U6+R6=D6,"ok","bad")</f>
        <v>ok</v>
      </c>
    </row>
    <row r="7" spans="1:23" x14ac:dyDescent="0.25">
      <c r="A7" s="429"/>
      <c r="B7" s="198" t="s">
        <v>21</v>
      </c>
      <c r="C7" s="129">
        <v>3</v>
      </c>
      <c r="D7" s="130">
        <f>'2.4.5.3 Emplois ETP  base a'!D7*12</f>
        <v>0.66372184615384622</v>
      </c>
      <c r="E7" s="131">
        <f>'2.4.5.3 Emplois ETP  base a'!E7*12</f>
        <v>4.7047499999999989</v>
      </c>
      <c r="F7" s="132">
        <f t="shared" si="0"/>
        <v>3.7637999999999994</v>
      </c>
      <c r="G7" s="133">
        <f t="shared" si="1"/>
        <v>0.94094999999999962</v>
      </c>
      <c r="H7" s="134">
        <f t="shared" si="2"/>
        <v>0.66372184615384622</v>
      </c>
      <c r="I7" s="135"/>
      <c r="J7" s="136">
        <f t="shared" si="3"/>
        <v>0</v>
      </c>
      <c r="K7" s="137"/>
      <c r="L7" s="138">
        <f t="shared" si="4"/>
        <v>0</v>
      </c>
      <c r="M7" s="137"/>
      <c r="N7" s="139">
        <f t="shared" si="5"/>
        <v>3.100078153846153</v>
      </c>
      <c r="O7" s="137"/>
      <c r="P7" s="140">
        <f t="shared" si="6"/>
        <v>0.94094999999999962</v>
      </c>
      <c r="Q7" s="135"/>
      <c r="R7" s="104">
        <f t="shared" si="7"/>
        <v>0.66372184615384622</v>
      </c>
      <c r="S7" s="137"/>
      <c r="T7" s="141">
        <f t="shared" si="8"/>
        <v>4.0410281538461525</v>
      </c>
      <c r="U7" s="199">
        <f t="shared" si="9"/>
        <v>0</v>
      </c>
      <c r="V7" s="37" t="str">
        <f t="shared" si="10"/>
        <v>ok</v>
      </c>
      <c r="W7" s="37" t="str">
        <f t="shared" si="11"/>
        <v>ok</v>
      </c>
    </row>
    <row r="8" spans="1:23" x14ac:dyDescent="0.25">
      <c r="A8" s="429"/>
      <c r="B8" s="198" t="s">
        <v>22</v>
      </c>
      <c r="C8" s="129">
        <v>4</v>
      </c>
      <c r="D8" s="130">
        <f>'2.4.5.3 Emplois ETP  base a'!D8*12</f>
        <v>0.46311138461538454</v>
      </c>
      <c r="E8" s="131">
        <f>'2.4.5.3 Emplois ETP  base a'!E8*12</f>
        <v>7.0571249999999992</v>
      </c>
      <c r="F8" s="132">
        <f t="shared" si="0"/>
        <v>5.6456999999999997</v>
      </c>
      <c r="G8" s="133">
        <f t="shared" si="1"/>
        <v>1.4114249999999995</v>
      </c>
      <c r="H8" s="134">
        <f t="shared" si="2"/>
        <v>0.46311138461538454</v>
      </c>
      <c r="I8" s="135"/>
      <c r="J8" s="136">
        <f t="shared" si="3"/>
        <v>0</v>
      </c>
      <c r="K8" s="137"/>
      <c r="L8" s="138">
        <f t="shared" si="4"/>
        <v>0</v>
      </c>
      <c r="M8" s="137"/>
      <c r="N8" s="139">
        <f t="shared" si="5"/>
        <v>5.1825886153846152</v>
      </c>
      <c r="O8" s="137"/>
      <c r="P8" s="140">
        <f t="shared" si="6"/>
        <v>1.4114249999999995</v>
      </c>
      <c r="Q8" s="135"/>
      <c r="R8" s="104">
        <f t="shared" si="7"/>
        <v>0.46311138461538454</v>
      </c>
      <c r="S8" s="137"/>
      <c r="T8" s="141">
        <f t="shared" si="8"/>
        <v>6.5940136153846147</v>
      </c>
      <c r="U8" s="199">
        <f t="shared" si="9"/>
        <v>0</v>
      </c>
      <c r="V8" s="37" t="str">
        <f t="shared" si="10"/>
        <v>ok</v>
      </c>
      <c r="W8" s="37" t="str">
        <f t="shared" si="11"/>
        <v>ok</v>
      </c>
    </row>
    <row r="9" spans="1:23" x14ac:dyDescent="0.25">
      <c r="A9" s="429"/>
      <c r="B9" s="198" t="s">
        <v>23</v>
      </c>
      <c r="C9" s="129">
        <v>5</v>
      </c>
      <c r="D9" s="130">
        <f>'2.4.5.3 Emplois ETP  base a'!D9*12</f>
        <v>0.96036923076923109</v>
      </c>
      <c r="E9" s="131">
        <f>'2.4.5.3 Emplois ETP  base a'!E9*12</f>
        <v>11.500499999999999</v>
      </c>
      <c r="F9" s="132">
        <f t="shared" si="0"/>
        <v>9.2004000000000001</v>
      </c>
      <c r="G9" s="133">
        <f t="shared" si="1"/>
        <v>2.3000999999999991</v>
      </c>
      <c r="H9" s="134">
        <f t="shared" si="2"/>
        <v>0.96036923076923109</v>
      </c>
      <c r="I9" s="135"/>
      <c r="J9" s="136">
        <f t="shared" si="3"/>
        <v>0</v>
      </c>
      <c r="K9" s="137"/>
      <c r="L9" s="138">
        <f t="shared" si="4"/>
        <v>0</v>
      </c>
      <c r="M9" s="137"/>
      <c r="N9" s="139">
        <f t="shared" si="5"/>
        <v>8.2400307692307688</v>
      </c>
      <c r="O9" s="137"/>
      <c r="P9" s="140">
        <f t="shared" si="6"/>
        <v>2.3000999999999991</v>
      </c>
      <c r="Q9" s="135"/>
      <c r="R9" s="104">
        <f t="shared" si="7"/>
        <v>0.96036923076923109</v>
      </c>
      <c r="S9" s="137"/>
      <c r="T9" s="141">
        <f t="shared" si="8"/>
        <v>10.540130769230768</v>
      </c>
      <c r="U9" s="199">
        <f t="shared" si="9"/>
        <v>0</v>
      </c>
      <c r="V9" s="37" t="str">
        <f t="shared" si="10"/>
        <v>ok</v>
      </c>
      <c r="W9" s="37" t="str">
        <f t="shared" si="11"/>
        <v>ok</v>
      </c>
    </row>
    <row r="10" spans="1:23" x14ac:dyDescent="0.25">
      <c r="A10" s="429"/>
      <c r="B10" s="198" t="s">
        <v>19</v>
      </c>
      <c r="C10" s="129">
        <v>8</v>
      </c>
      <c r="D10" s="130">
        <f>'2.4.5.3 Emplois ETP  base a'!D10*12</f>
        <v>3.0838523076923074</v>
      </c>
      <c r="E10" s="131">
        <f>'2.4.5.3 Emplois ETP  base a'!E10*12</f>
        <v>8.042307692307693</v>
      </c>
      <c r="F10" s="132">
        <f t="shared" si="0"/>
        <v>6.4338461538461544</v>
      </c>
      <c r="G10" s="133">
        <f t="shared" si="1"/>
        <v>1.6084615384615382</v>
      </c>
      <c r="H10" s="134">
        <f t="shared" si="2"/>
        <v>3.0838523076923074</v>
      </c>
      <c r="I10" s="135"/>
      <c r="J10" s="136">
        <f t="shared" si="3"/>
        <v>0</v>
      </c>
      <c r="K10" s="137"/>
      <c r="L10" s="138">
        <f t="shared" si="4"/>
        <v>0</v>
      </c>
      <c r="M10" s="137"/>
      <c r="N10" s="139">
        <f t="shared" si="5"/>
        <v>3.349993846153847</v>
      </c>
      <c r="O10" s="137"/>
      <c r="P10" s="140">
        <f t="shared" si="6"/>
        <v>1.6084615384615382</v>
      </c>
      <c r="Q10" s="135"/>
      <c r="R10" s="104">
        <f t="shared" si="7"/>
        <v>3.0838523076923074</v>
      </c>
      <c r="S10" s="137"/>
      <c r="T10" s="141">
        <f t="shared" si="8"/>
        <v>4.9584553846153856</v>
      </c>
      <c r="U10" s="199">
        <f t="shared" si="9"/>
        <v>0</v>
      </c>
      <c r="V10" s="37" t="str">
        <f t="shared" si="10"/>
        <v>ok</v>
      </c>
      <c r="W10" s="37" t="str">
        <f t="shared" si="11"/>
        <v>ok</v>
      </c>
    </row>
    <row r="11" spans="1:23" x14ac:dyDescent="0.25">
      <c r="A11" s="429"/>
      <c r="B11" s="198" t="s">
        <v>20</v>
      </c>
      <c r="C11" s="129">
        <v>9</v>
      </c>
      <c r="D11" s="130">
        <f>'2.4.5.3 Emplois ETP  base a'!D11*12</f>
        <v>2.5012283076923083</v>
      </c>
      <c r="E11" s="131">
        <f>'2.4.5.3 Emplois ETP  base a'!E11*12</f>
        <v>8.2433653846153838</v>
      </c>
      <c r="F11" s="132">
        <f t="shared" si="0"/>
        <v>6.5946923076923074</v>
      </c>
      <c r="G11" s="133">
        <f t="shared" si="1"/>
        <v>1.6486730769230764</v>
      </c>
      <c r="H11" s="134">
        <f t="shared" si="2"/>
        <v>2.5012283076923083</v>
      </c>
      <c r="I11" s="135"/>
      <c r="J11" s="136">
        <f t="shared" si="3"/>
        <v>0</v>
      </c>
      <c r="K11" s="137"/>
      <c r="L11" s="138">
        <f t="shared" si="4"/>
        <v>0</v>
      </c>
      <c r="M11" s="137"/>
      <c r="N11" s="139">
        <f t="shared" si="5"/>
        <v>4.0934639999999991</v>
      </c>
      <c r="O11" s="137"/>
      <c r="P11" s="140">
        <f t="shared" si="6"/>
        <v>1.6486730769230764</v>
      </c>
      <c r="Q11" s="135"/>
      <c r="R11" s="104">
        <f t="shared" si="7"/>
        <v>2.5012283076923083</v>
      </c>
      <c r="S11" s="137"/>
      <c r="T11" s="141">
        <f t="shared" si="8"/>
        <v>5.7421370769230755</v>
      </c>
      <c r="U11" s="199">
        <f t="shared" si="9"/>
        <v>0</v>
      </c>
      <c r="V11" s="37" t="str">
        <f t="shared" si="10"/>
        <v>ok</v>
      </c>
      <c r="W11" s="37" t="str">
        <f t="shared" si="11"/>
        <v>ok</v>
      </c>
    </row>
    <row r="12" spans="1:23" x14ac:dyDescent="0.25">
      <c r="A12" s="429"/>
      <c r="B12" s="198" t="s">
        <v>21</v>
      </c>
      <c r="C12" s="129">
        <v>10</v>
      </c>
      <c r="D12" s="130">
        <f>'2.4.5.3 Emplois ETP  base a'!D12*12</f>
        <v>1.4458892307692308</v>
      </c>
      <c r="E12" s="131">
        <f>'2.4.5.3 Emplois ETP  base a'!E12*12</f>
        <v>4.4232692307692298</v>
      </c>
      <c r="F12" s="132">
        <f t="shared" si="0"/>
        <v>3.5386153846153841</v>
      </c>
      <c r="G12" s="133">
        <f t="shared" si="1"/>
        <v>0.88465384615384579</v>
      </c>
      <c r="H12" s="134">
        <f t="shared" si="2"/>
        <v>1.4458892307692308</v>
      </c>
      <c r="I12" s="135"/>
      <c r="J12" s="136">
        <f t="shared" si="3"/>
        <v>0</v>
      </c>
      <c r="K12" s="137"/>
      <c r="L12" s="138">
        <f t="shared" si="4"/>
        <v>0</v>
      </c>
      <c r="M12" s="137"/>
      <c r="N12" s="139">
        <f t="shared" si="5"/>
        <v>2.0927261538461535</v>
      </c>
      <c r="O12" s="137"/>
      <c r="P12" s="140">
        <f t="shared" si="6"/>
        <v>0.88465384615384579</v>
      </c>
      <c r="Q12" s="135"/>
      <c r="R12" s="104">
        <f t="shared" si="7"/>
        <v>1.4458892307692308</v>
      </c>
      <c r="S12" s="137"/>
      <c r="T12" s="141">
        <f t="shared" si="8"/>
        <v>2.9773799999999992</v>
      </c>
      <c r="U12" s="199">
        <f t="shared" si="9"/>
        <v>0</v>
      </c>
      <c r="V12" s="37" t="str">
        <f t="shared" si="10"/>
        <v>ok</v>
      </c>
      <c r="W12" s="37" t="str">
        <f t="shared" si="11"/>
        <v>ok</v>
      </c>
    </row>
    <row r="13" spans="1:23" x14ac:dyDescent="0.25">
      <c r="A13" s="429"/>
      <c r="B13" s="198" t="s">
        <v>22</v>
      </c>
      <c r="C13" s="129">
        <v>11</v>
      </c>
      <c r="D13" s="130">
        <f>'2.4.5.3 Emplois ETP  base a'!D13*12</f>
        <v>1.1673821538461537</v>
      </c>
      <c r="E13" s="131">
        <f>'2.4.5.3 Emplois ETP  base a'!E13*12</f>
        <v>5.6296153846153842</v>
      </c>
      <c r="F13" s="132">
        <f t="shared" si="0"/>
        <v>4.5036923076923072</v>
      </c>
      <c r="G13" s="133">
        <f t="shared" si="1"/>
        <v>1.1259230769230766</v>
      </c>
      <c r="H13" s="134">
        <f t="shared" si="2"/>
        <v>1.1673821538461537</v>
      </c>
      <c r="I13" s="135"/>
      <c r="J13" s="136">
        <f t="shared" si="3"/>
        <v>0</v>
      </c>
      <c r="K13" s="137"/>
      <c r="L13" s="138">
        <f t="shared" si="4"/>
        <v>0</v>
      </c>
      <c r="M13" s="137"/>
      <c r="N13" s="139">
        <f t="shared" si="5"/>
        <v>3.3363101538461537</v>
      </c>
      <c r="O13" s="137"/>
      <c r="P13" s="140">
        <f t="shared" si="6"/>
        <v>1.1259230769230766</v>
      </c>
      <c r="Q13" s="135"/>
      <c r="R13" s="104">
        <f t="shared" si="7"/>
        <v>1.1673821538461537</v>
      </c>
      <c r="S13" s="137"/>
      <c r="T13" s="141">
        <f t="shared" si="8"/>
        <v>4.4622332307692307</v>
      </c>
      <c r="U13" s="199">
        <f t="shared" si="9"/>
        <v>0</v>
      </c>
      <c r="V13" s="37" t="str">
        <f t="shared" si="10"/>
        <v>ok</v>
      </c>
      <c r="W13" s="37" t="str">
        <f t="shared" si="11"/>
        <v>ok</v>
      </c>
    </row>
    <row r="14" spans="1:23" x14ac:dyDescent="0.25">
      <c r="A14" s="429"/>
      <c r="B14" s="198" t="s">
        <v>23</v>
      </c>
      <c r="C14" s="129">
        <v>12</v>
      </c>
      <c r="D14" s="130">
        <f>'2.4.5.3 Emplois ETP  base a'!D14*12</f>
        <v>2.223788307692308</v>
      </c>
      <c r="E14" s="131">
        <f>'2.4.5.3 Emplois ETP  base a'!E14*12</f>
        <v>7.6401923076923071</v>
      </c>
      <c r="F14" s="132">
        <f t="shared" si="0"/>
        <v>6.1121538461538458</v>
      </c>
      <c r="G14" s="133">
        <f t="shared" si="1"/>
        <v>1.528038461538461</v>
      </c>
      <c r="H14" s="134">
        <f t="shared" si="2"/>
        <v>2.223788307692308</v>
      </c>
      <c r="I14" s="135"/>
      <c r="J14" s="136">
        <f t="shared" si="3"/>
        <v>0</v>
      </c>
      <c r="K14" s="137"/>
      <c r="L14" s="138">
        <f t="shared" si="4"/>
        <v>0</v>
      </c>
      <c r="M14" s="137"/>
      <c r="N14" s="139">
        <f t="shared" si="5"/>
        <v>3.8883655384615379</v>
      </c>
      <c r="O14" s="137"/>
      <c r="P14" s="140">
        <f t="shared" si="6"/>
        <v>1.528038461538461</v>
      </c>
      <c r="Q14" s="135"/>
      <c r="R14" s="104">
        <f t="shared" si="7"/>
        <v>2.223788307692308</v>
      </c>
      <c r="S14" s="137"/>
      <c r="T14" s="141">
        <f t="shared" si="8"/>
        <v>5.4164039999999991</v>
      </c>
      <c r="U14" s="199">
        <f t="shared" si="9"/>
        <v>0</v>
      </c>
      <c r="V14" s="37" t="str">
        <f t="shared" si="10"/>
        <v>ok</v>
      </c>
      <c r="W14" s="37" t="str">
        <f t="shared" si="11"/>
        <v>ok</v>
      </c>
    </row>
    <row r="15" spans="1:23" x14ac:dyDescent="0.25">
      <c r="A15" s="429"/>
      <c r="B15" s="198" t="s">
        <v>19</v>
      </c>
      <c r="C15" s="129">
        <v>15</v>
      </c>
      <c r="D15" s="130">
        <f>'2.4.5.3 Emplois ETP  base a'!D15*12</f>
        <v>1.9324763076923079</v>
      </c>
      <c r="E15" s="131">
        <f>'2.4.5.3 Emplois ETP  base a'!E15*12</f>
        <v>12.063461538461537</v>
      </c>
      <c r="F15" s="132">
        <f t="shared" si="0"/>
        <v>9.6507692307692299</v>
      </c>
      <c r="G15" s="133">
        <f t="shared" si="1"/>
        <v>2.412692307692307</v>
      </c>
      <c r="H15" s="134">
        <f t="shared" si="2"/>
        <v>1.9324763076923079</v>
      </c>
      <c r="I15" s="135"/>
      <c r="J15" s="136">
        <f t="shared" si="3"/>
        <v>0</v>
      </c>
      <c r="K15" s="137"/>
      <c r="L15" s="138">
        <f t="shared" si="4"/>
        <v>0</v>
      </c>
      <c r="M15" s="137"/>
      <c r="N15" s="139">
        <f t="shared" si="5"/>
        <v>7.7182929230769215</v>
      </c>
      <c r="O15" s="137"/>
      <c r="P15" s="140">
        <f t="shared" si="6"/>
        <v>2.412692307692307</v>
      </c>
      <c r="Q15" s="135"/>
      <c r="R15" s="104">
        <f t="shared" si="7"/>
        <v>1.9324763076923079</v>
      </c>
      <c r="S15" s="137"/>
      <c r="T15" s="141">
        <f t="shared" si="8"/>
        <v>10.130985230769229</v>
      </c>
      <c r="U15" s="199">
        <f t="shared" si="9"/>
        <v>0</v>
      </c>
      <c r="V15" s="37" t="str">
        <f t="shared" si="10"/>
        <v>ok</v>
      </c>
      <c r="W15" s="37" t="str">
        <f t="shared" si="11"/>
        <v>ok</v>
      </c>
    </row>
    <row r="16" spans="1:23" x14ac:dyDescent="0.25">
      <c r="A16" s="429"/>
      <c r="B16" s="198" t="s">
        <v>20</v>
      </c>
      <c r="C16" s="129">
        <v>16</v>
      </c>
      <c r="D16" s="130">
        <f>'2.4.5.3 Emplois ETP  base a'!D16*12</f>
        <v>1.517383384615385</v>
      </c>
      <c r="E16" s="131">
        <f>'2.4.5.3 Emplois ETP  base a'!E16*12</f>
        <v>9.2486538461538466</v>
      </c>
      <c r="F16" s="132">
        <f t="shared" si="0"/>
        <v>7.3989230769230776</v>
      </c>
      <c r="G16" s="133">
        <f t="shared" si="1"/>
        <v>1.849730769230769</v>
      </c>
      <c r="H16" s="134">
        <f t="shared" si="2"/>
        <v>1.517383384615385</v>
      </c>
      <c r="I16" s="135"/>
      <c r="J16" s="136">
        <f t="shared" si="3"/>
        <v>0</v>
      </c>
      <c r="K16" s="137"/>
      <c r="L16" s="138">
        <f t="shared" si="4"/>
        <v>0</v>
      </c>
      <c r="M16" s="137"/>
      <c r="N16" s="139">
        <f t="shared" si="5"/>
        <v>5.8815396923076921</v>
      </c>
      <c r="O16" s="137"/>
      <c r="P16" s="140">
        <f t="shared" si="6"/>
        <v>1.849730769230769</v>
      </c>
      <c r="Q16" s="135"/>
      <c r="R16" s="104">
        <f t="shared" si="7"/>
        <v>1.517383384615385</v>
      </c>
      <c r="S16" s="137"/>
      <c r="T16" s="141">
        <f t="shared" si="8"/>
        <v>7.7312704615384611</v>
      </c>
      <c r="U16" s="199">
        <f t="shared" si="9"/>
        <v>0</v>
      </c>
      <c r="V16" s="37" t="str">
        <f t="shared" si="10"/>
        <v>ok</v>
      </c>
      <c r="W16" s="37" t="str">
        <f t="shared" si="11"/>
        <v>ok</v>
      </c>
    </row>
    <row r="17" spans="1:23" x14ac:dyDescent="0.25">
      <c r="A17" s="429"/>
      <c r="B17" s="198" t="s">
        <v>21</v>
      </c>
      <c r="C17" s="129">
        <v>17</v>
      </c>
      <c r="D17" s="130">
        <f>'2.4.5.3 Emplois ETP  base a'!D17*12</f>
        <v>0.66372184615384622</v>
      </c>
      <c r="E17" s="131">
        <f>'2.4.5.3 Emplois ETP  base a'!E17*12</f>
        <v>4.4232692307692298</v>
      </c>
      <c r="F17" s="132">
        <f t="shared" si="0"/>
        <v>3.5386153846153841</v>
      </c>
      <c r="G17" s="133">
        <f t="shared" si="1"/>
        <v>0.88465384615384579</v>
      </c>
      <c r="H17" s="134">
        <f t="shared" si="2"/>
        <v>0.66372184615384622</v>
      </c>
      <c r="I17" s="135"/>
      <c r="J17" s="136">
        <f t="shared" si="3"/>
        <v>0</v>
      </c>
      <c r="K17" s="137"/>
      <c r="L17" s="138">
        <f t="shared" si="4"/>
        <v>0</v>
      </c>
      <c r="M17" s="137"/>
      <c r="N17" s="139">
        <f t="shared" si="5"/>
        <v>2.8748935384615377</v>
      </c>
      <c r="O17" s="137"/>
      <c r="P17" s="140">
        <f t="shared" si="6"/>
        <v>0.88465384615384579</v>
      </c>
      <c r="Q17" s="135"/>
      <c r="R17" s="104">
        <f t="shared" si="7"/>
        <v>0.66372184615384622</v>
      </c>
      <c r="S17" s="137"/>
      <c r="T17" s="141">
        <f t="shared" si="8"/>
        <v>3.7595473846153835</v>
      </c>
      <c r="U17" s="199">
        <f t="shared" si="9"/>
        <v>0</v>
      </c>
      <c r="V17" s="37" t="str">
        <f t="shared" si="10"/>
        <v>ok</v>
      </c>
      <c r="W17" s="37" t="str">
        <f t="shared" si="11"/>
        <v>ok</v>
      </c>
    </row>
    <row r="18" spans="1:23" x14ac:dyDescent="0.25">
      <c r="A18" s="429"/>
      <c r="B18" s="198" t="s">
        <v>22</v>
      </c>
      <c r="C18" s="129">
        <v>18</v>
      </c>
      <c r="D18" s="130">
        <f>'2.4.5.3 Emplois ETP  base a'!D18*12</f>
        <v>0.46311138461538454</v>
      </c>
      <c r="E18" s="131">
        <f>'2.4.5.3 Emplois ETP  base a'!E18*12</f>
        <v>7.4391346153846154</v>
      </c>
      <c r="F18" s="132">
        <f t="shared" si="0"/>
        <v>5.9513076923076929</v>
      </c>
      <c r="G18" s="133">
        <f t="shared" si="1"/>
        <v>1.4878269230769228</v>
      </c>
      <c r="H18" s="134">
        <f t="shared" si="2"/>
        <v>0.46311138461538454</v>
      </c>
      <c r="I18" s="135"/>
      <c r="J18" s="136">
        <f t="shared" si="3"/>
        <v>0</v>
      </c>
      <c r="K18" s="137"/>
      <c r="L18" s="138">
        <f t="shared" si="4"/>
        <v>0</v>
      </c>
      <c r="M18" s="137"/>
      <c r="N18" s="139">
        <f t="shared" si="5"/>
        <v>5.4881963076923084</v>
      </c>
      <c r="O18" s="137"/>
      <c r="P18" s="140">
        <f t="shared" si="6"/>
        <v>1.4878269230769228</v>
      </c>
      <c r="Q18" s="135"/>
      <c r="R18" s="104">
        <f t="shared" si="7"/>
        <v>0.46311138461538454</v>
      </c>
      <c r="S18" s="137"/>
      <c r="T18" s="141">
        <f t="shared" si="8"/>
        <v>6.9760232307692309</v>
      </c>
      <c r="U18" s="199">
        <f t="shared" si="9"/>
        <v>0</v>
      </c>
      <c r="V18" s="37" t="str">
        <f t="shared" si="10"/>
        <v>ok</v>
      </c>
      <c r="W18" s="37" t="str">
        <f t="shared" si="11"/>
        <v>ok</v>
      </c>
    </row>
    <row r="19" spans="1:23" x14ac:dyDescent="0.25">
      <c r="A19" s="429"/>
      <c r="B19" s="198" t="s">
        <v>23</v>
      </c>
      <c r="C19" s="129">
        <v>19</v>
      </c>
      <c r="D19" s="130">
        <f>'2.4.5.3 Emplois ETP  base a'!D19*12</f>
        <v>0.96036923076923109</v>
      </c>
      <c r="E19" s="131">
        <f>'2.4.5.3 Emplois ETP  base a'!E19*12</f>
        <v>8.8465384615384597</v>
      </c>
      <c r="F19" s="132">
        <f t="shared" si="0"/>
        <v>7.0772307692307681</v>
      </c>
      <c r="G19" s="133">
        <f t="shared" si="1"/>
        <v>1.7693076923076916</v>
      </c>
      <c r="H19" s="134">
        <f t="shared" si="2"/>
        <v>0.96036923076923109</v>
      </c>
      <c r="I19" s="135"/>
      <c r="J19" s="136">
        <f t="shared" si="3"/>
        <v>0</v>
      </c>
      <c r="K19" s="137"/>
      <c r="L19" s="138">
        <f t="shared" si="4"/>
        <v>0</v>
      </c>
      <c r="M19" s="137"/>
      <c r="N19" s="139">
        <f t="shared" si="5"/>
        <v>6.1168615384615368</v>
      </c>
      <c r="O19" s="137"/>
      <c r="P19" s="140">
        <f t="shared" si="6"/>
        <v>1.7693076923076916</v>
      </c>
      <c r="Q19" s="135"/>
      <c r="R19" s="104">
        <f t="shared" si="7"/>
        <v>0.96036923076923109</v>
      </c>
      <c r="S19" s="137"/>
      <c r="T19" s="141">
        <f t="shared" si="8"/>
        <v>7.8861692307692284</v>
      </c>
      <c r="U19" s="199">
        <f t="shared" si="9"/>
        <v>0</v>
      </c>
      <c r="V19" s="37" t="str">
        <f t="shared" si="10"/>
        <v>ok</v>
      </c>
      <c r="W19" s="37" t="str">
        <f t="shared" si="11"/>
        <v>ok</v>
      </c>
    </row>
    <row r="20" spans="1:23" x14ac:dyDescent="0.25">
      <c r="A20" s="429"/>
      <c r="B20" s="198" t="s">
        <v>19</v>
      </c>
      <c r="C20" s="129">
        <v>22</v>
      </c>
      <c r="D20" s="130">
        <f>'2.4.5.3 Emplois ETP  base a'!D20*12</f>
        <v>3.8542818461538459</v>
      </c>
      <c r="E20" s="131">
        <f>'2.4.5.3 Emplois ETP  base a'!E20*12</f>
        <v>9.9523557692307687</v>
      </c>
      <c r="F20" s="132">
        <f t="shared" si="0"/>
        <v>7.9618846153846157</v>
      </c>
      <c r="G20" s="133">
        <f t="shared" si="1"/>
        <v>1.9904711538461533</v>
      </c>
      <c r="H20" s="134">
        <f t="shared" si="2"/>
        <v>3.8542818461538459</v>
      </c>
      <c r="I20" s="135"/>
      <c r="J20" s="136">
        <f t="shared" si="3"/>
        <v>0</v>
      </c>
      <c r="K20" s="137"/>
      <c r="L20" s="138">
        <f t="shared" si="4"/>
        <v>0</v>
      </c>
      <c r="M20" s="137"/>
      <c r="N20" s="139">
        <f t="shared" si="5"/>
        <v>4.1076027692307697</v>
      </c>
      <c r="O20" s="137"/>
      <c r="P20" s="140">
        <f t="shared" si="6"/>
        <v>1.9904711538461533</v>
      </c>
      <c r="Q20" s="135"/>
      <c r="R20" s="104">
        <f t="shared" si="7"/>
        <v>3.8542818461538459</v>
      </c>
      <c r="S20" s="137"/>
      <c r="T20" s="141">
        <f t="shared" si="8"/>
        <v>6.0980739230769228</v>
      </c>
      <c r="U20" s="199">
        <f t="shared" si="9"/>
        <v>0</v>
      </c>
      <c r="V20" s="37" t="str">
        <f t="shared" si="10"/>
        <v>ok</v>
      </c>
      <c r="W20" s="37" t="str">
        <f t="shared" si="11"/>
        <v>ok</v>
      </c>
    </row>
    <row r="21" spans="1:23" x14ac:dyDescent="0.25">
      <c r="A21" s="429"/>
      <c r="B21" s="198" t="s">
        <v>20</v>
      </c>
      <c r="C21" s="129">
        <v>23</v>
      </c>
      <c r="D21" s="130">
        <f>'2.4.5.3 Emplois ETP  base a'!D21*12</f>
        <v>3.1372061538461535</v>
      </c>
      <c r="E21" s="131">
        <f>'2.4.5.3 Emplois ETP  base a'!E21*12</f>
        <v>6.3051692307692297</v>
      </c>
      <c r="F21" s="132">
        <f t="shared" si="0"/>
        <v>5.0441353846153838</v>
      </c>
      <c r="G21" s="133">
        <f t="shared" si="1"/>
        <v>1.2610338461538457</v>
      </c>
      <c r="H21" s="134">
        <f t="shared" si="2"/>
        <v>3.1372061538461535</v>
      </c>
      <c r="I21" s="135"/>
      <c r="J21" s="136">
        <f t="shared" si="3"/>
        <v>0</v>
      </c>
      <c r="K21" s="137"/>
      <c r="L21" s="138">
        <f t="shared" si="4"/>
        <v>0</v>
      </c>
      <c r="M21" s="137"/>
      <c r="N21" s="139">
        <f t="shared" si="5"/>
        <v>1.9069292307692303</v>
      </c>
      <c r="O21" s="137"/>
      <c r="P21" s="140">
        <f t="shared" si="6"/>
        <v>1.2610338461538457</v>
      </c>
      <c r="Q21" s="135"/>
      <c r="R21" s="104">
        <f t="shared" si="7"/>
        <v>3.1372061538461535</v>
      </c>
      <c r="S21" s="137"/>
      <c r="T21" s="141">
        <f t="shared" si="8"/>
        <v>3.1679630769230762</v>
      </c>
      <c r="U21" s="199">
        <f t="shared" si="9"/>
        <v>0</v>
      </c>
      <c r="V21" s="37" t="str">
        <f t="shared" si="10"/>
        <v>ok</v>
      </c>
      <c r="W21" s="37" t="str">
        <f t="shared" si="11"/>
        <v>ok</v>
      </c>
    </row>
    <row r="22" spans="1:23" x14ac:dyDescent="0.25">
      <c r="A22" s="429"/>
      <c r="B22" s="198" t="s">
        <v>21</v>
      </c>
      <c r="C22" s="129">
        <v>24</v>
      </c>
      <c r="D22" s="130">
        <f>'2.4.5.3 Emplois ETP  base a'!D22*12</f>
        <v>1.8076283076923079</v>
      </c>
      <c r="E22" s="131">
        <f>'2.4.5.3 Emplois ETP  base a'!E22*12</f>
        <v>2.9877173076923071</v>
      </c>
      <c r="F22" s="132">
        <f t="shared" si="0"/>
        <v>2.390173846153846</v>
      </c>
      <c r="G22" s="133">
        <f t="shared" si="1"/>
        <v>0.59754346153846127</v>
      </c>
      <c r="H22" s="134">
        <f t="shared" si="2"/>
        <v>1.8076283076923079</v>
      </c>
      <c r="I22" s="135"/>
      <c r="J22" s="136">
        <f t="shared" si="3"/>
        <v>0</v>
      </c>
      <c r="K22" s="137"/>
      <c r="L22" s="138">
        <f t="shared" si="4"/>
        <v>0</v>
      </c>
      <c r="M22" s="137"/>
      <c r="N22" s="139">
        <f t="shared" si="5"/>
        <v>0.58254553846153811</v>
      </c>
      <c r="O22" s="137"/>
      <c r="P22" s="140">
        <f t="shared" si="6"/>
        <v>0.59754346153846127</v>
      </c>
      <c r="Q22" s="135"/>
      <c r="R22" s="104">
        <f t="shared" si="7"/>
        <v>1.8076283076923079</v>
      </c>
      <c r="S22" s="137"/>
      <c r="T22" s="141">
        <f t="shared" si="8"/>
        <v>1.1800889999999993</v>
      </c>
      <c r="U22" s="199">
        <f t="shared" si="9"/>
        <v>0</v>
      </c>
      <c r="V22" s="37" t="str">
        <f t="shared" si="10"/>
        <v>ok</v>
      </c>
      <c r="W22" s="37" t="str">
        <f t="shared" si="11"/>
        <v>ok</v>
      </c>
    </row>
    <row r="23" spans="1:23" x14ac:dyDescent="0.25">
      <c r="A23" s="429"/>
      <c r="B23" s="198" t="s">
        <v>22</v>
      </c>
      <c r="C23" s="129">
        <v>25</v>
      </c>
      <c r="D23" s="130">
        <f>'2.4.5.3 Emplois ETP  base a'!D23*12</f>
        <v>1.4800356923076923</v>
      </c>
      <c r="E23" s="131">
        <f>'2.4.5.3 Emplois ETP  base a'!E23*12</f>
        <v>3.9809423076923069</v>
      </c>
      <c r="F23" s="132">
        <f t="shared" si="0"/>
        <v>3.1847538461538458</v>
      </c>
      <c r="G23" s="133">
        <f t="shared" si="1"/>
        <v>0.79618846153846123</v>
      </c>
      <c r="H23" s="134">
        <f t="shared" si="2"/>
        <v>1.4800356923076923</v>
      </c>
      <c r="I23" s="135"/>
      <c r="J23" s="136">
        <f t="shared" si="3"/>
        <v>0</v>
      </c>
      <c r="K23" s="137"/>
      <c r="L23" s="138">
        <f t="shared" si="4"/>
        <v>0</v>
      </c>
      <c r="M23" s="137"/>
      <c r="N23" s="139">
        <f t="shared" si="5"/>
        <v>1.7047181538461535</v>
      </c>
      <c r="O23" s="137"/>
      <c r="P23" s="140">
        <f t="shared" si="6"/>
        <v>0.79618846153846123</v>
      </c>
      <c r="Q23" s="135"/>
      <c r="R23" s="104">
        <f t="shared" si="7"/>
        <v>1.4800356923076923</v>
      </c>
      <c r="S23" s="137"/>
      <c r="T23" s="141">
        <f t="shared" si="8"/>
        <v>2.5009066153846149</v>
      </c>
      <c r="U23" s="199">
        <f t="shared" si="9"/>
        <v>0</v>
      </c>
      <c r="V23" s="37" t="str">
        <f t="shared" si="10"/>
        <v>ok</v>
      </c>
      <c r="W23" s="37" t="str">
        <f t="shared" si="11"/>
        <v>ok</v>
      </c>
    </row>
    <row r="24" spans="1:23" x14ac:dyDescent="0.25">
      <c r="A24" s="429"/>
      <c r="B24" s="198" t="s">
        <v>23</v>
      </c>
      <c r="C24" s="129">
        <v>26</v>
      </c>
      <c r="D24" s="130">
        <f>'2.4.5.3 Emplois ETP  base a'!D24*12</f>
        <v>2.7797353846153845</v>
      </c>
      <c r="E24" s="131">
        <f>'2.4.5.3 Emplois ETP  base a'!E24*12</f>
        <v>6.3051692307692297</v>
      </c>
      <c r="F24" s="132">
        <f t="shared" si="0"/>
        <v>5.0441353846153838</v>
      </c>
      <c r="G24" s="133">
        <f t="shared" si="1"/>
        <v>1.2610338461538457</v>
      </c>
      <c r="H24" s="134">
        <f t="shared" si="2"/>
        <v>2.7797353846153845</v>
      </c>
      <c r="I24" s="135"/>
      <c r="J24" s="136">
        <f t="shared" si="3"/>
        <v>0</v>
      </c>
      <c r="K24" s="137"/>
      <c r="L24" s="138">
        <f t="shared" si="4"/>
        <v>0</v>
      </c>
      <c r="M24" s="137"/>
      <c r="N24" s="139">
        <f t="shared" si="5"/>
        <v>2.2643999999999993</v>
      </c>
      <c r="O24" s="137"/>
      <c r="P24" s="140">
        <f t="shared" si="6"/>
        <v>1.2610338461538457</v>
      </c>
      <c r="Q24" s="135"/>
      <c r="R24" s="104">
        <f t="shared" si="7"/>
        <v>2.7797353846153845</v>
      </c>
      <c r="S24" s="137"/>
      <c r="T24" s="141">
        <f t="shared" si="8"/>
        <v>3.5254338461538453</v>
      </c>
      <c r="U24" s="199">
        <f t="shared" si="9"/>
        <v>0</v>
      </c>
      <c r="V24" s="37" t="str">
        <f t="shared" si="10"/>
        <v>ok</v>
      </c>
      <c r="W24" s="37" t="str">
        <f t="shared" si="11"/>
        <v>ok</v>
      </c>
    </row>
    <row r="25" spans="1:23" x14ac:dyDescent="0.25">
      <c r="A25" s="429"/>
      <c r="B25" s="198" t="s">
        <v>19</v>
      </c>
      <c r="C25" s="129">
        <v>29</v>
      </c>
      <c r="D25" s="130">
        <f>'2.4.5.3 Emplois ETP  base a'!D25*12</f>
        <v>4.6247113846153853</v>
      </c>
      <c r="E25" s="131">
        <f>'2.4.5.3 Emplois ETP  base a'!E25*12</f>
        <v>12.063461538461537</v>
      </c>
      <c r="F25" s="132">
        <f t="shared" si="0"/>
        <v>9.6507692307692299</v>
      </c>
      <c r="G25" s="133">
        <f t="shared" si="1"/>
        <v>2.412692307692307</v>
      </c>
      <c r="H25" s="134">
        <f t="shared" si="2"/>
        <v>4.6247113846153853</v>
      </c>
      <c r="I25" s="135"/>
      <c r="J25" s="136">
        <f t="shared" si="3"/>
        <v>0</v>
      </c>
      <c r="K25" s="137"/>
      <c r="L25" s="138">
        <f t="shared" si="4"/>
        <v>0</v>
      </c>
      <c r="M25" s="137"/>
      <c r="N25" s="139">
        <f t="shared" si="5"/>
        <v>5.0260578461538445</v>
      </c>
      <c r="O25" s="137"/>
      <c r="P25" s="140">
        <f t="shared" si="6"/>
        <v>2.412692307692307</v>
      </c>
      <c r="Q25" s="135"/>
      <c r="R25" s="104">
        <f t="shared" si="7"/>
        <v>4.6247113846153853</v>
      </c>
      <c r="S25" s="137"/>
      <c r="T25" s="141">
        <f t="shared" si="8"/>
        <v>7.4387501538461516</v>
      </c>
      <c r="U25" s="199">
        <f t="shared" si="9"/>
        <v>0</v>
      </c>
      <c r="V25" s="37" t="str">
        <f t="shared" si="10"/>
        <v>ok</v>
      </c>
      <c r="W25" s="37" t="str">
        <f t="shared" si="11"/>
        <v>ok</v>
      </c>
    </row>
    <row r="26" spans="1:23" x14ac:dyDescent="0.25">
      <c r="A26" s="429"/>
      <c r="B26" s="198" t="s">
        <v>20</v>
      </c>
      <c r="C26" s="129">
        <v>30</v>
      </c>
      <c r="D26" s="130">
        <f>'2.4.5.3 Emplois ETP  base a'!D26*12</f>
        <v>3.7518424615384616</v>
      </c>
      <c r="E26" s="131">
        <f>'2.4.5.3 Emplois ETP  base a'!E26*12</f>
        <v>8.4444230769230746</v>
      </c>
      <c r="F26" s="132">
        <f t="shared" si="0"/>
        <v>6.7555384615384604</v>
      </c>
      <c r="G26" s="133">
        <f t="shared" si="1"/>
        <v>1.6888846153846147</v>
      </c>
      <c r="H26" s="134">
        <f t="shared" si="2"/>
        <v>3.7518424615384616</v>
      </c>
      <c r="I26" s="135"/>
      <c r="J26" s="136">
        <f t="shared" si="3"/>
        <v>0</v>
      </c>
      <c r="K26" s="137"/>
      <c r="L26" s="138">
        <f t="shared" si="4"/>
        <v>0</v>
      </c>
      <c r="M26" s="137"/>
      <c r="N26" s="139">
        <f t="shared" si="5"/>
        <v>3.0036959999999988</v>
      </c>
      <c r="O26" s="137"/>
      <c r="P26" s="140">
        <f t="shared" si="6"/>
        <v>1.6888846153846147</v>
      </c>
      <c r="Q26" s="135"/>
      <c r="R26" s="104">
        <f t="shared" si="7"/>
        <v>3.7518424615384616</v>
      </c>
      <c r="S26" s="137"/>
      <c r="T26" s="141">
        <f t="shared" si="8"/>
        <v>4.6925806153846139</v>
      </c>
      <c r="U26" s="199">
        <f t="shared" si="9"/>
        <v>0</v>
      </c>
      <c r="V26" s="37" t="str">
        <f t="shared" si="10"/>
        <v>bad</v>
      </c>
      <c r="W26" s="37" t="str">
        <f t="shared" si="11"/>
        <v>ok</v>
      </c>
    </row>
    <row r="27" spans="1:23" ht="15.75" thickBot="1" x14ac:dyDescent="0.3">
      <c r="A27" s="430"/>
      <c r="B27" s="200" t="s">
        <v>21</v>
      </c>
      <c r="C27" s="165">
        <v>31</v>
      </c>
      <c r="D27" s="202">
        <f>'2.4.5.3 Emplois ETP  base a'!D27*12</f>
        <v>2.1693673846153843</v>
      </c>
      <c r="E27" s="203">
        <f>'2.4.5.3 Emplois ETP  base a'!E27*12</f>
        <v>4.0211538461538465</v>
      </c>
      <c r="F27" s="204">
        <f t="shared" si="0"/>
        <v>3.2169230769230772</v>
      </c>
      <c r="G27" s="205">
        <f t="shared" si="1"/>
        <v>0.80423076923076908</v>
      </c>
      <c r="H27" s="206">
        <f t="shared" si="2"/>
        <v>2.1693673846153843</v>
      </c>
      <c r="I27" s="207"/>
      <c r="J27" s="208">
        <f t="shared" si="3"/>
        <v>0</v>
      </c>
      <c r="K27" s="209"/>
      <c r="L27" s="210">
        <f t="shared" si="4"/>
        <v>0</v>
      </c>
      <c r="M27" s="209"/>
      <c r="N27" s="211">
        <f t="shared" si="5"/>
        <v>1.047555692307693</v>
      </c>
      <c r="O27" s="209"/>
      <c r="P27" s="212">
        <f t="shared" si="6"/>
        <v>0.80423076923076908</v>
      </c>
      <c r="Q27" s="207"/>
      <c r="R27" s="213">
        <f t="shared" si="7"/>
        <v>2.1693673846153843</v>
      </c>
      <c r="S27" s="209"/>
      <c r="T27" s="214">
        <f t="shared" si="8"/>
        <v>1.851786461538462</v>
      </c>
      <c r="U27" s="215">
        <f t="shared" si="9"/>
        <v>0</v>
      </c>
      <c r="V27" s="37" t="str">
        <f t="shared" si="10"/>
        <v>ok</v>
      </c>
      <c r="W27" s="37" t="str">
        <f t="shared" si="11"/>
        <v>ok</v>
      </c>
    </row>
    <row r="28" spans="1:23" x14ac:dyDescent="0.25">
      <c r="A28" s="425" t="s">
        <v>90</v>
      </c>
      <c r="B28" s="276" t="s">
        <v>22</v>
      </c>
      <c r="C28" s="247">
        <v>1</v>
      </c>
      <c r="D28" s="184">
        <f>'2.4.5.3 Emplois ETP  base a'!D28*12</f>
        <v>3.2894725384615389</v>
      </c>
      <c r="E28" s="185">
        <f>'2.4.5.3 Emplois ETP  base a'!E28*12</f>
        <v>11.046599999999998</v>
      </c>
      <c r="F28" s="186">
        <f t="shared" si="0"/>
        <v>8.837279999999998</v>
      </c>
      <c r="G28" s="187">
        <f t="shared" si="1"/>
        <v>2.2093199999999991</v>
      </c>
      <c r="H28" s="188">
        <f>IF(E28&gt;D28,D28,E28)</f>
        <v>3.2894725384615389</v>
      </c>
      <c r="I28" s="189"/>
      <c r="J28" s="190">
        <f>IF(E28&gt;D28,0,D28-E28)</f>
        <v>0</v>
      </c>
      <c r="K28" s="191"/>
      <c r="L28" s="192">
        <f>IF(E28&gt;D28,IF(F28&gt;H28,0,H28-F28),G28)</f>
        <v>0</v>
      </c>
      <c r="M28" s="191"/>
      <c r="N28" s="193">
        <f>IF(E28&gt;D28,IF(F28&gt;H28,F28-H28,0),0)</f>
        <v>5.5478074615384596</v>
      </c>
      <c r="O28" s="191"/>
      <c r="P28" s="194">
        <f>IF(E28&gt;D28,IF(F28&gt;H28,G28,E28-H28),0)</f>
        <v>2.2093199999999991</v>
      </c>
      <c r="Q28" s="189"/>
      <c r="R28" s="195">
        <f>H28-L28</f>
        <v>3.2894725384615389</v>
      </c>
      <c r="S28" s="191"/>
      <c r="T28" s="196">
        <f>L28+N28+P28</f>
        <v>7.7571274615384587</v>
      </c>
      <c r="U28" s="197">
        <f>J28+L28</f>
        <v>0</v>
      </c>
      <c r="V28" s="37" t="str">
        <f>IF(R28+T28=E28,"ok","bad")</f>
        <v>ok</v>
      </c>
      <c r="W28" s="37" t="str">
        <f>IF(U28+R28=D28,"ok","bad")</f>
        <v>ok</v>
      </c>
    </row>
    <row r="29" spans="1:23" x14ac:dyDescent="0.25">
      <c r="A29" s="426"/>
      <c r="B29" s="178" t="s">
        <v>23</v>
      </c>
      <c r="C29" s="129">
        <v>2</v>
      </c>
      <c r="D29" s="130">
        <f>'2.4.5.3 Emplois ETP  base a'!D29*12</f>
        <v>2.5828989230769235</v>
      </c>
      <c r="E29" s="131">
        <f>'2.4.5.3 Emplois ETP  base a'!E29*12</f>
        <v>8.1008399999999998</v>
      </c>
      <c r="F29" s="132">
        <f t="shared" si="0"/>
        <v>6.4806720000000002</v>
      </c>
      <c r="G29" s="133">
        <f t="shared" si="1"/>
        <v>1.6201679999999996</v>
      </c>
      <c r="H29" s="134">
        <f t="shared" ref="H29:H47" si="12">IF(E29&gt;D29,D29,E29)</f>
        <v>2.5828989230769235</v>
      </c>
      <c r="I29" s="135"/>
      <c r="J29" s="136">
        <f t="shared" ref="J29:J47" si="13">IF(E29&gt;D29,0,D29-E29)</f>
        <v>0</v>
      </c>
      <c r="K29" s="137"/>
      <c r="L29" s="138">
        <f t="shared" ref="L29:L47" si="14">IF(E29&gt;D29,IF(F29&gt;H29,0,H29-F29),G29)</f>
        <v>0</v>
      </c>
      <c r="M29" s="137"/>
      <c r="N29" s="139">
        <f t="shared" ref="N29:N47" si="15">IF(E29&gt;D29,IF(F29&gt;H29,F29-H29,0),0)</f>
        <v>3.8977730769230767</v>
      </c>
      <c r="O29" s="137"/>
      <c r="P29" s="140">
        <f t="shared" ref="P29:P47" si="16">IF(E29&gt;D29,IF(F29&gt;H29,G29,E29-H29),0)</f>
        <v>1.6201679999999996</v>
      </c>
      <c r="Q29" s="135"/>
      <c r="R29" s="104">
        <f t="shared" ref="R29:R47" si="17">H29-L29</f>
        <v>2.5828989230769235</v>
      </c>
      <c r="S29" s="137"/>
      <c r="T29" s="141">
        <f t="shared" ref="T29:T47" si="18">L29+N29+P29</f>
        <v>5.5179410769230763</v>
      </c>
      <c r="U29" s="199">
        <f t="shared" ref="U29:U47" si="19">J29+L29</f>
        <v>0</v>
      </c>
      <c r="V29" s="37" t="str">
        <f t="shared" ref="V29:V47" si="20">IF(R29+T29=E29,"ok","bad")</f>
        <v>ok</v>
      </c>
      <c r="W29" s="37" t="str">
        <f t="shared" ref="W29:W47" si="21">IF(U29+R29=D29,"ok","bad")</f>
        <v>ok</v>
      </c>
    </row>
    <row r="30" spans="1:23" x14ac:dyDescent="0.25">
      <c r="A30" s="426"/>
      <c r="B30" s="178" t="s">
        <v>19</v>
      </c>
      <c r="C30" s="129">
        <v>5</v>
      </c>
      <c r="D30" s="130">
        <f>'2.4.5.3 Emplois ETP  base a'!D30*12</f>
        <v>1.1297912307692306</v>
      </c>
      <c r="E30" s="131">
        <f>'2.4.5.3 Emplois ETP  base a'!E30*12</f>
        <v>3.3139799999999999</v>
      </c>
      <c r="F30" s="132">
        <f t="shared" si="0"/>
        <v>2.6511840000000002</v>
      </c>
      <c r="G30" s="133">
        <f t="shared" si="1"/>
        <v>0.66279599999999983</v>
      </c>
      <c r="H30" s="134">
        <f t="shared" si="12"/>
        <v>1.1297912307692306</v>
      </c>
      <c r="I30" s="135"/>
      <c r="J30" s="136">
        <f t="shared" si="13"/>
        <v>0</v>
      </c>
      <c r="K30" s="137"/>
      <c r="L30" s="138">
        <f t="shared" si="14"/>
        <v>0</v>
      </c>
      <c r="M30" s="137"/>
      <c r="N30" s="139">
        <f t="shared" si="15"/>
        <v>1.5213927692307696</v>
      </c>
      <c r="O30" s="137"/>
      <c r="P30" s="140">
        <f t="shared" si="16"/>
        <v>0.66279599999999983</v>
      </c>
      <c r="Q30" s="135"/>
      <c r="R30" s="104">
        <f t="shared" si="17"/>
        <v>1.1297912307692306</v>
      </c>
      <c r="S30" s="137"/>
      <c r="T30" s="141">
        <f t="shared" si="18"/>
        <v>2.1841887692307695</v>
      </c>
      <c r="U30" s="199">
        <f t="shared" si="19"/>
        <v>0</v>
      </c>
      <c r="V30" s="37" t="str">
        <f t="shared" si="20"/>
        <v>ok</v>
      </c>
      <c r="W30" s="37" t="str">
        <f t="shared" si="21"/>
        <v>ok</v>
      </c>
    </row>
    <row r="31" spans="1:23" x14ac:dyDescent="0.25">
      <c r="A31" s="426"/>
      <c r="B31" s="178" t="s">
        <v>20</v>
      </c>
      <c r="C31" s="129">
        <v>6</v>
      </c>
      <c r="D31" s="130">
        <f>'2.4.5.3 Emplois ETP  base a'!D31*12</f>
        <v>0.78831092307692308</v>
      </c>
      <c r="E31" s="131">
        <f>'2.4.5.3 Emplois ETP  base a'!E31*12</f>
        <v>4.9709700000000003</v>
      </c>
      <c r="F31" s="132">
        <f t="shared" si="0"/>
        <v>3.9767760000000005</v>
      </c>
      <c r="G31" s="133">
        <f t="shared" si="1"/>
        <v>0.9941939999999998</v>
      </c>
      <c r="H31" s="134">
        <f t="shared" si="12"/>
        <v>0.78831092307692308</v>
      </c>
      <c r="I31" s="135"/>
      <c r="J31" s="136">
        <f t="shared" si="13"/>
        <v>0</v>
      </c>
      <c r="K31" s="137"/>
      <c r="L31" s="138">
        <f t="shared" si="14"/>
        <v>0</v>
      </c>
      <c r="M31" s="137"/>
      <c r="N31" s="139">
        <f t="shared" si="15"/>
        <v>3.1884650769230776</v>
      </c>
      <c r="O31" s="137"/>
      <c r="P31" s="140">
        <f t="shared" si="16"/>
        <v>0.9941939999999998</v>
      </c>
      <c r="Q31" s="135"/>
      <c r="R31" s="104">
        <f t="shared" si="17"/>
        <v>0.78831092307692308</v>
      </c>
      <c r="S31" s="137"/>
      <c r="T31" s="141">
        <f t="shared" si="18"/>
        <v>4.1826590769230769</v>
      </c>
      <c r="U31" s="199">
        <f t="shared" si="19"/>
        <v>0</v>
      </c>
      <c r="V31" s="37" t="str">
        <f t="shared" si="20"/>
        <v>ok</v>
      </c>
      <c r="W31" s="37" t="str">
        <f t="shared" si="21"/>
        <v>ok</v>
      </c>
    </row>
    <row r="32" spans="1:23" x14ac:dyDescent="0.25">
      <c r="A32" s="426"/>
      <c r="B32" s="178" t="s">
        <v>21</v>
      </c>
      <c r="C32" s="129">
        <v>7</v>
      </c>
      <c r="D32" s="130">
        <f>'2.4.5.3 Emplois ETP  base a'!D32*12</f>
        <v>1.6347461538461538</v>
      </c>
      <c r="E32" s="131">
        <f>'2.4.5.3 Emplois ETP  base a'!E32*12</f>
        <v>8.1008399999999998</v>
      </c>
      <c r="F32" s="132">
        <f t="shared" si="0"/>
        <v>6.4806720000000002</v>
      </c>
      <c r="G32" s="133">
        <f t="shared" si="1"/>
        <v>1.6201679999999996</v>
      </c>
      <c r="H32" s="134">
        <f t="shared" si="12"/>
        <v>1.6347461538461538</v>
      </c>
      <c r="I32" s="135"/>
      <c r="J32" s="136">
        <f t="shared" si="13"/>
        <v>0</v>
      </c>
      <c r="K32" s="137"/>
      <c r="L32" s="138">
        <f t="shared" si="14"/>
        <v>0</v>
      </c>
      <c r="M32" s="137"/>
      <c r="N32" s="139">
        <f t="shared" si="15"/>
        <v>4.8459258461538468</v>
      </c>
      <c r="O32" s="137"/>
      <c r="P32" s="140">
        <f t="shared" si="16"/>
        <v>1.6201679999999996</v>
      </c>
      <c r="Q32" s="135"/>
      <c r="R32" s="104">
        <f t="shared" si="17"/>
        <v>1.6347461538461538</v>
      </c>
      <c r="S32" s="137"/>
      <c r="T32" s="141">
        <f t="shared" si="18"/>
        <v>6.4660938461538464</v>
      </c>
      <c r="U32" s="199">
        <f t="shared" si="19"/>
        <v>0</v>
      </c>
      <c r="V32" s="37" t="str">
        <f t="shared" si="20"/>
        <v>ok</v>
      </c>
      <c r="W32" s="37" t="str">
        <f t="shared" si="21"/>
        <v>ok</v>
      </c>
    </row>
    <row r="33" spans="1:23" x14ac:dyDescent="0.25">
      <c r="A33" s="426"/>
      <c r="B33" s="178" t="s">
        <v>22</v>
      </c>
      <c r="C33" s="129">
        <v>8</v>
      </c>
      <c r="D33" s="130">
        <f>'2.4.5.3 Emplois ETP  base a'!D33*12</f>
        <v>5.2493515384615375</v>
      </c>
      <c r="E33" s="131">
        <f>'2.4.5.3 Emplois ETP  base a'!E33*12</f>
        <v>5.6649230769230767</v>
      </c>
      <c r="F33" s="132">
        <f t="shared" si="0"/>
        <v>4.5319384615384619</v>
      </c>
      <c r="G33" s="133">
        <f t="shared" si="1"/>
        <v>1.132984615384615</v>
      </c>
      <c r="H33" s="134">
        <f t="shared" si="12"/>
        <v>5.2493515384615375</v>
      </c>
      <c r="I33" s="135"/>
      <c r="J33" s="136">
        <f t="shared" si="13"/>
        <v>0</v>
      </c>
      <c r="K33" s="137"/>
      <c r="L33" s="138">
        <f t="shared" si="14"/>
        <v>0.71741307692307554</v>
      </c>
      <c r="M33" s="137"/>
      <c r="N33" s="139">
        <f t="shared" si="15"/>
        <v>0</v>
      </c>
      <c r="O33" s="137"/>
      <c r="P33" s="140">
        <f t="shared" si="16"/>
        <v>0.41557153846153927</v>
      </c>
      <c r="Q33" s="135"/>
      <c r="R33" s="104">
        <f t="shared" si="17"/>
        <v>4.5319384615384619</v>
      </c>
      <c r="S33" s="137"/>
      <c r="T33" s="141">
        <f t="shared" si="18"/>
        <v>1.1329846153846148</v>
      </c>
      <c r="U33" s="199">
        <f t="shared" si="19"/>
        <v>0.71741307692307554</v>
      </c>
      <c r="V33" s="37" t="str">
        <f t="shared" si="20"/>
        <v>ok</v>
      </c>
      <c r="W33" s="37" t="str">
        <f t="shared" si="21"/>
        <v>ok</v>
      </c>
    </row>
    <row r="34" spans="1:23" x14ac:dyDescent="0.25">
      <c r="A34" s="426"/>
      <c r="B34" s="178" t="s">
        <v>23</v>
      </c>
      <c r="C34" s="129">
        <v>9</v>
      </c>
      <c r="D34" s="130">
        <f>'2.4.5.3 Emplois ETP  base a'!D34*12</f>
        <v>4.2576055384615392</v>
      </c>
      <c r="E34" s="131">
        <f>'2.4.5.3 Emplois ETP  base a'!E34*12</f>
        <v>5.8065461538461536</v>
      </c>
      <c r="F34" s="132">
        <f t="shared" si="0"/>
        <v>4.645236923076923</v>
      </c>
      <c r="G34" s="133">
        <f t="shared" si="1"/>
        <v>1.1613092307692305</v>
      </c>
      <c r="H34" s="134">
        <f t="shared" si="12"/>
        <v>4.2576055384615392</v>
      </c>
      <c r="I34" s="135"/>
      <c r="J34" s="136">
        <f t="shared" si="13"/>
        <v>0</v>
      </c>
      <c r="K34" s="137"/>
      <c r="L34" s="138">
        <f t="shared" si="14"/>
        <v>0</v>
      </c>
      <c r="M34" s="137"/>
      <c r="N34" s="139">
        <f t="shared" si="15"/>
        <v>0.38763138461538382</v>
      </c>
      <c r="O34" s="137"/>
      <c r="P34" s="140">
        <f t="shared" si="16"/>
        <v>1.1613092307692305</v>
      </c>
      <c r="Q34" s="135"/>
      <c r="R34" s="104">
        <f t="shared" si="17"/>
        <v>4.2576055384615392</v>
      </c>
      <c r="S34" s="137"/>
      <c r="T34" s="141">
        <f t="shared" si="18"/>
        <v>1.5489406153846144</v>
      </c>
      <c r="U34" s="199">
        <f t="shared" si="19"/>
        <v>0</v>
      </c>
      <c r="V34" s="37" t="str">
        <f t="shared" si="20"/>
        <v>ok</v>
      </c>
      <c r="W34" s="37" t="str">
        <f t="shared" si="21"/>
        <v>ok</v>
      </c>
    </row>
    <row r="35" spans="1:23" x14ac:dyDescent="0.25">
      <c r="A35" s="426"/>
      <c r="B35" s="178" t="s">
        <v>19</v>
      </c>
      <c r="C35" s="129">
        <v>12</v>
      </c>
      <c r="D35" s="130">
        <f>'2.4.5.3 Emplois ETP  base a'!D35*12</f>
        <v>2.461201153846154</v>
      </c>
      <c r="E35" s="131">
        <f>'2.4.5.3 Emplois ETP  base a'!E35*12</f>
        <v>3.1157076923076921</v>
      </c>
      <c r="F35" s="132">
        <f t="shared" si="0"/>
        <v>2.4925661538461537</v>
      </c>
      <c r="G35" s="133">
        <f t="shared" si="1"/>
        <v>0.6231415384615383</v>
      </c>
      <c r="H35" s="134">
        <f t="shared" si="12"/>
        <v>2.461201153846154</v>
      </c>
      <c r="I35" s="135"/>
      <c r="J35" s="136">
        <f t="shared" si="13"/>
        <v>0</v>
      </c>
      <c r="K35" s="137"/>
      <c r="L35" s="138">
        <f t="shared" si="14"/>
        <v>0</v>
      </c>
      <c r="M35" s="137"/>
      <c r="N35" s="139">
        <f t="shared" si="15"/>
        <v>3.1364999999999643E-2</v>
      </c>
      <c r="O35" s="137"/>
      <c r="P35" s="140">
        <f t="shared" si="16"/>
        <v>0.6231415384615383</v>
      </c>
      <c r="Q35" s="135"/>
      <c r="R35" s="104">
        <f t="shared" si="17"/>
        <v>2.461201153846154</v>
      </c>
      <c r="S35" s="137"/>
      <c r="T35" s="141">
        <f t="shared" si="18"/>
        <v>0.65450653846153795</v>
      </c>
      <c r="U35" s="199">
        <f t="shared" si="19"/>
        <v>0</v>
      </c>
      <c r="V35" s="37" t="str">
        <f t="shared" si="20"/>
        <v>ok</v>
      </c>
      <c r="W35" s="37" t="str">
        <f t="shared" si="21"/>
        <v>ok</v>
      </c>
    </row>
    <row r="36" spans="1:23" x14ac:dyDescent="0.25">
      <c r="A36" s="426"/>
      <c r="B36" s="178" t="s">
        <v>20</v>
      </c>
      <c r="C36" s="129">
        <v>13</v>
      </c>
      <c r="D36" s="130">
        <f>'2.4.5.3 Emplois ETP  base a'!D36*12</f>
        <v>1.987124769230769</v>
      </c>
      <c r="E36" s="131">
        <f>'2.4.5.3 Emplois ETP  base a'!E36*12</f>
        <v>3.9654461538461545</v>
      </c>
      <c r="F36" s="132">
        <f t="shared" si="0"/>
        <v>3.172356923076924</v>
      </c>
      <c r="G36" s="133">
        <f t="shared" si="1"/>
        <v>0.79308923076923077</v>
      </c>
      <c r="H36" s="134">
        <f t="shared" si="12"/>
        <v>1.987124769230769</v>
      </c>
      <c r="I36" s="135"/>
      <c r="J36" s="136">
        <f t="shared" si="13"/>
        <v>0</v>
      </c>
      <c r="K36" s="137"/>
      <c r="L36" s="138">
        <f t="shared" si="14"/>
        <v>0</v>
      </c>
      <c r="M36" s="137"/>
      <c r="N36" s="139">
        <f t="shared" si="15"/>
        <v>1.185232153846155</v>
      </c>
      <c r="O36" s="137"/>
      <c r="P36" s="140">
        <f t="shared" si="16"/>
        <v>0.79308923076923077</v>
      </c>
      <c r="Q36" s="135"/>
      <c r="R36" s="104">
        <f t="shared" si="17"/>
        <v>1.987124769230769</v>
      </c>
      <c r="S36" s="137"/>
      <c r="T36" s="141">
        <f t="shared" si="18"/>
        <v>1.9783213846153858</v>
      </c>
      <c r="U36" s="199">
        <f t="shared" si="19"/>
        <v>0</v>
      </c>
      <c r="V36" s="37" t="str">
        <f t="shared" si="20"/>
        <v>ok</v>
      </c>
      <c r="W36" s="37" t="str">
        <f t="shared" si="21"/>
        <v>ok</v>
      </c>
    </row>
    <row r="37" spans="1:23" x14ac:dyDescent="0.25">
      <c r="A37" s="426"/>
      <c r="B37" s="178" t="s">
        <v>21</v>
      </c>
      <c r="C37" s="129">
        <v>14</v>
      </c>
      <c r="D37" s="130">
        <f>'2.4.5.3 Emplois ETP  base a'!D37*12</f>
        <v>3.7853455384615384</v>
      </c>
      <c r="E37" s="131">
        <f>'2.4.5.3 Emplois ETP  base a'!E37*12</f>
        <v>5.381676923076923</v>
      </c>
      <c r="F37" s="132">
        <f t="shared" si="0"/>
        <v>4.3053415384615388</v>
      </c>
      <c r="G37" s="133">
        <f t="shared" si="1"/>
        <v>1.0763353846153845</v>
      </c>
      <c r="H37" s="134">
        <f t="shared" si="12"/>
        <v>3.7853455384615384</v>
      </c>
      <c r="I37" s="135"/>
      <c r="J37" s="136">
        <f t="shared" si="13"/>
        <v>0</v>
      </c>
      <c r="K37" s="137"/>
      <c r="L37" s="138">
        <f t="shared" si="14"/>
        <v>0</v>
      </c>
      <c r="M37" s="137"/>
      <c r="N37" s="139">
        <f t="shared" si="15"/>
        <v>0.51999600000000035</v>
      </c>
      <c r="O37" s="137"/>
      <c r="P37" s="140">
        <f t="shared" si="16"/>
        <v>1.0763353846153845</v>
      </c>
      <c r="Q37" s="135"/>
      <c r="R37" s="104">
        <f t="shared" si="17"/>
        <v>3.7853455384615384</v>
      </c>
      <c r="S37" s="137"/>
      <c r="T37" s="141">
        <f t="shared" si="18"/>
        <v>1.5963313846153848</v>
      </c>
      <c r="U37" s="199">
        <f t="shared" si="19"/>
        <v>0</v>
      </c>
      <c r="V37" s="37" t="str">
        <f t="shared" si="20"/>
        <v>ok</v>
      </c>
      <c r="W37" s="37" t="str">
        <f t="shared" si="21"/>
        <v>ok</v>
      </c>
    </row>
    <row r="38" spans="1:23" x14ac:dyDescent="0.25">
      <c r="A38" s="426"/>
      <c r="B38" s="178" t="s">
        <v>22</v>
      </c>
      <c r="C38" s="129">
        <v>15</v>
      </c>
      <c r="D38" s="130">
        <f>'2.4.5.3 Emplois ETP  base a'!D38*12</f>
        <v>3.2894725384615389</v>
      </c>
      <c r="E38" s="131">
        <f>'2.4.5.3 Emplois ETP  base a'!E38*12</f>
        <v>8.4973846153846164</v>
      </c>
      <c r="F38" s="132">
        <f t="shared" si="0"/>
        <v>6.7979076923076933</v>
      </c>
      <c r="G38" s="133">
        <f t="shared" si="1"/>
        <v>1.6994769230769229</v>
      </c>
      <c r="H38" s="134">
        <f t="shared" si="12"/>
        <v>3.2894725384615389</v>
      </c>
      <c r="I38" s="135"/>
      <c r="J38" s="136">
        <f t="shared" si="13"/>
        <v>0</v>
      </c>
      <c r="K38" s="137"/>
      <c r="L38" s="138">
        <f t="shared" si="14"/>
        <v>0</v>
      </c>
      <c r="M38" s="137"/>
      <c r="N38" s="139">
        <f t="shared" si="15"/>
        <v>3.5084351538461545</v>
      </c>
      <c r="O38" s="137"/>
      <c r="P38" s="140">
        <f t="shared" si="16"/>
        <v>1.6994769230769229</v>
      </c>
      <c r="Q38" s="135"/>
      <c r="R38" s="104">
        <f t="shared" si="17"/>
        <v>3.2894725384615389</v>
      </c>
      <c r="S38" s="137"/>
      <c r="T38" s="141">
        <f t="shared" si="18"/>
        <v>5.2079120769230771</v>
      </c>
      <c r="U38" s="199">
        <f t="shared" si="19"/>
        <v>0</v>
      </c>
      <c r="V38" s="37" t="str">
        <f t="shared" si="20"/>
        <v>ok</v>
      </c>
      <c r="W38" s="37" t="str">
        <f t="shared" si="21"/>
        <v>ok</v>
      </c>
    </row>
    <row r="39" spans="1:23" x14ac:dyDescent="0.25">
      <c r="A39" s="426"/>
      <c r="B39" s="178" t="s">
        <v>23</v>
      </c>
      <c r="C39" s="129">
        <v>16</v>
      </c>
      <c r="D39" s="130">
        <f>'2.4.5.3 Emplois ETP  base a'!D39*12</f>
        <v>2.5828989230769235</v>
      </c>
      <c r="E39" s="131">
        <f>'2.4.5.3 Emplois ETP  base a'!E39*12</f>
        <v>6.5146615384615378</v>
      </c>
      <c r="F39" s="132">
        <f t="shared" si="0"/>
        <v>5.2117292307692304</v>
      </c>
      <c r="G39" s="133">
        <f t="shared" si="1"/>
        <v>1.3029323076923072</v>
      </c>
      <c r="H39" s="134">
        <f t="shared" si="12"/>
        <v>2.5828989230769235</v>
      </c>
      <c r="I39" s="135"/>
      <c r="J39" s="136">
        <f t="shared" si="13"/>
        <v>0</v>
      </c>
      <c r="K39" s="137"/>
      <c r="L39" s="138">
        <f t="shared" si="14"/>
        <v>0</v>
      </c>
      <c r="M39" s="137"/>
      <c r="N39" s="139">
        <f t="shared" si="15"/>
        <v>2.628830307692307</v>
      </c>
      <c r="O39" s="137"/>
      <c r="P39" s="140">
        <f t="shared" si="16"/>
        <v>1.3029323076923072</v>
      </c>
      <c r="Q39" s="135"/>
      <c r="R39" s="104">
        <f t="shared" si="17"/>
        <v>2.5828989230769235</v>
      </c>
      <c r="S39" s="137"/>
      <c r="T39" s="141">
        <f t="shared" si="18"/>
        <v>3.9317626153846144</v>
      </c>
      <c r="U39" s="199">
        <f t="shared" si="19"/>
        <v>0</v>
      </c>
      <c r="V39" s="37" t="str">
        <f t="shared" si="20"/>
        <v>ok</v>
      </c>
      <c r="W39" s="37" t="str">
        <f t="shared" si="21"/>
        <v>ok</v>
      </c>
    </row>
    <row r="40" spans="1:23" x14ac:dyDescent="0.25">
      <c r="A40" s="426"/>
      <c r="B40" s="178" t="s">
        <v>19</v>
      </c>
      <c r="C40" s="129">
        <v>19</v>
      </c>
      <c r="D40" s="130">
        <f>'2.4.5.3 Emplois ETP  base a'!D40*12</f>
        <v>1.1297912307692306</v>
      </c>
      <c r="E40" s="131">
        <f>'2.4.5.3 Emplois ETP  base a'!E40*12</f>
        <v>3.1157076923076921</v>
      </c>
      <c r="F40" s="132">
        <f t="shared" si="0"/>
        <v>2.4925661538461537</v>
      </c>
      <c r="G40" s="133">
        <f t="shared" si="1"/>
        <v>0.6231415384615383</v>
      </c>
      <c r="H40" s="134">
        <f t="shared" si="12"/>
        <v>1.1297912307692306</v>
      </c>
      <c r="I40" s="135"/>
      <c r="J40" s="136">
        <f t="shared" si="13"/>
        <v>0</v>
      </c>
      <c r="K40" s="137"/>
      <c r="L40" s="138">
        <f t="shared" si="14"/>
        <v>0</v>
      </c>
      <c r="M40" s="137"/>
      <c r="N40" s="139">
        <f t="shared" si="15"/>
        <v>1.3627749230769231</v>
      </c>
      <c r="O40" s="137"/>
      <c r="P40" s="140">
        <f t="shared" si="16"/>
        <v>0.6231415384615383</v>
      </c>
      <c r="Q40" s="135"/>
      <c r="R40" s="104">
        <f t="shared" si="17"/>
        <v>1.1297912307692306</v>
      </c>
      <c r="S40" s="137"/>
      <c r="T40" s="141">
        <f t="shared" si="18"/>
        <v>1.9859164615384612</v>
      </c>
      <c r="U40" s="199">
        <f t="shared" si="19"/>
        <v>0</v>
      </c>
      <c r="V40" s="37" t="str">
        <f t="shared" si="20"/>
        <v>ok</v>
      </c>
      <c r="W40" s="37" t="str">
        <f t="shared" si="21"/>
        <v>ok</v>
      </c>
    </row>
    <row r="41" spans="1:23" x14ac:dyDescent="0.25">
      <c r="A41" s="426"/>
      <c r="B41" s="178" t="s">
        <v>20</v>
      </c>
      <c r="C41" s="129">
        <v>20</v>
      </c>
      <c r="D41" s="130">
        <f>'2.4.5.3 Emplois ETP  base a'!D41*12</f>
        <v>0.78831092307692308</v>
      </c>
      <c r="E41" s="131">
        <f>'2.4.5.3 Emplois ETP  base a'!E41*12</f>
        <v>5.2400538461538453</v>
      </c>
      <c r="F41" s="132">
        <f t="shared" si="0"/>
        <v>4.1920430769230768</v>
      </c>
      <c r="G41" s="133">
        <f t="shared" si="1"/>
        <v>1.0480107692307687</v>
      </c>
      <c r="H41" s="134">
        <f t="shared" si="12"/>
        <v>0.78831092307692308</v>
      </c>
      <c r="I41" s="135"/>
      <c r="J41" s="136">
        <f t="shared" si="13"/>
        <v>0</v>
      </c>
      <c r="K41" s="137"/>
      <c r="L41" s="138">
        <f t="shared" si="14"/>
        <v>0</v>
      </c>
      <c r="M41" s="137"/>
      <c r="N41" s="139">
        <f t="shared" si="15"/>
        <v>3.4037321538461538</v>
      </c>
      <c r="O41" s="137"/>
      <c r="P41" s="140">
        <f t="shared" si="16"/>
        <v>1.0480107692307687</v>
      </c>
      <c r="Q41" s="135"/>
      <c r="R41" s="104">
        <f t="shared" si="17"/>
        <v>0.78831092307692308</v>
      </c>
      <c r="S41" s="137"/>
      <c r="T41" s="141">
        <f t="shared" si="18"/>
        <v>4.4517429230769228</v>
      </c>
      <c r="U41" s="199">
        <f t="shared" si="19"/>
        <v>0</v>
      </c>
      <c r="V41" s="37" t="str">
        <f t="shared" si="20"/>
        <v>ok</v>
      </c>
      <c r="W41" s="37" t="str">
        <f t="shared" si="21"/>
        <v>ok</v>
      </c>
    </row>
    <row r="42" spans="1:23" x14ac:dyDescent="0.25">
      <c r="A42" s="426"/>
      <c r="B42" s="178" t="s">
        <v>21</v>
      </c>
      <c r="C42" s="129">
        <v>21</v>
      </c>
      <c r="D42" s="130">
        <f>'2.4.5.3 Emplois ETP  base a'!D42*12</f>
        <v>1.6347461538461538</v>
      </c>
      <c r="E42" s="131">
        <f>'2.4.5.3 Emplois ETP  base a'!E42*12</f>
        <v>6.2314153846153841</v>
      </c>
      <c r="F42" s="132">
        <f t="shared" si="0"/>
        <v>4.9851323076923073</v>
      </c>
      <c r="G42" s="133">
        <f t="shared" si="1"/>
        <v>1.2462830769230766</v>
      </c>
      <c r="H42" s="134">
        <f t="shared" si="12"/>
        <v>1.6347461538461538</v>
      </c>
      <c r="I42" s="135"/>
      <c r="J42" s="136">
        <f t="shared" si="13"/>
        <v>0</v>
      </c>
      <c r="K42" s="137"/>
      <c r="L42" s="138">
        <f t="shared" si="14"/>
        <v>0</v>
      </c>
      <c r="M42" s="137"/>
      <c r="N42" s="139">
        <f t="shared" si="15"/>
        <v>3.3503861538461535</v>
      </c>
      <c r="O42" s="137"/>
      <c r="P42" s="140">
        <f t="shared" si="16"/>
        <v>1.2462830769230766</v>
      </c>
      <c r="Q42" s="135"/>
      <c r="R42" s="104">
        <f t="shared" si="17"/>
        <v>1.6347461538461538</v>
      </c>
      <c r="S42" s="137"/>
      <c r="T42" s="141">
        <f t="shared" si="18"/>
        <v>4.5966692307692298</v>
      </c>
      <c r="U42" s="199">
        <f t="shared" si="19"/>
        <v>0</v>
      </c>
      <c r="V42" s="37" t="str">
        <f t="shared" si="20"/>
        <v>ok</v>
      </c>
      <c r="W42" s="37" t="str">
        <f t="shared" si="21"/>
        <v>ok</v>
      </c>
    </row>
    <row r="43" spans="1:23" x14ac:dyDescent="0.25">
      <c r="A43" s="426"/>
      <c r="B43" s="178" t="s">
        <v>22</v>
      </c>
      <c r="C43" s="129">
        <v>22</v>
      </c>
      <c r="D43" s="130">
        <f>'2.4.5.3 Emplois ETP  base a'!D43*12</f>
        <v>6.5607812307692299</v>
      </c>
      <c r="E43" s="131">
        <f>'2.4.5.3 Emplois ETP  base a'!E43*12</f>
        <v>7.0103423076923068</v>
      </c>
      <c r="F43" s="132">
        <f t="shared" si="0"/>
        <v>5.6082738461538462</v>
      </c>
      <c r="G43" s="133">
        <f t="shared" si="1"/>
        <v>1.4020684615384611</v>
      </c>
      <c r="H43" s="134">
        <f t="shared" si="12"/>
        <v>6.5607812307692299</v>
      </c>
      <c r="I43" s="135"/>
      <c r="J43" s="136">
        <f t="shared" si="13"/>
        <v>0</v>
      </c>
      <c r="K43" s="137"/>
      <c r="L43" s="138">
        <f t="shared" si="14"/>
        <v>0.95250738461538376</v>
      </c>
      <c r="M43" s="137"/>
      <c r="N43" s="139">
        <f t="shared" si="15"/>
        <v>0</v>
      </c>
      <c r="O43" s="137"/>
      <c r="P43" s="140">
        <f t="shared" si="16"/>
        <v>0.4495610769230769</v>
      </c>
      <c r="Q43" s="135"/>
      <c r="R43" s="104">
        <f t="shared" si="17"/>
        <v>5.6082738461538462</v>
      </c>
      <c r="S43" s="137"/>
      <c r="T43" s="141">
        <f t="shared" si="18"/>
        <v>1.4020684615384607</v>
      </c>
      <c r="U43" s="199">
        <f t="shared" si="19"/>
        <v>0.95250738461538376</v>
      </c>
      <c r="V43" s="37" t="str">
        <f t="shared" si="20"/>
        <v>ok</v>
      </c>
      <c r="W43" s="37" t="str">
        <f t="shared" si="21"/>
        <v>ok</v>
      </c>
    </row>
    <row r="44" spans="1:23" x14ac:dyDescent="0.25">
      <c r="A44" s="426"/>
      <c r="B44" s="178" t="s">
        <v>23</v>
      </c>
      <c r="C44" s="129">
        <v>23</v>
      </c>
      <c r="D44" s="130">
        <f>'2.4.5.3 Emplois ETP  base a'!D44*12</f>
        <v>5.3401707692307685</v>
      </c>
      <c r="E44" s="131">
        <f>'2.4.5.3 Emplois ETP  base a'!E44*12</f>
        <v>4.4412996923076911</v>
      </c>
      <c r="F44" s="132">
        <f t="shared" si="0"/>
        <v>3.5530397538461531</v>
      </c>
      <c r="G44" s="133">
        <f t="shared" si="1"/>
        <v>0.88825993846153806</v>
      </c>
      <c r="H44" s="134">
        <f t="shared" si="12"/>
        <v>4.4412996923076911</v>
      </c>
      <c r="I44" s="135"/>
      <c r="J44" s="136">
        <f t="shared" si="13"/>
        <v>0.89887107692307744</v>
      </c>
      <c r="K44" s="137"/>
      <c r="L44" s="138">
        <f t="shared" si="14"/>
        <v>0.88825993846153806</v>
      </c>
      <c r="M44" s="137"/>
      <c r="N44" s="139">
        <f t="shared" si="15"/>
        <v>0</v>
      </c>
      <c r="O44" s="137"/>
      <c r="P44" s="140">
        <f t="shared" si="16"/>
        <v>0</v>
      </c>
      <c r="Q44" s="135"/>
      <c r="R44" s="104">
        <f t="shared" si="17"/>
        <v>3.5530397538461531</v>
      </c>
      <c r="S44" s="137"/>
      <c r="T44" s="141">
        <f t="shared" si="18"/>
        <v>0.88825993846153806</v>
      </c>
      <c r="U44" s="199">
        <f t="shared" si="19"/>
        <v>1.7871310153846154</v>
      </c>
      <c r="V44" s="37" t="str">
        <f t="shared" si="20"/>
        <v>ok</v>
      </c>
      <c r="W44" s="37" t="str">
        <f t="shared" si="21"/>
        <v>ok</v>
      </c>
    </row>
    <row r="45" spans="1:23" x14ac:dyDescent="0.25">
      <c r="A45" s="426"/>
      <c r="B45" s="178" t="s">
        <v>19</v>
      </c>
      <c r="C45" s="129">
        <v>26</v>
      </c>
      <c r="D45" s="130">
        <f>'2.4.5.3 Emplois ETP  base a'!D45*12</f>
        <v>3.0769555384615392</v>
      </c>
      <c r="E45" s="131">
        <f>'2.4.5.3 Emplois ETP  base a'!E45*12</f>
        <v>2.104518923076923</v>
      </c>
      <c r="F45" s="132">
        <f t="shared" si="0"/>
        <v>1.6836151384615385</v>
      </c>
      <c r="G45" s="133">
        <f t="shared" si="1"/>
        <v>0.42090378461538452</v>
      </c>
      <c r="H45" s="134">
        <f t="shared" si="12"/>
        <v>2.104518923076923</v>
      </c>
      <c r="I45" s="135"/>
      <c r="J45" s="136">
        <f t="shared" si="13"/>
        <v>0.97243661538461623</v>
      </c>
      <c r="K45" s="137"/>
      <c r="L45" s="138">
        <f t="shared" si="14"/>
        <v>0.42090378461538452</v>
      </c>
      <c r="M45" s="137"/>
      <c r="N45" s="139">
        <f t="shared" si="15"/>
        <v>0</v>
      </c>
      <c r="O45" s="137"/>
      <c r="P45" s="140">
        <f t="shared" si="16"/>
        <v>0</v>
      </c>
      <c r="Q45" s="135"/>
      <c r="R45" s="104">
        <f t="shared" si="17"/>
        <v>1.6836151384615385</v>
      </c>
      <c r="S45" s="137"/>
      <c r="T45" s="141">
        <f t="shared" si="18"/>
        <v>0.42090378461538452</v>
      </c>
      <c r="U45" s="199">
        <f t="shared" si="19"/>
        <v>1.3933404000000007</v>
      </c>
      <c r="V45" s="37" t="str">
        <f t="shared" si="20"/>
        <v>ok</v>
      </c>
      <c r="W45" s="37" t="str">
        <f t="shared" si="21"/>
        <v>ok</v>
      </c>
    </row>
    <row r="46" spans="1:23" x14ac:dyDescent="0.25">
      <c r="A46" s="426"/>
      <c r="B46" s="178" t="s">
        <v>20</v>
      </c>
      <c r="C46" s="129">
        <v>27</v>
      </c>
      <c r="D46" s="130">
        <f>'2.4.5.3 Emplois ETP  base a'!D46*12</f>
        <v>2.519325461538461</v>
      </c>
      <c r="E46" s="131">
        <f>'2.4.5.3 Emplois ETP  base a'!E46*12</f>
        <v>2.8041369230769231</v>
      </c>
      <c r="F46" s="132">
        <f t="shared" si="0"/>
        <v>2.2433095384615385</v>
      </c>
      <c r="G46" s="133">
        <f t="shared" si="1"/>
        <v>0.56082738461538451</v>
      </c>
      <c r="H46" s="134">
        <f t="shared" si="12"/>
        <v>2.519325461538461</v>
      </c>
      <c r="I46" s="135"/>
      <c r="J46" s="136">
        <f t="shared" si="13"/>
        <v>0</v>
      </c>
      <c r="K46" s="137"/>
      <c r="L46" s="138">
        <f t="shared" si="14"/>
        <v>0.27601592307692258</v>
      </c>
      <c r="M46" s="137"/>
      <c r="N46" s="139">
        <f t="shared" si="15"/>
        <v>0</v>
      </c>
      <c r="O46" s="137"/>
      <c r="P46" s="140">
        <f t="shared" si="16"/>
        <v>0.28481146153846204</v>
      </c>
      <c r="Q46" s="135"/>
      <c r="R46" s="104">
        <f t="shared" si="17"/>
        <v>2.2433095384615385</v>
      </c>
      <c r="S46" s="137"/>
      <c r="T46" s="141">
        <f t="shared" si="18"/>
        <v>0.56082738461538462</v>
      </c>
      <c r="U46" s="199">
        <f t="shared" si="19"/>
        <v>0.27601592307692258</v>
      </c>
      <c r="V46" s="37" t="str">
        <f t="shared" si="20"/>
        <v>ok</v>
      </c>
      <c r="W46" s="37" t="str">
        <f t="shared" si="21"/>
        <v>ok</v>
      </c>
    </row>
    <row r="47" spans="1:23" ht="15.75" thickBot="1" x14ac:dyDescent="0.3">
      <c r="A47" s="427"/>
      <c r="B47" s="277" t="s">
        <v>21</v>
      </c>
      <c r="C47" s="165">
        <v>28</v>
      </c>
      <c r="D47" s="202">
        <f>'2.4.5.3 Emplois ETP  base a'!D47*12</f>
        <v>4.7316819230769234</v>
      </c>
      <c r="E47" s="203">
        <f>'2.4.5.3 Emplois ETP  base a'!E47*12</f>
        <v>4.4412996923076911</v>
      </c>
      <c r="F47" s="204">
        <f t="shared" si="0"/>
        <v>3.5530397538461531</v>
      </c>
      <c r="G47" s="205">
        <f t="shared" si="1"/>
        <v>0.88825993846153806</v>
      </c>
      <c r="H47" s="206">
        <f t="shared" si="12"/>
        <v>4.4412996923076911</v>
      </c>
      <c r="I47" s="207"/>
      <c r="J47" s="208">
        <f t="shared" si="13"/>
        <v>0.29038223076923231</v>
      </c>
      <c r="K47" s="209"/>
      <c r="L47" s="210">
        <f t="shared" si="14"/>
        <v>0.88825993846153806</v>
      </c>
      <c r="M47" s="209"/>
      <c r="N47" s="211">
        <f t="shared" si="15"/>
        <v>0</v>
      </c>
      <c r="O47" s="209"/>
      <c r="P47" s="212">
        <f t="shared" si="16"/>
        <v>0</v>
      </c>
      <c r="Q47" s="207"/>
      <c r="R47" s="213">
        <f t="shared" si="17"/>
        <v>3.5530397538461531</v>
      </c>
      <c r="S47" s="209"/>
      <c r="T47" s="214">
        <f t="shared" si="18"/>
        <v>0.88825993846153806</v>
      </c>
      <c r="U47" s="215">
        <f t="shared" si="19"/>
        <v>1.1786421692307703</v>
      </c>
      <c r="V47" s="37" t="str">
        <f t="shared" si="20"/>
        <v>ok</v>
      </c>
      <c r="W47" s="37" t="str">
        <f t="shared" si="21"/>
        <v>ok</v>
      </c>
    </row>
    <row r="48" spans="1:23" x14ac:dyDescent="0.25">
      <c r="A48" s="425" t="s">
        <v>91</v>
      </c>
      <c r="B48" s="276" t="s">
        <v>22</v>
      </c>
      <c r="C48" s="247">
        <v>1</v>
      </c>
      <c r="D48" s="184">
        <f>'2.4.5.3 Emplois ETP  base a'!D48*12</f>
        <v>3.8862666923076929</v>
      </c>
      <c r="E48" s="185">
        <f>'2.4.5.3 Emplois ETP  base a'!E48*12</f>
        <v>6.5178000000000003</v>
      </c>
      <c r="F48" s="186">
        <f t="shared" si="0"/>
        <v>5.2142400000000002</v>
      </c>
      <c r="G48" s="187">
        <f t="shared" si="1"/>
        <v>1.3035599999999998</v>
      </c>
      <c r="H48" s="188">
        <f>IF(E48&gt;D48,D48,E48)</f>
        <v>3.8862666923076929</v>
      </c>
      <c r="I48" s="189"/>
      <c r="J48" s="190">
        <f>IF(E48&gt;D48,0,D48-E48)</f>
        <v>0</v>
      </c>
      <c r="K48" s="191"/>
      <c r="L48" s="192">
        <f>IF(E48&gt;D48,IF(F48&gt;H48,0,H48-F48),G48)</f>
        <v>0</v>
      </c>
      <c r="M48" s="191"/>
      <c r="N48" s="193">
        <f>IF(E48&gt;D48,IF(F48&gt;H48,F48-H48,0),0)</f>
        <v>1.3279733076923073</v>
      </c>
      <c r="O48" s="191"/>
      <c r="P48" s="194">
        <f>IF(E48&gt;D48,IF(F48&gt;H48,G48,E48-H48),0)</f>
        <v>1.3035599999999998</v>
      </c>
      <c r="Q48" s="189"/>
      <c r="R48" s="195">
        <f>H48-L48</f>
        <v>3.8862666923076929</v>
      </c>
      <c r="S48" s="191"/>
      <c r="T48" s="196">
        <f>L48+N48+P48</f>
        <v>2.6315333076923073</v>
      </c>
      <c r="U48" s="197">
        <f>J48+L48</f>
        <v>0</v>
      </c>
      <c r="V48" s="37" t="str">
        <f>IF(R48+T48=E48,"ok","bad")</f>
        <v>ok</v>
      </c>
      <c r="W48" s="37" t="str">
        <f>IF(U48+R48=D48,"ok","bad")</f>
        <v>ok</v>
      </c>
    </row>
    <row r="49" spans="1:23" x14ac:dyDescent="0.25">
      <c r="A49" s="426"/>
      <c r="B49" s="178" t="s">
        <v>23</v>
      </c>
      <c r="C49" s="129">
        <v>2</v>
      </c>
      <c r="D49" s="130">
        <f>'2.4.5.3 Emplois ETP  base a'!D49*12</f>
        <v>3.0515026153846159</v>
      </c>
      <c r="E49" s="131">
        <f>'2.4.5.3 Emplois ETP  base a'!E49*12</f>
        <v>4.7797200000000002</v>
      </c>
      <c r="F49" s="132">
        <f t="shared" si="0"/>
        <v>3.8237760000000005</v>
      </c>
      <c r="G49" s="133">
        <f t="shared" si="1"/>
        <v>0.95594399999999979</v>
      </c>
      <c r="H49" s="134">
        <f t="shared" ref="H49:H69" si="22">IF(E49&gt;D49,D49,E49)</f>
        <v>3.0515026153846159</v>
      </c>
      <c r="I49" s="135"/>
      <c r="J49" s="136">
        <f t="shared" ref="J49:J69" si="23">IF(E49&gt;D49,0,D49-E49)</f>
        <v>0</v>
      </c>
      <c r="K49" s="137"/>
      <c r="L49" s="138">
        <f t="shared" ref="L49:L69" si="24">IF(E49&gt;D49,IF(F49&gt;H49,0,H49-F49),G49)</f>
        <v>0</v>
      </c>
      <c r="M49" s="137"/>
      <c r="N49" s="139">
        <f t="shared" ref="N49:N69" si="25">IF(E49&gt;D49,IF(F49&gt;H49,F49-H49,0),0)</f>
        <v>0.77227338461538464</v>
      </c>
      <c r="O49" s="137"/>
      <c r="P49" s="140">
        <f t="shared" ref="P49:P69" si="26">IF(E49&gt;D49,IF(F49&gt;H49,G49,E49-H49),0)</f>
        <v>0.95594399999999979</v>
      </c>
      <c r="Q49" s="135"/>
      <c r="R49" s="104">
        <f t="shared" ref="R49:R69" si="27">H49-L49</f>
        <v>3.0515026153846159</v>
      </c>
      <c r="S49" s="137"/>
      <c r="T49" s="141">
        <f t="shared" ref="T49:T69" si="28">L49+N49+P49</f>
        <v>1.7282173846153843</v>
      </c>
      <c r="U49" s="199">
        <f t="shared" ref="U49:U69" si="29">J49+L49</f>
        <v>0</v>
      </c>
      <c r="V49" s="37" t="str">
        <f t="shared" ref="V49:V69" si="30">IF(R49+T49=E49,"ok","bad")</f>
        <v>ok</v>
      </c>
      <c r="W49" s="37" t="str">
        <f t="shared" ref="W49:W69" si="31">IF(U49+R49=D49,"ok","bad")</f>
        <v>ok</v>
      </c>
    </row>
    <row r="50" spans="1:23" x14ac:dyDescent="0.25">
      <c r="A50" s="426"/>
      <c r="B50" s="178" t="s">
        <v>19</v>
      </c>
      <c r="C50" s="129">
        <v>5</v>
      </c>
      <c r="D50" s="130">
        <f>'2.4.5.3 Emplois ETP  base a'!D50*12</f>
        <v>1.3347641538461539</v>
      </c>
      <c r="E50" s="131">
        <f>'2.4.5.3 Emplois ETP  base a'!E50*12</f>
        <v>1.9553399999999996</v>
      </c>
      <c r="F50" s="132">
        <f t="shared" si="0"/>
        <v>1.5642719999999999</v>
      </c>
      <c r="G50" s="133">
        <f t="shared" si="1"/>
        <v>0.39106799999999986</v>
      </c>
      <c r="H50" s="134">
        <f t="shared" si="22"/>
        <v>1.3347641538461539</v>
      </c>
      <c r="I50" s="135"/>
      <c r="J50" s="136">
        <f t="shared" si="23"/>
        <v>0</v>
      </c>
      <c r="K50" s="137"/>
      <c r="L50" s="138">
        <f t="shared" si="24"/>
        <v>0</v>
      </c>
      <c r="M50" s="137"/>
      <c r="N50" s="139">
        <f t="shared" si="25"/>
        <v>0.22950784615384601</v>
      </c>
      <c r="O50" s="137"/>
      <c r="P50" s="140">
        <f t="shared" si="26"/>
        <v>0.39106799999999986</v>
      </c>
      <c r="Q50" s="135"/>
      <c r="R50" s="104">
        <f t="shared" si="27"/>
        <v>1.3347641538461539</v>
      </c>
      <c r="S50" s="137"/>
      <c r="T50" s="141">
        <f t="shared" si="28"/>
        <v>0.62057584615384587</v>
      </c>
      <c r="U50" s="199">
        <f t="shared" si="29"/>
        <v>0</v>
      </c>
      <c r="V50" s="37" t="str">
        <f t="shared" si="30"/>
        <v>ok</v>
      </c>
      <c r="W50" s="37" t="str">
        <f t="shared" si="31"/>
        <v>ok</v>
      </c>
    </row>
    <row r="51" spans="1:23" x14ac:dyDescent="0.25">
      <c r="A51" s="426"/>
      <c r="B51" s="178" t="s">
        <v>20</v>
      </c>
      <c r="C51" s="129">
        <v>6</v>
      </c>
      <c r="D51" s="130">
        <f>'2.4.5.3 Emplois ETP  base a'!D51*12</f>
        <v>0.93133061538461526</v>
      </c>
      <c r="E51" s="131">
        <f>'2.4.5.3 Emplois ETP  base a'!E51*12</f>
        <v>2.9330099999999999</v>
      </c>
      <c r="F51" s="132">
        <f t="shared" si="0"/>
        <v>2.3464079999999998</v>
      </c>
      <c r="G51" s="133">
        <f t="shared" si="1"/>
        <v>0.58660199999999985</v>
      </c>
      <c r="H51" s="134">
        <f t="shared" si="22"/>
        <v>0.93133061538461526</v>
      </c>
      <c r="I51" s="135"/>
      <c r="J51" s="136">
        <f t="shared" si="23"/>
        <v>0</v>
      </c>
      <c r="K51" s="137"/>
      <c r="L51" s="138">
        <f t="shared" si="24"/>
        <v>0</v>
      </c>
      <c r="M51" s="137"/>
      <c r="N51" s="139">
        <f t="shared" si="25"/>
        <v>1.4150773846153846</v>
      </c>
      <c r="O51" s="137"/>
      <c r="P51" s="140">
        <f t="shared" si="26"/>
        <v>0.58660199999999985</v>
      </c>
      <c r="Q51" s="135"/>
      <c r="R51" s="104">
        <f t="shared" si="27"/>
        <v>0.93133061538461526</v>
      </c>
      <c r="S51" s="137"/>
      <c r="T51" s="141">
        <f t="shared" si="28"/>
        <v>2.0016793846153842</v>
      </c>
      <c r="U51" s="199">
        <f t="shared" si="29"/>
        <v>0</v>
      </c>
      <c r="V51" s="37" t="str">
        <f t="shared" si="30"/>
        <v>ok</v>
      </c>
      <c r="W51" s="37" t="str">
        <f t="shared" si="31"/>
        <v>ok</v>
      </c>
    </row>
    <row r="52" spans="1:23" x14ac:dyDescent="0.25">
      <c r="A52" s="426"/>
      <c r="B52" s="178" t="s">
        <v>21</v>
      </c>
      <c r="C52" s="129">
        <v>7</v>
      </c>
      <c r="D52" s="130">
        <f>'2.4.5.3 Emplois ETP  base a'!D52*12</f>
        <v>1.9313307692307691</v>
      </c>
      <c r="E52" s="131">
        <f>'2.4.5.3 Emplois ETP  base a'!E52*12</f>
        <v>4.7797200000000002</v>
      </c>
      <c r="F52" s="132">
        <f t="shared" si="0"/>
        <v>3.8237760000000005</v>
      </c>
      <c r="G52" s="133">
        <f t="shared" si="1"/>
        <v>0.95594399999999979</v>
      </c>
      <c r="H52" s="134">
        <f t="shared" si="22"/>
        <v>1.9313307692307691</v>
      </c>
      <c r="I52" s="135"/>
      <c r="J52" s="136">
        <f t="shared" si="23"/>
        <v>0</v>
      </c>
      <c r="K52" s="137"/>
      <c r="L52" s="138">
        <f t="shared" si="24"/>
        <v>0</v>
      </c>
      <c r="M52" s="137"/>
      <c r="N52" s="139">
        <f t="shared" si="25"/>
        <v>1.8924452307692314</v>
      </c>
      <c r="O52" s="137"/>
      <c r="P52" s="140">
        <f t="shared" si="26"/>
        <v>0.95594399999999979</v>
      </c>
      <c r="Q52" s="135"/>
      <c r="R52" s="104">
        <f t="shared" si="27"/>
        <v>1.9313307692307691</v>
      </c>
      <c r="S52" s="137"/>
      <c r="T52" s="141">
        <f t="shared" si="28"/>
        <v>2.8483892307692313</v>
      </c>
      <c r="U52" s="199">
        <f t="shared" si="29"/>
        <v>0</v>
      </c>
      <c r="V52" s="37" t="str">
        <f t="shared" si="30"/>
        <v>ok</v>
      </c>
      <c r="W52" s="37" t="str">
        <f t="shared" si="31"/>
        <v>ok</v>
      </c>
    </row>
    <row r="53" spans="1:23" x14ac:dyDescent="0.25">
      <c r="A53" s="426"/>
      <c r="B53" s="178" t="s">
        <v>22</v>
      </c>
      <c r="C53" s="129">
        <v>8</v>
      </c>
      <c r="D53" s="130">
        <f>'2.4.5.3 Emplois ETP  base a'!D53*12</f>
        <v>6.2017176923076933</v>
      </c>
      <c r="E53" s="131">
        <f>'2.4.5.3 Emplois ETP  base a'!E53*12</f>
        <v>3.3424615384615382</v>
      </c>
      <c r="F53" s="132">
        <f t="shared" si="0"/>
        <v>2.6739692307692309</v>
      </c>
      <c r="G53" s="133">
        <f t="shared" si="1"/>
        <v>0.6684923076923075</v>
      </c>
      <c r="H53" s="134">
        <f t="shared" si="22"/>
        <v>3.3424615384615382</v>
      </c>
      <c r="I53" s="135"/>
      <c r="J53" s="136">
        <f t="shared" si="23"/>
        <v>2.8592561538461552</v>
      </c>
      <c r="K53" s="137"/>
      <c r="L53" s="138">
        <f t="shared" si="24"/>
        <v>0.6684923076923075</v>
      </c>
      <c r="M53" s="137"/>
      <c r="N53" s="139">
        <f t="shared" si="25"/>
        <v>0</v>
      </c>
      <c r="O53" s="137"/>
      <c r="P53" s="140">
        <f t="shared" si="26"/>
        <v>0</v>
      </c>
      <c r="Q53" s="135"/>
      <c r="R53" s="104">
        <f t="shared" si="27"/>
        <v>2.6739692307692309</v>
      </c>
      <c r="S53" s="137"/>
      <c r="T53" s="141">
        <f t="shared" si="28"/>
        <v>0.6684923076923075</v>
      </c>
      <c r="U53" s="199">
        <f t="shared" si="29"/>
        <v>3.5277484615384624</v>
      </c>
      <c r="V53" s="37" t="str">
        <f t="shared" si="30"/>
        <v>ok</v>
      </c>
      <c r="W53" s="37" t="str">
        <f t="shared" si="31"/>
        <v>ok</v>
      </c>
    </row>
    <row r="54" spans="1:23" x14ac:dyDescent="0.25">
      <c r="A54" s="426"/>
      <c r="B54" s="178" t="s">
        <v>23</v>
      </c>
      <c r="C54" s="129">
        <v>9</v>
      </c>
      <c r="D54" s="130">
        <f>'2.4.5.3 Emplois ETP  base a'!D54*12</f>
        <v>5.030043692307693</v>
      </c>
      <c r="E54" s="131">
        <f>'2.4.5.3 Emplois ETP  base a'!E54*12</f>
        <v>3.4260230769230766</v>
      </c>
      <c r="F54" s="132">
        <f t="shared" si="0"/>
        <v>2.7408184615384616</v>
      </c>
      <c r="G54" s="133">
        <f t="shared" si="1"/>
        <v>0.68520461538461519</v>
      </c>
      <c r="H54" s="134">
        <f t="shared" si="22"/>
        <v>3.4260230769230766</v>
      </c>
      <c r="I54" s="135"/>
      <c r="J54" s="136">
        <f t="shared" si="23"/>
        <v>1.6040206153846164</v>
      </c>
      <c r="K54" s="137"/>
      <c r="L54" s="138">
        <f t="shared" si="24"/>
        <v>0.68520461538461519</v>
      </c>
      <c r="M54" s="137"/>
      <c r="N54" s="139">
        <f t="shared" si="25"/>
        <v>0</v>
      </c>
      <c r="O54" s="137"/>
      <c r="P54" s="140">
        <f t="shared" si="26"/>
        <v>0</v>
      </c>
      <c r="Q54" s="135"/>
      <c r="R54" s="104">
        <f t="shared" si="27"/>
        <v>2.7408184615384616</v>
      </c>
      <c r="S54" s="137"/>
      <c r="T54" s="141">
        <f t="shared" si="28"/>
        <v>0.68520461538461519</v>
      </c>
      <c r="U54" s="199">
        <f t="shared" si="29"/>
        <v>2.2892252307692313</v>
      </c>
      <c r="V54" s="37" t="str">
        <f t="shared" si="30"/>
        <v>ok</v>
      </c>
      <c r="W54" s="37" t="str">
        <f t="shared" si="31"/>
        <v>ok</v>
      </c>
    </row>
    <row r="55" spans="1:23" x14ac:dyDescent="0.25">
      <c r="A55" s="426"/>
      <c r="B55" s="178" t="s">
        <v>19</v>
      </c>
      <c r="C55" s="129">
        <v>12</v>
      </c>
      <c r="D55" s="130">
        <f>'2.4.5.3 Emplois ETP  base a'!D55*12</f>
        <v>2.9077257692307694</v>
      </c>
      <c r="E55" s="131">
        <f>'2.4.5.3 Emplois ETP  base a'!E55*12</f>
        <v>1.8383538461538462</v>
      </c>
      <c r="F55" s="132">
        <f t="shared" si="0"/>
        <v>1.470683076923077</v>
      </c>
      <c r="G55" s="133">
        <f t="shared" si="1"/>
        <v>0.36767076923076919</v>
      </c>
      <c r="H55" s="134">
        <f t="shared" si="22"/>
        <v>1.8383538461538462</v>
      </c>
      <c r="I55" s="135"/>
      <c r="J55" s="136">
        <f t="shared" si="23"/>
        <v>1.0693719230769232</v>
      </c>
      <c r="K55" s="137"/>
      <c r="L55" s="138">
        <f t="shared" si="24"/>
        <v>0.36767076923076919</v>
      </c>
      <c r="M55" s="137"/>
      <c r="N55" s="139">
        <f t="shared" si="25"/>
        <v>0</v>
      </c>
      <c r="O55" s="137"/>
      <c r="P55" s="140">
        <f t="shared" si="26"/>
        <v>0</v>
      </c>
      <c r="Q55" s="135"/>
      <c r="R55" s="104">
        <f t="shared" si="27"/>
        <v>1.470683076923077</v>
      </c>
      <c r="S55" s="137"/>
      <c r="T55" s="141">
        <f t="shared" si="28"/>
        <v>0.36767076923076919</v>
      </c>
      <c r="U55" s="199">
        <f t="shared" si="29"/>
        <v>1.4370426923076924</v>
      </c>
      <c r="V55" s="37" t="str">
        <f t="shared" si="30"/>
        <v>ok</v>
      </c>
      <c r="W55" s="37" t="str">
        <f t="shared" si="31"/>
        <v>ok</v>
      </c>
    </row>
    <row r="56" spans="1:23" x14ac:dyDescent="0.25">
      <c r="A56" s="426"/>
      <c r="B56" s="178" t="s">
        <v>20</v>
      </c>
      <c r="C56" s="129">
        <v>13</v>
      </c>
      <c r="D56" s="130">
        <f>'2.4.5.3 Emplois ETP  base a'!D56*12</f>
        <v>2.3476398461538466</v>
      </c>
      <c r="E56" s="131">
        <f>'2.4.5.3 Emplois ETP  base a'!E56*12</f>
        <v>2.339723076923077</v>
      </c>
      <c r="F56" s="132">
        <f t="shared" si="0"/>
        <v>1.8717784615384616</v>
      </c>
      <c r="G56" s="133">
        <f t="shared" si="1"/>
        <v>0.46794461538461529</v>
      </c>
      <c r="H56" s="134">
        <f t="shared" si="22"/>
        <v>2.339723076923077</v>
      </c>
      <c r="I56" s="135"/>
      <c r="J56" s="136">
        <f t="shared" si="23"/>
        <v>7.9167692307695603E-3</v>
      </c>
      <c r="K56" s="137"/>
      <c r="L56" s="138">
        <f t="shared" si="24"/>
        <v>0.46794461538461529</v>
      </c>
      <c r="M56" s="137"/>
      <c r="N56" s="139">
        <f t="shared" si="25"/>
        <v>0</v>
      </c>
      <c r="O56" s="137"/>
      <c r="P56" s="140">
        <f t="shared" si="26"/>
        <v>0</v>
      </c>
      <c r="Q56" s="135"/>
      <c r="R56" s="104">
        <f t="shared" si="27"/>
        <v>1.8717784615384616</v>
      </c>
      <c r="S56" s="137"/>
      <c r="T56" s="141">
        <f t="shared" si="28"/>
        <v>0.46794461538461529</v>
      </c>
      <c r="U56" s="199">
        <f t="shared" si="29"/>
        <v>0.47586138461538485</v>
      </c>
      <c r="V56" s="37" t="str">
        <f t="shared" si="30"/>
        <v>ok</v>
      </c>
      <c r="W56" s="37" t="str">
        <f t="shared" si="31"/>
        <v>ok</v>
      </c>
    </row>
    <row r="57" spans="1:23" x14ac:dyDescent="0.25">
      <c r="A57" s="426"/>
      <c r="B57" s="178" t="s">
        <v>21</v>
      </c>
      <c r="C57" s="129">
        <v>14</v>
      </c>
      <c r="D57" s="130">
        <f>'2.4.5.3 Emplois ETP  base a'!D57*12</f>
        <v>4.4721036923076918</v>
      </c>
      <c r="E57" s="131">
        <f>'2.4.5.3 Emplois ETP  base a'!E57*12</f>
        <v>3.1753384615384617</v>
      </c>
      <c r="F57" s="132">
        <f t="shared" si="0"/>
        <v>2.5402707692307693</v>
      </c>
      <c r="G57" s="133">
        <f t="shared" si="1"/>
        <v>0.63506769230769222</v>
      </c>
      <c r="H57" s="134">
        <f t="shared" si="22"/>
        <v>3.1753384615384617</v>
      </c>
      <c r="I57" s="135"/>
      <c r="J57" s="136">
        <f t="shared" si="23"/>
        <v>1.2967652307692301</v>
      </c>
      <c r="K57" s="137"/>
      <c r="L57" s="138">
        <f t="shared" si="24"/>
        <v>0.63506769230769222</v>
      </c>
      <c r="M57" s="137"/>
      <c r="N57" s="139">
        <f t="shared" si="25"/>
        <v>0</v>
      </c>
      <c r="O57" s="137"/>
      <c r="P57" s="140">
        <f t="shared" si="26"/>
        <v>0</v>
      </c>
      <c r="Q57" s="135"/>
      <c r="R57" s="104">
        <f t="shared" si="27"/>
        <v>2.5402707692307693</v>
      </c>
      <c r="S57" s="137"/>
      <c r="T57" s="141">
        <f t="shared" si="28"/>
        <v>0.63506769230769222</v>
      </c>
      <c r="U57" s="199">
        <f t="shared" si="29"/>
        <v>1.9318329230769224</v>
      </c>
      <c r="V57" s="37" t="str">
        <f t="shared" si="30"/>
        <v>ok</v>
      </c>
      <c r="W57" s="37" t="str">
        <f t="shared" si="31"/>
        <v>ok</v>
      </c>
    </row>
    <row r="58" spans="1:23" x14ac:dyDescent="0.25">
      <c r="A58" s="426"/>
      <c r="B58" s="178" t="s">
        <v>22</v>
      </c>
      <c r="C58" s="129">
        <v>15</v>
      </c>
      <c r="D58" s="130">
        <f>'2.4.5.3 Emplois ETP  base a'!D58*12</f>
        <v>3.8862666923076929</v>
      </c>
      <c r="E58" s="131">
        <f>'2.4.5.3 Emplois ETP  base a'!E58*12</f>
        <v>5.013692307692307</v>
      </c>
      <c r="F58" s="132">
        <f t="shared" si="0"/>
        <v>4.0109538461538454</v>
      </c>
      <c r="G58" s="133">
        <f t="shared" si="1"/>
        <v>1.0027384615384611</v>
      </c>
      <c r="H58" s="134">
        <f t="shared" si="22"/>
        <v>3.8862666923076929</v>
      </c>
      <c r="I58" s="135"/>
      <c r="J58" s="136">
        <f t="shared" si="23"/>
        <v>0</v>
      </c>
      <c r="K58" s="137"/>
      <c r="L58" s="138">
        <f t="shared" si="24"/>
        <v>0</v>
      </c>
      <c r="M58" s="137"/>
      <c r="N58" s="139">
        <f t="shared" si="25"/>
        <v>0.12468715384615248</v>
      </c>
      <c r="O58" s="137"/>
      <c r="P58" s="140">
        <f t="shared" si="26"/>
        <v>1.0027384615384611</v>
      </c>
      <c r="Q58" s="135"/>
      <c r="R58" s="104">
        <f t="shared" si="27"/>
        <v>3.8862666923076929</v>
      </c>
      <c r="S58" s="137"/>
      <c r="T58" s="141">
        <f t="shared" si="28"/>
        <v>1.1274256153846136</v>
      </c>
      <c r="U58" s="199">
        <f t="shared" si="29"/>
        <v>0</v>
      </c>
      <c r="V58" s="37" t="str">
        <f t="shared" si="30"/>
        <v>ok</v>
      </c>
      <c r="W58" s="37" t="str">
        <f t="shared" si="31"/>
        <v>ok</v>
      </c>
    </row>
    <row r="59" spans="1:23" x14ac:dyDescent="0.25">
      <c r="A59" s="426"/>
      <c r="B59" s="178" t="s">
        <v>23</v>
      </c>
      <c r="C59" s="129">
        <v>16</v>
      </c>
      <c r="D59" s="130">
        <f>'2.4.5.3 Emplois ETP  base a'!D59*12</f>
        <v>3.0515026153846159</v>
      </c>
      <c r="E59" s="131">
        <f>'2.4.5.3 Emplois ETP  base a'!E59*12</f>
        <v>3.8438307692307694</v>
      </c>
      <c r="F59" s="132">
        <f t="shared" si="0"/>
        <v>3.0750646153846155</v>
      </c>
      <c r="G59" s="133">
        <f t="shared" si="1"/>
        <v>0.76876615384615365</v>
      </c>
      <c r="H59" s="134">
        <f t="shared" si="22"/>
        <v>3.0515026153846159</v>
      </c>
      <c r="I59" s="135"/>
      <c r="J59" s="136">
        <f t="shared" si="23"/>
        <v>0</v>
      </c>
      <c r="K59" s="137"/>
      <c r="L59" s="138">
        <f t="shared" si="24"/>
        <v>0</v>
      </c>
      <c r="M59" s="137"/>
      <c r="N59" s="139">
        <f t="shared" si="25"/>
        <v>2.3561999999999639E-2</v>
      </c>
      <c r="O59" s="137"/>
      <c r="P59" s="140">
        <f t="shared" si="26"/>
        <v>0.76876615384615365</v>
      </c>
      <c r="Q59" s="135"/>
      <c r="R59" s="104">
        <f t="shared" si="27"/>
        <v>3.0515026153846159</v>
      </c>
      <c r="S59" s="137"/>
      <c r="T59" s="141">
        <f t="shared" si="28"/>
        <v>0.79232815384615329</v>
      </c>
      <c r="U59" s="199">
        <f t="shared" si="29"/>
        <v>0</v>
      </c>
      <c r="V59" s="37" t="str">
        <f t="shared" si="30"/>
        <v>ok</v>
      </c>
      <c r="W59" s="37" t="str">
        <f t="shared" si="31"/>
        <v>ok</v>
      </c>
    </row>
    <row r="60" spans="1:23" x14ac:dyDescent="0.25">
      <c r="A60" s="426"/>
      <c r="B60" s="178" t="s">
        <v>19</v>
      </c>
      <c r="C60" s="129">
        <v>19</v>
      </c>
      <c r="D60" s="130">
        <f>'2.4.5.3 Emplois ETP  base a'!D60*12</f>
        <v>1.3347641538461539</v>
      </c>
      <c r="E60" s="131">
        <f>'2.4.5.3 Emplois ETP  base a'!E60*12</f>
        <v>1.8383538461538462</v>
      </c>
      <c r="F60" s="132">
        <f t="shared" si="0"/>
        <v>1.470683076923077</v>
      </c>
      <c r="G60" s="133">
        <f t="shared" si="1"/>
        <v>0.36767076923076919</v>
      </c>
      <c r="H60" s="134">
        <f t="shared" si="22"/>
        <v>1.3347641538461539</v>
      </c>
      <c r="I60" s="135"/>
      <c r="J60" s="136">
        <f t="shared" si="23"/>
        <v>0</v>
      </c>
      <c r="K60" s="137"/>
      <c r="L60" s="138">
        <f t="shared" si="24"/>
        <v>0</v>
      </c>
      <c r="M60" s="137"/>
      <c r="N60" s="139">
        <f t="shared" si="25"/>
        <v>0.1359189230769231</v>
      </c>
      <c r="O60" s="137"/>
      <c r="P60" s="140">
        <f t="shared" si="26"/>
        <v>0.36767076923076919</v>
      </c>
      <c r="Q60" s="135"/>
      <c r="R60" s="104">
        <f t="shared" si="27"/>
        <v>1.3347641538461539</v>
      </c>
      <c r="S60" s="137"/>
      <c r="T60" s="141">
        <f t="shared" si="28"/>
        <v>0.50358969230769235</v>
      </c>
      <c r="U60" s="199">
        <f t="shared" si="29"/>
        <v>0</v>
      </c>
      <c r="V60" s="37" t="str">
        <f t="shared" si="30"/>
        <v>ok</v>
      </c>
      <c r="W60" s="37" t="str">
        <f t="shared" si="31"/>
        <v>ok</v>
      </c>
    </row>
    <row r="61" spans="1:23" x14ac:dyDescent="0.25">
      <c r="A61" s="426"/>
      <c r="B61" s="178" t="s">
        <v>20</v>
      </c>
      <c r="C61" s="129">
        <v>20</v>
      </c>
      <c r="D61" s="130">
        <f>'2.4.5.3 Emplois ETP  base a'!D61*12</f>
        <v>0.93133061538461526</v>
      </c>
      <c r="E61" s="131">
        <f>'2.4.5.3 Emplois ETP  base a'!E61*12</f>
        <v>3.0917769230769236</v>
      </c>
      <c r="F61" s="132">
        <f t="shared" si="0"/>
        <v>2.473421538461539</v>
      </c>
      <c r="G61" s="133">
        <f t="shared" si="1"/>
        <v>0.61835538461538464</v>
      </c>
      <c r="H61" s="134">
        <f t="shared" si="22"/>
        <v>0.93133061538461526</v>
      </c>
      <c r="I61" s="135"/>
      <c r="J61" s="136">
        <f t="shared" si="23"/>
        <v>0</v>
      </c>
      <c r="K61" s="137"/>
      <c r="L61" s="138">
        <f t="shared" si="24"/>
        <v>0</v>
      </c>
      <c r="M61" s="137"/>
      <c r="N61" s="139">
        <f t="shared" si="25"/>
        <v>1.5420909230769237</v>
      </c>
      <c r="O61" s="137"/>
      <c r="P61" s="140">
        <f t="shared" si="26"/>
        <v>0.61835538461538464</v>
      </c>
      <c r="Q61" s="135"/>
      <c r="R61" s="104">
        <f t="shared" si="27"/>
        <v>0.93133061538461526</v>
      </c>
      <c r="S61" s="137"/>
      <c r="T61" s="141">
        <f t="shared" si="28"/>
        <v>2.1604463076923084</v>
      </c>
      <c r="U61" s="199">
        <f t="shared" si="29"/>
        <v>0</v>
      </c>
      <c r="V61" s="37" t="str">
        <f t="shared" si="30"/>
        <v>ok</v>
      </c>
      <c r="W61" s="37" t="str">
        <f t="shared" si="31"/>
        <v>ok</v>
      </c>
    </row>
    <row r="62" spans="1:23" x14ac:dyDescent="0.25">
      <c r="A62" s="426"/>
      <c r="B62" s="178" t="s">
        <v>21</v>
      </c>
      <c r="C62" s="129">
        <v>21</v>
      </c>
      <c r="D62" s="130">
        <f>'2.4.5.3 Emplois ETP  base a'!D62*12</f>
        <v>1.9313307692307691</v>
      </c>
      <c r="E62" s="131">
        <f>'2.4.5.3 Emplois ETP  base a'!E62*12</f>
        <v>3.6767076923076925</v>
      </c>
      <c r="F62" s="132">
        <f t="shared" si="0"/>
        <v>2.941366153846154</v>
      </c>
      <c r="G62" s="133">
        <f t="shared" si="1"/>
        <v>0.73534153846153838</v>
      </c>
      <c r="H62" s="134">
        <f t="shared" si="22"/>
        <v>1.9313307692307691</v>
      </c>
      <c r="I62" s="135"/>
      <c r="J62" s="136">
        <f t="shared" si="23"/>
        <v>0</v>
      </c>
      <c r="K62" s="137"/>
      <c r="L62" s="138">
        <f t="shared" si="24"/>
        <v>0</v>
      </c>
      <c r="M62" s="137"/>
      <c r="N62" s="139">
        <f t="shared" si="25"/>
        <v>1.0100353846153849</v>
      </c>
      <c r="O62" s="137"/>
      <c r="P62" s="140">
        <f t="shared" si="26"/>
        <v>0.73534153846153838</v>
      </c>
      <c r="Q62" s="135"/>
      <c r="R62" s="104">
        <f t="shared" si="27"/>
        <v>1.9313307692307691</v>
      </c>
      <c r="S62" s="137"/>
      <c r="T62" s="141">
        <f t="shared" si="28"/>
        <v>1.7453769230769232</v>
      </c>
      <c r="U62" s="199">
        <f t="shared" si="29"/>
        <v>0</v>
      </c>
      <c r="V62" s="37" t="str">
        <f t="shared" si="30"/>
        <v>ok</v>
      </c>
      <c r="W62" s="37" t="str">
        <f t="shared" si="31"/>
        <v>ok</v>
      </c>
    </row>
    <row r="63" spans="1:23" x14ac:dyDescent="0.25">
      <c r="A63" s="426"/>
      <c r="B63" s="178" t="s">
        <v>22</v>
      </c>
      <c r="C63" s="129">
        <v>22</v>
      </c>
      <c r="D63" s="130">
        <f>'2.4.5.3 Emplois ETP  base a'!D63*12</f>
        <v>7.7510741538461527</v>
      </c>
      <c r="E63" s="131">
        <f>'2.4.5.3 Emplois ETP  base a'!E63*12</f>
        <v>4.1362961538461533</v>
      </c>
      <c r="F63" s="132">
        <f t="shared" si="0"/>
        <v>3.3090369230769228</v>
      </c>
      <c r="G63" s="133">
        <f t="shared" si="1"/>
        <v>0.82725923076923047</v>
      </c>
      <c r="H63" s="134">
        <f t="shared" si="22"/>
        <v>4.1362961538461533</v>
      </c>
      <c r="I63" s="135"/>
      <c r="J63" s="136">
        <f t="shared" si="23"/>
        <v>3.6147779999999994</v>
      </c>
      <c r="K63" s="137"/>
      <c r="L63" s="138">
        <f t="shared" si="24"/>
        <v>0.82725923076923047</v>
      </c>
      <c r="M63" s="137"/>
      <c r="N63" s="139">
        <f t="shared" si="25"/>
        <v>0</v>
      </c>
      <c r="O63" s="137"/>
      <c r="P63" s="140">
        <f t="shared" si="26"/>
        <v>0</v>
      </c>
      <c r="Q63" s="135"/>
      <c r="R63" s="104">
        <f t="shared" si="27"/>
        <v>3.3090369230769228</v>
      </c>
      <c r="S63" s="137"/>
      <c r="T63" s="141">
        <f t="shared" si="28"/>
        <v>0.82725923076923047</v>
      </c>
      <c r="U63" s="199">
        <f t="shared" si="29"/>
        <v>4.4420372307692295</v>
      </c>
      <c r="V63" s="37" t="str">
        <f t="shared" si="30"/>
        <v>ok</v>
      </c>
      <c r="W63" s="37" t="str">
        <f t="shared" si="31"/>
        <v>ok</v>
      </c>
    </row>
    <row r="64" spans="1:23" x14ac:dyDescent="0.25">
      <c r="A64" s="426"/>
      <c r="B64" s="178" t="s">
        <v>23</v>
      </c>
      <c r="C64" s="129">
        <v>23</v>
      </c>
      <c r="D64" s="130">
        <f>'2.4.5.3 Emplois ETP  base a'!D64*12</f>
        <v>6.3090138461538467</v>
      </c>
      <c r="E64" s="131">
        <f>'2.4.5.3 Emplois ETP  base a'!E64*12</f>
        <v>2.6204898461538457</v>
      </c>
      <c r="F64" s="132">
        <f t="shared" si="0"/>
        <v>2.0963918769230765</v>
      </c>
      <c r="G64" s="133">
        <f t="shared" si="1"/>
        <v>0.52409796923076901</v>
      </c>
      <c r="H64" s="134">
        <f t="shared" si="22"/>
        <v>2.6204898461538457</v>
      </c>
      <c r="I64" s="135"/>
      <c r="J64" s="136">
        <f t="shared" si="23"/>
        <v>3.688524000000001</v>
      </c>
      <c r="K64" s="137"/>
      <c r="L64" s="138">
        <f t="shared" si="24"/>
        <v>0.52409796923076901</v>
      </c>
      <c r="M64" s="137"/>
      <c r="N64" s="139">
        <f t="shared" si="25"/>
        <v>0</v>
      </c>
      <c r="O64" s="137"/>
      <c r="P64" s="140">
        <f t="shared" si="26"/>
        <v>0</v>
      </c>
      <c r="Q64" s="135"/>
      <c r="R64" s="104">
        <f t="shared" si="27"/>
        <v>2.0963918769230769</v>
      </c>
      <c r="S64" s="137"/>
      <c r="T64" s="141">
        <f t="shared" si="28"/>
        <v>0.52409796923076901</v>
      </c>
      <c r="U64" s="199">
        <f t="shared" si="29"/>
        <v>4.2126219692307698</v>
      </c>
      <c r="V64" s="37" t="str">
        <f t="shared" si="30"/>
        <v>ok</v>
      </c>
      <c r="W64" s="37" t="str">
        <f t="shared" si="31"/>
        <v>ok</v>
      </c>
    </row>
    <row r="65" spans="1:23" x14ac:dyDescent="0.25">
      <c r="A65" s="426"/>
      <c r="B65" s="178" t="s">
        <v>19</v>
      </c>
      <c r="C65" s="129">
        <v>26</v>
      </c>
      <c r="D65" s="130">
        <f>'2.4.5.3 Emplois ETP  base a'!D65*12</f>
        <v>3.6351936923076935</v>
      </c>
      <c r="E65" s="131">
        <f>'2.4.5.3 Emplois ETP  base a'!E65*12</f>
        <v>1.2417244615384615</v>
      </c>
      <c r="F65" s="132">
        <f t="shared" si="0"/>
        <v>0.9933795692307692</v>
      </c>
      <c r="G65" s="133">
        <f t="shared" si="1"/>
        <v>0.24834489230769224</v>
      </c>
      <c r="H65" s="134">
        <f t="shared" si="22"/>
        <v>1.2417244615384615</v>
      </c>
      <c r="I65" s="135"/>
      <c r="J65" s="136">
        <f t="shared" si="23"/>
        <v>2.3934692307692318</v>
      </c>
      <c r="K65" s="137"/>
      <c r="L65" s="138">
        <f t="shared" si="24"/>
        <v>0.24834489230769224</v>
      </c>
      <c r="M65" s="137"/>
      <c r="N65" s="139">
        <f t="shared" si="25"/>
        <v>0</v>
      </c>
      <c r="O65" s="137"/>
      <c r="P65" s="140">
        <f t="shared" si="26"/>
        <v>0</v>
      </c>
      <c r="Q65" s="135"/>
      <c r="R65" s="104">
        <f t="shared" si="27"/>
        <v>0.9933795692307692</v>
      </c>
      <c r="S65" s="137"/>
      <c r="T65" s="141">
        <f t="shared" si="28"/>
        <v>0.24834489230769224</v>
      </c>
      <c r="U65" s="199">
        <f t="shared" si="29"/>
        <v>2.6418141230769239</v>
      </c>
      <c r="V65" s="37" t="str">
        <f t="shared" si="30"/>
        <v>ok</v>
      </c>
      <c r="W65" s="37" t="str">
        <f t="shared" si="31"/>
        <v>ok</v>
      </c>
    </row>
    <row r="66" spans="1:23" x14ac:dyDescent="0.25">
      <c r="A66" s="426"/>
      <c r="B66" s="178" t="s">
        <v>20</v>
      </c>
      <c r="C66" s="129">
        <v>27</v>
      </c>
      <c r="D66" s="130">
        <f>'2.4.5.3 Emplois ETP  base a'!D66*12</f>
        <v>2.9763953076923073</v>
      </c>
      <c r="E66" s="131">
        <f>'2.4.5.3 Emplois ETP  base a'!E66*12</f>
        <v>1.6545184615384616</v>
      </c>
      <c r="F66" s="132">
        <f t="shared" si="0"/>
        <v>1.3236147692307694</v>
      </c>
      <c r="G66" s="133">
        <f t="shared" si="1"/>
        <v>0.33090369230769223</v>
      </c>
      <c r="H66" s="134">
        <f t="shared" si="22"/>
        <v>1.6545184615384616</v>
      </c>
      <c r="I66" s="135"/>
      <c r="J66" s="136">
        <f t="shared" si="23"/>
        <v>1.3218768461538457</v>
      </c>
      <c r="K66" s="137"/>
      <c r="L66" s="138">
        <f t="shared" si="24"/>
        <v>0.33090369230769223</v>
      </c>
      <c r="M66" s="137"/>
      <c r="N66" s="139">
        <f t="shared" si="25"/>
        <v>0</v>
      </c>
      <c r="O66" s="137"/>
      <c r="P66" s="140">
        <f t="shared" si="26"/>
        <v>0</v>
      </c>
      <c r="Q66" s="135"/>
      <c r="R66" s="104">
        <f t="shared" si="27"/>
        <v>1.3236147692307694</v>
      </c>
      <c r="S66" s="137"/>
      <c r="T66" s="141">
        <f t="shared" si="28"/>
        <v>0.33090369230769223</v>
      </c>
      <c r="U66" s="199">
        <f t="shared" si="29"/>
        <v>1.6527805384615379</v>
      </c>
      <c r="V66" s="37" t="str">
        <f t="shared" si="30"/>
        <v>ok</v>
      </c>
      <c r="W66" s="37" t="str">
        <f t="shared" si="31"/>
        <v>ok</v>
      </c>
    </row>
    <row r="67" spans="1:23" x14ac:dyDescent="0.25">
      <c r="A67" s="426"/>
      <c r="B67" s="178" t="s">
        <v>21</v>
      </c>
      <c r="C67" s="129">
        <v>28</v>
      </c>
      <c r="D67" s="130">
        <f>'2.4.5.3 Emplois ETP  base a'!D67*12</f>
        <v>5.5901296153846154</v>
      </c>
      <c r="E67" s="131">
        <f>'2.4.5.3 Emplois ETP  base a'!E67*12</f>
        <v>2.6204898461538457</v>
      </c>
      <c r="F67" s="132">
        <f t="shared" si="0"/>
        <v>2.0963918769230765</v>
      </c>
      <c r="G67" s="133">
        <f t="shared" si="1"/>
        <v>0.52409796923076901</v>
      </c>
      <c r="H67" s="134">
        <f t="shared" si="22"/>
        <v>2.6204898461538457</v>
      </c>
      <c r="I67" s="135"/>
      <c r="J67" s="136">
        <f t="shared" si="23"/>
        <v>2.9696397692307697</v>
      </c>
      <c r="K67" s="137"/>
      <c r="L67" s="138">
        <f t="shared" si="24"/>
        <v>0.52409796923076901</v>
      </c>
      <c r="M67" s="137"/>
      <c r="N67" s="139">
        <f t="shared" si="25"/>
        <v>0</v>
      </c>
      <c r="O67" s="137"/>
      <c r="P67" s="140">
        <f t="shared" si="26"/>
        <v>0</v>
      </c>
      <c r="Q67" s="135"/>
      <c r="R67" s="104">
        <f t="shared" si="27"/>
        <v>2.0963918769230769</v>
      </c>
      <c r="S67" s="137"/>
      <c r="T67" s="141">
        <f t="shared" si="28"/>
        <v>0.52409796923076901</v>
      </c>
      <c r="U67" s="199">
        <f t="shared" si="29"/>
        <v>3.4937377384615385</v>
      </c>
      <c r="V67" s="37" t="str">
        <f t="shared" si="30"/>
        <v>ok</v>
      </c>
      <c r="W67" s="37" t="str">
        <f t="shared" si="31"/>
        <v>ok</v>
      </c>
    </row>
    <row r="68" spans="1:23" x14ac:dyDescent="0.25">
      <c r="A68" s="426"/>
      <c r="B68" s="178" t="s">
        <v>22</v>
      </c>
      <c r="C68" s="129">
        <v>29</v>
      </c>
      <c r="D68" s="130">
        <f>'2.4.5.3 Emplois ETP  base a'!D68*12</f>
        <v>9.3004306153846183</v>
      </c>
      <c r="E68" s="131">
        <f>'2.4.5.3 Emplois ETP  base a'!E68*12</f>
        <v>5.013692307692307</v>
      </c>
      <c r="F68" s="132">
        <f t="shared" si="0"/>
        <v>4.0109538461538454</v>
      </c>
      <c r="G68" s="133">
        <f t="shared" si="1"/>
        <v>1.0027384615384611</v>
      </c>
      <c r="H68" s="134">
        <f t="shared" si="22"/>
        <v>5.013692307692307</v>
      </c>
      <c r="I68" s="135"/>
      <c r="J68" s="136">
        <f t="shared" si="23"/>
        <v>4.2867383076923113</v>
      </c>
      <c r="K68" s="137"/>
      <c r="L68" s="138">
        <f t="shared" si="24"/>
        <v>1.0027384615384611</v>
      </c>
      <c r="M68" s="137"/>
      <c r="N68" s="139">
        <f t="shared" si="25"/>
        <v>0</v>
      </c>
      <c r="O68" s="137"/>
      <c r="P68" s="140">
        <f t="shared" si="26"/>
        <v>0</v>
      </c>
      <c r="Q68" s="135"/>
      <c r="R68" s="104">
        <f t="shared" si="27"/>
        <v>4.0109538461538463</v>
      </c>
      <c r="S68" s="137"/>
      <c r="T68" s="141">
        <f t="shared" si="28"/>
        <v>1.0027384615384611</v>
      </c>
      <c r="U68" s="199">
        <f t="shared" si="29"/>
        <v>5.289476769230772</v>
      </c>
      <c r="V68" s="37" t="str">
        <f t="shared" si="30"/>
        <v>ok</v>
      </c>
      <c r="W68" s="37" t="str">
        <f t="shared" si="31"/>
        <v>ok</v>
      </c>
    </row>
    <row r="69" spans="1:23" ht="15.75" thickBot="1" x14ac:dyDescent="0.3">
      <c r="A69" s="427"/>
      <c r="B69" s="277" t="s">
        <v>23</v>
      </c>
      <c r="C69" s="165">
        <v>30</v>
      </c>
      <c r="D69" s="202">
        <f>'2.4.5.3 Emplois ETP  base a'!D69*12</f>
        <v>7.5450655384615377</v>
      </c>
      <c r="E69" s="203">
        <f>'2.4.5.3 Emplois ETP  base a'!E69*12</f>
        <v>3.5095846153846155</v>
      </c>
      <c r="F69" s="204">
        <f t="shared" ref="F69:F132" si="32">E69*TC</f>
        <v>2.8076676923076924</v>
      </c>
      <c r="G69" s="205">
        <f t="shared" ref="G69:G132" si="33">E69*(1-TC)</f>
        <v>0.70191692307692299</v>
      </c>
      <c r="H69" s="206">
        <f t="shared" si="22"/>
        <v>3.5095846153846155</v>
      </c>
      <c r="I69" s="207"/>
      <c r="J69" s="208">
        <f t="shared" si="23"/>
        <v>4.0354809230769222</v>
      </c>
      <c r="K69" s="209"/>
      <c r="L69" s="210">
        <f t="shared" si="24"/>
        <v>0.70191692307692299</v>
      </c>
      <c r="M69" s="209"/>
      <c r="N69" s="211">
        <f t="shared" si="25"/>
        <v>0</v>
      </c>
      <c r="O69" s="209"/>
      <c r="P69" s="212">
        <f t="shared" si="26"/>
        <v>0</v>
      </c>
      <c r="Q69" s="207"/>
      <c r="R69" s="213">
        <f t="shared" si="27"/>
        <v>2.8076676923076924</v>
      </c>
      <c r="S69" s="209"/>
      <c r="T69" s="214">
        <f t="shared" si="28"/>
        <v>0.70191692307692299</v>
      </c>
      <c r="U69" s="215">
        <f t="shared" si="29"/>
        <v>4.7373978461538453</v>
      </c>
      <c r="V69" s="37" t="str">
        <f t="shared" si="30"/>
        <v>ok</v>
      </c>
      <c r="W69" s="37" t="str">
        <f t="shared" si="31"/>
        <v>ok</v>
      </c>
    </row>
    <row r="70" spans="1:23" x14ac:dyDescent="0.25">
      <c r="A70" s="425" t="s">
        <v>92</v>
      </c>
      <c r="B70" s="276" t="s">
        <v>19</v>
      </c>
      <c r="C70" s="247">
        <v>2</v>
      </c>
      <c r="D70" s="184">
        <f>'2.4.5.3 Emplois ETP  base a'!D70*12</f>
        <v>6.0958259999999997</v>
      </c>
      <c r="E70" s="185">
        <f>'2.4.5.3 Emplois ETP  base a'!E70*12</f>
        <v>5.3856000000000002</v>
      </c>
      <c r="F70" s="186">
        <f t="shared" si="32"/>
        <v>4.3084800000000003</v>
      </c>
      <c r="G70" s="187">
        <f t="shared" si="33"/>
        <v>1.0771199999999999</v>
      </c>
      <c r="H70" s="188">
        <f>IF(E70&gt;D70,D70,E70)</f>
        <v>5.3856000000000002</v>
      </c>
      <c r="I70" s="189"/>
      <c r="J70" s="190">
        <f>IF(E70&gt;D70,0,D70-E70)</f>
        <v>0.71022599999999958</v>
      </c>
      <c r="K70" s="191"/>
      <c r="L70" s="192">
        <f>IF(E70&gt;D70,IF(F70&gt;H70,0,H70-F70),G70)</f>
        <v>1.0771199999999999</v>
      </c>
      <c r="M70" s="191"/>
      <c r="N70" s="193">
        <f>IF(E70&gt;D70,IF(F70&gt;H70,F70-H70,0),0)</f>
        <v>0</v>
      </c>
      <c r="O70" s="191"/>
      <c r="P70" s="194">
        <f>IF(E70&gt;D70,IF(F70&gt;H70,G70,E70-H70),0)</f>
        <v>0</v>
      </c>
      <c r="Q70" s="189"/>
      <c r="R70" s="195">
        <f>H70-L70</f>
        <v>4.3084800000000003</v>
      </c>
      <c r="S70" s="191"/>
      <c r="T70" s="196">
        <f>L70+N70+P70</f>
        <v>1.0771199999999999</v>
      </c>
      <c r="U70" s="197">
        <f>J70+L70</f>
        <v>1.7873459999999994</v>
      </c>
      <c r="V70" s="37" t="str">
        <f>IF(R70+T70=E70,"ok","bad")</f>
        <v>ok</v>
      </c>
      <c r="W70" s="37" t="str">
        <f>IF(U70+R70=D70,"ok","bad")</f>
        <v>ok</v>
      </c>
    </row>
    <row r="71" spans="1:23" x14ac:dyDescent="0.25">
      <c r="A71" s="426"/>
      <c r="B71" s="178" t="s">
        <v>20</v>
      </c>
      <c r="C71" s="129">
        <v>3</v>
      </c>
      <c r="D71" s="130">
        <f>'2.4.5.3 Emplois ETP  base a'!D71*12</f>
        <v>4.7864520000000006</v>
      </c>
      <c r="E71" s="131">
        <f>'2.4.5.3 Emplois ETP  base a'!E71*12</f>
        <v>3.9494399999999996</v>
      </c>
      <c r="F71" s="132">
        <f t="shared" si="32"/>
        <v>3.1595519999999997</v>
      </c>
      <c r="G71" s="133">
        <f t="shared" si="33"/>
        <v>0.7898879999999997</v>
      </c>
      <c r="H71" s="134">
        <f t="shared" ref="H71:H90" si="34">IF(E71&gt;D71,D71,E71)</f>
        <v>3.9494399999999996</v>
      </c>
      <c r="I71" s="135"/>
      <c r="J71" s="136">
        <f t="shared" ref="J71:J90" si="35">IF(E71&gt;D71,0,D71-E71)</f>
        <v>0.83701200000000098</v>
      </c>
      <c r="K71" s="137"/>
      <c r="L71" s="138">
        <f t="shared" ref="L71:L90" si="36">IF(E71&gt;D71,IF(F71&gt;H71,0,H71-F71),G71)</f>
        <v>0.7898879999999997</v>
      </c>
      <c r="M71" s="137"/>
      <c r="N71" s="139">
        <f t="shared" ref="N71:N90" si="37">IF(E71&gt;D71,IF(F71&gt;H71,F71-H71,0),0)</f>
        <v>0</v>
      </c>
      <c r="O71" s="137"/>
      <c r="P71" s="140">
        <f t="shared" ref="P71:P90" si="38">IF(E71&gt;D71,IF(F71&gt;H71,G71,E71-H71),0)</f>
        <v>0</v>
      </c>
      <c r="Q71" s="135"/>
      <c r="R71" s="104">
        <f t="shared" ref="R71:R90" si="39">H71-L71</f>
        <v>3.1595519999999997</v>
      </c>
      <c r="S71" s="137"/>
      <c r="T71" s="141">
        <f t="shared" ref="T71:T90" si="40">L71+N71+P71</f>
        <v>0.7898879999999997</v>
      </c>
      <c r="U71" s="199">
        <f t="shared" ref="U71:U90" si="41">J71+L71</f>
        <v>1.6269000000000007</v>
      </c>
      <c r="V71" s="37" t="str">
        <f t="shared" ref="V71:V90" si="42">IF(R71+T71=E71,"ok","bad")</f>
        <v>ok</v>
      </c>
      <c r="W71" s="37" t="str">
        <f t="shared" ref="W71:W90" si="43">IF(U71+R71=D71,"ok","bad")</f>
        <v>ok</v>
      </c>
    </row>
    <row r="72" spans="1:23" x14ac:dyDescent="0.25">
      <c r="A72" s="426"/>
      <c r="B72" s="178" t="s">
        <v>21</v>
      </c>
      <c r="C72" s="129">
        <v>4</v>
      </c>
      <c r="D72" s="130">
        <f>'2.4.5.3 Emplois ETP  base a'!D72*12</f>
        <v>2.0936520000000001</v>
      </c>
      <c r="E72" s="131">
        <f>'2.4.5.3 Emplois ETP  base a'!E72*12</f>
        <v>1.6156799999999998</v>
      </c>
      <c r="F72" s="132">
        <f t="shared" si="32"/>
        <v>1.2925439999999999</v>
      </c>
      <c r="G72" s="133">
        <f t="shared" si="33"/>
        <v>0.32313599999999987</v>
      </c>
      <c r="H72" s="134">
        <f t="shared" si="34"/>
        <v>1.6156799999999998</v>
      </c>
      <c r="I72" s="135"/>
      <c r="J72" s="136">
        <f t="shared" si="35"/>
        <v>0.47797200000000029</v>
      </c>
      <c r="K72" s="137"/>
      <c r="L72" s="138">
        <f t="shared" si="36"/>
        <v>0.32313599999999987</v>
      </c>
      <c r="M72" s="137"/>
      <c r="N72" s="139">
        <f t="shared" si="37"/>
        <v>0</v>
      </c>
      <c r="O72" s="137"/>
      <c r="P72" s="140">
        <f t="shared" si="38"/>
        <v>0</v>
      </c>
      <c r="Q72" s="135"/>
      <c r="R72" s="104">
        <f t="shared" si="39"/>
        <v>1.2925439999999999</v>
      </c>
      <c r="S72" s="137"/>
      <c r="T72" s="141">
        <f t="shared" si="40"/>
        <v>0.32313599999999987</v>
      </c>
      <c r="U72" s="199">
        <f t="shared" si="41"/>
        <v>0.80110800000000015</v>
      </c>
      <c r="V72" s="37" t="str">
        <f t="shared" si="42"/>
        <v>ok</v>
      </c>
      <c r="W72" s="37" t="str">
        <f t="shared" si="43"/>
        <v>ok</v>
      </c>
    </row>
    <row r="73" spans="1:23" x14ac:dyDescent="0.25">
      <c r="A73" s="426"/>
      <c r="B73" s="178" t="s">
        <v>22</v>
      </c>
      <c r="C73" s="129">
        <v>5</v>
      </c>
      <c r="D73" s="130">
        <f>'2.4.5.3 Emplois ETP  base a'!D73*12</f>
        <v>1.4608439999999998</v>
      </c>
      <c r="E73" s="131">
        <f>'2.4.5.3 Emplois ETP  base a'!E73*12</f>
        <v>2.4235199999999999</v>
      </c>
      <c r="F73" s="132">
        <f t="shared" si="32"/>
        <v>1.9388160000000001</v>
      </c>
      <c r="G73" s="133">
        <f t="shared" si="33"/>
        <v>0.48470399999999986</v>
      </c>
      <c r="H73" s="134">
        <f t="shared" si="34"/>
        <v>1.4608439999999998</v>
      </c>
      <c r="I73" s="135"/>
      <c r="J73" s="136">
        <f t="shared" si="35"/>
        <v>0</v>
      </c>
      <c r="K73" s="137"/>
      <c r="L73" s="138">
        <f t="shared" si="36"/>
        <v>0</v>
      </c>
      <c r="M73" s="137"/>
      <c r="N73" s="139">
        <f t="shared" si="37"/>
        <v>0.47797200000000029</v>
      </c>
      <c r="O73" s="137"/>
      <c r="P73" s="140">
        <f t="shared" si="38"/>
        <v>0.48470399999999986</v>
      </c>
      <c r="Q73" s="135"/>
      <c r="R73" s="104">
        <f t="shared" si="39"/>
        <v>1.4608439999999998</v>
      </c>
      <c r="S73" s="137"/>
      <c r="T73" s="141">
        <f t="shared" si="40"/>
        <v>0.96267600000000009</v>
      </c>
      <c r="U73" s="199">
        <f t="shared" si="41"/>
        <v>0</v>
      </c>
      <c r="V73" s="37" t="str">
        <f t="shared" si="42"/>
        <v>ok</v>
      </c>
      <c r="W73" s="37" t="str">
        <f t="shared" si="43"/>
        <v>ok</v>
      </c>
    </row>
    <row r="74" spans="1:23" x14ac:dyDescent="0.25">
      <c r="A74" s="426"/>
      <c r="B74" s="178" t="s">
        <v>23</v>
      </c>
      <c r="C74" s="129">
        <v>6</v>
      </c>
      <c r="D74" s="130">
        <f>'2.4.5.3 Emplois ETP  base a'!D74*12</f>
        <v>3.0293999999999999</v>
      </c>
      <c r="E74" s="131">
        <f>'2.4.5.3 Emplois ETP  base a'!E74*12</f>
        <v>3.9494399999999996</v>
      </c>
      <c r="F74" s="132">
        <f t="shared" si="32"/>
        <v>3.1595519999999997</v>
      </c>
      <c r="G74" s="133">
        <f t="shared" si="33"/>
        <v>0.7898879999999997</v>
      </c>
      <c r="H74" s="134">
        <f t="shared" si="34"/>
        <v>3.0293999999999999</v>
      </c>
      <c r="I74" s="135"/>
      <c r="J74" s="136">
        <f t="shared" si="35"/>
        <v>0</v>
      </c>
      <c r="K74" s="137"/>
      <c r="L74" s="138">
        <f t="shared" si="36"/>
        <v>0</v>
      </c>
      <c r="M74" s="137"/>
      <c r="N74" s="139">
        <f t="shared" si="37"/>
        <v>0.13015199999999982</v>
      </c>
      <c r="O74" s="137"/>
      <c r="P74" s="140">
        <f t="shared" si="38"/>
        <v>0.7898879999999997</v>
      </c>
      <c r="Q74" s="135"/>
      <c r="R74" s="104">
        <f t="shared" si="39"/>
        <v>3.0293999999999999</v>
      </c>
      <c r="S74" s="137"/>
      <c r="T74" s="141">
        <f t="shared" si="40"/>
        <v>0.92003999999999952</v>
      </c>
      <c r="U74" s="199">
        <f t="shared" si="41"/>
        <v>0</v>
      </c>
      <c r="V74" s="37" t="str">
        <f t="shared" si="42"/>
        <v>ok</v>
      </c>
      <c r="W74" s="37" t="str">
        <f t="shared" si="43"/>
        <v>ok</v>
      </c>
    </row>
    <row r="75" spans="1:23" x14ac:dyDescent="0.25">
      <c r="A75" s="426"/>
      <c r="B75" s="178" t="s">
        <v>19</v>
      </c>
      <c r="C75" s="129">
        <v>9</v>
      </c>
      <c r="D75" s="130">
        <f>'2.4.5.3 Emplois ETP  base a'!D75*12</f>
        <v>9.7277399999999989</v>
      </c>
      <c r="E75" s="131">
        <f>'2.4.5.3 Emplois ETP  base a'!E75*12</f>
        <v>2.7618461538461534</v>
      </c>
      <c r="F75" s="132">
        <f t="shared" si="32"/>
        <v>2.2094769230769229</v>
      </c>
      <c r="G75" s="133">
        <f t="shared" si="33"/>
        <v>0.5523692307692305</v>
      </c>
      <c r="H75" s="134">
        <f t="shared" si="34"/>
        <v>2.7618461538461534</v>
      </c>
      <c r="I75" s="135"/>
      <c r="J75" s="136">
        <f t="shared" si="35"/>
        <v>6.9658938461538451</v>
      </c>
      <c r="K75" s="137"/>
      <c r="L75" s="138">
        <f t="shared" si="36"/>
        <v>0.5523692307692305</v>
      </c>
      <c r="M75" s="137"/>
      <c r="N75" s="139">
        <f t="shared" si="37"/>
        <v>0</v>
      </c>
      <c r="O75" s="137"/>
      <c r="P75" s="140">
        <f t="shared" si="38"/>
        <v>0</v>
      </c>
      <c r="Q75" s="135"/>
      <c r="R75" s="104">
        <f t="shared" si="39"/>
        <v>2.2094769230769229</v>
      </c>
      <c r="S75" s="137"/>
      <c r="T75" s="141">
        <f t="shared" si="40"/>
        <v>0.5523692307692305</v>
      </c>
      <c r="U75" s="199">
        <f t="shared" si="41"/>
        <v>7.5182630769230752</v>
      </c>
      <c r="V75" s="37" t="str">
        <f t="shared" si="42"/>
        <v>ok</v>
      </c>
      <c r="W75" s="37" t="str">
        <f t="shared" si="43"/>
        <v>ok</v>
      </c>
    </row>
    <row r="76" spans="1:23" x14ac:dyDescent="0.25">
      <c r="A76" s="426"/>
      <c r="B76" s="178" t="s">
        <v>20</v>
      </c>
      <c r="C76" s="129">
        <v>10</v>
      </c>
      <c r="D76" s="130">
        <f>'2.4.5.3 Emplois ETP  base a'!D76*12</f>
        <v>7.8899040000000014</v>
      </c>
      <c r="E76" s="131">
        <f>'2.4.5.3 Emplois ETP  base a'!E76*12</f>
        <v>2.8308923076923076</v>
      </c>
      <c r="F76" s="132">
        <f t="shared" si="32"/>
        <v>2.2647138461538461</v>
      </c>
      <c r="G76" s="133">
        <f t="shared" si="33"/>
        <v>0.56617846153846141</v>
      </c>
      <c r="H76" s="134">
        <f t="shared" si="34"/>
        <v>2.8308923076923076</v>
      </c>
      <c r="I76" s="135"/>
      <c r="J76" s="136">
        <f t="shared" si="35"/>
        <v>5.0590116923076938</v>
      </c>
      <c r="K76" s="137"/>
      <c r="L76" s="138">
        <f t="shared" si="36"/>
        <v>0.56617846153846141</v>
      </c>
      <c r="M76" s="137"/>
      <c r="N76" s="139">
        <f t="shared" si="37"/>
        <v>0</v>
      </c>
      <c r="O76" s="137"/>
      <c r="P76" s="140">
        <f t="shared" si="38"/>
        <v>0</v>
      </c>
      <c r="Q76" s="135"/>
      <c r="R76" s="104">
        <f t="shared" si="39"/>
        <v>2.2647138461538461</v>
      </c>
      <c r="S76" s="137"/>
      <c r="T76" s="141">
        <f t="shared" si="40"/>
        <v>0.56617846153846141</v>
      </c>
      <c r="U76" s="199">
        <f t="shared" si="41"/>
        <v>5.6251901538461553</v>
      </c>
      <c r="V76" s="37" t="str">
        <f t="shared" si="42"/>
        <v>ok</v>
      </c>
      <c r="W76" s="37" t="str">
        <f t="shared" si="43"/>
        <v>ok</v>
      </c>
    </row>
    <row r="77" spans="1:23" x14ac:dyDescent="0.25">
      <c r="A77" s="426"/>
      <c r="B77" s="178" t="s">
        <v>21</v>
      </c>
      <c r="C77" s="129">
        <v>11</v>
      </c>
      <c r="D77" s="130">
        <f>'2.4.5.3 Emplois ETP  base a'!D77*12</f>
        <v>4.560929999999999</v>
      </c>
      <c r="E77" s="131">
        <f>'2.4.5.3 Emplois ETP  base a'!E77*12</f>
        <v>1.5190153846153844</v>
      </c>
      <c r="F77" s="132">
        <f t="shared" si="32"/>
        <v>1.2152123076923076</v>
      </c>
      <c r="G77" s="133">
        <f t="shared" si="33"/>
        <v>0.30380307692307684</v>
      </c>
      <c r="H77" s="134">
        <f t="shared" si="34"/>
        <v>1.5190153846153844</v>
      </c>
      <c r="I77" s="135"/>
      <c r="J77" s="136">
        <f t="shared" si="35"/>
        <v>3.0419146153846146</v>
      </c>
      <c r="K77" s="137"/>
      <c r="L77" s="138">
        <f t="shared" si="36"/>
        <v>0.30380307692307684</v>
      </c>
      <c r="M77" s="137"/>
      <c r="N77" s="139">
        <f t="shared" si="37"/>
        <v>0</v>
      </c>
      <c r="O77" s="137"/>
      <c r="P77" s="140">
        <f t="shared" si="38"/>
        <v>0</v>
      </c>
      <c r="Q77" s="135"/>
      <c r="R77" s="104">
        <f t="shared" si="39"/>
        <v>1.2152123076923076</v>
      </c>
      <c r="S77" s="137"/>
      <c r="T77" s="141">
        <f t="shared" si="40"/>
        <v>0.30380307692307684</v>
      </c>
      <c r="U77" s="199">
        <f t="shared" si="41"/>
        <v>3.3457176923076917</v>
      </c>
      <c r="V77" s="37" t="str">
        <f t="shared" si="42"/>
        <v>ok</v>
      </c>
      <c r="W77" s="37" t="str">
        <f t="shared" si="43"/>
        <v>ok</v>
      </c>
    </row>
    <row r="78" spans="1:23" x14ac:dyDescent="0.25">
      <c r="A78" s="426"/>
      <c r="B78" s="178" t="s">
        <v>22</v>
      </c>
      <c r="C78" s="129">
        <v>12</v>
      </c>
      <c r="D78" s="130">
        <f>'2.4.5.3 Emplois ETP  base a'!D78*12</f>
        <v>3.6824039999999991</v>
      </c>
      <c r="E78" s="131">
        <f>'2.4.5.3 Emplois ETP  base a'!E78*12</f>
        <v>1.9332923076923074</v>
      </c>
      <c r="F78" s="132">
        <f t="shared" si="32"/>
        <v>1.546633846153846</v>
      </c>
      <c r="G78" s="133">
        <f t="shared" si="33"/>
        <v>0.3866584615384614</v>
      </c>
      <c r="H78" s="134">
        <f t="shared" si="34"/>
        <v>1.9332923076923074</v>
      </c>
      <c r="I78" s="135"/>
      <c r="J78" s="136">
        <f t="shared" si="35"/>
        <v>1.7491116923076917</v>
      </c>
      <c r="K78" s="137"/>
      <c r="L78" s="138">
        <f t="shared" si="36"/>
        <v>0.3866584615384614</v>
      </c>
      <c r="M78" s="137"/>
      <c r="N78" s="139">
        <f t="shared" si="37"/>
        <v>0</v>
      </c>
      <c r="O78" s="137"/>
      <c r="P78" s="140">
        <f t="shared" si="38"/>
        <v>0</v>
      </c>
      <c r="Q78" s="135"/>
      <c r="R78" s="104">
        <f t="shared" si="39"/>
        <v>1.546633846153846</v>
      </c>
      <c r="S78" s="137"/>
      <c r="T78" s="141">
        <f t="shared" si="40"/>
        <v>0.3866584615384614</v>
      </c>
      <c r="U78" s="199">
        <f t="shared" si="41"/>
        <v>2.1357701538461531</v>
      </c>
      <c r="V78" s="37" t="str">
        <f t="shared" si="42"/>
        <v>ok</v>
      </c>
      <c r="W78" s="37" t="str">
        <f t="shared" si="43"/>
        <v>ok</v>
      </c>
    </row>
    <row r="79" spans="1:23" x14ac:dyDescent="0.25">
      <c r="A79" s="426"/>
      <c r="B79" s="178" t="s">
        <v>23</v>
      </c>
      <c r="C79" s="129">
        <v>13</v>
      </c>
      <c r="D79" s="130">
        <f>'2.4.5.3 Emplois ETP  base a'!D79*12</f>
        <v>7.0147439999999985</v>
      </c>
      <c r="E79" s="131">
        <f>'2.4.5.3 Emplois ETP  base a'!E79*12</f>
        <v>2.6237538461538459</v>
      </c>
      <c r="F79" s="132">
        <f t="shared" si="32"/>
        <v>2.099003076923077</v>
      </c>
      <c r="G79" s="133">
        <f t="shared" si="33"/>
        <v>0.52475076923076902</v>
      </c>
      <c r="H79" s="134">
        <f t="shared" si="34"/>
        <v>2.6237538461538459</v>
      </c>
      <c r="I79" s="135"/>
      <c r="J79" s="136">
        <f t="shared" si="35"/>
        <v>4.3909901538461522</v>
      </c>
      <c r="K79" s="137"/>
      <c r="L79" s="138">
        <f t="shared" si="36"/>
        <v>0.52475076923076902</v>
      </c>
      <c r="M79" s="137"/>
      <c r="N79" s="139">
        <f t="shared" si="37"/>
        <v>0</v>
      </c>
      <c r="O79" s="137"/>
      <c r="P79" s="140">
        <f t="shared" si="38"/>
        <v>0</v>
      </c>
      <c r="Q79" s="135"/>
      <c r="R79" s="104">
        <f t="shared" si="39"/>
        <v>2.099003076923077</v>
      </c>
      <c r="S79" s="137"/>
      <c r="T79" s="141">
        <f t="shared" si="40"/>
        <v>0.52475076923076902</v>
      </c>
      <c r="U79" s="199">
        <f t="shared" si="41"/>
        <v>4.9157409230769211</v>
      </c>
      <c r="V79" s="37" t="str">
        <f t="shared" si="42"/>
        <v>ok</v>
      </c>
      <c r="W79" s="37" t="str">
        <f t="shared" si="43"/>
        <v>ok</v>
      </c>
    </row>
    <row r="80" spans="1:23" x14ac:dyDescent="0.25">
      <c r="A80" s="426"/>
      <c r="B80" s="178" t="s">
        <v>19</v>
      </c>
      <c r="C80" s="129">
        <v>16</v>
      </c>
      <c r="D80" s="130">
        <f>'2.4.5.3 Emplois ETP  base a'!D80*12</f>
        <v>6.0958259999999997</v>
      </c>
      <c r="E80" s="131">
        <f>'2.4.5.3 Emplois ETP  base a'!E80*12</f>
        <v>4.1427692307692299</v>
      </c>
      <c r="F80" s="132">
        <f t="shared" si="32"/>
        <v>3.3142153846153839</v>
      </c>
      <c r="G80" s="133">
        <f t="shared" si="33"/>
        <v>0.82855384615384575</v>
      </c>
      <c r="H80" s="134">
        <f t="shared" si="34"/>
        <v>4.1427692307692299</v>
      </c>
      <c r="I80" s="135"/>
      <c r="J80" s="136">
        <f t="shared" si="35"/>
        <v>1.9530567692307699</v>
      </c>
      <c r="K80" s="137"/>
      <c r="L80" s="138">
        <f t="shared" si="36"/>
        <v>0.82855384615384575</v>
      </c>
      <c r="M80" s="137"/>
      <c r="N80" s="139">
        <f t="shared" si="37"/>
        <v>0</v>
      </c>
      <c r="O80" s="137"/>
      <c r="P80" s="140">
        <f t="shared" si="38"/>
        <v>0</v>
      </c>
      <c r="Q80" s="135"/>
      <c r="R80" s="104">
        <f t="shared" si="39"/>
        <v>3.3142153846153839</v>
      </c>
      <c r="S80" s="137"/>
      <c r="T80" s="141">
        <f t="shared" si="40"/>
        <v>0.82855384615384575</v>
      </c>
      <c r="U80" s="199">
        <f t="shared" si="41"/>
        <v>2.7816106153846158</v>
      </c>
      <c r="V80" s="37" t="str">
        <f t="shared" si="42"/>
        <v>ok</v>
      </c>
      <c r="W80" s="37" t="str">
        <f t="shared" si="43"/>
        <v>ok</v>
      </c>
    </row>
    <row r="81" spans="1:23" x14ac:dyDescent="0.25">
      <c r="A81" s="426"/>
      <c r="B81" s="178" t="s">
        <v>20</v>
      </c>
      <c r="C81" s="129">
        <v>17</v>
      </c>
      <c r="D81" s="130">
        <f>'2.4.5.3 Emplois ETP  base a'!D81*12</f>
        <v>4.7864520000000006</v>
      </c>
      <c r="E81" s="131">
        <f>'2.4.5.3 Emplois ETP  base a'!E81*12</f>
        <v>3.1761230769230773</v>
      </c>
      <c r="F81" s="132">
        <f t="shared" si="32"/>
        <v>2.540898461538462</v>
      </c>
      <c r="G81" s="133">
        <f t="shared" si="33"/>
        <v>0.63522461538461528</v>
      </c>
      <c r="H81" s="134">
        <f t="shared" si="34"/>
        <v>3.1761230769230773</v>
      </c>
      <c r="I81" s="135"/>
      <c r="J81" s="136">
        <f t="shared" si="35"/>
        <v>1.6103289230769233</v>
      </c>
      <c r="K81" s="137"/>
      <c r="L81" s="138">
        <f t="shared" si="36"/>
        <v>0.63522461538461528</v>
      </c>
      <c r="M81" s="137"/>
      <c r="N81" s="139">
        <f t="shared" si="37"/>
        <v>0</v>
      </c>
      <c r="O81" s="137"/>
      <c r="P81" s="140">
        <f t="shared" si="38"/>
        <v>0</v>
      </c>
      <c r="Q81" s="135"/>
      <c r="R81" s="104">
        <f t="shared" si="39"/>
        <v>2.540898461538462</v>
      </c>
      <c r="S81" s="137"/>
      <c r="T81" s="141">
        <f t="shared" si="40"/>
        <v>0.63522461538461528</v>
      </c>
      <c r="U81" s="199">
        <f t="shared" si="41"/>
        <v>2.2455535384615386</v>
      </c>
      <c r="V81" s="37" t="str">
        <f t="shared" si="42"/>
        <v>ok</v>
      </c>
      <c r="W81" s="37" t="str">
        <f t="shared" si="43"/>
        <v>ok</v>
      </c>
    </row>
    <row r="82" spans="1:23" x14ac:dyDescent="0.25">
      <c r="A82" s="426"/>
      <c r="B82" s="178" t="s">
        <v>21</v>
      </c>
      <c r="C82" s="129">
        <v>18</v>
      </c>
      <c r="D82" s="130">
        <f>'2.4.5.3 Emplois ETP  base a'!D82*12</f>
        <v>2.0936520000000001</v>
      </c>
      <c r="E82" s="131">
        <f>'2.4.5.3 Emplois ETP  base a'!E82*12</f>
        <v>1.5190153846153844</v>
      </c>
      <c r="F82" s="132">
        <f t="shared" si="32"/>
        <v>1.2152123076923076</v>
      </c>
      <c r="G82" s="133">
        <f t="shared" si="33"/>
        <v>0.30380307692307684</v>
      </c>
      <c r="H82" s="134">
        <f t="shared" si="34"/>
        <v>1.5190153846153844</v>
      </c>
      <c r="I82" s="135"/>
      <c r="J82" s="136">
        <f t="shared" si="35"/>
        <v>0.57463661538461563</v>
      </c>
      <c r="K82" s="137"/>
      <c r="L82" s="138">
        <f t="shared" si="36"/>
        <v>0.30380307692307684</v>
      </c>
      <c r="M82" s="137"/>
      <c r="N82" s="139">
        <f t="shared" si="37"/>
        <v>0</v>
      </c>
      <c r="O82" s="137"/>
      <c r="P82" s="140">
        <f t="shared" si="38"/>
        <v>0</v>
      </c>
      <c r="Q82" s="135"/>
      <c r="R82" s="104">
        <f t="shared" si="39"/>
        <v>1.2152123076923076</v>
      </c>
      <c r="S82" s="137"/>
      <c r="T82" s="141">
        <f t="shared" si="40"/>
        <v>0.30380307692307684</v>
      </c>
      <c r="U82" s="199">
        <f t="shared" si="41"/>
        <v>0.87843969230769248</v>
      </c>
      <c r="V82" s="37" t="str">
        <f t="shared" si="42"/>
        <v>ok</v>
      </c>
      <c r="W82" s="37" t="str">
        <f t="shared" si="43"/>
        <v>ok</v>
      </c>
    </row>
    <row r="83" spans="1:23" x14ac:dyDescent="0.25">
      <c r="A83" s="426"/>
      <c r="B83" s="178" t="s">
        <v>22</v>
      </c>
      <c r="C83" s="129">
        <v>19</v>
      </c>
      <c r="D83" s="130">
        <f>'2.4.5.3 Emplois ETP  base a'!D83*12</f>
        <v>1.4608439999999998</v>
      </c>
      <c r="E83" s="131">
        <f>'2.4.5.3 Emplois ETP  base a'!E83*12</f>
        <v>2.5547076923076921</v>
      </c>
      <c r="F83" s="132">
        <f t="shared" si="32"/>
        <v>2.0437661538461538</v>
      </c>
      <c r="G83" s="133">
        <f t="shared" si="33"/>
        <v>0.51094153846153834</v>
      </c>
      <c r="H83" s="134">
        <f t="shared" si="34"/>
        <v>1.4608439999999998</v>
      </c>
      <c r="I83" s="135"/>
      <c r="J83" s="136">
        <f t="shared" si="35"/>
        <v>0</v>
      </c>
      <c r="K83" s="137"/>
      <c r="L83" s="138">
        <f t="shared" si="36"/>
        <v>0</v>
      </c>
      <c r="M83" s="137"/>
      <c r="N83" s="139">
        <f t="shared" si="37"/>
        <v>0.58292215384615398</v>
      </c>
      <c r="O83" s="137"/>
      <c r="P83" s="140">
        <f t="shared" si="38"/>
        <v>0.51094153846153834</v>
      </c>
      <c r="Q83" s="135"/>
      <c r="R83" s="104">
        <f t="shared" si="39"/>
        <v>1.4608439999999998</v>
      </c>
      <c r="S83" s="137"/>
      <c r="T83" s="141">
        <f t="shared" si="40"/>
        <v>1.0938636923076923</v>
      </c>
      <c r="U83" s="199">
        <f t="shared" si="41"/>
        <v>0</v>
      </c>
      <c r="V83" s="37" t="str">
        <f t="shared" si="42"/>
        <v>ok</v>
      </c>
      <c r="W83" s="37" t="str">
        <f t="shared" si="43"/>
        <v>ok</v>
      </c>
    </row>
    <row r="84" spans="1:23" x14ac:dyDescent="0.25">
      <c r="A84" s="426"/>
      <c r="B84" s="178" t="s">
        <v>23</v>
      </c>
      <c r="C84" s="129">
        <v>20</v>
      </c>
      <c r="D84" s="130">
        <f>'2.4.5.3 Emplois ETP  base a'!D84*12</f>
        <v>3.0293999999999999</v>
      </c>
      <c r="E84" s="131">
        <f>'2.4.5.3 Emplois ETP  base a'!E84*12</f>
        <v>3.0380307692307689</v>
      </c>
      <c r="F84" s="132">
        <f t="shared" si="32"/>
        <v>2.4304246153846152</v>
      </c>
      <c r="G84" s="133">
        <f t="shared" si="33"/>
        <v>0.60760615384615368</v>
      </c>
      <c r="H84" s="134">
        <f t="shared" si="34"/>
        <v>3.0293999999999999</v>
      </c>
      <c r="I84" s="135"/>
      <c r="J84" s="136">
        <f t="shared" si="35"/>
        <v>0</v>
      </c>
      <c r="K84" s="137"/>
      <c r="L84" s="138">
        <f t="shared" si="36"/>
        <v>0.59897538461538469</v>
      </c>
      <c r="M84" s="137"/>
      <c r="N84" s="139">
        <f t="shared" si="37"/>
        <v>0</v>
      </c>
      <c r="O84" s="137"/>
      <c r="P84" s="140">
        <f t="shared" si="38"/>
        <v>8.6307692307689976E-3</v>
      </c>
      <c r="Q84" s="135"/>
      <c r="R84" s="104">
        <f t="shared" si="39"/>
        <v>2.4304246153846152</v>
      </c>
      <c r="S84" s="137"/>
      <c r="T84" s="141">
        <f t="shared" si="40"/>
        <v>0.60760615384615368</v>
      </c>
      <c r="U84" s="199">
        <f t="shared" si="41"/>
        <v>0.59897538461538469</v>
      </c>
      <c r="V84" s="37" t="str">
        <f t="shared" si="42"/>
        <v>ok</v>
      </c>
      <c r="W84" s="37" t="str">
        <f t="shared" si="43"/>
        <v>ok</v>
      </c>
    </row>
    <row r="85" spans="1:23" x14ac:dyDescent="0.25">
      <c r="A85" s="426"/>
      <c r="B85" s="178" t="s">
        <v>19</v>
      </c>
      <c r="C85" s="129">
        <v>23</v>
      </c>
      <c r="D85" s="130">
        <f>'2.4.5.3 Emplois ETP  base a'!D85*12</f>
        <v>12.157991999999997</v>
      </c>
      <c r="E85" s="131">
        <f>'2.4.5.3 Emplois ETP  base a'!E85*12</f>
        <v>3.417784615384615</v>
      </c>
      <c r="F85" s="132">
        <f t="shared" si="32"/>
        <v>2.7342276923076922</v>
      </c>
      <c r="G85" s="133">
        <f t="shared" si="33"/>
        <v>0.68355692307692284</v>
      </c>
      <c r="H85" s="134">
        <f t="shared" si="34"/>
        <v>3.417784615384615</v>
      </c>
      <c r="I85" s="135"/>
      <c r="J85" s="136">
        <f t="shared" si="35"/>
        <v>8.7402073846153812</v>
      </c>
      <c r="K85" s="137"/>
      <c r="L85" s="138">
        <f t="shared" si="36"/>
        <v>0.68355692307692284</v>
      </c>
      <c r="M85" s="137"/>
      <c r="N85" s="139">
        <f t="shared" si="37"/>
        <v>0</v>
      </c>
      <c r="O85" s="137"/>
      <c r="P85" s="140">
        <f t="shared" si="38"/>
        <v>0</v>
      </c>
      <c r="Q85" s="135"/>
      <c r="R85" s="104">
        <f t="shared" si="39"/>
        <v>2.7342276923076922</v>
      </c>
      <c r="S85" s="137"/>
      <c r="T85" s="141">
        <f t="shared" si="40"/>
        <v>0.68355692307692284</v>
      </c>
      <c r="U85" s="199">
        <f t="shared" si="41"/>
        <v>9.4237643076923039</v>
      </c>
      <c r="V85" s="37" t="str">
        <f t="shared" si="42"/>
        <v>ok</v>
      </c>
      <c r="W85" s="37" t="str">
        <f t="shared" si="43"/>
        <v>ok</v>
      </c>
    </row>
    <row r="86" spans="1:23" x14ac:dyDescent="0.25">
      <c r="A86" s="426"/>
      <c r="B86" s="178" t="s">
        <v>20</v>
      </c>
      <c r="C86" s="129">
        <v>24</v>
      </c>
      <c r="D86" s="130">
        <f>'2.4.5.3 Emplois ETP  base a'!D86*12</f>
        <v>9.8960399999999993</v>
      </c>
      <c r="E86" s="131">
        <f>'2.4.5.3 Emplois ETP  base a'!E86*12</f>
        <v>2.1652873846153842</v>
      </c>
      <c r="F86" s="132">
        <f t="shared" si="32"/>
        <v>1.7322299076923073</v>
      </c>
      <c r="G86" s="133">
        <f t="shared" si="33"/>
        <v>0.43305747692307672</v>
      </c>
      <c r="H86" s="134">
        <f t="shared" si="34"/>
        <v>2.1652873846153842</v>
      </c>
      <c r="I86" s="135"/>
      <c r="J86" s="136">
        <f t="shared" si="35"/>
        <v>7.7307526153846151</v>
      </c>
      <c r="K86" s="137"/>
      <c r="L86" s="138">
        <f t="shared" si="36"/>
        <v>0.43305747692307672</v>
      </c>
      <c r="M86" s="137"/>
      <c r="N86" s="139">
        <f t="shared" si="37"/>
        <v>0</v>
      </c>
      <c r="O86" s="137"/>
      <c r="P86" s="140">
        <f t="shared" si="38"/>
        <v>0</v>
      </c>
      <c r="Q86" s="135"/>
      <c r="R86" s="104">
        <f t="shared" si="39"/>
        <v>1.7322299076923073</v>
      </c>
      <c r="S86" s="137"/>
      <c r="T86" s="141">
        <f t="shared" si="40"/>
        <v>0.43305747692307672</v>
      </c>
      <c r="U86" s="199">
        <f t="shared" si="41"/>
        <v>8.1638100923076919</v>
      </c>
      <c r="V86" s="37" t="str">
        <f t="shared" si="42"/>
        <v>ok</v>
      </c>
      <c r="W86" s="37" t="str">
        <f t="shared" si="43"/>
        <v>ok</v>
      </c>
    </row>
    <row r="87" spans="1:23" x14ac:dyDescent="0.25">
      <c r="A87" s="426"/>
      <c r="B87" s="178" t="s">
        <v>21</v>
      </c>
      <c r="C87" s="129">
        <v>25</v>
      </c>
      <c r="D87" s="130">
        <f>'2.4.5.3 Emplois ETP  base a'!D87*12</f>
        <v>5.7020040000000005</v>
      </c>
      <c r="E87" s="131">
        <f>'2.4.5.3 Emplois ETP  base a'!E87*12</f>
        <v>1.0260258461538461</v>
      </c>
      <c r="F87" s="132">
        <f t="shared" si="32"/>
        <v>0.82082067692307692</v>
      </c>
      <c r="G87" s="133">
        <f t="shared" si="33"/>
        <v>0.20520516923076917</v>
      </c>
      <c r="H87" s="134">
        <f t="shared" si="34"/>
        <v>1.0260258461538461</v>
      </c>
      <c r="I87" s="135"/>
      <c r="J87" s="136">
        <f t="shared" si="35"/>
        <v>4.6759781538461542</v>
      </c>
      <c r="K87" s="137"/>
      <c r="L87" s="138">
        <f t="shared" si="36"/>
        <v>0.20520516923076917</v>
      </c>
      <c r="M87" s="137"/>
      <c r="N87" s="139">
        <f t="shared" si="37"/>
        <v>0</v>
      </c>
      <c r="O87" s="137"/>
      <c r="P87" s="140">
        <f t="shared" si="38"/>
        <v>0</v>
      </c>
      <c r="Q87" s="135"/>
      <c r="R87" s="104">
        <f t="shared" si="39"/>
        <v>0.82082067692307692</v>
      </c>
      <c r="S87" s="137"/>
      <c r="T87" s="141">
        <f t="shared" si="40"/>
        <v>0.20520516923076917</v>
      </c>
      <c r="U87" s="199">
        <f t="shared" si="41"/>
        <v>4.8811833230769235</v>
      </c>
      <c r="V87" s="37" t="str">
        <f t="shared" si="42"/>
        <v>ok</v>
      </c>
      <c r="W87" s="37" t="str">
        <f t="shared" si="43"/>
        <v>ok</v>
      </c>
    </row>
    <row r="88" spans="1:23" x14ac:dyDescent="0.25">
      <c r="A88" s="426"/>
      <c r="B88" s="178" t="s">
        <v>22</v>
      </c>
      <c r="C88" s="129">
        <v>26</v>
      </c>
      <c r="D88" s="130">
        <f>'2.4.5.3 Emplois ETP  base a'!D88*12</f>
        <v>4.6686419999999993</v>
      </c>
      <c r="E88" s="131">
        <f>'2.4.5.3 Emplois ETP  base a'!E88*12</f>
        <v>1.3671138461538461</v>
      </c>
      <c r="F88" s="132">
        <f t="shared" si="32"/>
        <v>1.093691076923077</v>
      </c>
      <c r="G88" s="133">
        <f t="shared" si="33"/>
        <v>0.27342276923076919</v>
      </c>
      <c r="H88" s="134">
        <f t="shared" si="34"/>
        <v>1.3671138461538461</v>
      </c>
      <c r="I88" s="135"/>
      <c r="J88" s="136">
        <f t="shared" si="35"/>
        <v>3.3015281538461529</v>
      </c>
      <c r="K88" s="137"/>
      <c r="L88" s="138">
        <f t="shared" si="36"/>
        <v>0.27342276923076919</v>
      </c>
      <c r="M88" s="137"/>
      <c r="N88" s="139">
        <f t="shared" si="37"/>
        <v>0</v>
      </c>
      <c r="O88" s="137"/>
      <c r="P88" s="140">
        <f t="shared" si="38"/>
        <v>0</v>
      </c>
      <c r="Q88" s="135"/>
      <c r="R88" s="104">
        <f t="shared" si="39"/>
        <v>1.093691076923077</v>
      </c>
      <c r="S88" s="137"/>
      <c r="T88" s="141">
        <f t="shared" si="40"/>
        <v>0.27342276923076919</v>
      </c>
      <c r="U88" s="199">
        <f t="shared" si="41"/>
        <v>3.5749509230769223</v>
      </c>
      <c r="V88" s="37" t="str">
        <f t="shared" si="42"/>
        <v>ok</v>
      </c>
      <c r="W88" s="37" t="str">
        <f t="shared" si="43"/>
        <v>ok</v>
      </c>
    </row>
    <row r="89" spans="1:23" x14ac:dyDescent="0.25">
      <c r="A89" s="426"/>
      <c r="B89" s="178" t="s">
        <v>23</v>
      </c>
      <c r="C89" s="129">
        <v>27</v>
      </c>
      <c r="D89" s="130">
        <f>'2.4.5.3 Emplois ETP  base a'!D89*12</f>
        <v>8.7684300000000004</v>
      </c>
      <c r="E89" s="131">
        <f>'2.4.5.3 Emplois ETP  base a'!E89*12</f>
        <v>2.1652873846153842</v>
      </c>
      <c r="F89" s="132">
        <f t="shared" si="32"/>
        <v>1.7322299076923073</v>
      </c>
      <c r="G89" s="133">
        <f t="shared" si="33"/>
        <v>0.43305747692307672</v>
      </c>
      <c r="H89" s="134">
        <f t="shared" si="34"/>
        <v>2.1652873846153842</v>
      </c>
      <c r="I89" s="135"/>
      <c r="J89" s="136">
        <f t="shared" si="35"/>
        <v>6.6031426153846162</v>
      </c>
      <c r="K89" s="137"/>
      <c r="L89" s="138">
        <f t="shared" si="36"/>
        <v>0.43305747692307672</v>
      </c>
      <c r="M89" s="137"/>
      <c r="N89" s="139">
        <f t="shared" si="37"/>
        <v>0</v>
      </c>
      <c r="O89" s="137"/>
      <c r="P89" s="140">
        <f t="shared" si="38"/>
        <v>0</v>
      </c>
      <c r="Q89" s="135"/>
      <c r="R89" s="104">
        <f t="shared" si="39"/>
        <v>1.7322299076923073</v>
      </c>
      <c r="S89" s="137"/>
      <c r="T89" s="141">
        <f t="shared" si="40"/>
        <v>0.43305747692307672</v>
      </c>
      <c r="U89" s="199">
        <f t="shared" si="41"/>
        <v>7.0362000923076931</v>
      </c>
      <c r="V89" s="37" t="str">
        <f t="shared" si="42"/>
        <v>ok</v>
      </c>
      <c r="W89" s="37" t="str">
        <f t="shared" si="43"/>
        <v>ok</v>
      </c>
    </row>
    <row r="90" spans="1:23" ht="15.75" thickBot="1" x14ac:dyDescent="0.3">
      <c r="A90" s="427"/>
      <c r="B90" s="277" t="s">
        <v>19</v>
      </c>
      <c r="C90" s="165">
        <v>30</v>
      </c>
      <c r="D90" s="202">
        <f>'2.4.5.3 Emplois ETP  base a'!D90*12</f>
        <v>14.588244</v>
      </c>
      <c r="E90" s="203">
        <f>'2.4.5.3 Emplois ETP  base a'!E90*12</f>
        <v>4.1427692307692299</v>
      </c>
      <c r="F90" s="204">
        <f t="shared" si="32"/>
        <v>3.3142153846153839</v>
      </c>
      <c r="G90" s="205">
        <f t="shared" si="33"/>
        <v>0.82855384615384575</v>
      </c>
      <c r="H90" s="206">
        <f t="shared" si="34"/>
        <v>4.1427692307692299</v>
      </c>
      <c r="I90" s="207"/>
      <c r="J90" s="208">
        <f t="shared" si="35"/>
        <v>10.445474769230771</v>
      </c>
      <c r="K90" s="209"/>
      <c r="L90" s="210">
        <f t="shared" si="36"/>
        <v>0.82855384615384575</v>
      </c>
      <c r="M90" s="209"/>
      <c r="N90" s="211">
        <f t="shared" si="37"/>
        <v>0</v>
      </c>
      <c r="O90" s="209"/>
      <c r="P90" s="212">
        <f t="shared" si="38"/>
        <v>0</v>
      </c>
      <c r="Q90" s="207"/>
      <c r="R90" s="213">
        <f t="shared" si="39"/>
        <v>3.3142153846153839</v>
      </c>
      <c r="S90" s="209"/>
      <c r="T90" s="214">
        <f t="shared" si="40"/>
        <v>0.82855384615384575</v>
      </c>
      <c r="U90" s="215">
        <f t="shared" si="41"/>
        <v>11.274028615384616</v>
      </c>
      <c r="V90" s="37" t="str">
        <f t="shared" si="42"/>
        <v>ok</v>
      </c>
      <c r="W90" s="37" t="str">
        <f t="shared" si="43"/>
        <v>ok</v>
      </c>
    </row>
    <row r="91" spans="1:23" x14ac:dyDescent="0.25">
      <c r="A91" s="425" t="s">
        <v>93</v>
      </c>
      <c r="B91" s="276" t="s">
        <v>20</v>
      </c>
      <c r="C91" s="247">
        <v>1</v>
      </c>
      <c r="D91" s="184">
        <f>'2.4.5.3 Emplois ETP  base a'!D91*12</f>
        <v>7.7334575769230769</v>
      </c>
      <c r="E91" s="185">
        <f>'2.4.5.3 Emplois ETP  base a'!E91*12</f>
        <v>3.9167999999999994</v>
      </c>
      <c r="F91" s="186">
        <f t="shared" si="32"/>
        <v>3.1334399999999998</v>
      </c>
      <c r="G91" s="187">
        <f t="shared" si="33"/>
        <v>0.78335999999999972</v>
      </c>
      <c r="H91" s="188">
        <f>IF(E91&gt;D91,D91,E91)</f>
        <v>3.9167999999999994</v>
      </c>
      <c r="I91" s="189"/>
      <c r="J91" s="190">
        <f>IF(E91&gt;D91,0,D91-E91)</f>
        <v>3.8166575769230775</v>
      </c>
      <c r="K91" s="191"/>
      <c r="L91" s="192">
        <f>IF(E91&gt;D91,IF(F91&gt;H91,0,H91-F91),G91)</f>
        <v>0.78335999999999972</v>
      </c>
      <c r="M91" s="191"/>
      <c r="N91" s="193">
        <f>IF(E91&gt;D91,IF(F91&gt;H91,F91-H91,0),0)</f>
        <v>0</v>
      </c>
      <c r="O91" s="191"/>
      <c r="P91" s="194">
        <f>IF(E91&gt;D91,IF(F91&gt;H91,G91,E91-H91),0)</f>
        <v>0</v>
      </c>
      <c r="Q91" s="189"/>
      <c r="R91" s="195">
        <f>H91-L91</f>
        <v>3.1334399999999998</v>
      </c>
      <c r="S91" s="191"/>
      <c r="T91" s="196">
        <f>L91+N91+P91</f>
        <v>0.78335999999999972</v>
      </c>
      <c r="U91" s="197">
        <f>J91+L91</f>
        <v>4.6000175769230776</v>
      </c>
      <c r="V91" s="37" t="str">
        <f>IF(R91+T91=E91,"ok","bad")</f>
        <v>ok</v>
      </c>
      <c r="W91" s="37" t="str">
        <f>IF(U91+R91=D91,"ok","bad")</f>
        <v>ok</v>
      </c>
    </row>
    <row r="92" spans="1:23" x14ac:dyDescent="0.25">
      <c r="A92" s="426"/>
      <c r="B92" s="178" t="s">
        <v>21</v>
      </c>
      <c r="C92" s="129">
        <v>2</v>
      </c>
      <c r="D92" s="130">
        <f>'2.4.5.3 Emplois ETP  base a'!D92*12</f>
        <v>6.0723228461538472</v>
      </c>
      <c r="E92" s="131">
        <f>'2.4.5.3 Emplois ETP  base a'!E92*12</f>
        <v>2.8723199999999998</v>
      </c>
      <c r="F92" s="132">
        <f t="shared" si="32"/>
        <v>2.2978559999999999</v>
      </c>
      <c r="G92" s="133">
        <f t="shared" si="33"/>
        <v>0.57446399999999986</v>
      </c>
      <c r="H92" s="134">
        <f t="shared" ref="H92:H113" si="44">IF(E92&gt;D92,D92,E92)</f>
        <v>2.8723199999999998</v>
      </c>
      <c r="I92" s="135"/>
      <c r="J92" s="136">
        <f t="shared" ref="J92:J113" si="45">IF(E92&gt;D92,0,D92-E92)</f>
        <v>3.2000028461538474</v>
      </c>
      <c r="K92" s="137"/>
      <c r="L92" s="138">
        <f t="shared" ref="L92:L113" si="46">IF(E92&gt;D92,IF(F92&gt;H92,0,H92-F92),G92)</f>
        <v>0.57446399999999986</v>
      </c>
      <c r="M92" s="137"/>
      <c r="N92" s="139">
        <f t="shared" ref="N92:N113" si="47">IF(E92&gt;D92,IF(F92&gt;H92,F92-H92,0),0)</f>
        <v>0</v>
      </c>
      <c r="O92" s="137"/>
      <c r="P92" s="140">
        <f t="shared" ref="P92:P113" si="48">IF(E92&gt;D92,IF(F92&gt;H92,G92,E92-H92),0)</f>
        <v>0</v>
      </c>
      <c r="Q92" s="135"/>
      <c r="R92" s="104">
        <f t="shared" ref="R92:R113" si="49">H92-L92</f>
        <v>2.2978559999999999</v>
      </c>
      <c r="S92" s="137"/>
      <c r="T92" s="141">
        <f t="shared" ref="T92:T113" si="50">L92+N92+P92</f>
        <v>0.57446399999999986</v>
      </c>
      <c r="U92" s="199">
        <f t="shared" ref="U92:U113" si="51">J92+L92</f>
        <v>3.7744668461538473</v>
      </c>
      <c r="V92" s="37" t="str">
        <f t="shared" ref="V92:V113" si="52">IF(R92+T92=E92,"ok","bad")</f>
        <v>ok</v>
      </c>
      <c r="W92" s="37" t="str">
        <f t="shared" ref="W92:W113" si="53">IF(U92+R92=D92,"ok","bad")</f>
        <v>ok</v>
      </c>
    </row>
    <row r="93" spans="1:23" x14ac:dyDescent="0.25">
      <c r="A93" s="426"/>
      <c r="B93" s="178" t="s">
        <v>22</v>
      </c>
      <c r="C93" s="129">
        <v>3</v>
      </c>
      <c r="D93" s="130">
        <f>'2.4.5.3 Emplois ETP  base a'!D93*12</f>
        <v>2.6561074615384612</v>
      </c>
      <c r="E93" s="131">
        <f>'2.4.5.3 Emplois ETP  base a'!E93*12</f>
        <v>1.1750400000000001</v>
      </c>
      <c r="F93" s="132">
        <f t="shared" si="32"/>
        <v>0.94003200000000009</v>
      </c>
      <c r="G93" s="133">
        <f t="shared" si="33"/>
        <v>0.23500799999999997</v>
      </c>
      <c r="H93" s="134">
        <f t="shared" si="44"/>
        <v>1.1750400000000001</v>
      </c>
      <c r="I93" s="135"/>
      <c r="J93" s="136">
        <f t="shared" si="45"/>
        <v>1.4810674615384611</v>
      </c>
      <c r="K93" s="137"/>
      <c r="L93" s="138">
        <f t="shared" si="46"/>
        <v>0.23500799999999997</v>
      </c>
      <c r="M93" s="137"/>
      <c r="N93" s="139">
        <f t="shared" si="47"/>
        <v>0</v>
      </c>
      <c r="O93" s="137"/>
      <c r="P93" s="140">
        <f t="shared" si="48"/>
        <v>0</v>
      </c>
      <c r="Q93" s="135"/>
      <c r="R93" s="104">
        <f t="shared" si="49"/>
        <v>0.94003200000000009</v>
      </c>
      <c r="S93" s="137"/>
      <c r="T93" s="141">
        <f t="shared" si="50"/>
        <v>0.23500799999999997</v>
      </c>
      <c r="U93" s="199">
        <f t="shared" si="51"/>
        <v>1.716075461538461</v>
      </c>
      <c r="V93" s="37" t="str">
        <f t="shared" si="52"/>
        <v>ok</v>
      </c>
      <c r="W93" s="37" t="str">
        <f t="shared" si="53"/>
        <v>ok</v>
      </c>
    </row>
    <row r="94" spans="1:23" x14ac:dyDescent="0.25">
      <c r="A94" s="426"/>
      <c r="B94" s="178" t="s">
        <v>23</v>
      </c>
      <c r="C94" s="129">
        <v>4</v>
      </c>
      <c r="D94" s="130">
        <f>'2.4.5.3 Emplois ETP  base a'!D94*12</f>
        <v>1.8532968461538462</v>
      </c>
      <c r="E94" s="131">
        <f>'2.4.5.3 Emplois ETP  base a'!E94*12</f>
        <v>1.7625599999999997</v>
      </c>
      <c r="F94" s="132">
        <f t="shared" si="32"/>
        <v>1.4100479999999997</v>
      </c>
      <c r="G94" s="133">
        <f t="shared" si="33"/>
        <v>0.35251199999999988</v>
      </c>
      <c r="H94" s="134">
        <f t="shared" si="44"/>
        <v>1.7625599999999997</v>
      </c>
      <c r="I94" s="135"/>
      <c r="J94" s="136">
        <f t="shared" si="45"/>
        <v>9.0736846153846473E-2</v>
      </c>
      <c r="K94" s="137"/>
      <c r="L94" s="138">
        <f t="shared" si="46"/>
        <v>0.35251199999999988</v>
      </c>
      <c r="M94" s="137"/>
      <c r="N94" s="139">
        <f t="shared" si="47"/>
        <v>0</v>
      </c>
      <c r="O94" s="137"/>
      <c r="P94" s="140">
        <f t="shared" si="48"/>
        <v>0</v>
      </c>
      <c r="Q94" s="135"/>
      <c r="R94" s="104">
        <f t="shared" si="49"/>
        <v>1.4100479999999997</v>
      </c>
      <c r="S94" s="137"/>
      <c r="T94" s="141">
        <f t="shared" si="50"/>
        <v>0.35251199999999988</v>
      </c>
      <c r="U94" s="199">
        <f t="shared" si="51"/>
        <v>0.44324884615384635</v>
      </c>
      <c r="V94" s="37" t="str">
        <f t="shared" si="52"/>
        <v>ok</v>
      </c>
      <c r="W94" s="37" t="str">
        <f t="shared" si="53"/>
        <v>ok</v>
      </c>
    </row>
    <row r="95" spans="1:23" x14ac:dyDescent="0.25">
      <c r="A95" s="426"/>
      <c r="B95" s="178" t="s">
        <v>19</v>
      </c>
      <c r="C95" s="129">
        <v>7</v>
      </c>
      <c r="D95" s="130">
        <f>'2.4.5.3 Emplois ETP  base a'!D95*12</f>
        <v>3.8432423076923072</v>
      </c>
      <c r="E95" s="131">
        <f>'2.4.5.3 Emplois ETP  base a'!E95*12</f>
        <v>2.8723199999999998</v>
      </c>
      <c r="F95" s="132">
        <f t="shared" si="32"/>
        <v>2.2978559999999999</v>
      </c>
      <c r="G95" s="133">
        <f t="shared" si="33"/>
        <v>0.57446399999999986</v>
      </c>
      <c r="H95" s="134">
        <f t="shared" si="44"/>
        <v>2.8723199999999998</v>
      </c>
      <c r="I95" s="135"/>
      <c r="J95" s="136">
        <f t="shared" si="45"/>
        <v>0.97092230769230747</v>
      </c>
      <c r="K95" s="137"/>
      <c r="L95" s="138">
        <f t="shared" si="46"/>
        <v>0.57446399999999986</v>
      </c>
      <c r="M95" s="137"/>
      <c r="N95" s="139">
        <f t="shared" si="47"/>
        <v>0</v>
      </c>
      <c r="O95" s="137"/>
      <c r="P95" s="140">
        <f t="shared" si="48"/>
        <v>0</v>
      </c>
      <c r="Q95" s="135"/>
      <c r="R95" s="104">
        <f t="shared" si="49"/>
        <v>2.2978559999999999</v>
      </c>
      <c r="S95" s="137"/>
      <c r="T95" s="141">
        <f t="shared" si="50"/>
        <v>0.57446399999999986</v>
      </c>
      <c r="U95" s="199">
        <f t="shared" si="51"/>
        <v>1.5453863076923073</v>
      </c>
      <c r="V95" s="37" t="str">
        <f t="shared" si="52"/>
        <v>ok</v>
      </c>
      <c r="W95" s="37" t="str">
        <f t="shared" si="53"/>
        <v>ok</v>
      </c>
    </row>
    <row r="96" spans="1:23" x14ac:dyDescent="0.25">
      <c r="A96" s="426"/>
      <c r="B96" s="178" t="s">
        <v>20</v>
      </c>
      <c r="C96" s="129">
        <v>8</v>
      </c>
      <c r="D96" s="130">
        <f>'2.4.5.3 Emplois ETP  base a'!D96*12</f>
        <v>12.341078076923077</v>
      </c>
      <c r="E96" s="131">
        <f>'2.4.5.3 Emplois ETP  base a'!E96*12</f>
        <v>2.0086153846153847</v>
      </c>
      <c r="F96" s="132">
        <f t="shared" si="32"/>
        <v>1.6068923076923078</v>
      </c>
      <c r="G96" s="133">
        <f t="shared" si="33"/>
        <v>0.40172307692307685</v>
      </c>
      <c r="H96" s="134">
        <f t="shared" si="44"/>
        <v>2.0086153846153847</v>
      </c>
      <c r="I96" s="135"/>
      <c r="J96" s="136">
        <f t="shared" si="45"/>
        <v>10.332462692307693</v>
      </c>
      <c r="K96" s="137"/>
      <c r="L96" s="138">
        <f t="shared" si="46"/>
        <v>0.40172307692307685</v>
      </c>
      <c r="M96" s="137"/>
      <c r="N96" s="139">
        <f t="shared" si="47"/>
        <v>0</v>
      </c>
      <c r="O96" s="137"/>
      <c r="P96" s="140">
        <f t="shared" si="48"/>
        <v>0</v>
      </c>
      <c r="Q96" s="135"/>
      <c r="R96" s="104">
        <f t="shared" si="49"/>
        <v>1.6068923076923078</v>
      </c>
      <c r="S96" s="137"/>
      <c r="T96" s="141">
        <f t="shared" si="50"/>
        <v>0.40172307692307685</v>
      </c>
      <c r="U96" s="199">
        <f t="shared" si="51"/>
        <v>10.73418576923077</v>
      </c>
      <c r="V96" s="37" t="str">
        <f t="shared" si="52"/>
        <v>ok</v>
      </c>
      <c r="W96" s="37" t="str">
        <f t="shared" si="53"/>
        <v>ok</v>
      </c>
    </row>
    <row r="97" spans="1:23" x14ac:dyDescent="0.25">
      <c r="A97" s="426"/>
      <c r="B97" s="178" t="s">
        <v>21</v>
      </c>
      <c r="C97" s="129">
        <v>9</v>
      </c>
      <c r="D97" s="130">
        <f>'2.4.5.3 Emplois ETP  base a'!D97*12</f>
        <v>10.009511076923076</v>
      </c>
      <c r="E97" s="131">
        <f>'2.4.5.3 Emplois ETP  base a'!E97*12</f>
        <v>2.0588307692307692</v>
      </c>
      <c r="F97" s="132">
        <f t="shared" si="32"/>
        <v>1.6470646153846156</v>
      </c>
      <c r="G97" s="133">
        <f t="shared" si="33"/>
        <v>0.41176615384615378</v>
      </c>
      <c r="H97" s="134">
        <f t="shared" si="44"/>
        <v>2.0588307692307692</v>
      </c>
      <c r="I97" s="135"/>
      <c r="J97" s="136">
        <f t="shared" si="45"/>
        <v>7.9506803076923065</v>
      </c>
      <c r="K97" s="137"/>
      <c r="L97" s="138">
        <f t="shared" si="46"/>
        <v>0.41176615384615378</v>
      </c>
      <c r="M97" s="137"/>
      <c r="N97" s="139">
        <f t="shared" si="47"/>
        <v>0</v>
      </c>
      <c r="O97" s="137"/>
      <c r="P97" s="140">
        <f t="shared" si="48"/>
        <v>0</v>
      </c>
      <c r="Q97" s="135"/>
      <c r="R97" s="104">
        <f t="shared" si="49"/>
        <v>1.6470646153846156</v>
      </c>
      <c r="S97" s="137"/>
      <c r="T97" s="141">
        <f t="shared" si="50"/>
        <v>0.41176615384615378</v>
      </c>
      <c r="U97" s="199">
        <f t="shared" si="51"/>
        <v>8.3624464615384611</v>
      </c>
      <c r="V97" s="37" t="str">
        <f t="shared" si="52"/>
        <v>ok</v>
      </c>
      <c r="W97" s="37" t="str">
        <f t="shared" si="53"/>
        <v>ok</v>
      </c>
    </row>
    <row r="98" spans="1:23" x14ac:dyDescent="0.25">
      <c r="A98" s="426"/>
      <c r="B98" s="178" t="s">
        <v>22</v>
      </c>
      <c r="C98" s="129">
        <v>10</v>
      </c>
      <c r="D98" s="130">
        <f>'2.4.5.3 Emplois ETP  base a'!D98*12</f>
        <v>5.7862148076923079</v>
      </c>
      <c r="E98" s="131">
        <f>'2.4.5.3 Emplois ETP  base a'!E98*12</f>
        <v>1.1047384615384614</v>
      </c>
      <c r="F98" s="132">
        <f t="shared" si="32"/>
        <v>0.88379076923076916</v>
      </c>
      <c r="G98" s="133">
        <f t="shared" si="33"/>
        <v>0.22094769230769223</v>
      </c>
      <c r="H98" s="134">
        <f t="shared" si="44"/>
        <v>1.1047384615384614</v>
      </c>
      <c r="I98" s="135"/>
      <c r="J98" s="136">
        <f t="shared" si="45"/>
        <v>4.6814763461538469</v>
      </c>
      <c r="K98" s="137"/>
      <c r="L98" s="138">
        <f t="shared" si="46"/>
        <v>0.22094769230769223</v>
      </c>
      <c r="M98" s="137"/>
      <c r="N98" s="139">
        <f t="shared" si="47"/>
        <v>0</v>
      </c>
      <c r="O98" s="137"/>
      <c r="P98" s="140">
        <f t="shared" si="48"/>
        <v>0</v>
      </c>
      <c r="Q98" s="135"/>
      <c r="R98" s="104">
        <f t="shared" si="49"/>
        <v>0.88379076923076916</v>
      </c>
      <c r="S98" s="137"/>
      <c r="T98" s="141">
        <f t="shared" si="50"/>
        <v>0.22094769230769223</v>
      </c>
      <c r="U98" s="199">
        <f t="shared" si="51"/>
        <v>4.9024240384615387</v>
      </c>
      <c r="V98" s="37" t="str">
        <f t="shared" si="52"/>
        <v>ok</v>
      </c>
      <c r="W98" s="37" t="str">
        <f t="shared" si="53"/>
        <v>ok</v>
      </c>
    </row>
    <row r="99" spans="1:23" x14ac:dyDescent="0.25">
      <c r="A99" s="426"/>
      <c r="B99" s="178" t="s">
        <v>23</v>
      </c>
      <c r="C99" s="129">
        <v>11</v>
      </c>
      <c r="D99" s="130">
        <f>'2.4.5.3 Emplois ETP  base a'!D99*12</f>
        <v>4.6716745384615379</v>
      </c>
      <c r="E99" s="131">
        <f>'2.4.5.3 Emplois ETP  base a'!E99*12</f>
        <v>1.4060307692307692</v>
      </c>
      <c r="F99" s="132">
        <f t="shared" si="32"/>
        <v>1.1248246153846153</v>
      </c>
      <c r="G99" s="133">
        <f t="shared" si="33"/>
        <v>0.28120615384615377</v>
      </c>
      <c r="H99" s="134">
        <f t="shared" si="44"/>
        <v>1.4060307692307692</v>
      </c>
      <c r="I99" s="135"/>
      <c r="J99" s="136">
        <f t="shared" si="45"/>
        <v>3.2656437692307687</v>
      </c>
      <c r="K99" s="137"/>
      <c r="L99" s="138">
        <f t="shared" si="46"/>
        <v>0.28120615384615377</v>
      </c>
      <c r="M99" s="137"/>
      <c r="N99" s="139">
        <f t="shared" si="47"/>
        <v>0</v>
      </c>
      <c r="O99" s="137"/>
      <c r="P99" s="140">
        <f t="shared" si="48"/>
        <v>0</v>
      </c>
      <c r="Q99" s="135"/>
      <c r="R99" s="104">
        <f t="shared" si="49"/>
        <v>1.1248246153846155</v>
      </c>
      <c r="S99" s="137"/>
      <c r="T99" s="141">
        <f t="shared" si="50"/>
        <v>0.28120615384615377</v>
      </c>
      <c r="U99" s="199">
        <f t="shared" si="51"/>
        <v>3.5468499230769224</v>
      </c>
      <c r="V99" s="37" t="str">
        <f t="shared" si="52"/>
        <v>ok</v>
      </c>
      <c r="W99" s="37" t="str">
        <f t="shared" si="53"/>
        <v>ok</v>
      </c>
    </row>
    <row r="100" spans="1:23" x14ac:dyDescent="0.25">
      <c r="A100" s="426"/>
      <c r="B100" s="178" t="s">
        <v>19</v>
      </c>
      <c r="C100" s="129">
        <v>14</v>
      </c>
      <c r="D100" s="130">
        <f>'2.4.5.3 Emplois ETP  base a'!D100*12</f>
        <v>8.8992410769230759</v>
      </c>
      <c r="E100" s="131">
        <f>'2.4.5.3 Emplois ETP  base a'!E100*12</f>
        <v>1.9081846153846151</v>
      </c>
      <c r="F100" s="132">
        <f t="shared" si="32"/>
        <v>1.5265476923076922</v>
      </c>
      <c r="G100" s="133">
        <f t="shared" si="33"/>
        <v>0.38163692307692293</v>
      </c>
      <c r="H100" s="134">
        <f t="shared" si="44"/>
        <v>1.9081846153846151</v>
      </c>
      <c r="I100" s="135"/>
      <c r="J100" s="136">
        <f t="shared" si="45"/>
        <v>6.9910564615384612</v>
      </c>
      <c r="K100" s="137"/>
      <c r="L100" s="138">
        <f t="shared" si="46"/>
        <v>0.38163692307692293</v>
      </c>
      <c r="M100" s="137"/>
      <c r="N100" s="139">
        <f t="shared" si="47"/>
        <v>0</v>
      </c>
      <c r="O100" s="137"/>
      <c r="P100" s="140">
        <f t="shared" si="48"/>
        <v>0</v>
      </c>
      <c r="Q100" s="135"/>
      <c r="R100" s="104">
        <f t="shared" si="49"/>
        <v>1.5265476923076922</v>
      </c>
      <c r="S100" s="137"/>
      <c r="T100" s="141">
        <f t="shared" si="50"/>
        <v>0.38163692307692293</v>
      </c>
      <c r="U100" s="199">
        <f t="shared" si="51"/>
        <v>7.3726933846153839</v>
      </c>
      <c r="V100" s="37" t="str">
        <f t="shared" si="52"/>
        <v>ok</v>
      </c>
      <c r="W100" s="37" t="str">
        <f t="shared" si="53"/>
        <v>ok</v>
      </c>
    </row>
    <row r="101" spans="1:23" x14ac:dyDescent="0.25">
      <c r="A101" s="426"/>
      <c r="B101" s="178" t="s">
        <v>20</v>
      </c>
      <c r="C101" s="129">
        <v>15</v>
      </c>
      <c r="D101" s="130">
        <f>'2.4.5.3 Emplois ETP  base a'!D101*12</f>
        <v>7.7334575769230769</v>
      </c>
      <c r="E101" s="131">
        <f>'2.4.5.3 Emplois ETP  base a'!E101*12</f>
        <v>3.012923076923077</v>
      </c>
      <c r="F101" s="132">
        <f t="shared" si="32"/>
        <v>2.410338461538462</v>
      </c>
      <c r="G101" s="133">
        <f t="shared" si="33"/>
        <v>0.60258461538461527</v>
      </c>
      <c r="H101" s="134">
        <f t="shared" si="44"/>
        <v>3.012923076923077</v>
      </c>
      <c r="I101" s="135"/>
      <c r="J101" s="136">
        <f t="shared" si="45"/>
        <v>4.7205344999999994</v>
      </c>
      <c r="K101" s="137"/>
      <c r="L101" s="138">
        <f t="shared" si="46"/>
        <v>0.60258461538461527</v>
      </c>
      <c r="M101" s="137"/>
      <c r="N101" s="139">
        <f t="shared" si="47"/>
        <v>0</v>
      </c>
      <c r="O101" s="137"/>
      <c r="P101" s="140">
        <f t="shared" si="48"/>
        <v>0</v>
      </c>
      <c r="Q101" s="135"/>
      <c r="R101" s="104">
        <f t="shared" si="49"/>
        <v>2.410338461538462</v>
      </c>
      <c r="S101" s="137"/>
      <c r="T101" s="141">
        <f t="shared" si="50"/>
        <v>0.60258461538461527</v>
      </c>
      <c r="U101" s="199">
        <f t="shared" si="51"/>
        <v>5.3231191153846149</v>
      </c>
      <c r="V101" s="37" t="str">
        <f t="shared" si="52"/>
        <v>ok</v>
      </c>
      <c r="W101" s="37" t="str">
        <f t="shared" si="53"/>
        <v>ok</v>
      </c>
    </row>
    <row r="102" spans="1:23" x14ac:dyDescent="0.25">
      <c r="A102" s="426"/>
      <c r="B102" s="178" t="s">
        <v>21</v>
      </c>
      <c r="C102" s="129">
        <v>16</v>
      </c>
      <c r="D102" s="130">
        <f>'2.4.5.3 Emplois ETP  base a'!D102*12</f>
        <v>6.0723228461538472</v>
      </c>
      <c r="E102" s="131">
        <f>'2.4.5.3 Emplois ETP  base a'!E102*12</f>
        <v>2.309907692307692</v>
      </c>
      <c r="F102" s="132">
        <f t="shared" si="32"/>
        <v>1.8479261538461538</v>
      </c>
      <c r="G102" s="133">
        <f t="shared" si="33"/>
        <v>0.46198153846153828</v>
      </c>
      <c r="H102" s="134">
        <f t="shared" si="44"/>
        <v>2.309907692307692</v>
      </c>
      <c r="I102" s="135"/>
      <c r="J102" s="136">
        <f t="shared" si="45"/>
        <v>3.7624151538461552</v>
      </c>
      <c r="K102" s="137"/>
      <c r="L102" s="138">
        <f t="shared" si="46"/>
        <v>0.46198153846153828</v>
      </c>
      <c r="M102" s="137"/>
      <c r="N102" s="139">
        <f t="shared" si="47"/>
        <v>0</v>
      </c>
      <c r="O102" s="137"/>
      <c r="P102" s="140">
        <f t="shared" si="48"/>
        <v>0</v>
      </c>
      <c r="Q102" s="135"/>
      <c r="R102" s="104">
        <f t="shared" si="49"/>
        <v>1.8479261538461538</v>
      </c>
      <c r="S102" s="137"/>
      <c r="T102" s="141">
        <f t="shared" si="50"/>
        <v>0.46198153846153828</v>
      </c>
      <c r="U102" s="199">
        <f t="shared" si="51"/>
        <v>4.2243966923076934</v>
      </c>
      <c r="V102" s="37" t="str">
        <f t="shared" si="52"/>
        <v>ok</v>
      </c>
      <c r="W102" s="37" t="str">
        <f t="shared" si="53"/>
        <v>ok</v>
      </c>
    </row>
    <row r="103" spans="1:23" x14ac:dyDescent="0.25">
      <c r="A103" s="426"/>
      <c r="B103" s="178" t="s">
        <v>22</v>
      </c>
      <c r="C103" s="129">
        <v>17</v>
      </c>
      <c r="D103" s="130">
        <f>'2.4.5.3 Emplois ETP  base a'!D103*12</f>
        <v>2.6561074615384612</v>
      </c>
      <c r="E103" s="131">
        <f>'2.4.5.3 Emplois ETP  base a'!E103*12</f>
        <v>1.1047384615384614</v>
      </c>
      <c r="F103" s="132">
        <f t="shared" si="32"/>
        <v>0.88379076923076916</v>
      </c>
      <c r="G103" s="133">
        <f t="shared" si="33"/>
        <v>0.22094769230769223</v>
      </c>
      <c r="H103" s="134">
        <f t="shared" si="44"/>
        <v>1.1047384615384614</v>
      </c>
      <c r="I103" s="135"/>
      <c r="J103" s="136">
        <f t="shared" si="45"/>
        <v>1.5513689999999998</v>
      </c>
      <c r="K103" s="137"/>
      <c r="L103" s="138">
        <f t="shared" si="46"/>
        <v>0.22094769230769223</v>
      </c>
      <c r="M103" s="137"/>
      <c r="N103" s="139">
        <f t="shared" si="47"/>
        <v>0</v>
      </c>
      <c r="O103" s="137"/>
      <c r="P103" s="140">
        <f t="shared" si="48"/>
        <v>0</v>
      </c>
      <c r="Q103" s="135"/>
      <c r="R103" s="104">
        <f t="shared" si="49"/>
        <v>0.88379076923076916</v>
      </c>
      <c r="S103" s="137"/>
      <c r="T103" s="141">
        <f t="shared" si="50"/>
        <v>0.22094769230769223</v>
      </c>
      <c r="U103" s="199">
        <f t="shared" si="51"/>
        <v>1.7723166923076921</v>
      </c>
      <c r="V103" s="37" t="str">
        <f t="shared" si="52"/>
        <v>ok</v>
      </c>
      <c r="W103" s="37" t="str">
        <f t="shared" si="53"/>
        <v>ok</v>
      </c>
    </row>
    <row r="104" spans="1:23" x14ac:dyDescent="0.25">
      <c r="A104" s="426"/>
      <c r="B104" s="178" t="s">
        <v>23</v>
      </c>
      <c r="C104" s="129">
        <v>18</v>
      </c>
      <c r="D104" s="130">
        <f>'2.4.5.3 Emplois ETP  base a'!D104*12</f>
        <v>1.8532968461538462</v>
      </c>
      <c r="E104" s="131">
        <f>'2.4.5.3 Emplois ETP  base a'!E104*12</f>
        <v>1.8579692307692306</v>
      </c>
      <c r="F104" s="132">
        <f t="shared" si="32"/>
        <v>1.4863753846153847</v>
      </c>
      <c r="G104" s="133">
        <f t="shared" si="33"/>
        <v>0.37159384615384605</v>
      </c>
      <c r="H104" s="134">
        <f t="shared" si="44"/>
        <v>1.8532968461538462</v>
      </c>
      <c r="I104" s="135"/>
      <c r="J104" s="136">
        <f t="shared" si="45"/>
        <v>0</v>
      </c>
      <c r="K104" s="137"/>
      <c r="L104" s="138">
        <f t="shared" si="46"/>
        <v>0.3669214615384615</v>
      </c>
      <c r="M104" s="137"/>
      <c r="N104" s="139">
        <f t="shared" si="47"/>
        <v>0</v>
      </c>
      <c r="O104" s="137"/>
      <c r="P104" s="140">
        <f t="shared" si="48"/>
        <v>4.6723846153844395E-3</v>
      </c>
      <c r="Q104" s="135"/>
      <c r="R104" s="104">
        <f t="shared" si="49"/>
        <v>1.4863753846153847</v>
      </c>
      <c r="S104" s="137"/>
      <c r="T104" s="141">
        <f t="shared" si="50"/>
        <v>0.37159384615384594</v>
      </c>
      <c r="U104" s="199">
        <f t="shared" si="51"/>
        <v>0.3669214615384615</v>
      </c>
      <c r="V104" s="37" t="str">
        <f t="shared" si="52"/>
        <v>ok</v>
      </c>
      <c r="W104" s="37" t="str">
        <f t="shared" si="53"/>
        <v>ok</v>
      </c>
    </row>
    <row r="105" spans="1:23" x14ac:dyDescent="0.25">
      <c r="A105" s="426"/>
      <c r="B105" s="178" t="s">
        <v>19</v>
      </c>
      <c r="C105" s="129">
        <v>21</v>
      </c>
      <c r="D105" s="130">
        <f>'2.4.5.3 Emplois ETP  base a'!D105*12</f>
        <v>3.8432423076923072</v>
      </c>
      <c r="E105" s="131">
        <f>'2.4.5.3 Emplois ETP  base a'!E105*12</f>
        <v>2.2094769230769229</v>
      </c>
      <c r="F105" s="132">
        <f t="shared" si="32"/>
        <v>1.7675815384615383</v>
      </c>
      <c r="G105" s="133">
        <f t="shared" si="33"/>
        <v>0.44189538461538447</v>
      </c>
      <c r="H105" s="134">
        <f t="shared" si="44"/>
        <v>2.2094769230769229</v>
      </c>
      <c r="I105" s="135"/>
      <c r="J105" s="136">
        <f t="shared" si="45"/>
        <v>1.6337653846153843</v>
      </c>
      <c r="K105" s="137"/>
      <c r="L105" s="138">
        <f t="shared" si="46"/>
        <v>0.44189538461538447</v>
      </c>
      <c r="M105" s="137"/>
      <c r="N105" s="139">
        <f t="shared" si="47"/>
        <v>0</v>
      </c>
      <c r="O105" s="137"/>
      <c r="P105" s="140">
        <f t="shared" si="48"/>
        <v>0</v>
      </c>
      <c r="Q105" s="135"/>
      <c r="R105" s="104">
        <f t="shared" si="49"/>
        <v>1.7675815384615383</v>
      </c>
      <c r="S105" s="137"/>
      <c r="T105" s="141">
        <f t="shared" si="50"/>
        <v>0.44189538461538447</v>
      </c>
      <c r="U105" s="199">
        <f t="shared" si="51"/>
        <v>2.0756607692307689</v>
      </c>
      <c r="V105" s="37" t="str">
        <f t="shared" si="52"/>
        <v>ok</v>
      </c>
      <c r="W105" s="37" t="str">
        <f t="shared" si="53"/>
        <v>ok</v>
      </c>
    </row>
    <row r="106" spans="1:23" x14ac:dyDescent="0.25">
      <c r="A106" s="426"/>
      <c r="B106" s="178" t="s">
        <v>20</v>
      </c>
      <c r="C106" s="129">
        <v>22</v>
      </c>
      <c r="D106" s="130">
        <f>'2.4.5.3 Emplois ETP  base a'!D106*12</f>
        <v>15.42421246153846</v>
      </c>
      <c r="E106" s="131">
        <f>'2.4.5.3 Emplois ETP  base a'!E106*12</f>
        <v>2.4856615384615388</v>
      </c>
      <c r="F106" s="132">
        <f t="shared" si="32"/>
        <v>1.988529230769231</v>
      </c>
      <c r="G106" s="133">
        <f t="shared" si="33"/>
        <v>0.49713230769230765</v>
      </c>
      <c r="H106" s="134">
        <f t="shared" si="44"/>
        <v>2.4856615384615388</v>
      </c>
      <c r="I106" s="135"/>
      <c r="J106" s="136">
        <f t="shared" si="45"/>
        <v>12.938550923076921</v>
      </c>
      <c r="K106" s="137"/>
      <c r="L106" s="138">
        <f t="shared" si="46"/>
        <v>0.49713230769230765</v>
      </c>
      <c r="M106" s="137"/>
      <c r="N106" s="139">
        <f t="shared" si="47"/>
        <v>0</v>
      </c>
      <c r="O106" s="137"/>
      <c r="P106" s="140">
        <f t="shared" si="48"/>
        <v>0</v>
      </c>
      <c r="Q106" s="135"/>
      <c r="R106" s="104">
        <f t="shared" si="49"/>
        <v>1.988529230769231</v>
      </c>
      <c r="S106" s="137"/>
      <c r="T106" s="141">
        <f t="shared" si="50"/>
        <v>0.49713230769230765</v>
      </c>
      <c r="U106" s="199">
        <f t="shared" si="51"/>
        <v>13.435683230769229</v>
      </c>
      <c r="V106" s="37" t="str">
        <f t="shared" si="52"/>
        <v>ok</v>
      </c>
      <c r="W106" s="37" t="str">
        <f t="shared" si="53"/>
        <v>ok</v>
      </c>
    </row>
    <row r="107" spans="1:23" x14ac:dyDescent="0.25">
      <c r="A107" s="426"/>
      <c r="B107" s="178" t="s">
        <v>21</v>
      </c>
      <c r="C107" s="129">
        <v>23</v>
      </c>
      <c r="D107" s="130">
        <f>'2.4.5.3 Emplois ETP  base a'!D107*12</f>
        <v>12.554591538461537</v>
      </c>
      <c r="E107" s="131">
        <f>'2.4.5.3 Emplois ETP  base a'!E107*12</f>
        <v>1.5747544615384614</v>
      </c>
      <c r="F107" s="132">
        <f t="shared" si="32"/>
        <v>1.2598035692307692</v>
      </c>
      <c r="G107" s="133">
        <f t="shared" si="33"/>
        <v>0.31495089230769224</v>
      </c>
      <c r="H107" s="134">
        <f t="shared" si="44"/>
        <v>1.5747544615384614</v>
      </c>
      <c r="I107" s="135"/>
      <c r="J107" s="136">
        <f t="shared" si="45"/>
        <v>10.979837076923076</v>
      </c>
      <c r="K107" s="137"/>
      <c r="L107" s="138">
        <f t="shared" si="46"/>
        <v>0.31495089230769224</v>
      </c>
      <c r="M107" s="137"/>
      <c r="N107" s="139">
        <f t="shared" si="47"/>
        <v>0</v>
      </c>
      <c r="O107" s="137"/>
      <c r="P107" s="140">
        <f t="shared" si="48"/>
        <v>0</v>
      </c>
      <c r="Q107" s="135"/>
      <c r="R107" s="104">
        <f t="shared" si="49"/>
        <v>1.2598035692307692</v>
      </c>
      <c r="S107" s="137"/>
      <c r="T107" s="141">
        <f t="shared" si="50"/>
        <v>0.31495089230769224</v>
      </c>
      <c r="U107" s="199">
        <f t="shared" si="51"/>
        <v>11.294787969230768</v>
      </c>
      <c r="V107" s="37" t="str">
        <f t="shared" si="52"/>
        <v>ok</v>
      </c>
      <c r="W107" s="37" t="str">
        <f t="shared" si="53"/>
        <v>ok</v>
      </c>
    </row>
    <row r="108" spans="1:23" x14ac:dyDescent="0.25">
      <c r="A108" s="426"/>
      <c r="B108" s="178" t="s">
        <v>22</v>
      </c>
      <c r="C108" s="129">
        <v>24</v>
      </c>
      <c r="D108" s="130">
        <f>'2.4.5.3 Emplois ETP  base a'!D108*12</f>
        <v>7.2338360769230778</v>
      </c>
      <c r="E108" s="131">
        <f>'2.4.5.3 Emplois ETP  base a'!E108*12</f>
        <v>0.74620061538461535</v>
      </c>
      <c r="F108" s="132">
        <f t="shared" si="32"/>
        <v>0.59696049230769233</v>
      </c>
      <c r="G108" s="133">
        <f t="shared" si="33"/>
        <v>0.14924012307692303</v>
      </c>
      <c r="H108" s="134">
        <f t="shared" si="44"/>
        <v>0.74620061538461535</v>
      </c>
      <c r="I108" s="135"/>
      <c r="J108" s="136">
        <f t="shared" si="45"/>
        <v>6.4876354615384626</v>
      </c>
      <c r="K108" s="137"/>
      <c r="L108" s="138">
        <f t="shared" si="46"/>
        <v>0.14924012307692303</v>
      </c>
      <c r="M108" s="137"/>
      <c r="N108" s="139">
        <f t="shared" si="47"/>
        <v>0</v>
      </c>
      <c r="O108" s="137"/>
      <c r="P108" s="140">
        <f t="shared" si="48"/>
        <v>0</v>
      </c>
      <c r="Q108" s="135"/>
      <c r="R108" s="104">
        <f t="shared" si="49"/>
        <v>0.59696049230769233</v>
      </c>
      <c r="S108" s="137"/>
      <c r="T108" s="141">
        <f t="shared" si="50"/>
        <v>0.14924012307692303</v>
      </c>
      <c r="U108" s="199">
        <f t="shared" si="51"/>
        <v>6.6368755846153853</v>
      </c>
      <c r="V108" s="37" t="str">
        <f t="shared" si="52"/>
        <v>ok</v>
      </c>
      <c r="W108" s="37" t="str">
        <f t="shared" si="53"/>
        <v>ok</v>
      </c>
    </row>
    <row r="109" spans="1:23" x14ac:dyDescent="0.25">
      <c r="A109" s="426"/>
      <c r="B109" s="178" t="s">
        <v>23</v>
      </c>
      <c r="C109" s="129">
        <v>25</v>
      </c>
      <c r="D109" s="130">
        <f>'2.4.5.3 Emplois ETP  base a'!D109*12</f>
        <v>5.9228634230769224</v>
      </c>
      <c r="E109" s="131">
        <f>'2.4.5.3 Emplois ETP  base a'!E109*12</f>
        <v>0.99426461538461552</v>
      </c>
      <c r="F109" s="132">
        <f t="shared" si="32"/>
        <v>0.79541169230769249</v>
      </c>
      <c r="G109" s="133">
        <f t="shared" si="33"/>
        <v>0.19885292307692307</v>
      </c>
      <c r="H109" s="134">
        <f t="shared" si="44"/>
        <v>0.99426461538461552</v>
      </c>
      <c r="I109" s="135"/>
      <c r="J109" s="136">
        <f t="shared" si="45"/>
        <v>4.9285988076923068</v>
      </c>
      <c r="K109" s="137"/>
      <c r="L109" s="138">
        <f t="shared" si="46"/>
        <v>0.19885292307692307</v>
      </c>
      <c r="M109" s="137"/>
      <c r="N109" s="139">
        <f t="shared" si="47"/>
        <v>0</v>
      </c>
      <c r="O109" s="137"/>
      <c r="P109" s="140">
        <f t="shared" si="48"/>
        <v>0</v>
      </c>
      <c r="Q109" s="135"/>
      <c r="R109" s="104">
        <f t="shared" si="49"/>
        <v>0.79541169230769249</v>
      </c>
      <c r="S109" s="137"/>
      <c r="T109" s="141">
        <f t="shared" si="50"/>
        <v>0.19885292307692307</v>
      </c>
      <c r="U109" s="199">
        <f t="shared" si="51"/>
        <v>5.1274517307692298</v>
      </c>
      <c r="V109" s="37" t="str">
        <f t="shared" si="52"/>
        <v>ok</v>
      </c>
      <c r="W109" s="37" t="str">
        <f t="shared" si="53"/>
        <v>ok</v>
      </c>
    </row>
    <row r="110" spans="1:23" x14ac:dyDescent="0.25">
      <c r="A110" s="426"/>
      <c r="B110" s="178" t="s">
        <v>19</v>
      </c>
      <c r="C110" s="129">
        <v>28</v>
      </c>
      <c r="D110" s="130">
        <f>'2.4.5.3 Emplois ETP  base a'!D110*12</f>
        <v>11.124051346153847</v>
      </c>
      <c r="E110" s="131">
        <f>'2.4.5.3 Emplois ETP  base a'!E110*12</f>
        <v>1.5747544615384614</v>
      </c>
      <c r="F110" s="132">
        <f t="shared" si="32"/>
        <v>1.2598035692307692</v>
      </c>
      <c r="G110" s="133">
        <f t="shared" si="33"/>
        <v>0.31495089230769224</v>
      </c>
      <c r="H110" s="134">
        <f t="shared" si="44"/>
        <v>1.5747544615384614</v>
      </c>
      <c r="I110" s="135"/>
      <c r="J110" s="136">
        <f t="shared" si="45"/>
        <v>9.5492968846153854</v>
      </c>
      <c r="K110" s="137"/>
      <c r="L110" s="138">
        <f t="shared" si="46"/>
        <v>0.31495089230769224</v>
      </c>
      <c r="M110" s="137"/>
      <c r="N110" s="139">
        <f t="shared" si="47"/>
        <v>0</v>
      </c>
      <c r="O110" s="137"/>
      <c r="P110" s="140">
        <f t="shared" si="48"/>
        <v>0</v>
      </c>
      <c r="Q110" s="135"/>
      <c r="R110" s="104">
        <f t="shared" si="49"/>
        <v>1.2598035692307692</v>
      </c>
      <c r="S110" s="137"/>
      <c r="T110" s="141">
        <f t="shared" si="50"/>
        <v>0.31495089230769224</v>
      </c>
      <c r="U110" s="199">
        <f t="shared" si="51"/>
        <v>9.8642477769230776</v>
      </c>
      <c r="V110" s="37" t="str">
        <f t="shared" si="52"/>
        <v>ok</v>
      </c>
      <c r="W110" s="37" t="str">
        <f t="shared" si="53"/>
        <v>ok</v>
      </c>
    </row>
    <row r="111" spans="1:23" x14ac:dyDescent="0.25">
      <c r="A111" s="426"/>
      <c r="B111" s="178" t="s">
        <v>20</v>
      </c>
      <c r="C111" s="129">
        <v>29</v>
      </c>
      <c r="D111" s="130">
        <f>'2.4.5.3 Emplois ETP  base a'!D111*12</f>
        <v>18.507346846153851</v>
      </c>
      <c r="E111" s="131">
        <f>'2.4.5.3 Emplois ETP  base a'!E111*12</f>
        <v>3.012923076923077</v>
      </c>
      <c r="F111" s="132">
        <f t="shared" si="32"/>
        <v>2.410338461538462</v>
      </c>
      <c r="G111" s="133">
        <f t="shared" si="33"/>
        <v>0.60258461538461527</v>
      </c>
      <c r="H111" s="134">
        <f t="shared" si="44"/>
        <v>3.012923076923077</v>
      </c>
      <c r="I111" s="135"/>
      <c r="J111" s="136">
        <f t="shared" si="45"/>
        <v>15.494423769230774</v>
      </c>
      <c r="K111" s="137"/>
      <c r="L111" s="138">
        <f t="shared" si="46"/>
        <v>0.60258461538461527</v>
      </c>
      <c r="M111" s="137"/>
      <c r="N111" s="139">
        <f t="shared" si="47"/>
        <v>0</v>
      </c>
      <c r="O111" s="137"/>
      <c r="P111" s="140">
        <f t="shared" si="48"/>
        <v>0</v>
      </c>
      <c r="Q111" s="135"/>
      <c r="R111" s="104">
        <f t="shared" si="49"/>
        <v>2.410338461538462</v>
      </c>
      <c r="S111" s="137"/>
      <c r="T111" s="141">
        <f t="shared" si="50"/>
        <v>0.60258461538461527</v>
      </c>
      <c r="U111" s="199">
        <f t="shared" si="51"/>
        <v>16.097008384615389</v>
      </c>
      <c r="V111" s="37" t="str">
        <f t="shared" si="52"/>
        <v>ok</v>
      </c>
      <c r="W111" s="37" t="str">
        <f t="shared" si="53"/>
        <v>ok</v>
      </c>
    </row>
    <row r="112" spans="1:23" x14ac:dyDescent="0.25">
      <c r="A112" s="426"/>
      <c r="B112" s="178" t="s">
        <v>21</v>
      </c>
      <c r="C112" s="129">
        <v>30</v>
      </c>
      <c r="D112" s="130">
        <f>'2.4.5.3 Emplois ETP  base a'!D112*12</f>
        <v>15.014266615384614</v>
      </c>
      <c r="E112" s="131">
        <f>'2.4.5.3 Emplois ETP  base a'!E112*12</f>
        <v>2.1090461538461542</v>
      </c>
      <c r="F112" s="132">
        <f t="shared" si="32"/>
        <v>1.6872369230769235</v>
      </c>
      <c r="G112" s="133">
        <f t="shared" si="33"/>
        <v>0.42180923076923077</v>
      </c>
      <c r="H112" s="134">
        <f t="shared" si="44"/>
        <v>2.1090461538461542</v>
      </c>
      <c r="I112" s="135"/>
      <c r="J112" s="136">
        <f t="shared" si="45"/>
        <v>12.905220461538459</v>
      </c>
      <c r="K112" s="137"/>
      <c r="L112" s="138">
        <f t="shared" si="46"/>
        <v>0.42180923076923077</v>
      </c>
      <c r="M112" s="137"/>
      <c r="N112" s="139">
        <f t="shared" si="47"/>
        <v>0</v>
      </c>
      <c r="O112" s="137"/>
      <c r="P112" s="140">
        <f t="shared" si="48"/>
        <v>0</v>
      </c>
      <c r="Q112" s="135"/>
      <c r="R112" s="104">
        <f t="shared" si="49"/>
        <v>1.6872369230769235</v>
      </c>
      <c r="S112" s="137"/>
      <c r="T112" s="141">
        <f t="shared" si="50"/>
        <v>0.42180923076923077</v>
      </c>
      <c r="U112" s="199">
        <f t="shared" si="51"/>
        <v>13.32702969230769</v>
      </c>
      <c r="V112" s="37" t="str">
        <f t="shared" si="52"/>
        <v>ok</v>
      </c>
      <c r="W112" s="37" t="str">
        <f t="shared" si="53"/>
        <v>ok</v>
      </c>
    </row>
    <row r="113" spans="1:23" ht="15.75" thickBot="1" x14ac:dyDescent="0.3">
      <c r="A113" s="427"/>
      <c r="B113" s="277" t="s">
        <v>22</v>
      </c>
      <c r="C113" s="165">
        <v>31</v>
      </c>
      <c r="D113" s="202">
        <f>'2.4.5.3 Emplois ETP  base a'!D113*12</f>
        <v>8.6814573461538451</v>
      </c>
      <c r="E113" s="203">
        <f>'2.4.5.3 Emplois ETP  base a'!E113*12</f>
        <v>1.0043076923076923</v>
      </c>
      <c r="F113" s="204">
        <f t="shared" si="32"/>
        <v>0.80344615384615392</v>
      </c>
      <c r="G113" s="205">
        <f t="shared" si="33"/>
        <v>0.20086153846153842</v>
      </c>
      <c r="H113" s="206">
        <f t="shared" si="44"/>
        <v>1.0043076923076923</v>
      </c>
      <c r="I113" s="207"/>
      <c r="J113" s="208">
        <f t="shared" si="45"/>
        <v>7.6771496538461523</v>
      </c>
      <c r="K113" s="209"/>
      <c r="L113" s="210">
        <f t="shared" si="46"/>
        <v>0.20086153846153842</v>
      </c>
      <c r="M113" s="209"/>
      <c r="N113" s="211">
        <f t="shared" si="47"/>
        <v>0</v>
      </c>
      <c r="O113" s="209"/>
      <c r="P113" s="212">
        <f t="shared" si="48"/>
        <v>0</v>
      </c>
      <c r="Q113" s="207"/>
      <c r="R113" s="213">
        <f t="shared" si="49"/>
        <v>0.80344615384615392</v>
      </c>
      <c r="S113" s="209"/>
      <c r="T113" s="214">
        <f t="shared" si="50"/>
        <v>0.20086153846153842</v>
      </c>
      <c r="U113" s="215">
        <f t="shared" si="51"/>
        <v>7.8780111923076905</v>
      </c>
      <c r="V113" s="37" t="str">
        <f t="shared" si="52"/>
        <v>ok</v>
      </c>
      <c r="W113" s="37" t="str">
        <f t="shared" si="53"/>
        <v>ok</v>
      </c>
    </row>
    <row r="114" spans="1:23" x14ac:dyDescent="0.25">
      <c r="A114" s="425" t="s">
        <v>94</v>
      </c>
      <c r="B114" s="276" t="s">
        <v>23</v>
      </c>
      <c r="C114" s="247">
        <v>1</v>
      </c>
      <c r="D114" s="184">
        <f>'2.4.5.3 Emplois ETP  base a'!D114*12</f>
        <v>4.0638839999999989</v>
      </c>
      <c r="E114" s="185">
        <f>'2.4.5.3 Emplois ETP  base a'!E114*12</f>
        <v>6.9232499999999995</v>
      </c>
      <c r="F114" s="186">
        <f t="shared" si="32"/>
        <v>5.5385999999999997</v>
      </c>
      <c r="G114" s="187">
        <f t="shared" si="33"/>
        <v>1.3846499999999995</v>
      </c>
      <c r="H114" s="188">
        <f>IF(E114&gt;D114,D114,E114)</f>
        <v>4.0638839999999989</v>
      </c>
      <c r="I114" s="189"/>
      <c r="J114" s="190">
        <f>IF(E114&gt;D114,0,D114-E114)</f>
        <v>0</v>
      </c>
      <c r="K114" s="191"/>
      <c r="L114" s="192">
        <f>IF(E114&gt;D114,IF(F114&gt;H114,0,H114-F114),G114)</f>
        <v>0</v>
      </c>
      <c r="M114" s="191"/>
      <c r="N114" s="193">
        <f>IF(E114&gt;D114,IF(F114&gt;H114,F114-H114,0),0)</f>
        <v>1.4747160000000008</v>
      </c>
      <c r="O114" s="191"/>
      <c r="P114" s="194">
        <f>IF(E114&gt;D114,IF(F114&gt;H114,G114,E114-H114),0)</f>
        <v>1.3846499999999995</v>
      </c>
      <c r="Q114" s="189"/>
      <c r="R114" s="195">
        <f>H114-L114</f>
        <v>4.0638839999999989</v>
      </c>
      <c r="S114" s="191"/>
      <c r="T114" s="196">
        <f>L114+N114+P114</f>
        <v>2.8593660000000005</v>
      </c>
      <c r="U114" s="197">
        <f>J114+L114</f>
        <v>0</v>
      </c>
      <c r="V114" s="37" t="str">
        <f>IF(R114+T114=E114,"ok","bad")</f>
        <v>ok</v>
      </c>
      <c r="W114" s="37" t="str">
        <f>IF(U114+R114=D114,"ok","bad")</f>
        <v>ok</v>
      </c>
    </row>
    <row r="115" spans="1:23" x14ac:dyDescent="0.25">
      <c r="A115" s="426"/>
      <c r="B115" s="178" t="s">
        <v>19</v>
      </c>
      <c r="C115" s="129">
        <v>4</v>
      </c>
      <c r="D115" s="130">
        <f>'2.4.5.3 Emplois ETP  base a'!D115*12</f>
        <v>3.1909679999999998</v>
      </c>
      <c r="E115" s="131">
        <f>'2.4.5.3 Emplois ETP  base a'!E115*12</f>
        <v>5.0770499999999998</v>
      </c>
      <c r="F115" s="132">
        <f t="shared" si="32"/>
        <v>4.0616399999999997</v>
      </c>
      <c r="G115" s="133">
        <f t="shared" si="33"/>
        <v>1.0154099999999997</v>
      </c>
      <c r="H115" s="134">
        <f t="shared" ref="H115:H134" si="54">IF(E115&gt;D115,D115,E115)</f>
        <v>3.1909679999999998</v>
      </c>
      <c r="I115" s="135"/>
      <c r="J115" s="136">
        <f t="shared" ref="J115:J134" si="55">IF(E115&gt;D115,0,D115-E115)</f>
        <v>0</v>
      </c>
      <c r="K115" s="137"/>
      <c r="L115" s="138">
        <f t="shared" ref="L115:L134" si="56">IF(E115&gt;D115,IF(F115&gt;H115,0,H115-F115),G115)</f>
        <v>0</v>
      </c>
      <c r="M115" s="137"/>
      <c r="N115" s="139">
        <f t="shared" ref="N115:N134" si="57">IF(E115&gt;D115,IF(F115&gt;H115,F115-H115,0),0)</f>
        <v>0.87067199999999989</v>
      </c>
      <c r="O115" s="137"/>
      <c r="P115" s="140">
        <f t="shared" ref="P115:P134" si="58">IF(E115&gt;D115,IF(F115&gt;H115,G115,E115-H115),0)</f>
        <v>1.0154099999999997</v>
      </c>
      <c r="Q115" s="135"/>
      <c r="R115" s="104">
        <f t="shared" ref="R115:R134" si="59">H115-L115</f>
        <v>3.1909679999999998</v>
      </c>
      <c r="S115" s="137"/>
      <c r="T115" s="141">
        <f t="shared" ref="T115:T134" si="60">L115+N115+P115</f>
        <v>1.8860819999999996</v>
      </c>
      <c r="U115" s="199">
        <f t="shared" ref="U115:U134" si="61">J115+L115</f>
        <v>0</v>
      </c>
      <c r="V115" s="37" t="str">
        <f t="shared" ref="V115:V134" si="62">IF(R115+T115=E115,"ok","bad")</f>
        <v>ok</v>
      </c>
      <c r="W115" s="37" t="str">
        <f t="shared" ref="W115:W134" si="63">IF(U115+R115=D115,"ok","bad")</f>
        <v>ok</v>
      </c>
    </row>
    <row r="116" spans="1:23" x14ac:dyDescent="0.25">
      <c r="A116" s="426"/>
      <c r="B116" s="178" t="s">
        <v>20</v>
      </c>
      <c r="C116" s="129">
        <v>5</v>
      </c>
      <c r="D116" s="130">
        <f>'2.4.5.3 Emplois ETP  base a'!D116*12</f>
        <v>1.3957679999999999</v>
      </c>
      <c r="E116" s="131">
        <f>'2.4.5.3 Emplois ETP  base a'!E116*12</f>
        <v>2.076975</v>
      </c>
      <c r="F116" s="132">
        <f t="shared" si="32"/>
        <v>1.6615800000000001</v>
      </c>
      <c r="G116" s="133">
        <f t="shared" si="33"/>
        <v>0.4153949999999999</v>
      </c>
      <c r="H116" s="134">
        <f t="shared" si="54"/>
        <v>1.3957679999999999</v>
      </c>
      <c r="I116" s="135"/>
      <c r="J116" s="136">
        <f t="shared" si="55"/>
        <v>0</v>
      </c>
      <c r="K116" s="137"/>
      <c r="L116" s="138">
        <f t="shared" si="56"/>
        <v>0</v>
      </c>
      <c r="M116" s="137"/>
      <c r="N116" s="139">
        <f t="shared" si="57"/>
        <v>0.26581200000000016</v>
      </c>
      <c r="O116" s="137"/>
      <c r="P116" s="140">
        <f t="shared" si="58"/>
        <v>0.4153949999999999</v>
      </c>
      <c r="Q116" s="135"/>
      <c r="R116" s="104">
        <f t="shared" si="59"/>
        <v>1.3957679999999999</v>
      </c>
      <c r="S116" s="137"/>
      <c r="T116" s="141">
        <f t="shared" si="60"/>
        <v>0.68120700000000012</v>
      </c>
      <c r="U116" s="199">
        <f t="shared" si="61"/>
        <v>0</v>
      </c>
      <c r="V116" s="37" t="str">
        <f t="shared" si="62"/>
        <v>ok</v>
      </c>
      <c r="W116" s="37" t="str">
        <f t="shared" si="63"/>
        <v>ok</v>
      </c>
    </row>
    <row r="117" spans="1:23" x14ac:dyDescent="0.25">
      <c r="A117" s="426"/>
      <c r="B117" s="178" t="s">
        <v>21</v>
      </c>
      <c r="C117" s="129">
        <v>6</v>
      </c>
      <c r="D117" s="130">
        <f>'2.4.5.3 Emplois ETP  base a'!D117*12</f>
        <v>0.97389599999999987</v>
      </c>
      <c r="E117" s="131">
        <f>'2.4.5.3 Emplois ETP  base a'!E117*12</f>
        <v>3.1154625</v>
      </c>
      <c r="F117" s="132">
        <f t="shared" si="32"/>
        <v>2.4923700000000002</v>
      </c>
      <c r="G117" s="133">
        <f t="shared" si="33"/>
        <v>0.62309249999999983</v>
      </c>
      <c r="H117" s="134">
        <f t="shared" si="54"/>
        <v>0.97389599999999987</v>
      </c>
      <c r="I117" s="135"/>
      <c r="J117" s="136">
        <f t="shared" si="55"/>
        <v>0</v>
      </c>
      <c r="K117" s="137"/>
      <c r="L117" s="138">
        <f t="shared" si="56"/>
        <v>0</v>
      </c>
      <c r="M117" s="137"/>
      <c r="N117" s="139">
        <f t="shared" si="57"/>
        <v>1.5184740000000003</v>
      </c>
      <c r="O117" s="137"/>
      <c r="P117" s="140">
        <f t="shared" si="58"/>
        <v>0.62309249999999983</v>
      </c>
      <c r="Q117" s="135"/>
      <c r="R117" s="104">
        <f t="shared" si="59"/>
        <v>0.97389599999999987</v>
      </c>
      <c r="S117" s="137"/>
      <c r="T117" s="141">
        <f t="shared" si="60"/>
        <v>2.1415665000000002</v>
      </c>
      <c r="U117" s="199">
        <f t="shared" si="61"/>
        <v>0</v>
      </c>
      <c r="V117" s="37" t="str">
        <f t="shared" si="62"/>
        <v>ok</v>
      </c>
      <c r="W117" s="37" t="str">
        <f t="shared" si="63"/>
        <v>ok</v>
      </c>
    </row>
    <row r="118" spans="1:23" x14ac:dyDescent="0.25">
      <c r="A118" s="426"/>
      <c r="B118" s="178" t="s">
        <v>22</v>
      </c>
      <c r="C118" s="129">
        <v>7</v>
      </c>
      <c r="D118" s="130">
        <f>'2.4.5.3 Emplois ETP  base a'!D118*12</f>
        <v>2.0196000000000001</v>
      </c>
      <c r="E118" s="131">
        <f>'2.4.5.3 Emplois ETP  base a'!E118*12</f>
        <v>5.0770499999999998</v>
      </c>
      <c r="F118" s="132">
        <f t="shared" si="32"/>
        <v>4.0616399999999997</v>
      </c>
      <c r="G118" s="133">
        <f t="shared" si="33"/>
        <v>1.0154099999999997</v>
      </c>
      <c r="H118" s="134">
        <f t="shared" si="54"/>
        <v>2.0196000000000001</v>
      </c>
      <c r="I118" s="135"/>
      <c r="J118" s="136">
        <f t="shared" si="55"/>
        <v>0</v>
      </c>
      <c r="K118" s="137"/>
      <c r="L118" s="138">
        <f t="shared" si="56"/>
        <v>0</v>
      </c>
      <c r="M118" s="137"/>
      <c r="N118" s="139">
        <f t="shared" si="57"/>
        <v>2.0420399999999996</v>
      </c>
      <c r="O118" s="137"/>
      <c r="P118" s="140">
        <f t="shared" si="58"/>
        <v>1.0154099999999997</v>
      </c>
      <c r="Q118" s="135"/>
      <c r="R118" s="104">
        <f t="shared" si="59"/>
        <v>2.0196000000000001</v>
      </c>
      <c r="S118" s="137"/>
      <c r="T118" s="141">
        <f t="shared" si="60"/>
        <v>3.0574499999999993</v>
      </c>
      <c r="U118" s="199">
        <f t="shared" si="61"/>
        <v>0</v>
      </c>
      <c r="V118" s="37" t="str">
        <f t="shared" si="62"/>
        <v>ok</v>
      </c>
      <c r="W118" s="37" t="str">
        <f t="shared" si="63"/>
        <v>ok</v>
      </c>
    </row>
    <row r="119" spans="1:23" x14ac:dyDescent="0.25">
      <c r="A119" s="426"/>
      <c r="B119" s="178" t="s">
        <v>23</v>
      </c>
      <c r="C119" s="129">
        <v>8</v>
      </c>
      <c r="D119" s="130">
        <f>'2.4.5.3 Emplois ETP  base a'!D119*12</f>
        <v>6.4851599999999996</v>
      </c>
      <c r="E119" s="131">
        <f>'2.4.5.3 Emplois ETP  base a'!E119*12</f>
        <v>3.5503846153846155</v>
      </c>
      <c r="F119" s="132">
        <f t="shared" si="32"/>
        <v>2.8403076923076926</v>
      </c>
      <c r="G119" s="133">
        <f t="shared" si="33"/>
        <v>0.71007692307692294</v>
      </c>
      <c r="H119" s="134">
        <f t="shared" si="54"/>
        <v>3.5503846153846155</v>
      </c>
      <c r="I119" s="135"/>
      <c r="J119" s="136">
        <f t="shared" si="55"/>
        <v>2.9347753846153841</v>
      </c>
      <c r="K119" s="137"/>
      <c r="L119" s="138">
        <f t="shared" si="56"/>
        <v>0.71007692307692294</v>
      </c>
      <c r="M119" s="137"/>
      <c r="N119" s="139">
        <f t="shared" si="57"/>
        <v>0</v>
      </c>
      <c r="O119" s="137"/>
      <c r="P119" s="140">
        <f t="shared" si="58"/>
        <v>0</v>
      </c>
      <c r="Q119" s="135"/>
      <c r="R119" s="104">
        <f t="shared" si="59"/>
        <v>2.8403076923076926</v>
      </c>
      <c r="S119" s="137"/>
      <c r="T119" s="141">
        <f t="shared" si="60"/>
        <v>0.71007692307692294</v>
      </c>
      <c r="U119" s="199">
        <f t="shared" si="61"/>
        <v>3.6448523076923069</v>
      </c>
      <c r="V119" s="37" t="str">
        <f t="shared" si="62"/>
        <v>ok</v>
      </c>
      <c r="W119" s="37" t="str">
        <f t="shared" si="63"/>
        <v>ok</v>
      </c>
    </row>
    <row r="120" spans="1:23" x14ac:dyDescent="0.25">
      <c r="A120" s="426"/>
      <c r="B120" s="178" t="s">
        <v>19</v>
      </c>
      <c r="C120" s="129">
        <v>11</v>
      </c>
      <c r="D120" s="130">
        <f>'2.4.5.3 Emplois ETP  base a'!D120*12</f>
        <v>5.2599359999999997</v>
      </c>
      <c r="E120" s="131">
        <f>'2.4.5.3 Emplois ETP  base a'!E120*12</f>
        <v>3.6391442307692308</v>
      </c>
      <c r="F120" s="132">
        <f t="shared" si="32"/>
        <v>2.911315384615385</v>
      </c>
      <c r="G120" s="133">
        <f t="shared" si="33"/>
        <v>0.72782884615384602</v>
      </c>
      <c r="H120" s="134">
        <f t="shared" si="54"/>
        <v>3.6391442307692308</v>
      </c>
      <c r="I120" s="135"/>
      <c r="J120" s="136">
        <f t="shared" si="55"/>
        <v>1.620791769230769</v>
      </c>
      <c r="K120" s="137"/>
      <c r="L120" s="138">
        <f t="shared" si="56"/>
        <v>0.72782884615384602</v>
      </c>
      <c r="M120" s="137"/>
      <c r="N120" s="139">
        <f t="shared" si="57"/>
        <v>0</v>
      </c>
      <c r="O120" s="137"/>
      <c r="P120" s="140">
        <f t="shared" si="58"/>
        <v>0</v>
      </c>
      <c r="Q120" s="135"/>
      <c r="R120" s="104">
        <f t="shared" si="59"/>
        <v>2.911315384615385</v>
      </c>
      <c r="S120" s="137"/>
      <c r="T120" s="141">
        <f t="shared" si="60"/>
        <v>0.72782884615384602</v>
      </c>
      <c r="U120" s="199">
        <f t="shared" si="61"/>
        <v>2.3486206153846148</v>
      </c>
      <c r="V120" s="37" t="str">
        <f t="shared" si="62"/>
        <v>ok</v>
      </c>
      <c r="W120" s="37" t="str">
        <f t="shared" si="63"/>
        <v>ok</v>
      </c>
    </row>
    <row r="121" spans="1:23" x14ac:dyDescent="0.25">
      <c r="A121" s="426"/>
      <c r="B121" s="178" t="s">
        <v>20</v>
      </c>
      <c r="C121" s="129">
        <v>12</v>
      </c>
      <c r="D121" s="130">
        <f>'2.4.5.3 Emplois ETP  base a'!D121*12</f>
        <v>3.0406199999999997</v>
      </c>
      <c r="E121" s="131">
        <f>'2.4.5.3 Emplois ETP  base a'!E121*12</f>
        <v>1.9527115384615388</v>
      </c>
      <c r="F121" s="132">
        <f t="shared" si="32"/>
        <v>1.5621692307692312</v>
      </c>
      <c r="G121" s="133">
        <f t="shared" si="33"/>
        <v>0.39054230769230769</v>
      </c>
      <c r="H121" s="134">
        <f t="shared" si="54"/>
        <v>1.9527115384615388</v>
      </c>
      <c r="I121" s="135"/>
      <c r="J121" s="136">
        <f t="shared" si="55"/>
        <v>1.0879084615384609</v>
      </c>
      <c r="K121" s="137"/>
      <c r="L121" s="138">
        <f t="shared" si="56"/>
        <v>0.39054230769230769</v>
      </c>
      <c r="M121" s="137"/>
      <c r="N121" s="139">
        <f t="shared" si="57"/>
        <v>0</v>
      </c>
      <c r="O121" s="137"/>
      <c r="P121" s="140">
        <f t="shared" si="58"/>
        <v>0</v>
      </c>
      <c r="Q121" s="135"/>
      <c r="R121" s="104">
        <f t="shared" si="59"/>
        <v>1.5621692307692312</v>
      </c>
      <c r="S121" s="137"/>
      <c r="T121" s="141">
        <f t="shared" si="60"/>
        <v>0.39054230769230769</v>
      </c>
      <c r="U121" s="199">
        <f t="shared" si="61"/>
        <v>1.4784507692307685</v>
      </c>
      <c r="V121" s="37" t="str">
        <f t="shared" si="62"/>
        <v>ok</v>
      </c>
      <c r="W121" s="37" t="str">
        <f t="shared" si="63"/>
        <v>ok</v>
      </c>
    </row>
    <row r="122" spans="1:23" x14ac:dyDescent="0.25">
      <c r="A122" s="426"/>
      <c r="B122" s="178" t="s">
        <v>21</v>
      </c>
      <c r="C122" s="129">
        <v>13</v>
      </c>
      <c r="D122" s="130">
        <f>'2.4.5.3 Emplois ETP  base a'!D122*12</f>
        <v>2.4549359999999996</v>
      </c>
      <c r="E122" s="131">
        <f>'2.4.5.3 Emplois ETP  base a'!E122*12</f>
        <v>2.4852692307692306</v>
      </c>
      <c r="F122" s="132">
        <f t="shared" si="32"/>
        <v>1.9882153846153845</v>
      </c>
      <c r="G122" s="133">
        <f t="shared" si="33"/>
        <v>0.49705384615384601</v>
      </c>
      <c r="H122" s="134">
        <f t="shared" si="54"/>
        <v>2.4549359999999996</v>
      </c>
      <c r="I122" s="135"/>
      <c r="J122" s="136">
        <f t="shared" si="55"/>
        <v>0</v>
      </c>
      <c r="K122" s="137"/>
      <c r="L122" s="138">
        <f t="shared" si="56"/>
        <v>0.46672061538461507</v>
      </c>
      <c r="M122" s="137"/>
      <c r="N122" s="139">
        <f t="shared" si="57"/>
        <v>0</v>
      </c>
      <c r="O122" s="137"/>
      <c r="P122" s="140">
        <f t="shared" si="58"/>
        <v>3.0333230769231001E-2</v>
      </c>
      <c r="Q122" s="135"/>
      <c r="R122" s="104">
        <f t="shared" si="59"/>
        <v>1.9882153846153845</v>
      </c>
      <c r="S122" s="137"/>
      <c r="T122" s="141">
        <f t="shared" si="60"/>
        <v>0.49705384615384607</v>
      </c>
      <c r="U122" s="199">
        <f t="shared" si="61"/>
        <v>0.46672061538461507</v>
      </c>
      <c r="V122" s="37" t="str">
        <f t="shared" si="62"/>
        <v>ok</v>
      </c>
      <c r="W122" s="37" t="str">
        <f t="shared" si="63"/>
        <v>ok</v>
      </c>
    </row>
    <row r="123" spans="1:23" x14ac:dyDescent="0.25">
      <c r="A123" s="426"/>
      <c r="B123" s="178" t="s">
        <v>22</v>
      </c>
      <c r="C123" s="129">
        <v>14</v>
      </c>
      <c r="D123" s="130">
        <f>'2.4.5.3 Emplois ETP  base a'!D123*12</f>
        <v>4.6764960000000002</v>
      </c>
      <c r="E123" s="131">
        <f>'2.4.5.3 Emplois ETP  base a'!E123*12</f>
        <v>3.3728653846153849</v>
      </c>
      <c r="F123" s="132">
        <f t="shared" si="32"/>
        <v>2.698292307692308</v>
      </c>
      <c r="G123" s="133">
        <f t="shared" si="33"/>
        <v>0.67457307692307678</v>
      </c>
      <c r="H123" s="134">
        <f t="shared" si="54"/>
        <v>3.3728653846153849</v>
      </c>
      <c r="I123" s="135"/>
      <c r="J123" s="136">
        <f t="shared" si="55"/>
        <v>1.3036306153846153</v>
      </c>
      <c r="K123" s="137"/>
      <c r="L123" s="138">
        <f t="shared" si="56"/>
        <v>0.67457307692307678</v>
      </c>
      <c r="M123" s="137"/>
      <c r="N123" s="139">
        <f t="shared" si="57"/>
        <v>0</v>
      </c>
      <c r="O123" s="137"/>
      <c r="P123" s="140">
        <f t="shared" si="58"/>
        <v>0</v>
      </c>
      <c r="Q123" s="135"/>
      <c r="R123" s="104">
        <f t="shared" si="59"/>
        <v>2.698292307692308</v>
      </c>
      <c r="S123" s="137"/>
      <c r="T123" s="141">
        <f t="shared" si="60"/>
        <v>0.67457307692307678</v>
      </c>
      <c r="U123" s="199">
        <f t="shared" si="61"/>
        <v>1.9782036923076922</v>
      </c>
      <c r="V123" s="37" t="str">
        <f t="shared" si="62"/>
        <v>ok</v>
      </c>
      <c r="W123" s="37" t="str">
        <f t="shared" si="63"/>
        <v>ok</v>
      </c>
    </row>
    <row r="124" spans="1:23" x14ac:dyDescent="0.25">
      <c r="A124" s="426"/>
      <c r="B124" s="178" t="s">
        <v>23</v>
      </c>
      <c r="C124" s="129">
        <v>15</v>
      </c>
      <c r="D124" s="130">
        <f>'2.4.5.3 Emplois ETP  base a'!D124*12</f>
        <v>4.0638839999999989</v>
      </c>
      <c r="E124" s="131">
        <f>'2.4.5.3 Emplois ETP  base a'!E124*12</f>
        <v>5.3255769230769232</v>
      </c>
      <c r="F124" s="132">
        <f t="shared" si="32"/>
        <v>4.2604615384615387</v>
      </c>
      <c r="G124" s="133">
        <f t="shared" si="33"/>
        <v>1.0651153846153845</v>
      </c>
      <c r="H124" s="134">
        <f t="shared" si="54"/>
        <v>4.0638839999999989</v>
      </c>
      <c r="I124" s="135"/>
      <c r="J124" s="136">
        <f t="shared" si="55"/>
        <v>0</v>
      </c>
      <c r="K124" s="137"/>
      <c r="L124" s="138">
        <f t="shared" si="56"/>
        <v>0</v>
      </c>
      <c r="M124" s="137"/>
      <c r="N124" s="139">
        <f t="shared" si="57"/>
        <v>0.1965775384615398</v>
      </c>
      <c r="O124" s="137"/>
      <c r="P124" s="140">
        <f t="shared" si="58"/>
        <v>1.0651153846153845</v>
      </c>
      <c r="Q124" s="135"/>
      <c r="R124" s="104">
        <f t="shared" si="59"/>
        <v>4.0638839999999989</v>
      </c>
      <c r="S124" s="137"/>
      <c r="T124" s="141">
        <f t="shared" si="60"/>
        <v>1.2616929230769243</v>
      </c>
      <c r="U124" s="199">
        <f t="shared" si="61"/>
        <v>0</v>
      </c>
      <c r="V124" s="37" t="str">
        <f t="shared" si="62"/>
        <v>ok</v>
      </c>
      <c r="W124" s="37" t="str">
        <f t="shared" si="63"/>
        <v>ok</v>
      </c>
    </row>
    <row r="125" spans="1:23" x14ac:dyDescent="0.25">
      <c r="A125" s="426"/>
      <c r="B125" s="178" t="s">
        <v>19</v>
      </c>
      <c r="C125" s="129">
        <v>18</v>
      </c>
      <c r="D125" s="130">
        <f>'2.4.5.3 Emplois ETP  base a'!D125*12</f>
        <v>3.1909679999999998</v>
      </c>
      <c r="E125" s="131">
        <f>'2.4.5.3 Emplois ETP  base a'!E125*12</f>
        <v>4.0829423076923073</v>
      </c>
      <c r="F125" s="132">
        <f t="shared" si="32"/>
        <v>3.2663538461538462</v>
      </c>
      <c r="G125" s="133">
        <f t="shared" si="33"/>
        <v>0.81658846153846132</v>
      </c>
      <c r="H125" s="134">
        <f t="shared" si="54"/>
        <v>3.1909679999999998</v>
      </c>
      <c r="I125" s="135"/>
      <c r="J125" s="136">
        <f t="shared" si="55"/>
        <v>0</v>
      </c>
      <c r="K125" s="137"/>
      <c r="L125" s="138">
        <f t="shared" si="56"/>
        <v>0</v>
      </c>
      <c r="M125" s="137"/>
      <c r="N125" s="139">
        <f t="shared" si="57"/>
        <v>7.5385846153846359E-2</v>
      </c>
      <c r="O125" s="137"/>
      <c r="P125" s="140">
        <f t="shared" si="58"/>
        <v>0.81658846153846132</v>
      </c>
      <c r="Q125" s="135"/>
      <c r="R125" s="104">
        <f t="shared" si="59"/>
        <v>3.1909679999999998</v>
      </c>
      <c r="S125" s="137"/>
      <c r="T125" s="141">
        <f t="shared" si="60"/>
        <v>0.89197430769230768</v>
      </c>
      <c r="U125" s="199">
        <f t="shared" si="61"/>
        <v>0</v>
      </c>
      <c r="V125" s="37" t="str">
        <f t="shared" si="62"/>
        <v>ok</v>
      </c>
      <c r="W125" s="37" t="str">
        <f t="shared" si="63"/>
        <v>ok</v>
      </c>
    </row>
    <row r="126" spans="1:23" x14ac:dyDescent="0.25">
      <c r="A126" s="426"/>
      <c r="B126" s="178" t="s">
        <v>20</v>
      </c>
      <c r="C126" s="129">
        <v>19</v>
      </c>
      <c r="D126" s="130">
        <f>'2.4.5.3 Emplois ETP  base a'!D126*12</f>
        <v>1.3957679999999999</v>
      </c>
      <c r="E126" s="131">
        <f>'2.4.5.3 Emplois ETP  base a'!E126*12</f>
        <v>1.9527115384615388</v>
      </c>
      <c r="F126" s="132">
        <f t="shared" si="32"/>
        <v>1.5621692307692312</v>
      </c>
      <c r="G126" s="133">
        <f t="shared" si="33"/>
        <v>0.39054230769230769</v>
      </c>
      <c r="H126" s="134">
        <f t="shared" si="54"/>
        <v>1.3957679999999999</v>
      </c>
      <c r="I126" s="135"/>
      <c r="J126" s="136">
        <f t="shared" si="55"/>
        <v>0</v>
      </c>
      <c r="K126" s="137"/>
      <c r="L126" s="138">
        <f t="shared" si="56"/>
        <v>0</v>
      </c>
      <c r="M126" s="137"/>
      <c r="N126" s="139">
        <f t="shared" si="57"/>
        <v>0.1664012307692313</v>
      </c>
      <c r="O126" s="137"/>
      <c r="P126" s="140">
        <f t="shared" si="58"/>
        <v>0.39054230769230769</v>
      </c>
      <c r="Q126" s="135"/>
      <c r="R126" s="104">
        <f t="shared" si="59"/>
        <v>1.3957679999999999</v>
      </c>
      <c r="S126" s="137"/>
      <c r="T126" s="141">
        <f t="shared" si="60"/>
        <v>0.55694353846153899</v>
      </c>
      <c r="U126" s="199">
        <f t="shared" si="61"/>
        <v>0</v>
      </c>
      <c r="V126" s="37" t="str">
        <f t="shared" si="62"/>
        <v>ok</v>
      </c>
      <c r="W126" s="37" t="str">
        <f t="shared" si="63"/>
        <v>ok</v>
      </c>
    </row>
    <row r="127" spans="1:23" x14ac:dyDescent="0.25">
      <c r="A127" s="426"/>
      <c r="B127" s="178" t="s">
        <v>21</v>
      </c>
      <c r="C127" s="129">
        <v>20</v>
      </c>
      <c r="D127" s="130">
        <f>'2.4.5.3 Emplois ETP  base a'!D127*12</f>
        <v>0.97389599999999987</v>
      </c>
      <c r="E127" s="131">
        <f>'2.4.5.3 Emplois ETP  base a'!E127*12</f>
        <v>3.2841057692307691</v>
      </c>
      <c r="F127" s="132">
        <f t="shared" si="32"/>
        <v>2.6272846153846157</v>
      </c>
      <c r="G127" s="133">
        <f t="shared" si="33"/>
        <v>0.65682115384615369</v>
      </c>
      <c r="H127" s="134">
        <f t="shared" si="54"/>
        <v>0.97389599999999987</v>
      </c>
      <c r="I127" s="135"/>
      <c r="J127" s="136">
        <f t="shared" si="55"/>
        <v>0</v>
      </c>
      <c r="K127" s="137"/>
      <c r="L127" s="138">
        <f t="shared" si="56"/>
        <v>0</v>
      </c>
      <c r="M127" s="137"/>
      <c r="N127" s="139">
        <f t="shared" si="57"/>
        <v>1.6533886153846158</v>
      </c>
      <c r="O127" s="137"/>
      <c r="P127" s="140">
        <f t="shared" si="58"/>
        <v>0.65682115384615369</v>
      </c>
      <c r="Q127" s="135"/>
      <c r="R127" s="104">
        <f t="shared" si="59"/>
        <v>0.97389599999999987</v>
      </c>
      <c r="S127" s="137"/>
      <c r="T127" s="141">
        <f t="shared" si="60"/>
        <v>2.3102097692307693</v>
      </c>
      <c r="U127" s="199">
        <f t="shared" si="61"/>
        <v>0</v>
      </c>
      <c r="V127" s="37" t="str">
        <f t="shared" si="62"/>
        <v>ok</v>
      </c>
      <c r="W127" s="37" t="str">
        <f t="shared" si="63"/>
        <v>ok</v>
      </c>
    </row>
    <row r="128" spans="1:23" x14ac:dyDescent="0.25">
      <c r="A128" s="426"/>
      <c r="B128" s="178" t="s">
        <v>22</v>
      </c>
      <c r="C128" s="129">
        <v>21</v>
      </c>
      <c r="D128" s="130">
        <f>'2.4.5.3 Emplois ETP  base a'!D128*12</f>
        <v>2.0196000000000001</v>
      </c>
      <c r="E128" s="131">
        <f>'2.4.5.3 Emplois ETP  base a'!E128*12</f>
        <v>3.9054230769230776</v>
      </c>
      <c r="F128" s="132">
        <f t="shared" si="32"/>
        <v>3.1243384615384624</v>
      </c>
      <c r="G128" s="133">
        <f t="shared" si="33"/>
        <v>0.78108461538461538</v>
      </c>
      <c r="H128" s="134">
        <f t="shared" si="54"/>
        <v>2.0196000000000001</v>
      </c>
      <c r="I128" s="135"/>
      <c r="J128" s="136">
        <f t="shared" si="55"/>
        <v>0</v>
      </c>
      <c r="K128" s="137"/>
      <c r="L128" s="138">
        <f t="shared" si="56"/>
        <v>0</v>
      </c>
      <c r="M128" s="137"/>
      <c r="N128" s="139">
        <f t="shared" si="57"/>
        <v>1.1047384615384623</v>
      </c>
      <c r="O128" s="137"/>
      <c r="P128" s="140">
        <f t="shared" si="58"/>
        <v>0.78108461538461538</v>
      </c>
      <c r="Q128" s="135"/>
      <c r="R128" s="104">
        <f t="shared" si="59"/>
        <v>2.0196000000000001</v>
      </c>
      <c r="S128" s="137"/>
      <c r="T128" s="141">
        <f t="shared" si="60"/>
        <v>1.8858230769230777</v>
      </c>
      <c r="U128" s="199">
        <f t="shared" si="61"/>
        <v>0</v>
      </c>
      <c r="V128" s="37" t="str">
        <f t="shared" si="62"/>
        <v>ok</v>
      </c>
      <c r="W128" s="37" t="str">
        <f t="shared" si="63"/>
        <v>ok</v>
      </c>
    </row>
    <row r="129" spans="1:23" x14ac:dyDescent="0.25">
      <c r="A129" s="426"/>
      <c r="B129" s="178" t="s">
        <v>23</v>
      </c>
      <c r="C129" s="129">
        <v>22</v>
      </c>
      <c r="D129" s="130">
        <f>'2.4.5.3 Emplois ETP  base a'!D129*12</f>
        <v>8.1053280000000001</v>
      </c>
      <c r="E129" s="131">
        <f>'2.4.5.3 Emplois ETP  base a'!E129*12</f>
        <v>4.3936009615384615</v>
      </c>
      <c r="F129" s="132">
        <f t="shared" si="32"/>
        <v>3.5148807692307695</v>
      </c>
      <c r="G129" s="133">
        <f t="shared" si="33"/>
        <v>0.87872019230769205</v>
      </c>
      <c r="H129" s="134">
        <f t="shared" si="54"/>
        <v>4.3936009615384615</v>
      </c>
      <c r="I129" s="135"/>
      <c r="J129" s="136">
        <f t="shared" si="55"/>
        <v>3.7117270384615386</v>
      </c>
      <c r="K129" s="137"/>
      <c r="L129" s="138">
        <f t="shared" si="56"/>
        <v>0.87872019230769205</v>
      </c>
      <c r="M129" s="137"/>
      <c r="N129" s="139">
        <f t="shared" si="57"/>
        <v>0</v>
      </c>
      <c r="O129" s="137"/>
      <c r="P129" s="140">
        <f t="shared" si="58"/>
        <v>0</v>
      </c>
      <c r="Q129" s="135"/>
      <c r="R129" s="104">
        <f t="shared" si="59"/>
        <v>3.5148807692307695</v>
      </c>
      <c r="S129" s="137"/>
      <c r="T129" s="141">
        <f t="shared" si="60"/>
        <v>0.87872019230769205</v>
      </c>
      <c r="U129" s="199">
        <f t="shared" si="61"/>
        <v>4.5904472307692306</v>
      </c>
      <c r="V129" s="37" t="str">
        <f t="shared" si="62"/>
        <v>ok</v>
      </c>
      <c r="W129" s="37" t="str">
        <f t="shared" si="63"/>
        <v>ok</v>
      </c>
    </row>
    <row r="130" spans="1:23" x14ac:dyDescent="0.25">
      <c r="A130" s="426"/>
      <c r="B130" s="178" t="s">
        <v>19</v>
      </c>
      <c r="C130" s="129">
        <v>25</v>
      </c>
      <c r="D130" s="130">
        <f>'2.4.5.3 Emplois ETP  base a'!D130*12</f>
        <v>6.5973599999999992</v>
      </c>
      <c r="E130" s="131">
        <f>'2.4.5.3 Emplois ETP  base a'!E130*12</f>
        <v>2.7835015384615382</v>
      </c>
      <c r="F130" s="132">
        <f t="shared" si="32"/>
        <v>2.2268012307692309</v>
      </c>
      <c r="G130" s="133">
        <f t="shared" si="33"/>
        <v>0.55670030769230749</v>
      </c>
      <c r="H130" s="134">
        <f t="shared" si="54"/>
        <v>2.7835015384615382</v>
      </c>
      <c r="I130" s="135"/>
      <c r="J130" s="136">
        <f t="shared" si="55"/>
        <v>3.813858461538461</v>
      </c>
      <c r="K130" s="137"/>
      <c r="L130" s="138">
        <f t="shared" si="56"/>
        <v>0.55670030769230749</v>
      </c>
      <c r="M130" s="137"/>
      <c r="N130" s="139">
        <f t="shared" si="57"/>
        <v>0</v>
      </c>
      <c r="O130" s="137"/>
      <c r="P130" s="140">
        <f t="shared" si="58"/>
        <v>0</v>
      </c>
      <c r="Q130" s="135"/>
      <c r="R130" s="104">
        <f t="shared" si="59"/>
        <v>2.2268012307692309</v>
      </c>
      <c r="S130" s="137"/>
      <c r="T130" s="141">
        <f t="shared" si="60"/>
        <v>0.55670030769230749</v>
      </c>
      <c r="U130" s="199">
        <f t="shared" si="61"/>
        <v>4.3705587692307688</v>
      </c>
      <c r="V130" s="37" t="str">
        <f t="shared" si="62"/>
        <v>ok</v>
      </c>
      <c r="W130" s="37" t="str">
        <f t="shared" si="63"/>
        <v>ok</v>
      </c>
    </row>
    <row r="131" spans="1:23" x14ac:dyDescent="0.25">
      <c r="A131" s="426"/>
      <c r="B131" s="178" t="s">
        <v>20</v>
      </c>
      <c r="C131" s="129">
        <v>26</v>
      </c>
      <c r="D131" s="130">
        <f>'2.4.5.3 Emplois ETP  base a'!D131*12</f>
        <v>3.8013359999999992</v>
      </c>
      <c r="E131" s="131">
        <f>'2.4.5.3 Emplois ETP  base a'!E131*12</f>
        <v>1.3189678846153845</v>
      </c>
      <c r="F131" s="132">
        <f t="shared" si="32"/>
        <v>1.0551743076923077</v>
      </c>
      <c r="G131" s="133">
        <f t="shared" si="33"/>
        <v>0.26379357692307687</v>
      </c>
      <c r="H131" s="134">
        <f t="shared" si="54"/>
        <v>1.3189678846153845</v>
      </c>
      <c r="I131" s="135"/>
      <c r="J131" s="136">
        <f t="shared" si="55"/>
        <v>2.4823681153846149</v>
      </c>
      <c r="K131" s="137"/>
      <c r="L131" s="138">
        <f t="shared" si="56"/>
        <v>0.26379357692307687</v>
      </c>
      <c r="M131" s="137"/>
      <c r="N131" s="139">
        <f t="shared" si="57"/>
        <v>0</v>
      </c>
      <c r="O131" s="137"/>
      <c r="P131" s="140">
        <f t="shared" si="58"/>
        <v>0</v>
      </c>
      <c r="Q131" s="135"/>
      <c r="R131" s="104">
        <f t="shared" si="59"/>
        <v>1.0551743076923077</v>
      </c>
      <c r="S131" s="137"/>
      <c r="T131" s="141">
        <f t="shared" si="60"/>
        <v>0.26379357692307687</v>
      </c>
      <c r="U131" s="199">
        <f t="shared" si="61"/>
        <v>2.7461616923076919</v>
      </c>
      <c r="V131" s="37" t="str">
        <f t="shared" si="62"/>
        <v>ok</v>
      </c>
      <c r="W131" s="37" t="str">
        <f t="shared" si="63"/>
        <v>ok</v>
      </c>
    </row>
    <row r="132" spans="1:23" x14ac:dyDescent="0.25">
      <c r="A132" s="426"/>
      <c r="B132" s="178" t="s">
        <v>21</v>
      </c>
      <c r="C132" s="129">
        <v>27</v>
      </c>
      <c r="D132" s="130">
        <f>'2.4.5.3 Emplois ETP  base a'!D132*12</f>
        <v>3.1124279999999995</v>
      </c>
      <c r="E132" s="131">
        <f>'2.4.5.3 Emplois ETP  base a'!E132*12</f>
        <v>1.7574403846153843</v>
      </c>
      <c r="F132" s="132">
        <f t="shared" si="32"/>
        <v>1.4059523076923075</v>
      </c>
      <c r="G132" s="133">
        <f t="shared" si="33"/>
        <v>0.35148807692307676</v>
      </c>
      <c r="H132" s="134">
        <f t="shared" si="54"/>
        <v>1.7574403846153843</v>
      </c>
      <c r="I132" s="135"/>
      <c r="J132" s="136">
        <f t="shared" si="55"/>
        <v>1.3549876153846152</v>
      </c>
      <c r="K132" s="137"/>
      <c r="L132" s="138">
        <f t="shared" si="56"/>
        <v>0.35148807692307676</v>
      </c>
      <c r="M132" s="137"/>
      <c r="N132" s="139">
        <f t="shared" si="57"/>
        <v>0</v>
      </c>
      <c r="O132" s="137"/>
      <c r="P132" s="140">
        <f t="shared" si="58"/>
        <v>0</v>
      </c>
      <c r="Q132" s="135"/>
      <c r="R132" s="104">
        <f t="shared" si="59"/>
        <v>1.4059523076923075</v>
      </c>
      <c r="S132" s="137"/>
      <c r="T132" s="141">
        <f t="shared" si="60"/>
        <v>0.35148807692307676</v>
      </c>
      <c r="U132" s="199">
        <f t="shared" si="61"/>
        <v>1.706475692307692</v>
      </c>
      <c r="V132" s="37" t="str">
        <f t="shared" si="62"/>
        <v>ok</v>
      </c>
      <c r="W132" s="37" t="str">
        <f t="shared" si="63"/>
        <v>ok</v>
      </c>
    </row>
    <row r="133" spans="1:23" x14ac:dyDescent="0.25">
      <c r="A133" s="426"/>
      <c r="B133" s="178" t="s">
        <v>22</v>
      </c>
      <c r="C133" s="129">
        <v>28</v>
      </c>
      <c r="D133" s="130">
        <f>'2.4.5.3 Emplois ETP  base a'!D133*12</f>
        <v>5.8456200000000003</v>
      </c>
      <c r="E133" s="131">
        <f>'2.4.5.3 Emplois ETP  base a'!E133*12</f>
        <v>2.7835015384615382</v>
      </c>
      <c r="F133" s="132">
        <f t="shared" ref="F133:F196" si="64">E133*TC</f>
        <v>2.2268012307692309</v>
      </c>
      <c r="G133" s="133">
        <f t="shared" ref="G133:G196" si="65">E133*(1-TC)</f>
        <v>0.55670030769230749</v>
      </c>
      <c r="H133" s="134">
        <f t="shared" si="54"/>
        <v>2.7835015384615382</v>
      </c>
      <c r="I133" s="135"/>
      <c r="J133" s="136">
        <f t="shared" si="55"/>
        <v>3.062118461538462</v>
      </c>
      <c r="K133" s="137"/>
      <c r="L133" s="138">
        <f t="shared" si="56"/>
        <v>0.55670030769230749</v>
      </c>
      <c r="M133" s="137"/>
      <c r="N133" s="139">
        <f t="shared" si="57"/>
        <v>0</v>
      </c>
      <c r="O133" s="137"/>
      <c r="P133" s="140">
        <f t="shared" si="58"/>
        <v>0</v>
      </c>
      <c r="Q133" s="135"/>
      <c r="R133" s="104">
        <f t="shared" si="59"/>
        <v>2.2268012307692309</v>
      </c>
      <c r="S133" s="137"/>
      <c r="T133" s="141">
        <f t="shared" si="60"/>
        <v>0.55670030769230749</v>
      </c>
      <c r="U133" s="199">
        <f t="shared" si="61"/>
        <v>3.6188187692307694</v>
      </c>
      <c r="V133" s="37" t="str">
        <f t="shared" si="62"/>
        <v>ok</v>
      </c>
      <c r="W133" s="37" t="str">
        <f t="shared" si="63"/>
        <v>ok</v>
      </c>
    </row>
    <row r="134" spans="1:23" ht="15.75" thickBot="1" x14ac:dyDescent="0.3">
      <c r="A134" s="427"/>
      <c r="B134" s="277" t="s">
        <v>23</v>
      </c>
      <c r="C134" s="165">
        <v>29</v>
      </c>
      <c r="D134" s="202">
        <f>'2.4.5.3 Emplois ETP  base a'!D134*12</f>
        <v>9.7254959999999997</v>
      </c>
      <c r="E134" s="203">
        <f>'2.4.5.3 Emplois ETP  base a'!E134*12</f>
        <v>5.3255769230769232</v>
      </c>
      <c r="F134" s="204">
        <f t="shared" si="64"/>
        <v>4.2604615384615387</v>
      </c>
      <c r="G134" s="205">
        <f t="shared" si="65"/>
        <v>1.0651153846153845</v>
      </c>
      <c r="H134" s="206">
        <f t="shared" si="54"/>
        <v>5.3255769230769232</v>
      </c>
      <c r="I134" s="207"/>
      <c r="J134" s="208">
        <f t="shared" si="55"/>
        <v>4.3999190769230765</v>
      </c>
      <c r="K134" s="209"/>
      <c r="L134" s="210">
        <f t="shared" si="56"/>
        <v>1.0651153846153845</v>
      </c>
      <c r="M134" s="209"/>
      <c r="N134" s="211">
        <f t="shared" si="57"/>
        <v>0</v>
      </c>
      <c r="O134" s="209"/>
      <c r="P134" s="212">
        <f t="shared" si="58"/>
        <v>0</v>
      </c>
      <c r="Q134" s="207"/>
      <c r="R134" s="213">
        <f t="shared" si="59"/>
        <v>4.2604615384615387</v>
      </c>
      <c r="S134" s="209"/>
      <c r="T134" s="214">
        <f t="shared" si="60"/>
        <v>1.0651153846153845</v>
      </c>
      <c r="U134" s="215">
        <f t="shared" si="61"/>
        <v>5.465034461538461</v>
      </c>
      <c r="V134" s="37" t="str">
        <f t="shared" si="62"/>
        <v>ok</v>
      </c>
      <c r="W134" s="37" t="str">
        <f t="shared" si="63"/>
        <v>ok</v>
      </c>
    </row>
    <row r="135" spans="1:23" x14ac:dyDescent="0.25">
      <c r="A135" s="425" t="s">
        <v>95</v>
      </c>
      <c r="B135" s="276" t="s">
        <v>19</v>
      </c>
      <c r="C135" s="247">
        <v>2</v>
      </c>
      <c r="D135" s="184">
        <f>'2.4.5.3 Emplois ETP  base a'!D135*12</f>
        <v>1.9410019384615382</v>
      </c>
      <c r="E135" s="185">
        <f>'2.4.5.3 Emplois ETP  base a'!E135*12</f>
        <v>7.6729499999999993</v>
      </c>
      <c r="F135" s="186">
        <f t="shared" si="64"/>
        <v>6.1383599999999996</v>
      </c>
      <c r="G135" s="187">
        <f t="shared" si="65"/>
        <v>1.5345899999999995</v>
      </c>
      <c r="H135" s="188">
        <f>IF(E135&gt;D135,D135,E135)</f>
        <v>1.9410019384615382</v>
      </c>
      <c r="I135" s="189"/>
      <c r="J135" s="190">
        <f>IF(E135&gt;D135,0,D135-E135)</f>
        <v>0</v>
      </c>
      <c r="K135" s="191"/>
      <c r="L135" s="192">
        <f>IF(E135&gt;D135,IF(F135&gt;H135,0,H135-F135),G135)</f>
        <v>0</v>
      </c>
      <c r="M135" s="191"/>
      <c r="N135" s="193">
        <f>IF(E135&gt;D135,IF(F135&gt;H135,F135-H135,0),0)</f>
        <v>4.1973580615384609</v>
      </c>
      <c r="O135" s="191"/>
      <c r="P135" s="194">
        <f>IF(E135&gt;D135,IF(F135&gt;H135,G135,E135-H135),0)</f>
        <v>1.5345899999999995</v>
      </c>
      <c r="Q135" s="189"/>
      <c r="R135" s="195">
        <f>H135-L135</f>
        <v>1.9410019384615382</v>
      </c>
      <c r="S135" s="191"/>
      <c r="T135" s="196">
        <f>L135+N135+P135</f>
        <v>5.7319480615384606</v>
      </c>
      <c r="U135" s="197">
        <f>J135+L135</f>
        <v>0</v>
      </c>
      <c r="V135" s="37" t="str">
        <f>IF(R135+T135=E135,"ok","bad")</f>
        <v>ok</v>
      </c>
      <c r="W135" s="37" t="str">
        <f>IF(U135+R135=D135,"ok","bad")</f>
        <v>ok</v>
      </c>
    </row>
    <row r="136" spans="1:23" x14ac:dyDescent="0.25">
      <c r="A136" s="426"/>
      <c r="B136" s="178" t="s">
        <v>20</v>
      </c>
      <c r="C136" s="129">
        <v>3</v>
      </c>
      <c r="D136" s="130">
        <f>'2.4.5.3 Emplois ETP  base a'!D136*12</f>
        <v>1.5240777230769231</v>
      </c>
      <c r="E136" s="131">
        <f>'2.4.5.3 Emplois ETP  base a'!E136*12</f>
        <v>5.6268299999999991</v>
      </c>
      <c r="F136" s="132">
        <f t="shared" si="64"/>
        <v>4.5014639999999995</v>
      </c>
      <c r="G136" s="133">
        <f t="shared" si="65"/>
        <v>1.1253659999999996</v>
      </c>
      <c r="H136" s="134">
        <f t="shared" ref="H136:H156" si="66">IF(E136&gt;D136,D136,E136)</f>
        <v>1.5240777230769231</v>
      </c>
      <c r="I136" s="135"/>
      <c r="J136" s="136">
        <f t="shared" ref="J136:J156" si="67">IF(E136&gt;D136,0,D136-E136)</f>
        <v>0</v>
      </c>
      <c r="K136" s="137"/>
      <c r="L136" s="138">
        <f t="shared" ref="L136:L156" si="68">IF(E136&gt;D136,IF(F136&gt;H136,0,H136-F136),G136)</f>
        <v>0</v>
      </c>
      <c r="M136" s="137"/>
      <c r="N136" s="139">
        <f t="shared" ref="N136:N156" si="69">IF(E136&gt;D136,IF(F136&gt;H136,F136-H136,0),0)</f>
        <v>2.9773862769230766</v>
      </c>
      <c r="O136" s="137"/>
      <c r="P136" s="140">
        <f t="shared" ref="P136:P156" si="70">IF(E136&gt;D136,IF(F136&gt;H136,G136,E136-H136),0)</f>
        <v>1.1253659999999996</v>
      </c>
      <c r="Q136" s="135"/>
      <c r="R136" s="104">
        <f t="shared" ref="R136:R156" si="71">H136-L136</f>
        <v>1.5240777230769231</v>
      </c>
      <c r="S136" s="137"/>
      <c r="T136" s="141">
        <f t="shared" ref="T136:T156" si="72">L136+N136+P136</f>
        <v>4.1027522769230762</v>
      </c>
      <c r="U136" s="199">
        <f t="shared" ref="U136:U156" si="73">J136+L136</f>
        <v>0</v>
      </c>
      <c r="V136" s="37" t="str">
        <f t="shared" ref="V136:V156" si="74">IF(R136+T136=E136,"ok","bad")</f>
        <v>ok</v>
      </c>
      <c r="W136" s="37" t="str">
        <f t="shared" ref="W136:W156" si="75">IF(U136+R136=D136,"ok","bad")</f>
        <v>ok</v>
      </c>
    </row>
    <row r="137" spans="1:23" x14ac:dyDescent="0.25">
      <c r="A137" s="426"/>
      <c r="B137" s="178" t="s">
        <v>21</v>
      </c>
      <c r="C137" s="129">
        <v>4</v>
      </c>
      <c r="D137" s="130">
        <f>'2.4.5.3 Emplois ETP  base a'!D137*12</f>
        <v>0.66665003076923079</v>
      </c>
      <c r="E137" s="131">
        <f>'2.4.5.3 Emplois ETP  base a'!E137*12</f>
        <v>2.3018849999999991</v>
      </c>
      <c r="F137" s="132">
        <f t="shared" si="64"/>
        <v>1.8415079999999993</v>
      </c>
      <c r="G137" s="133">
        <f t="shared" si="65"/>
        <v>0.4603769999999997</v>
      </c>
      <c r="H137" s="134">
        <f t="shared" si="66"/>
        <v>0.66665003076923079</v>
      </c>
      <c r="I137" s="135"/>
      <c r="J137" s="136">
        <f t="shared" si="67"/>
        <v>0</v>
      </c>
      <c r="K137" s="137"/>
      <c r="L137" s="138">
        <f t="shared" si="68"/>
        <v>0</v>
      </c>
      <c r="M137" s="137"/>
      <c r="N137" s="139">
        <f t="shared" si="69"/>
        <v>1.1748579692307684</v>
      </c>
      <c r="O137" s="137"/>
      <c r="P137" s="140">
        <f t="shared" si="70"/>
        <v>0.4603769999999997</v>
      </c>
      <c r="Q137" s="135"/>
      <c r="R137" s="104">
        <f t="shared" si="71"/>
        <v>0.66665003076923079</v>
      </c>
      <c r="S137" s="137"/>
      <c r="T137" s="141">
        <f t="shared" si="72"/>
        <v>1.6352349692307682</v>
      </c>
      <c r="U137" s="199">
        <f t="shared" si="73"/>
        <v>0</v>
      </c>
      <c r="V137" s="37" t="str">
        <f t="shared" si="74"/>
        <v>ok</v>
      </c>
      <c r="W137" s="37" t="str">
        <f t="shared" si="75"/>
        <v>ok</v>
      </c>
    </row>
    <row r="138" spans="1:23" x14ac:dyDescent="0.25">
      <c r="A138" s="426"/>
      <c r="B138" s="178" t="s">
        <v>22</v>
      </c>
      <c r="C138" s="129">
        <v>5</v>
      </c>
      <c r="D138" s="130">
        <f>'2.4.5.3 Emplois ETP  base a'!D138*12</f>
        <v>0.46515452307692307</v>
      </c>
      <c r="E138" s="131">
        <f>'2.4.5.3 Emplois ETP  base a'!E138*12</f>
        <v>3.4528274999999997</v>
      </c>
      <c r="F138" s="132">
        <f t="shared" si="64"/>
        <v>2.7622619999999998</v>
      </c>
      <c r="G138" s="133">
        <f t="shared" si="65"/>
        <v>0.69056549999999983</v>
      </c>
      <c r="H138" s="134">
        <f t="shared" si="66"/>
        <v>0.46515452307692307</v>
      </c>
      <c r="I138" s="135"/>
      <c r="J138" s="136">
        <f t="shared" si="67"/>
        <v>0</v>
      </c>
      <c r="K138" s="137"/>
      <c r="L138" s="138">
        <f t="shared" si="68"/>
        <v>0</v>
      </c>
      <c r="M138" s="137"/>
      <c r="N138" s="139">
        <f t="shared" si="69"/>
        <v>2.2971074769230766</v>
      </c>
      <c r="O138" s="137"/>
      <c r="P138" s="140">
        <f t="shared" si="70"/>
        <v>0.69056549999999983</v>
      </c>
      <c r="Q138" s="135"/>
      <c r="R138" s="104">
        <f t="shared" si="71"/>
        <v>0.46515452307692307</v>
      </c>
      <c r="S138" s="137"/>
      <c r="T138" s="141">
        <f t="shared" si="72"/>
        <v>2.9876729769230765</v>
      </c>
      <c r="U138" s="199">
        <f t="shared" si="73"/>
        <v>0</v>
      </c>
      <c r="V138" s="37" t="str">
        <f t="shared" si="74"/>
        <v>ok</v>
      </c>
      <c r="W138" s="37" t="str">
        <f t="shared" si="75"/>
        <v>ok</v>
      </c>
    </row>
    <row r="139" spans="1:23" x14ac:dyDescent="0.25">
      <c r="A139" s="426"/>
      <c r="B139" s="178" t="s">
        <v>23</v>
      </c>
      <c r="C139" s="129">
        <v>6</v>
      </c>
      <c r="D139" s="130">
        <f>'2.4.5.3 Emplois ETP  base a'!D139*12</f>
        <v>0.964606153846154</v>
      </c>
      <c r="E139" s="131">
        <f>'2.4.5.3 Emplois ETP  base a'!E139*12</f>
        <v>5.6268299999999991</v>
      </c>
      <c r="F139" s="132">
        <f t="shared" si="64"/>
        <v>4.5014639999999995</v>
      </c>
      <c r="G139" s="133">
        <f t="shared" si="65"/>
        <v>1.1253659999999996</v>
      </c>
      <c r="H139" s="134">
        <f t="shared" si="66"/>
        <v>0.964606153846154</v>
      </c>
      <c r="I139" s="135"/>
      <c r="J139" s="136">
        <f t="shared" si="67"/>
        <v>0</v>
      </c>
      <c r="K139" s="137"/>
      <c r="L139" s="138">
        <f t="shared" si="68"/>
        <v>0</v>
      </c>
      <c r="M139" s="137"/>
      <c r="N139" s="139">
        <f t="shared" si="69"/>
        <v>3.5368578461538456</v>
      </c>
      <c r="O139" s="137"/>
      <c r="P139" s="140">
        <f t="shared" si="70"/>
        <v>1.1253659999999996</v>
      </c>
      <c r="Q139" s="135"/>
      <c r="R139" s="104">
        <f t="shared" si="71"/>
        <v>0.964606153846154</v>
      </c>
      <c r="S139" s="137"/>
      <c r="T139" s="141">
        <f t="shared" si="72"/>
        <v>4.6622238461538448</v>
      </c>
      <c r="U139" s="199">
        <f t="shared" si="73"/>
        <v>0</v>
      </c>
      <c r="V139" s="37" t="str">
        <f t="shared" si="74"/>
        <v>ok</v>
      </c>
      <c r="W139" s="37" t="str">
        <f t="shared" si="75"/>
        <v>ok</v>
      </c>
    </row>
    <row r="140" spans="1:23" x14ac:dyDescent="0.25">
      <c r="A140" s="426"/>
      <c r="B140" s="178" t="s">
        <v>19</v>
      </c>
      <c r="C140" s="129">
        <v>9</v>
      </c>
      <c r="D140" s="130">
        <f>'2.4.5.3 Emplois ETP  base a'!D140*12</f>
        <v>3.0974575384615379</v>
      </c>
      <c r="E140" s="131">
        <f>'2.4.5.3 Emplois ETP  base a'!E140*12</f>
        <v>3.934846153846153</v>
      </c>
      <c r="F140" s="132">
        <f t="shared" si="64"/>
        <v>3.1478769230769226</v>
      </c>
      <c r="G140" s="133">
        <f t="shared" si="65"/>
        <v>0.78696923076923042</v>
      </c>
      <c r="H140" s="134">
        <f t="shared" si="66"/>
        <v>3.0974575384615379</v>
      </c>
      <c r="I140" s="135"/>
      <c r="J140" s="136">
        <f t="shared" si="67"/>
        <v>0</v>
      </c>
      <c r="K140" s="137"/>
      <c r="L140" s="138">
        <f t="shared" si="68"/>
        <v>0</v>
      </c>
      <c r="M140" s="137"/>
      <c r="N140" s="139">
        <f t="shared" si="69"/>
        <v>5.0419384615384644E-2</v>
      </c>
      <c r="O140" s="137"/>
      <c r="P140" s="140">
        <f t="shared" si="70"/>
        <v>0.78696923076923042</v>
      </c>
      <c r="Q140" s="135"/>
      <c r="R140" s="104">
        <f t="shared" si="71"/>
        <v>3.0974575384615379</v>
      </c>
      <c r="S140" s="137"/>
      <c r="T140" s="141">
        <f t="shared" si="72"/>
        <v>0.83738861538461506</v>
      </c>
      <c r="U140" s="199">
        <f t="shared" si="73"/>
        <v>0</v>
      </c>
      <c r="V140" s="37" t="str">
        <f t="shared" si="74"/>
        <v>ok</v>
      </c>
      <c r="W140" s="37" t="str">
        <f t="shared" si="75"/>
        <v>ok</v>
      </c>
    </row>
    <row r="141" spans="1:23" x14ac:dyDescent="0.25">
      <c r="A141" s="426"/>
      <c r="B141" s="178" t="s">
        <v>20</v>
      </c>
      <c r="C141" s="129">
        <v>10</v>
      </c>
      <c r="D141" s="130">
        <f>'2.4.5.3 Emplois ETP  base a'!D141*12</f>
        <v>2.5122631384615386</v>
      </c>
      <c r="E141" s="131">
        <f>'2.4.5.3 Emplois ETP  base a'!E141*12</f>
        <v>4.0332173076923077</v>
      </c>
      <c r="F141" s="132">
        <f t="shared" si="64"/>
        <v>3.2265738461538462</v>
      </c>
      <c r="G141" s="133">
        <f t="shared" si="65"/>
        <v>0.80664346153846134</v>
      </c>
      <c r="H141" s="134">
        <f t="shared" si="66"/>
        <v>2.5122631384615386</v>
      </c>
      <c r="I141" s="135"/>
      <c r="J141" s="136">
        <f t="shared" si="67"/>
        <v>0</v>
      </c>
      <c r="K141" s="137"/>
      <c r="L141" s="138">
        <f t="shared" si="68"/>
        <v>0</v>
      </c>
      <c r="M141" s="137"/>
      <c r="N141" s="139">
        <f t="shared" si="69"/>
        <v>0.71431070769230764</v>
      </c>
      <c r="O141" s="137"/>
      <c r="P141" s="140">
        <f t="shared" si="70"/>
        <v>0.80664346153846134</v>
      </c>
      <c r="Q141" s="135"/>
      <c r="R141" s="104">
        <f t="shared" si="71"/>
        <v>2.5122631384615386</v>
      </c>
      <c r="S141" s="137"/>
      <c r="T141" s="141">
        <f t="shared" si="72"/>
        <v>1.5209541692307691</v>
      </c>
      <c r="U141" s="199">
        <f t="shared" si="73"/>
        <v>0</v>
      </c>
      <c r="V141" s="37" t="str">
        <f t="shared" si="74"/>
        <v>ok</v>
      </c>
      <c r="W141" s="37" t="str">
        <f t="shared" si="75"/>
        <v>ok</v>
      </c>
    </row>
    <row r="142" spans="1:23" x14ac:dyDescent="0.25">
      <c r="A142" s="426"/>
      <c r="B142" s="178" t="s">
        <v>21</v>
      </c>
      <c r="C142" s="129">
        <v>11</v>
      </c>
      <c r="D142" s="130">
        <f>'2.4.5.3 Emplois ETP  base a'!D142*12</f>
        <v>1.4522681538461539</v>
      </c>
      <c r="E142" s="131">
        <f>'2.4.5.3 Emplois ETP  base a'!E142*12</f>
        <v>2.1641653846153845</v>
      </c>
      <c r="F142" s="132">
        <f t="shared" si="64"/>
        <v>1.7313323076923077</v>
      </c>
      <c r="G142" s="133">
        <f t="shared" si="65"/>
        <v>0.43283307692307682</v>
      </c>
      <c r="H142" s="134">
        <f t="shared" si="66"/>
        <v>1.4522681538461539</v>
      </c>
      <c r="I142" s="135"/>
      <c r="J142" s="136">
        <f t="shared" si="67"/>
        <v>0</v>
      </c>
      <c r="K142" s="137"/>
      <c r="L142" s="138">
        <f t="shared" si="68"/>
        <v>0</v>
      </c>
      <c r="M142" s="137"/>
      <c r="N142" s="139">
        <f t="shared" si="69"/>
        <v>0.2790641538461538</v>
      </c>
      <c r="O142" s="137"/>
      <c r="P142" s="140">
        <f t="shared" si="70"/>
        <v>0.43283307692307682</v>
      </c>
      <c r="Q142" s="135"/>
      <c r="R142" s="104">
        <f t="shared" si="71"/>
        <v>1.4522681538461539</v>
      </c>
      <c r="S142" s="137"/>
      <c r="T142" s="141">
        <f t="shared" si="72"/>
        <v>0.71189723076923062</v>
      </c>
      <c r="U142" s="199">
        <f t="shared" si="73"/>
        <v>0</v>
      </c>
      <c r="V142" s="37" t="str">
        <f t="shared" si="74"/>
        <v>ok</v>
      </c>
      <c r="W142" s="37" t="str">
        <f t="shared" si="75"/>
        <v>ok</v>
      </c>
    </row>
    <row r="143" spans="1:23" x14ac:dyDescent="0.25">
      <c r="A143" s="426"/>
      <c r="B143" s="178" t="s">
        <v>22</v>
      </c>
      <c r="C143" s="129">
        <v>12</v>
      </c>
      <c r="D143" s="130">
        <f>'2.4.5.3 Emplois ETP  base a'!D143*12</f>
        <v>1.172532369230769</v>
      </c>
      <c r="E143" s="131">
        <f>'2.4.5.3 Emplois ETP  base a'!E143*12</f>
        <v>2.7543923076923074</v>
      </c>
      <c r="F143" s="132">
        <f t="shared" si="64"/>
        <v>2.2035138461538462</v>
      </c>
      <c r="G143" s="133">
        <f t="shared" si="65"/>
        <v>0.55087846153846132</v>
      </c>
      <c r="H143" s="134">
        <f t="shared" si="66"/>
        <v>1.172532369230769</v>
      </c>
      <c r="I143" s="135"/>
      <c r="J143" s="136">
        <f t="shared" si="67"/>
        <v>0</v>
      </c>
      <c r="K143" s="137"/>
      <c r="L143" s="138">
        <f t="shared" si="68"/>
        <v>0</v>
      </c>
      <c r="M143" s="137"/>
      <c r="N143" s="139">
        <f t="shared" si="69"/>
        <v>1.0309814769230772</v>
      </c>
      <c r="O143" s="137"/>
      <c r="P143" s="140">
        <f t="shared" si="70"/>
        <v>0.55087846153846132</v>
      </c>
      <c r="Q143" s="135"/>
      <c r="R143" s="104">
        <f t="shared" si="71"/>
        <v>1.172532369230769</v>
      </c>
      <c r="S143" s="137"/>
      <c r="T143" s="141">
        <f t="shared" si="72"/>
        <v>1.5818599384615384</v>
      </c>
      <c r="U143" s="199">
        <f t="shared" si="73"/>
        <v>0</v>
      </c>
      <c r="V143" s="37" t="str">
        <f t="shared" si="74"/>
        <v>ok</v>
      </c>
      <c r="W143" s="37" t="str">
        <f t="shared" si="75"/>
        <v>ok</v>
      </c>
    </row>
    <row r="144" spans="1:23" x14ac:dyDescent="0.25">
      <c r="A144" s="426"/>
      <c r="B144" s="178" t="s">
        <v>23</v>
      </c>
      <c r="C144" s="129">
        <v>13</v>
      </c>
      <c r="D144" s="130">
        <f>'2.4.5.3 Emplois ETP  base a'!D144*12</f>
        <v>2.2335991384615386</v>
      </c>
      <c r="E144" s="131">
        <f>'2.4.5.3 Emplois ETP  base a'!E144*12</f>
        <v>3.7381038461538454</v>
      </c>
      <c r="F144" s="132">
        <f t="shared" si="64"/>
        <v>2.9904830769230766</v>
      </c>
      <c r="G144" s="133">
        <f t="shared" si="65"/>
        <v>0.74762076923076892</v>
      </c>
      <c r="H144" s="134">
        <f t="shared" si="66"/>
        <v>2.2335991384615386</v>
      </c>
      <c r="I144" s="135"/>
      <c r="J144" s="136">
        <f t="shared" si="67"/>
        <v>0</v>
      </c>
      <c r="K144" s="137"/>
      <c r="L144" s="138">
        <f t="shared" si="68"/>
        <v>0</v>
      </c>
      <c r="M144" s="137"/>
      <c r="N144" s="139">
        <f t="shared" si="69"/>
        <v>0.75688393846153801</v>
      </c>
      <c r="O144" s="137"/>
      <c r="P144" s="140">
        <f t="shared" si="70"/>
        <v>0.74762076923076892</v>
      </c>
      <c r="Q144" s="135"/>
      <c r="R144" s="104">
        <f t="shared" si="71"/>
        <v>2.2335991384615386</v>
      </c>
      <c r="S144" s="137"/>
      <c r="T144" s="141">
        <f t="shared" si="72"/>
        <v>1.5045047076923068</v>
      </c>
      <c r="U144" s="199">
        <f t="shared" si="73"/>
        <v>0</v>
      </c>
      <c r="V144" s="37" t="str">
        <f t="shared" si="74"/>
        <v>ok</v>
      </c>
      <c r="W144" s="37" t="str">
        <f t="shared" si="75"/>
        <v>ok</v>
      </c>
    </row>
    <row r="145" spans="1:23" x14ac:dyDescent="0.25">
      <c r="A145" s="426"/>
      <c r="B145" s="178" t="s">
        <v>19</v>
      </c>
      <c r="C145" s="129">
        <v>16</v>
      </c>
      <c r="D145" s="130">
        <f>'2.4.5.3 Emplois ETP  base a'!D145*12</f>
        <v>1.9410019384615382</v>
      </c>
      <c r="E145" s="131">
        <f>'2.4.5.3 Emplois ETP  base a'!E145*12</f>
        <v>5.9022692307692299</v>
      </c>
      <c r="F145" s="132">
        <f t="shared" si="64"/>
        <v>4.7218153846153843</v>
      </c>
      <c r="G145" s="133">
        <f t="shared" si="65"/>
        <v>1.1804538461538456</v>
      </c>
      <c r="H145" s="134">
        <f t="shared" si="66"/>
        <v>1.9410019384615382</v>
      </c>
      <c r="I145" s="135"/>
      <c r="J145" s="136">
        <f t="shared" si="67"/>
        <v>0</v>
      </c>
      <c r="K145" s="137"/>
      <c r="L145" s="138">
        <f t="shared" si="68"/>
        <v>0</v>
      </c>
      <c r="M145" s="137"/>
      <c r="N145" s="139">
        <f t="shared" si="69"/>
        <v>2.7808134461538461</v>
      </c>
      <c r="O145" s="137"/>
      <c r="P145" s="140">
        <f t="shared" si="70"/>
        <v>1.1804538461538456</v>
      </c>
      <c r="Q145" s="135"/>
      <c r="R145" s="104">
        <f t="shared" si="71"/>
        <v>1.9410019384615382</v>
      </c>
      <c r="S145" s="137"/>
      <c r="T145" s="141">
        <f t="shared" si="72"/>
        <v>3.9612672923076917</v>
      </c>
      <c r="U145" s="199">
        <f t="shared" si="73"/>
        <v>0</v>
      </c>
      <c r="V145" s="37" t="str">
        <f t="shared" si="74"/>
        <v>ok</v>
      </c>
      <c r="W145" s="37" t="str">
        <f t="shared" si="75"/>
        <v>ok</v>
      </c>
    </row>
    <row r="146" spans="1:23" x14ac:dyDescent="0.25">
      <c r="A146" s="426"/>
      <c r="B146" s="178" t="s">
        <v>20</v>
      </c>
      <c r="C146" s="129">
        <v>17</v>
      </c>
      <c r="D146" s="130">
        <f>'2.4.5.3 Emplois ETP  base a'!D146*12</f>
        <v>1.5240777230769231</v>
      </c>
      <c r="E146" s="131">
        <f>'2.4.5.3 Emplois ETP  base a'!E146*12</f>
        <v>4.5250730769230758</v>
      </c>
      <c r="F146" s="132">
        <f t="shared" si="64"/>
        <v>3.620058461538461</v>
      </c>
      <c r="G146" s="133">
        <f t="shared" si="65"/>
        <v>0.90501461538461492</v>
      </c>
      <c r="H146" s="134">
        <f t="shared" si="66"/>
        <v>1.5240777230769231</v>
      </c>
      <c r="I146" s="135"/>
      <c r="J146" s="136">
        <f t="shared" si="67"/>
        <v>0</v>
      </c>
      <c r="K146" s="137"/>
      <c r="L146" s="138">
        <f t="shared" si="68"/>
        <v>0</v>
      </c>
      <c r="M146" s="137"/>
      <c r="N146" s="139">
        <f t="shared" si="69"/>
        <v>2.0959807384615381</v>
      </c>
      <c r="O146" s="137"/>
      <c r="P146" s="140">
        <f t="shared" si="70"/>
        <v>0.90501461538461492</v>
      </c>
      <c r="Q146" s="135"/>
      <c r="R146" s="104">
        <f t="shared" si="71"/>
        <v>1.5240777230769231</v>
      </c>
      <c r="S146" s="137"/>
      <c r="T146" s="141">
        <f t="shared" si="72"/>
        <v>3.0009953538461529</v>
      </c>
      <c r="U146" s="199">
        <f t="shared" si="73"/>
        <v>0</v>
      </c>
      <c r="V146" s="37" t="str">
        <f t="shared" si="74"/>
        <v>ok</v>
      </c>
      <c r="W146" s="37" t="str">
        <f t="shared" si="75"/>
        <v>ok</v>
      </c>
    </row>
    <row r="147" spans="1:23" x14ac:dyDescent="0.25">
      <c r="A147" s="426"/>
      <c r="B147" s="178" t="s">
        <v>21</v>
      </c>
      <c r="C147" s="129">
        <v>18</v>
      </c>
      <c r="D147" s="130">
        <f>'2.4.5.3 Emplois ETP  base a'!D147*12</f>
        <v>0.66665003076923079</v>
      </c>
      <c r="E147" s="131">
        <f>'2.4.5.3 Emplois ETP  base a'!E147*12</f>
        <v>2.1641653846153845</v>
      </c>
      <c r="F147" s="132">
        <f t="shared" si="64"/>
        <v>1.7313323076923077</v>
      </c>
      <c r="G147" s="133">
        <f t="shared" si="65"/>
        <v>0.43283307692307682</v>
      </c>
      <c r="H147" s="134">
        <f t="shared" si="66"/>
        <v>0.66665003076923079</v>
      </c>
      <c r="I147" s="135"/>
      <c r="J147" s="136">
        <f t="shared" si="67"/>
        <v>0</v>
      </c>
      <c r="K147" s="137"/>
      <c r="L147" s="138">
        <f t="shared" si="68"/>
        <v>0</v>
      </c>
      <c r="M147" s="137"/>
      <c r="N147" s="139">
        <f t="shared" si="69"/>
        <v>1.0646822769230768</v>
      </c>
      <c r="O147" s="137"/>
      <c r="P147" s="140">
        <f t="shared" si="70"/>
        <v>0.43283307692307682</v>
      </c>
      <c r="Q147" s="135"/>
      <c r="R147" s="104">
        <f t="shared" si="71"/>
        <v>0.66665003076923079</v>
      </c>
      <c r="S147" s="137"/>
      <c r="T147" s="141">
        <f t="shared" si="72"/>
        <v>1.4975153538461536</v>
      </c>
      <c r="U147" s="199">
        <f t="shared" si="73"/>
        <v>0</v>
      </c>
      <c r="V147" s="37" t="str">
        <f t="shared" si="74"/>
        <v>ok</v>
      </c>
      <c r="W147" s="37" t="str">
        <f t="shared" si="75"/>
        <v>ok</v>
      </c>
    </row>
    <row r="148" spans="1:23" x14ac:dyDescent="0.25">
      <c r="A148" s="426"/>
      <c r="B148" s="178" t="s">
        <v>22</v>
      </c>
      <c r="C148" s="129">
        <v>19</v>
      </c>
      <c r="D148" s="130">
        <f>'2.4.5.3 Emplois ETP  base a'!D148*12</f>
        <v>0.46515452307692307</v>
      </c>
      <c r="E148" s="131">
        <f>'2.4.5.3 Emplois ETP  base a'!E148*12</f>
        <v>3.6397326923076916</v>
      </c>
      <c r="F148" s="132">
        <f t="shared" si="64"/>
        <v>2.9117861538461534</v>
      </c>
      <c r="G148" s="133">
        <f t="shared" si="65"/>
        <v>0.72794653846153812</v>
      </c>
      <c r="H148" s="134">
        <f t="shared" si="66"/>
        <v>0.46515452307692307</v>
      </c>
      <c r="I148" s="135"/>
      <c r="J148" s="136">
        <f t="shared" si="67"/>
        <v>0</v>
      </c>
      <c r="K148" s="137"/>
      <c r="L148" s="138">
        <f t="shared" si="68"/>
        <v>0</v>
      </c>
      <c r="M148" s="137"/>
      <c r="N148" s="139">
        <f t="shared" si="69"/>
        <v>2.4466316307692302</v>
      </c>
      <c r="O148" s="137"/>
      <c r="P148" s="140">
        <f t="shared" si="70"/>
        <v>0.72794653846153812</v>
      </c>
      <c r="Q148" s="135"/>
      <c r="R148" s="104">
        <f t="shared" si="71"/>
        <v>0.46515452307692307</v>
      </c>
      <c r="S148" s="137"/>
      <c r="T148" s="141">
        <f t="shared" si="72"/>
        <v>3.1745781692307684</v>
      </c>
      <c r="U148" s="199">
        <f t="shared" si="73"/>
        <v>0</v>
      </c>
      <c r="V148" s="37" t="str">
        <f t="shared" si="74"/>
        <v>ok</v>
      </c>
      <c r="W148" s="37" t="str">
        <f t="shared" si="75"/>
        <v>ok</v>
      </c>
    </row>
    <row r="149" spans="1:23" x14ac:dyDescent="0.25">
      <c r="A149" s="426"/>
      <c r="B149" s="178" t="s">
        <v>23</v>
      </c>
      <c r="C149" s="129">
        <v>20</v>
      </c>
      <c r="D149" s="130">
        <f>'2.4.5.3 Emplois ETP  base a'!D149*12</f>
        <v>0.964606153846154</v>
      </c>
      <c r="E149" s="131">
        <f>'2.4.5.3 Emplois ETP  base a'!E149*12</f>
        <v>4.3283307692307691</v>
      </c>
      <c r="F149" s="132">
        <f t="shared" si="64"/>
        <v>3.4626646153846155</v>
      </c>
      <c r="G149" s="133">
        <f t="shared" si="65"/>
        <v>0.86566615384615364</v>
      </c>
      <c r="H149" s="134">
        <f t="shared" si="66"/>
        <v>0.964606153846154</v>
      </c>
      <c r="I149" s="135"/>
      <c r="J149" s="136">
        <f t="shared" si="67"/>
        <v>0</v>
      </c>
      <c r="K149" s="137"/>
      <c r="L149" s="138">
        <f t="shared" si="68"/>
        <v>0</v>
      </c>
      <c r="M149" s="137"/>
      <c r="N149" s="139">
        <f t="shared" si="69"/>
        <v>2.4980584615384616</v>
      </c>
      <c r="O149" s="137"/>
      <c r="P149" s="140">
        <f t="shared" si="70"/>
        <v>0.86566615384615364</v>
      </c>
      <c r="Q149" s="135"/>
      <c r="R149" s="104">
        <f t="shared" si="71"/>
        <v>0.964606153846154</v>
      </c>
      <c r="S149" s="137"/>
      <c r="T149" s="141">
        <f t="shared" si="72"/>
        <v>3.3637246153846152</v>
      </c>
      <c r="U149" s="199">
        <f t="shared" si="73"/>
        <v>0</v>
      </c>
      <c r="V149" s="37" t="str">
        <f t="shared" si="74"/>
        <v>ok</v>
      </c>
      <c r="W149" s="37" t="str">
        <f t="shared" si="75"/>
        <v>ok</v>
      </c>
    </row>
    <row r="150" spans="1:23" x14ac:dyDescent="0.25">
      <c r="A150" s="426"/>
      <c r="B150" s="178" t="s">
        <v>19</v>
      </c>
      <c r="C150" s="129">
        <v>23</v>
      </c>
      <c r="D150" s="130">
        <f>'2.4.5.3 Emplois ETP  base a'!D150*12</f>
        <v>3.8712860307692303</v>
      </c>
      <c r="E150" s="131">
        <f>'2.4.5.3 Emplois ETP  base a'!E150*12</f>
        <v>4.8693721153846141</v>
      </c>
      <c r="F150" s="132">
        <f t="shared" si="64"/>
        <v>3.8954976923076914</v>
      </c>
      <c r="G150" s="133">
        <f t="shared" si="65"/>
        <v>0.97387442307692262</v>
      </c>
      <c r="H150" s="134">
        <f t="shared" si="66"/>
        <v>3.8712860307692303</v>
      </c>
      <c r="I150" s="135"/>
      <c r="J150" s="136">
        <f t="shared" si="67"/>
        <v>0</v>
      </c>
      <c r="K150" s="137"/>
      <c r="L150" s="138">
        <f t="shared" si="68"/>
        <v>0</v>
      </c>
      <c r="M150" s="137"/>
      <c r="N150" s="139">
        <f t="shared" si="69"/>
        <v>2.4211661538461104E-2</v>
      </c>
      <c r="O150" s="137"/>
      <c r="P150" s="140">
        <f t="shared" si="70"/>
        <v>0.97387442307692262</v>
      </c>
      <c r="Q150" s="135"/>
      <c r="R150" s="104">
        <f t="shared" si="71"/>
        <v>3.8712860307692303</v>
      </c>
      <c r="S150" s="137"/>
      <c r="T150" s="141">
        <f t="shared" si="72"/>
        <v>0.99808608461538373</v>
      </c>
      <c r="U150" s="199">
        <f t="shared" si="73"/>
        <v>0</v>
      </c>
      <c r="V150" s="37" t="str">
        <f t="shared" si="74"/>
        <v>ok</v>
      </c>
      <c r="W150" s="37" t="str">
        <f t="shared" si="75"/>
        <v>ok</v>
      </c>
    </row>
    <row r="151" spans="1:23" x14ac:dyDescent="0.25">
      <c r="A151" s="426"/>
      <c r="B151" s="178" t="s">
        <v>20</v>
      </c>
      <c r="C151" s="129">
        <v>24</v>
      </c>
      <c r="D151" s="130">
        <f>'2.4.5.3 Emplois ETP  base a'!D151*12</f>
        <v>3.151046769230768</v>
      </c>
      <c r="E151" s="131">
        <f>'2.4.5.3 Emplois ETP  base a'!E151*12</f>
        <v>3.0849193846153842</v>
      </c>
      <c r="F151" s="132">
        <f t="shared" si="64"/>
        <v>2.4679355076923075</v>
      </c>
      <c r="G151" s="133">
        <f t="shared" si="65"/>
        <v>0.61698387692307666</v>
      </c>
      <c r="H151" s="134">
        <f t="shared" si="66"/>
        <v>3.0849193846153842</v>
      </c>
      <c r="I151" s="135"/>
      <c r="J151" s="136">
        <f t="shared" si="67"/>
        <v>6.6127384615383811E-2</v>
      </c>
      <c r="K151" s="137"/>
      <c r="L151" s="138">
        <f t="shared" si="68"/>
        <v>0.61698387692307666</v>
      </c>
      <c r="M151" s="137"/>
      <c r="N151" s="139">
        <f t="shared" si="69"/>
        <v>0</v>
      </c>
      <c r="O151" s="137"/>
      <c r="P151" s="140">
        <f t="shared" si="70"/>
        <v>0</v>
      </c>
      <c r="Q151" s="135"/>
      <c r="R151" s="104">
        <f t="shared" si="71"/>
        <v>2.4679355076923075</v>
      </c>
      <c r="S151" s="137"/>
      <c r="T151" s="141">
        <f t="shared" si="72"/>
        <v>0.61698387692307666</v>
      </c>
      <c r="U151" s="199">
        <f t="shared" si="73"/>
        <v>0.68311126153846047</v>
      </c>
      <c r="V151" s="37" t="str">
        <f t="shared" si="74"/>
        <v>ok</v>
      </c>
      <c r="W151" s="37" t="str">
        <f t="shared" si="75"/>
        <v>ok</v>
      </c>
    </row>
    <row r="152" spans="1:23" x14ac:dyDescent="0.25">
      <c r="A152" s="426"/>
      <c r="B152" s="178" t="s">
        <v>21</v>
      </c>
      <c r="C152" s="129">
        <v>25</v>
      </c>
      <c r="D152" s="130">
        <f>'2.4.5.3 Emplois ETP  base a'!D152*12</f>
        <v>1.8156031384615385</v>
      </c>
      <c r="E152" s="131">
        <f>'2.4.5.3 Emplois ETP  base a'!E152*12</f>
        <v>1.4617953461538458</v>
      </c>
      <c r="F152" s="132">
        <f t="shared" si="64"/>
        <v>1.1694362769230766</v>
      </c>
      <c r="G152" s="133">
        <f t="shared" si="65"/>
        <v>0.2923590692307691</v>
      </c>
      <c r="H152" s="134">
        <f t="shared" si="66"/>
        <v>1.4617953461538458</v>
      </c>
      <c r="I152" s="135"/>
      <c r="J152" s="136">
        <f t="shared" si="67"/>
        <v>0.35380779230769277</v>
      </c>
      <c r="K152" s="137"/>
      <c r="L152" s="138">
        <f t="shared" si="68"/>
        <v>0.2923590692307691</v>
      </c>
      <c r="M152" s="137"/>
      <c r="N152" s="139">
        <f t="shared" si="69"/>
        <v>0</v>
      </c>
      <c r="O152" s="137"/>
      <c r="P152" s="140">
        <f t="shared" si="70"/>
        <v>0</v>
      </c>
      <c r="Q152" s="135"/>
      <c r="R152" s="104">
        <f t="shared" si="71"/>
        <v>1.1694362769230766</v>
      </c>
      <c r="S152" s="137"/>
      <c r="T152" s="141">
        <f t="shared" si="72"/>
        <v>0.2923590692307691</v>
      </c>
      <c r="U152" s="199">
        <f t="shared" si="73"/>
        <v>0.64616686153846192</v>
      </c>
      <c r="V152" s="37" t="str">
        <f t="shared" si="74"/>
        <v>ok</v>
      </c>
      <c r="W152" s="37" t="str">
        <f t="shared" si="75"/>
        <v>ok</v>
      </c>
    </row>
    <row r="153" spans="1:23" x14ac:dyDescent="0.25">
      <c r="A153" s="426"/>
      <c r="B153" s="178" t="s">
        <v>22</v>
      </c>
      <c r="C153" s="129">
        <v>26</v>
      </c>
      <c r="D153" s="130">
        <f>'2.4.5.3 Emplois ETP  base a'!D153*12</f>
        <v>1.4865652615384615</v>
      </c>
      <c r="E153" s="131">
        <f>'2.4.5.3 Emplois ETP  base a'!E153*12</f>
        <v>1.9477488461538459</v>
      </c>
      <c r="F153" s="132">
        <f t="shared" si="64"/>
        <v>1.5581990769230769</v>
      </c>
      <c r="G153" s="133">
        <f t="shared" si="65"/>
        <v>0.38954976923076912</v>
      </c>
      <c r="H153" s="134">
        <f t="shared" si="66"/>
        <v>1.4865652615384615</v>
      </c>
      <c r="I153" s="135"/>
      <c r="J153" s="136">
        <f t="shared" si="67"/>
        <v>0</v>
      </c>
      <c r="K153" s="137"/>
      <c r="L153" s="138">
        <f t="shared" si="68"/>
        <v>0</v>
      </c>
      <c r="M153" s="137"/>
      <c r="N153" s="139">
        <f t="shared" si="69"/>
        <v>7.163381538461544E-2</v>
      </c>
      <c r="O153" s="137"/>
      <c r="P153" s="140">
        <f t="shared" si="70"/>
        <v>0.38954976923076912</v>
      </c>
      <c r="Q153" s="135"/>
      <c r="R153" s="104">
        <f t="shared" si="71"/>
        <v>1.4865652615384615</v>
      </c>
      <c r="S153" s="137"/>
      <c r="T153" s="141">
        <f t="shared" si="72"/>
        <v>0.46118358461538456</v>
      </c>
      <c r="U153" s="199">
        <f t="shared" si="73"/>
        <v>0</v>
      </c>
      <c r="V153" s="37" t="str">
        <f t="shared" si="74"/>
        <v>ok</v>
      </c>
      <c r="W153" s="37" t="str">
        <f t="shared" si="75"/>
        <v>ok</v>
      </c>
    </row>
    <row r="154" spans="1:23" x14ac:dyDescent="0.25">
      <c r="A154" s="426"/>
      <c r="B154" s="178" t="s">
        <v>23</v>
      </c>
      <c r="C154" s="129">
        <v>27</v>
      </c>
      <c r="D154" s="130">
        <f>'2.4.5.3 Emplois ETP  base a'!D154*12</f>
        <v>2.7919989230769229</v>
      </c>
      <c r="E154" s="131">
        <f>'2.4.5.3 Emplois ETP  base a'!E154*12</f>
        <v>3.0849193846153842</v>
      </c>
      <c r="F154" s="132">
        <f t="shared" si="64"/>
        <v>2.4679355076923075</v>
      </c>
      <c r="G154" s="133">
        <f t="shared" si="65"/>
        <v>0.61698387692307666</v>
      </c>
      <c r="H154" s="134">
        <f t="shared" si="66"/>
        <v>2.7919989230769229</v>
      </c>
      <c r="I154" s="135"/>
      <c r="J154" s="136">
        <f t="shared" si="67"/>
        <v>0</v>
      </c>
      <c r="K154" s="137"/>
      <c r="L154" s="138">
        <f t="shared" si="68"/>
        <v>0.32406341538461536</v>
      </c>
      <c r="M154" s="137"/>
      <c r="N154" s="139">
        <f t="shared" si="69"/>
        <v>0</v>
      </c>
      <c r="O154" s="137"/>
      <c r="P154" s="140">
        <f t="shared" si="70"/>
        <v>0.2929204615384613</v>
      </c>
      <c r="Q154" s="135"/>
      <c r="R154" s="104">
        <f t="shared" si="71"/>
        <v>2.4679355076923075</v>
      </c>
      <c r="S154" s="137"/>
      <c r="T154" s="141">
        <f t="shared" si="72"/>
        <v>0.61698387692307666</v>
      </c>
      <c r="U154" s="199">
        <f t="shared" si="73"/>
        <v>0.32406341538461536</v>
      </c>
      <c r="V154" s="37" t="str">
        <f t="shared" si="74"/>
        <v>ok</v>
      </c>
      <c r="W154" s="37" t="str">
        <f t="shared" si="75"/>
        <v>ok</v>
      </c>
    </row>
    <row r="155" spans="1:23" x14ac:dyDescent="0.25">
      <c r="A155" s="426"/>
      <c r="B155" s="178" t="s">
        <v>19</v>
      </c>
      <c r="C155" s="129">
        <v>30</v>
      </c>
      <c r="D155" s="130">
        <f>'2.4.5.3 Emplois ETP  base a'!D155*12</f>
        <v>4.6451145230769235</v>
      </c>
      <c r="E155" s="131">
        <f>'2.4.5.3 Emplois ETP  base a'!E155*12</f>
        <v>5.9022692307692299</v>
      </c>
      <c r="F155" s="132">
        <f t="shared" si="64"/>
        <v>4.7218153846153843</v>
      </c>
      <c r="G155" s="133">
        <f t="shared" si="65"/>
        <v>1.1804538461538456</v>
      </c>
      <c r="H155" s="134">
        <f t="shared" si="66"/>
        <v>4.6451145230769235</v>
      </c>
      <c r="I155" s="135"/>
      <c r="J155" s="136">
        <f t="shared" si="67"/>
        <v>0</v>
      </c>
      <c r="K155" s="137"/>
      <c r="L155" s="138">
        <f t="shared" si="68"/>
        <v>0</v>
      </c>
      <c r="M155" s="137"/>
      <c r="N155" s="139">
        <f t="shared" si="69"/>
        <v>7.6700861538460785E-2</v>
      </c>
      <c r="O155" s="137"/>
      <c r="P155" s="140">
        <f t="shared" si="70"/>
        <v>1.1804538461538456</v>
      </c>
      <c r="Q155" s="135"/>
      <c r="R155" s="104">
        <f t="shared" si="71"/>
        <v>4.6451145230769235</v>
      </c>
      <c r="S155" s="137"/>
      <c r="T155" s="141">
        <f t="shared" si="72"/>
        <v>1.2571547076923064</v>
      </c>
      <c r="U155" s="199">
        <f t="shared" si="73"/>
        <v>0</v>
      </c>
      <c r="V155" s="37" t="str">
        <f t="shared" si="74"/>
        <v>ok</v>
      </c>
      <c r="W155" s="37" t="str">
        <f t="shared" si="75"/>
        <v>ok</v>
      </c>
    </row>
    <row r="156" spans="1:23" ht="15.75" thickBot="1" x14ac:dyDescent="0.3">
      <c r="A156" s="427"/>
      <c r="B156" s="277" t="s">
        <v>20</v>
      </c>
      <c r="C156" s="165">
        <v>31</v>
      </c>
      <c r="D156" s="202">
        <f>'2.4.5.3 Emplois ETP  base a'!D156*12</f>
        <v>3.7683947076923063</v>
      </c>
      <c r="E156" s="203">
        <f>'2.4.5.3 Emplois ETP  base a'!E156*12</f>
        <v>4.1315884615384615</v>
      </c>
      <c r="F156" s="204">
        <f t="shared" si="64"/>
        <v>3.3052707692307695</v>
      </c>
      <c r="G156" s="205">
        <f t="shared" si="65"/>
        <v>0.82631769230769214</v>
      </c>
      <c r="H156" s="206">
        <f t="shared" si="66"/>
        <v>3.7683947076923063</v>
      </c>
      <c r="I156" s="207"/>
      <c r="J156" s="208">
        <f t="shared" si="67"/>
        <v>0</v>
      </c>
      <c r="K156" s="209"/>
      <c r="L156" s="210">
        <f t="shared" si="68"/>
        <v>0.46312393846153688</v>
      </c>
      <c r="M156" s="209"/>
      <c r="N156" s="211">
        <f t="shared" si="69"/>
        <v>0</v>
      </c>
      <c r="O156" s="209"/>
      <c r="P156" s="212">
        <f t="shared" si="70"/>
        <v>0.36319375384615515</v>
      </c>
      <c r="Q156" s="207"/>
      <c r="R156" s="213">
        <f t="shared" si="71"/>
        <v>3.3052707692307695</v>
      </c>
      <c r="S156" s="209"/>
      <c r="T156" s="214">
        <f t="shared" si="72"/>
        <v>0.82631769230769203</v>
      </c>
      <c r="U156" s="215">
        <f t="shared" si="73"/>
        <v>0.46312393846153688</v>
      </c>
      <c r="V156" s="37" t="str">
        <f t="shared" si="74"/>
        <v>ok</v>
      </c>
      <c r="W156" s="37" t="str">
        <f t="shared" si="75"/>
        <v>ok</v>
      </c>
    </row>
    <row r="157" spans="1:23" x14ac:dyDescent="0.25">
      <c r="A157" s="425" t="s">
        <v>96</v>
      </c>
      <c r="B157" s="276" t="s">
        <v>21</v>
      </c>
      <c r="C157" s="247">
        <v>1</v>
      </c>
      <c r="D157" s="184">
        <f>'2.4.5.3 Emplois ETP  base a'!D157*12</f>
        <v>1.9324763076923079</v>
      </c>
      <c r="E157" s="185">
        <f>'2.4.5.3 Emplois ETP  base a'!E157*12</f>
        <v>10.579949999999998</v>
      </c>
      <c r="F157" s="186">
        <f t="shared" si="64"/>
        <v>8.4639599999999984</v>
      </c>
      <c r="G157" s="187">
        <f t="shared" si="65"/>
        <v>2.1159899999999991</v>
      </c>
      <c r="H157" s="188">
        <f>IF(E157&gt;D157,D157,E157)</f>
        <v>1.9324763076923079</v>
      </c>
      <c r="I157" s="189"/>
      <c r="J157" s="190">
        <f>IF(E157&gt;D157,0,D157-E157)</f>
        <v>0</v>
      </c>
      <c r="K157" s="191"/>
      <c r="L157" s="192">
        <f>IF(E157&gt;D157,IF(F157&gt;H157,0,H157-F157),G157)</f>
        <v>0</v>
      </c>
      <c r="M157" s="191"/>
      <c r="N157" s="193">
        <f>IF(E157&gt;D157,IF(F157&gt;H157,F157-H157,0),0)</f>
        <v>6.53148369230769</v>
      </c>
      <c r="O157" s="191"/>
      <c r="P157" s="194">
        <f>IF(E157&gt;D157,IF(F157&gt;H157,G157,E157-H157),0)</f>
        <v>2.1159899999999991</v>
      </c>
      <c r="Q157" s="189"/>
      <c r="R157" s="195">
        <f>H157-L157</f>
        <v>1.9324763076923079</v>
      </c>
      <c r="S157" s="191"/>
      <c r="T157" s="196">
        <f>L157+N157+P157</f>
        <v>8.6474736923076883</v>
      </c>
      <c r="U157" s="197">
        <f>J157+L157</f>
        <v>0</v>
      </c>
      <c r="V157" s="37" t="str">
        <f>IF(R157+T157=E157,"ok","bad")</f>
        <v>ok</v>
      </c>
      <c r="W157" s="37" t="str">
        <f>IF(U157+R157=D157,"ok","bad")</f>
        <v>ok</v>
      </c>
    </row>
    <row r="158" spans="1:23" x14ac:dyDescent="0.25">
      <c r="A158" s="426"/>
      <c r="B158" s="178" t="s">
        <v>22</v>
      </c>
      <c r="C158" s="129">
        <v>2</v>
      </c>
      <c r="D158" s="130">
        <f>'2.4.5.3 Emplois ETP  base a'!D158*12</f>
        <v>1.517383384615385</v>
      </c>
      <c r="E158" s="131">
        <f>'2.4.5.3 Emplois ETP  base a'!E158*12</f>
        <v>7.758630000000001</v>
      </c>
      <c r="F158" s="132">
        <f t="shared" si="64"/>
        <v>6.2069040000000015</v>
      </c>
      <c r="G158" s="133">
        <f t="shared" si="65"/>
        <v>1.5517259999999999</v>
      </c>
      <c r="H158" s="134">
        <f t="shared" ref="H158:H179" si="76">IF(E158&gt;D158,D158,E158)</f>
        <v>1.517383384615385</v>
      </c>
      <c r="I158" s="135"/>
      <c r="J158" s="136">
        <f t="shared" ref="J158:J179" si="77">IF(E158&gt;D158,0,D158-E158)</f>
        <v>0</v>
      </c>
      <c r="K158" s="137"/>
      <c r="L158" s="138">
        <f t="shared" ref="L158:L179" si="78">IF(E158&gt;D158,IF(F158&gt;H158,0,H158-F158),G158)</f>
        <v>0</v>
      </c>
      <c r="M158" s="137"/>
      <c r="N158" s="139">
        <f t="shared" ref="N158:N179" si="79">IF(E158&gt;D158,IF(F158&gt;H158,F158-H158,0),0)</f>
        <v>4.6895206153846161</v>
      </c>
      <c r="O158" s="137"/>
      <c r="P158" s="140">
        <f t="shared" ref="P158:P179" si="80">IF(E158&gt;D158,IF(F158&gt;H158,G158,E158-H158),0)</f>
        <v>1.5517259999999999</v>
      </c>
      <c r="Q158" s="135"/>
      <c r="R158" s="104">
        <f t="shared" ref="R158:R179" si="81">H158-L158</f>
        <v>1.517383384615385</v>
      </c>
      <c r="S158" s="137"/>
      <c r="T158" s="141">
        <f t="shared" ref="T158:T179" si="82">L158+N158+P158</f>
        <v>6.2412466153846164</v>
      </c>
      <c r="U158" s="199">
        <f t="shared" ref="U158:U179" si="83">J158+L158</f>
        <v>0</v>
      </c>
      <c r="V158" s="37" t="str">
        <f t="shared" ref="V158:V179" si="84">IF(R158+T158=E158,"ok","bad")</f>
        <v>ok</v>
      </c>
      <c r="W158" s="37" t="str">
        <f t="shared" ref="W158:W179" si="85">IF(U158+R158=D158,"ok","bad")</f>
        <v>ok</v>
      </c>
    </row>
    <row r="159" spans="1:23" x14ac:dyDescent="0.25">
      <c r="A159" s="426"/>
      <c r="B159" s="178" t="s">
        <v>23</v>
      </c>
      <c r="C159" s="129">
        <v>3</v>
      </c>
      <c r="D159" s="130">
        <f>'2.4.5.3 Emplois ETP  base a'!D159*12</f>
        <v>0.66372184615384622</v>
      </c>
      <c r="E159" s="131">
        <f>'2.4.5.3 Emplois ETP  base a'!E159*12</f>
        <v>3.1739850000000001</v>
      </c>
      <c r="F159" s="132">
        <f t="shared" si="64"/>
        <v>2.5391880000000002</v>
      </c>
      <c r="G159" s="133">
        <f t="shared" si="65"/>
        <v>0.63479699999999983</v>
      </c>
      <c r="H159" s="134">
        <f t="shared" si="76"/>
        <v>0.66372184615384622</v>
      </c>
      <c r="I159" s="135"/>
      <c r="J159" s="136">
        <f t="shared" si="77"/>
        <v>0</v>
      </c>
      <c r="K159" s="137"/>
      <c r="L159" s="138">
        <f t="shared" si="78"/>
        <v>0</v>
      </c>
      <c r="M159" s="137"/>
      <c r="N159" s="139">
        <f t="shared" si="79"/>
        <v>1.8754661538461539</v>
      </c>
      <c r="O159" s="137"/>
      <c r="P159" s="140">
        <f t="shared" si="80"/>
        <v>0.63479699999999983</v>
      </c>
      <c r="Q159" s="135"/>
      <c r="R159" s="104">
        <f t="shared" si="81"/>
        <v>0.66372184615384622</v>
      </c>
      <c r="S159" s="137"/>
      <c r="T159" s="141">
        <f t="shared" si="82"/>
        <v>2.5102631538461537</v>
      </c>
      <c r="U159" s="199">
        <f t="shared" si="83"/>
        <v>0</v>
      </c>
      <c r="V159" s="37" t="str">
        <f t="shared" si="84"/>
        <v>ok</v>
      </c>
      <c r="W159" s="37" t="str">
        <f t="shared" si="85"/>
        <v>ok</v>
      </c>
    </row>
    <row r="160" spans="1:23" x14ac:dyDescent="0.25">
      <c r="A160" s="426"/>
      <c r="B160" s="178" t="s">
        <v>19</v>
      </c>
      <c r="C160" s="129">
        <v>6</v>
      </c>
      <c r="D160" s="130">
        <f>'2.4.5.3 Emplois ETP  base a'!D160*12</f>
        <v>0.46311138461538454</v>
      </c>
      <c r="E160" s="131">
        <f>'2.4.5.3 Emplois ETP  base a'!E160*12</f>
        <v>4.7609775000000001</v>
      </c>
      <c r="F160" s="132">
        <f t="shared" si="64"/>
        <v>3.8087820000000003</v>
      </c>
      <c r="G160" s="133">
        <f t="shared" si="65"/>
        <v>0.95219549999999975</v>
      </c>
      <c r="H160" s="134">
        <f t="shared" si="76"/>
        <v>0.46311138461538454</v>
      </c>
      <c r="I160" s="135"/>
      <c r="J160" s="136">
        <f t="shared" si="77"/>
        <v>0</v>
      </c>
      <c r="K160" s="137"/>
      <c r="L160" s="138">
        <f t="shared" si="78"/>
        <v>0</v>
      </c>
      <c r="M160" s="137"/>
      <c r="N160" s="139">
        <f t="shared" si="79"/>
        <v>3.3456706153846159</v>
      </c>
      <c r="O160" s="137"/>
      <c r="P160" s="140">
        <f t="shared" si="80"/>
        <v>0.95219549999999975</v>
      </c>
      <c r="Q160" s="135"/>
      <c r="R160" s="104">
        <f t="shared" si="81"/>
        <v>0.46311138461538454</v>
      </c>
      <c r="S160" s="137"/>
      <c r="T160" s="141">
        <f t="shared" si="82"/>
        <v>4.2978661153846156</v>
      </c>
      <c r="U160" s="199">
        <f t="shared" si="83"/>
        <v>0</v>
      </c>
      <c r="V160" s="37" t="str">
        <f t="shared" si="84"/>
        <v>ok</v>
      </c>
      <c r="W160" s="37" t="str">
        <f t="shared" si="85"/>
        <v>ok</v>
      </c>
    </row>
    <row r="161" spans="1:23" x14ac:dyDescent="0.25">
      <c r="A161" s="426"/>
      <c r="B161" s="178" t="s">
        <v>20</v>
      </c>
      <c r="C161" s="129">
        <v>7</v>
      </c>
      <c r="D161" s="130">
        <f>'2.4.5.3 Emplois ETP  base a'!D161*12</f>
        <v>0.96036923076923109</v>
      </c>
      <c r="E161" s="131">
        <f>'2.4.5.3 Emplois ETP  base a'!E161*12</f>
        <v>7.758630000000001</v>
      </c>
      <c r="F161" s="132">
        <f t="shared" si="64"/>
        <v>6.2069040000000015</v>
      </c>
      <c r="G161" s="133">
        <f t="shared" si="65"/>
        <v>1.5517259999999999</v>
      </c>
      <c r="H161" s="134">
        <f t="shared" si="76"/>
        <v>0.96036923076923109</v>
      </c>
      <c r="I161" s="135"/>
      <c r="J161" s="136">
        <f t="shared" si="77"/>
        <v>0</v>
      </c>
      <c r="K161" s="137"/>
      <c r="L161" s="138">
        <f t="shared" si="78"/>
        <v>0</v>
      </c>
      <c r="M161" s="137"/>
      <c r="N161" s="139">
        <f t="shared" si="79"/>
        <v>5.2465347692307702</v>
      </c>
      <c r="O161" s="137"/>
      <c r="P161" s="140">
        <f t="shared" si="80"/>
        <v>1.5517259999999999</v>
      </c>
      <c r="Q161" s="135"/>
      <c r="R161" s="104">
        <f t="shared" si="81"/>
        <v>0.96036923076923109</v>
      </c>
      <c r="S161" s="137"/>
      <c r="T161" s="141">
        <f t="shared" si="82"/>
        <v>6.7982607692307706</v>
      </c>
      <c r="U161" s="199">
        <f t="shared" si="83"/>
        <v>0</v>
      </c>
      <c r="V161" s="37" t="str">
        <f t="shared" si="84"/>
        <v>ok</v>
      </c>
      <c r="W161" s="37" t="str">
        <f t="shared" si="85"/>
        <v>ok</v>
      </c>
    </row>
    <row r="162" spans="1:23" x14ac:dyDescent="0.25">
      <c r="A162" s="426"/>
      <c r="B162" s="178" t="s">
        <v>21</v>
      </c>
      <c r="C162" s="129">
        <v>8</v>
      </c>
      <c r="D162" s="130">
        <f>'2.4.5.3 Emplois ETP  base a'!D162*12</f>
        <v>3.0838523076923074</v>
      </c>
      <c r="E162" s="131">
        <f>'2.4.5.3 Emplois ETP  base a'!E162*12</f>
        <v>5.4256153846153845</v>
      </c>
      <c r="F162" s="132">
        <f t="shared" si="64"/>
        <v>4.3404923076923074</v>
      </c>
      <c r="G162" s="133">
        <f t="shared" si="65"/>
        <v>1.0851230769230766</v>
      </c>
      <c r="H162" s="134">
        <f t="shared" si="76"/>
        <v>3.0838523076923074</v>
      </c>
      <c r="I162" s="135"/>
      <c r="J162" s="136">
        <f t="shared" si="77"/>
        <v>0</v>
      </c>
      <c r="K162" s="137"/>
      <c r="L162" s="138">
        <f t="shared" si="78"/>
        <v>0</v>
      </c>
      <c r="M162" s="137"/>
      <c r="N162" s="139">
        <f t="shared" si="79"/>
        <v>1.25664</v>
      </c>
      <c r="O162" s="137"/>
      <c r="P162" s="140">
        <f t="shared" si="80"/>
        <v>1.0851230769230766</v>
      </c>
      <c r="Q162" s="135"/>
      <c r="R162" s="104">
        <f t="shared" si="81"/>
        <v>3.0838523076923074</v>
      </c>
      <c r="S162" s="137"/>
      <c r="T162" s="141">
        <f t="shared" si="82"/>
        <v>2.3417630769230766</v>
      </c>
      <c r="U162" s="199">
        <f t="shared" si="83"/>
        <v>0</v>
      </c>
      <c r="V162" s="37" t="str">
        <f t="shared" si="84"/>
        <v>ok</v>
      </c>
      <c r="W162" s="37" t="str">
        <f t="shared" si="85"/>
        <v>ok</v>
      </c>
    </row>
    <row r="163" spans="1:23" x14ac:dyDescent="0.25">
      <c r="A163" s="426"/>
      <c r="B163" s="178" t="s">
        <v>22</v>
      </c>
      <c r="C163" s="129">
        <v>9</v>
      </c>
      <c r="D163" s="130">
        <f>'2.4.5.3 Emplois ETP  base a'!D163*12</f>
        <v>2.5012283076923083</v>
      </c>
      <c r="E163" s="131">
        <f>'2.4.5.3 Emplois ETP  base a'!E163*12</f>
        <v>5.5612557692307689</v>
      </c>
      <c r="F163" s="132">
        <f t="shared" si="64"/>
        <v>4.4490046153846157</v>
      </c>
      <c r="G163" s="133">
        <f t="shared" si="65"/>
        <v>1.1122511538461535</v>
      </c>
      <c r="H163" s="134">
        <f t="shared" si="76"/>
        <v>2.5012283076923083</v>
      </c>
      <c r="I163" s="135"/>
      <c r="J163" s="136">
        <f t="shared" si="77"/>
        <v>0</v>
      </c>
      <c r="K163" s="137"/>
      <c r="L163" s="138">
        <f t="shared" si="78"/>
        <v>0</v>
      </c>
      <c r="M163" s="137"/>
      <c r="N163" s="139">
        <f t="shared" si="79"/>
        <v>1.9477763076923074</v>
      </c>
      <c r="O163" s="137"/>
      <c r="P163" s="140">
        <f t="shared" si="80"/>
        <v>1.1122511538461535</v>
      </c>
      <c r="Q163" s="135"/>
      <c r="R163" s="104">
        <f t="shared" si="81"/>
        <v>2.5012283076923083</v>
      </c>
      <c r="S163" s="137"/>
      <c r="T163" s="141">
        <f t="shared" si="82"/>
        <v>3.0600274615384606</v>
      </c>
      <c r="U163" s="199">
        <f t="shared" si="83"/>
        <v>0</v>
      </c>
      <c r="V163" s="37" t="str">
        <f t="shared" si="84"/>
        <v>ok</v>
      </c>
      <c r="W163" s="37" t="str">
        <f t="shared" si="85"/>
        <v>ok</v>
      </c>
    </row>
    <row r="164" spans="1:23" x14ac:dyDescent="0.25">
      <c r="A164" s="426"/>
      <c r="B164" s="178" t="s">
        <v>23</v>
      </c>
      <c r="C164" s="129">
        <v>10</v>
      </c>
      <c r="D164" s="130">
        <f>'2.4.5.3 Emplois ETP  base a'!D164*12</f>
        <v>1.4458892307692308</v>
      </c>
      <c r="E164" s="131">
        <f>'2.4.5.3 Emplois ETP  base a'!E164*12</f>
        <v>2.984088461538462</v>
      </c>
      <c r="F164" s="132">
        <f t="shared" si="64"/>
        <v>2.3872707692307698</v>
      </c>
      <c r="G164" s="133">
        <f t="shared" si="65"/>
        <v>0.59681769230769222</v>
      </c>
      <c r="H164" s="134">
        <f t="shared" si="76"/>
        <v>1.4458892307692308</v>
      </c>
      <c r="I164" s="135"/>
      <c r="J164" s="136">
        <f t="shared" si="77"/>
        <v>0</v>
      </c>
      <c r="K164" s="137"/>
      <c r="L164" s="138">
        <f t="shared" si="78"/>
        <v>0</v>
      </c>
      <c r="M164" s="137"/>
      <c r="N164" s="139">
        <f t="shared" si="79"/>
        <v>0.94138153846153894</v>
      </c>
      <c r="O164" s="137"/>
      <c r="P164" s="140">
        <f t="shared" si="80"/>
        <v>0.59681769230769222</v>
      </c>
      <c r="Q164" s="135"/>
      <c r="R164" s="104">
        <f t="shared" si="81"/>
        <v>1.4458892307692308</v>
      </c>
      <c r="S164" s="137"/>
      <c r="T164" s="141">
        <f t="shared" si="82"/>
        <v>1.5381992307692312</v>
      </c>
      <c r="U164" s="199">
        <f t="shared" si="83"/>
        <v>0</v>
      </c>
      <c r="V164" s="37" t="str">
        <f t="shared" si="84"/>
        <v>ok</v>
      </c>
      <c r="W164" s="37" t="str">
        <f t="shared" si="85"/>
        <v>ok</v>
      </c>
    </row>
    <row r="165" spans="1:23" x14ac:dyDescent="0.25">
      <c r="A165" s="426"/>
      <c r="B165" s="178" t="s">
        <v>19</v>
      </c>
      <c r="C165" s="129">
        <v>13</v>
      </c>
      <c r="D165" s="130">
        <f>'2.4.5.3 Emplois ETP  base a'!D165*12</f>
        <v>1.1673821538461537</v>
      </c>
      <c r="E165" s="131">
        <f>'2.4.5.3 Emplois ETP  base a'!E165*12</f>
        <v>3.7979307692307698</v>
      </c>
      <c r="F165" s="132">
        <f t="shared" si="64"/>
        <v>3.0383446153846161</v>
      </c>
      <c r="G165" s="133">
        <f t="shared" si="65"/>
        <v>0.7595861538461538</v>
      </c>
      <c r="H165" s="134">
        <f t="shared" si="76"/>
        <v>1.1673821538461537</v>
      </c>
      <c r="I165" s="135"/>
      <c r="J165" s="136">
        <f t="shared" si="77"/>
        <v>0</v>
      </c>
      <c r="K165" s="137"/>
      <c r="L165" s="138">
        <f t="shared" si="78"/>
        <v>0</v>
      </c>
      <c r="M165" s="137"/>
      <c r="N165" s="139">
        <f t="shared" si="79"/>
        <v>1.8709624615384624</v>
      </c>
      <c r="O165" s="137"/>
      <c r="P165" s="140">
        <f t="shared" si="80"/>
        <v>0.7595861538461538</v>
      </c>
      <c r="Q165" s="135"/>
      <c r="R165" s="104">
        <f t="shared" si="81"/>
        <v>1.1673821538461537</v>
      </c>
      <c r="S165" s="137"/>
      <c r="T165" s="141">
        <f t="shared" si="82"/>
        <v>2.6305486153846163</v>
      </c>
      <c r="U165" s="199">
        <f t="shared" si="83"/>
        <v>0</v>
      </c>
      <c r="V165" s="37" t="str">
        <f t="shared" si="84"/>
        <v>ok</v>
      </c>
      <c r="W165" s="37" t="str">
        <f t="shared" si="85"/>
        <v>ok</v>
      </c>
    </row>
    <row r="166" spans="1:23" x14ac:dyDescent="0.25">
      <c r="A166" s="426"/>
      <c r="B166" s="178" t="s">
        <v>20</v>
      </c>
      <c r="C166" s="129">
        <v>14</v>
      </c>
      <c r="D166" s="130">
        <f>'2.4.5.3 Emplois ETP  base a'!D166*12</f>
        <v>2.223788307692308</v>
      </c>
      <c r="E166" s="131">
        <f>'2.4.5.3 Emplois ETP  base a'!E166*12</f>
        <v>5.1543346153846157</v>
      </c>
      <c r="F166" s="132">
        <f t="shared" si="64"/>
        <v>4.1234676923076927</v>
      </c>
      <c r="G166" s="133">
        <f t="shared" si="65"/>
        <v>1.030866923076923</v>
      </c>
      <c r="H166" s="134">
        <f t="shared" si="76"/>
        <v>2.223788307692308</v>
      </c>
      <c r="I166" s="135"/>
      <c r="J166" s="136">
        <f t="shared" si="77"/>
        <v>0</v>
      </c>
      <c r="K166" s="137"/>
      <c r="L166" s="138">
        <f t="shared" si="78"/>
        <v>0</v>
      </c>
      <c r="M166" s="137"/>
      <c r="N166" s="139">
        <f t="shared" si="79"/>
        <v>1.8996793846153848</v>
      </c>
      <c r="O166" s="137"/>
      <c r="P166" s="140">
        <f t="shared" si="80"/>
        <v>1.030866923076923</v>
      </c>
      <c r="Q166" s="135"/>
      <c r="R166" s="104">
        <f t="shared" si="81"/>
        <v>2.223788307692308</v>
      </c>
      <c r="S166" s="137"/>
      <c r="T166" s="141">
        <f t="shared" si="82"/>
        <v>2.9305463076923077</v>
      </c>
      <c r="U166" s="199">
        <f t="shared" si="83"/>
        <v>0</v>
      </c>
      <c r="V166" s="37" t="str">
        <f t="shared" si="84"/>
        <v>ok</v>
      </c>
      <c r="W166" s="37" t="str">
        <f t="shared" si="85"/>
        <v>ok</v>
      </c>
    </row>
    <row r="167" spans="1:23" x14ac:dyDescent="0.25">
      <c r="A167" s="426"/>
      <c r="B167" s="178" t="s">
        <v>21</v>
      </c>
      <c r="C167" s="129">
        <v>15</v>
      </c>
      <c r="D167" s="130">
        <f>'2.4.5.3 Emplois ETP  base a'!D167*12</f>
        <v>1.9324763076923079</v>
      </c>
      <c r="E167" s="131">
        <f>'2.4.5.3 Emplois ETP  base a'!E167*12</f>
        <v>8.1384230769230772</v>
      </c>
      <c r="F167" s="132">
        <f t="shared" si="64"/>
        <v>6.5107384615384625</v>
      </c>
      <c r="G167" s="133">
        <f t="shared" si="65"/>
        <v>1.6276846153846152</v>
      </c>
      <c r="H167" s="134">
        <f t="shared" si="76"/>
        <v>1.9324763076923079</v>
      </c>
      <c r="I167" s="135"/>
      <c r="J167" s="136">
        <f t="shared" si="77"/>
        <v>0</v>
      </c>
      <c r="K167" s="137"/>
      <c r="L167" s="138">
        <f t="shared" si="78"/>
        <v>0</v>
      </c>
      <c r="M167" s="137"/>
      <c r="N167" s="139">
        <f t="shared" si="79"/>
        <v>4.5782621538461541</v>
      </c>
      <c r="O167" s="137"/>
      <c r="P167" s="140">
        <f t="shared" si="80"/>
        <v>1.6276846153846152</v>
      </c>
      <c r="Q167" s="135"/>
      <c r="R167" s="104">
        <f t="shared" si="81"/>
        <v>1.9324763076923079</v>
      </c>
      <c r="S167" s="137"/>
      <c r="T167" s="141">
        <f t="shared" si="82"/>
        <v>6.2059467692307688</v>
      </c>
      <c r="U167" s="199">
        <f t="shared" si="83"/>
        <v>0</v>
      </c>
      <c r="V167" s="37" t="str">
        <f t="shared" si="84"/>
        <v>ok</v>
      </c>
      <c r="W167" s="37" t="str">
        <f t="shared" si="85"/>
        <v>ok</v>
      </c>
    </row>
    <row r="168" spans="1:23" x14ac:dyDescent="0.25">
      <c r="A168" s="426"/>
      <c r="B168" s="178" t="s">
        <v>22</v>
      </c>
      <c r="C168" s="129">
        <v>16</v>
      </c>
      <c r="D168" s="130">
        <f>'2.4.5.3 Emplois ETP  base a'!D168*12</f>
        <v>1.517383384615385</v>
      </c>
      <c r="E168" s="131">
        <f>'2.4.5.3 Emplois ETP  base a'!E168*12</f>
        <v>6.2394576923076928</v>
      </c>
      <c r="F168" s="132">
        <f t="shared" si="64"/>
        <v>4.9915661538461542</v>
      </c>
      <c r="G168" s="133">
        <f t="shared" si="65"/>
        <v>1.2478915384615383</v>
      </c>
      <c r="H168" s="134">
        <f t="shared" si="76"/>
        <v>1.517383384615385</v>
      </c>
      <c r="I168" s="135"/>
      <c r="J168" s="136">
        <f t="shared" si="77"/>
        <v>0</v>
      </c>
      <c r="K168" s="137"/>
      <c r="L168" s="138">
        <f t="shared" si="78"/>
        <v>0</v>
      </c>
      <c r="M168" s="137"/>
      <c r="N168" s="139">
        <f t="shared" si="79"/>
        <v>3.4741827692307692</v>
      </c>
      <c r="O168" s="137"/>
      <c r="P168" s="140">
        <f t="shared" si="80"/>
        <v>1.2478915384615383</v>
      </c>
      <c r="Q168" s="135"/>
      <c r="R168" s="104">
        <f t="shared" si="81"/>
        <v>1.517383384615385</v>
      </c>
      <c r="S168" s="137"/>
      <c r="T168" s="141">
        <f t="shared" si="82"/>
        <v>4.7220743076923073</v>
      </c>
      <c r="U168" s="199">
        <f t="shared" si="83"/>
        <v>0</v>
      </c>
      <c r="V168" s="37" t="str">
        <f t="shared" si="84"/>
        <v>ok</v>
      </c>
      <c r="W168" s="37" t="str">
        <f t="shared" si="85"/>
        <v>ok</v>
      </c>
    </row>
    <row r="169" spans="1:23" x14ac:dyDescent="0.25">
      <c r="A169" s="426"/>
      <c r="B169" s="178" t="s">
        <v>23</v>
      </c>
      <c r="C169" s="129">
        <v>17</v>
      </c>
      <c r="D169" s="130">
        <f>'2.4.5.3 Emplois ETP  base a'!D169*12</f>
        <v>0.66372184615384622</v>
      </c>
      <c r="E169" s="131">
        <f>'2.4.5.3 Emplois ETP  base a'!E169*12</f>
        <v>2.984088461538462</v>
      </c>
      <c r="F169" s="132">
        <f t="shared" si="64"/>
        <v>2.3872707692307698</v>
      </c>
      <c r="G169" s="133">
        <f t="shared" si="65"/>
        <v>0.59681769230769222</v>
      </c>
      <c r="H169" s="134">
        <f t="shared" si="76"/>
        <v>0.66372184615384622</v>
      </c>
      <c r="I169" s="135"/>
      <c r="J169" s="136">
        <f t="shared" si="77"/>
        <v>0</v>
      </c>
      <c r="K169" s="137"/>
      <c r="L169" s="138">
        <f t="shared" si="78"/>
        <v>0</v>
      </c>
      <c r="M169" s="137"/>
      <c r="N169" s="139">
        <f t="shared" si="79"/>
        <v>1.7235489230769234</v>
      </c>
      <c r="O169" s="137"/>
      <c r="P169" s="140">
        <f t="shared" si="80"/>
        <v>0.59681769230769222</v>
      </c>
      <c r="Q169" s="135"/>
      <c r="R169" s="104">
        <f t="shared" si="81"/>
        <v>0.66372184615384622</v>
      </c>
      <c r="S169" s="137"/>
      <c r="T169" s="141">
        <f t="shared" si="82"/>
        <v>2.3203666153846156</v>
      </c>
      <c r="U169" s="199">
        <f t="shared" si="83"/>
        <v>0</v>
      </c>
      <c r="V169" s="37" t="str">
        <f t="shared" si="84"/>
        <v>ok</v>
      </c>
      <c r="W169" s="37" t="str">
        <f t="shared" si="85"/>
        <v>ok</v>
      </c>
    </row>
    <row r="170" spans="1:23" x14ac:dyDescent="0.25">
      <c r="A170" s="426"/>
      <c r="B170" s="178" t="s">
        <v>19</v>
      </c>
      <c r="C170" s="129">
        <v>20</v>
      </c>
      <c r="D170" s="130">
        <f>'2.4.5.3 Emplois ETP  base a'!D170*12</f>
        <v>0.46311138461538454</v>
      </c>
      <c r="E170" s="131">
        <f>'2.4.5.3 Emplois ETP  base a'!E170*12</f>
        <v>5.0186942307692304</v>
      </c>
      <c r="F170" s="132">
        <f t="shared" si="64"/>
        <v>4.0149553846153845</v>
      </c>
      <c r="G170" s="133">
        <f t="shared" si="65"/>
        <v>1.0037388461538459</v>
      </c>
      <c r="H170" s="134">
        <f t="shared" si="76"/>
        <v>0.46311138461538454</v>
      </c>
      <c r="I170" s="135"/>
      <c r="J170" s="136">
        <f t="shared" si="77"/>
        <v>0</v>
      </c>
      <c r="K170" s="137"/>
      <c r="L170" s="138">
        <f t="shared" si="78"/>
        <v>0</v>
      </c>
      <c r="M170" s="137"/>
      <c r="N170" s="139">
        <f t="shared" si="79"/>
        <v>3.551844</v>
      </c>
      <c r="O170" s="137"/>
      <c r="P170" s="140">
        <f t="shared" si="80"/>
        <v>1.0037388461538459</v>
      </c>
      <c r="Q170" s="135"/>
      <c r="R170" s="104">
        <f t="shared" si="81"/>
        <v>0.46311138461538454</v>
      </c>
      <c r="S170" s="137"/>
      <c r="T170" s="141">
        <f t="shared" si="82"/>
        <v>4.5555828461538459</v>
      </c>
      <c r="U170" s="199">
        <f t="shared" si="83"/>
        <v>0</v>
      </c>
      <c r="V170" s="37" t="str">
        <f t="shared" si="84"/>
        <v>ok</v>
      </c>
      <c r="W170" s="37" t="str">
        <f t="shared" si="85"/>
        <v>ok</v>
      </c>
    </row>
    <row r="171" spans="1:23" x14ac:dyDescent="0.25">
      <c r="A171" s="426"/>
      <c r="B171" s="178" t="s">
        <v>20</v>
      </c>
      <c r="C171" s="129">
        <v>21</v>
      </c>
      <c r="D171" s="130">
        <f>'2.4.5.3 Emplois ETP  base a'!D171*12</f>
        <v>0.96036923076923109</v>
      </c>
      <c r="E171" s="131">
        <f>'2.4.5.3 Emplois ETP  base a'!E171*12</f>
        <v>5.9681769230769239</v>
      </c>
      <c r="F171" s="132">
        <f t="shared" si="64"/>
        <v>4.7745415384615395</v>
      </c>
      <c r="G171" s="133">
        <f t="shared" si="65"/>
        <v>1.1936353846153844</v>
      </c>
      <c r="H171" s="134">
        <f t="shared" si="76"/>
        <v>0.96036923076923109</v>
      </c>
      <c r="I171" s="135"/>
      <c r="J171" s="136">
        <f t="shared" si="77"/>
        <v>0</v>
      </c>
      <c r="K171" s="137"/>
      <c r="L171" s="138">
        <f t="shared" si="78"/>
        <v>0</v>
      </c>
      <c r="M171" s="137"/>
      <c r="N171" s="139">
        <f t="shared" si="79"/>
        <v>3.8141723076923082</v>
      </c>
      <c r="O171" s="137"/>
      <c r="P171" s="140">
        <f t="shared" si="80"/>
        <v>1.1936353846153844</v>
      </c>
      <c r="Q171" s="135"/>
      <c r="R171" s="104">
        <f t="shared" si="81"/>
        <v>0.96036923076923109</v>
      </c>
      <c r="S171" s="137"/>
      <c r="T171" s="141">
        <f t="shared" si="82"/>
        <v>5.0078076923076926</v>
      </c>
      <c r="U171" s="199">
        <f t="shared" si="83"/>
        <v>0</v>
      </c>
      <c r="V171" s="37" t="str">
        <f t="shared" si="84"/>
        <v>ok</v>
      </c>
      <c r="W171" s="37" t="str">
        <f t="shared" si="85"/>
        <v>ok</v>
      </c>
    </row>
    <row r="172" spans="1:23" x14ac:dyDescent="0.25">
      <c r="A172" s="426"/>
      <c r="B172" s="178" t="s">
        <v>21</v>
      </c>
      <c r="C172" s="129">
        <v>22</v>
      </c>
      <c r="D172" s="130">
        <f>'2.4.5.3 Emplois ETP  base a'!D172*12</f>
        <v>3.8542818461538459</v>
      </c>
      <c r="E172" s="131">
        <f>'2.4.5.3 Emplois ETP  base a'!E172*12</f>
        <v>6.7141990384615378</v>
      </c>
      <c r="F172" s="132">
        <f t="shared" si="64"/>
        <v>5.3713592307692304</v>
      </c>
      <c r="G172" s="133">
        <f t="shared" si="65"/>
        <v>1.3428398076923072</v>
      </c>
      <c r="H172" s="134">
        <f t="shared" si="76"/>
        <v>3.8542818461538459</v>
      </c>
      <c r="I172" s="135"/>
      <c r="J172" s="136">
        <f t="shared" si="77"/>
        <v>0</v>
      </c>
      <c r="K172" s="137"/>
      <c r="L172" s="138">
        <f t="shared" si="78"/>
        <v>0</v>
      </c>
      <c r="M172" s="137"/>
      <c r="N172" s="139">
        <f t="shared" si="79"/>
        <v>1.5170773846153844</v>
      </c>
      <c r="O172" s="137"/>
      <c r="P172" s="140">
        <f t="shared" si="80"/>
        <v>1.3428398076923072</v>
      </c>
      <c r="Q172" s="135"/>
      <c r="R172" s="104">
        <f t="shared" si="81"/>
        <v>3.8542818461538459</v>
      </c>
      <c r="S172" s="137"/>
      <c r="T172" s="141">
        <f t="shared" si="82"/>
        <v>2.8599171923076918</v>
      </c>
      <c r="U172" s="199">
        <f t="shared" si="83"/>
        <v>0</v>
      </c>
      <c r="V172" s="37" t="str">
        <f t="shared" si="84"/>
        <v>ok</v>
      </c>
      <c r="W172" s="37" t="str">
        <f t="shared" si="85"/>
        <v>ok</v>
      </c>
    </row>
    <row r="173" spans="1:23" x14ac:dyDescent="0.25">
      <c r="A173" s="426"/>
      <c r="B173" s="178" t="s">
        <v>22</v>
      </c>
      <c r="C173" s="129">
        <v>23</v>
      </c>
      <c r="D173" s="130">
        <f>'2.4.5.3 Emplois ETP  base a'!D173*12</f>
        <v>3.1372061538461535</v>
      </c>
      <c r="E173" s="131">
        <f>'2.4.5.3 Emplois ETP  base a'!E173*12</f>
        <v>4.2536824615384612</v>
      </c>
      <c r="F173" s="132">
        <f t="shared" si="64"/>
        <v>3.4029459692307693</v>
      </c>
      <c r="G173" s="133">
        <f t="shared" si="65"/>
        <v>0.85073649230769199</v>
      </c>
      <c r="H173" s="134">
        <f t="shared" si="76"/>
        <v>3.1372061538461535</v>
      </c>
      <c r="I173" s="135"/>
      <c r="J173" s="136">
        <f t="shared" si="77"/>
        <v>0</v>
      </c>
      <c r="K173" s="137"/>
      <c r="L173" s="138">
        <f t="shared" si="78"/>
        <v>0</v>
      </c>
      <c r="M173" s="137"/>
      <c r="N173" s="139">
        <f t="shared" si="79"/>
        <v>0.26573981538461577</v>
      </c>
      <c r="O173" s="137"/>
      <c r="P173" s="140">
        <f t="shared" si="80"/>
        <v>0.85073649230769199</v>
      </c>
      <c r="Q173" s="135"/>
      <c r="R173" s="104">
        <f t="shared" si="81"/>
        <v>3.1372061538461535</v>
      </c>
      <c r="S173" s="137"/>
      <c r="T173" s="141">
        <f t="shared" si="82"/>
        <v>1.1164763076923077</v>
      </c>
      <c r="U173" s="199">
        <f t="shared" si="83"/>
        <v>0</v>
      </c>
      <c r="V173" s="37" t="str">
        <f t="shared" si="84"/>
        <v>ok</v>
      </c>
      <c r="W173" s="37" t="str">
        <f t="shared" si="85"/>
        <v>ok</v>
      </c>
    </row>
    <row r="174" spans="1:23" x14ac:dyDescent="0.25">
      <c r="A174" s="426"/>
      <c r="B174" s="178" t="s">
        <v>23</v>
      </c>
      <c r="C174" s="129">
        <v>24</v>
      </c>
      <c r="D174" s="130">
        <f>'2.4.5.3 Emplois ETP  base a'!D174*12</f>
        <v>1.8076283076923079</v>
      </c>
      <c r="E174" s="131">
        <f>'2.4.5.3 Emplois ETP  base a'!E174*12</f>
        <v>2.0156161153846153</v>
      </c>
      <c r="F174" s="132">
        <f t="shared" si="64"/>
        <v>1.6124928923076922</v>
      </c>
      <c r="G174" s="133">
        <f t="shared" si="65"/>
        <v>0.40312322307692294</v>
      </c>
      <c r="H174" s="134">
        <f t="shared" si="76"/>
        <v>1.8076283076923079</v>
      </c>
      <c r="I174" s="135"/>
      <c r="J174" s="136">
        <f t="shared" si="77"/>
        <v>0</v>
      </c>
      <c r="K174" s="137"/>
      <c r="L174" s="138">
        <f t="shared" si="78"/>
        <v>0.19513541538461565</v>
      </c>
      <c r="M174" s="137"/>
      <c r="N174" s="139">
        <f t="shared" si="79"/>
        <v>0</v>
      </c>
      <c r="O174" s="137"/>
      <c r="P174" s="140">
        <f t="shared" si="80"/>
        <v>0.2079878076923074</v>
      </c>
      <c r="Q174" s="135"/>
      <c r="R174" s="104">
        <f t="shared" si="81"/>
        <v>1.6124928923076922</v>
      </c>
      <c r="S174" s="137"/>
      <c r="T174" s="141">
        <f t="shared" si="82"/>
        <v>0.40312322307692305</v>
      </c>
      <c r="U174" s="199">
        <f t="shared" si="83"/>
        <v>0.19513541538461565</v>
      </c>
      <c r="V174" s="37" t="str">
        <f t="shared" si="84"/>
        <v>ok</v>
      </c>
      <c r="W174" s="37" t="str">
        <f t="shared" si="85"/>
        <v>ok</v>
      </c>
    </row>
    <row r="175" spans="1:23" x14ac:dyDescent="0.25">
      <c r="A175" s="426"/>
      <c r="B175" s="178" t="s">
        <v>19</v>
      </c>
      <c r="C175" s="129">
        <v>27</v>
      </c>
      <c r="D175" s="130">
        <f>'2.4.5.3 Emplois ETP  base a'!D175*12</f>
        <v>1.4800356923076923</v>
      </c>
      <c r="E175" s="131">
        <f>'2.4.5.3 Emplois ETP  base a'!E175*12</f>
        <v>2.6856796153846152</v>
      </c>
      <c r="F175" s="132">
        <f t="shared" si="64"/>
        <v>2.1485436923076922</v>
      </c>
      <c r="G175" s="133">
        <f t="shared" si="65"/>
        <v>0.53713592307692293</v>
      </c>
      <c r="H175" s="134">
        <f t="shared" si="76"/>
        <v>1.4800356923076923</v>
      </c>
      <c r="I175" s="135"/>
      <c r="J175" s="136">
        <f t="shared" si="77"/>
        <v>0</v>
      </c>
      <c r="K175" s="137"/>
      <c r="L175" s="138">
        <f t="shared" si="78"/>
        <v>0</v>
      </c>
      <c r="M175" s="137"/>
      <c r="N175" s="139">
        <f t="shared" si="79"/>
        <v>0.66850799999999988</v>
      </c>
      <c r="O175" s="137"/>
      <c r="P175" s="140">
        <f t="shared" si="80"/>
        <v>0.53713592307692293</v>
      </c>
      <c r="Q175" s="135"/>
      <c r="R175" s="104">
        <f t="shared" si="81"/>
        <v>1.4800356923076923</v>
      </c>
      <c r="S175" s="137"/>
      <c r="T175" s="141">
        <f t="shared" si="82"/>
        <v>1.2056439230769227</v>
      </c>
      <c r="U175" s="199">
        <f t="shared" si="83"/>
        <v>0</v>
      </c>
      <c r="V175" s="37" t="str">
        <f t="shared" si="84"/>
        <v>bad</v>
      </c>
      <c r="W175" s="37" t="str">
        <f t="shared" si="85"/>
        <v>ok</v>
      </c>
    </row>
    <row r="176" spans="1:23" x14ac:dyDescent="0.25">
      <c r="A176" s="426"/>
      <c r="B176" s="178" t="s">
        <v>20</v>
      </c>
      <c r="C176" s="129">
        <v>28</v>
      </c>
      <c r="D176" s="130">
        <f>'2.4.5.3 Emplois ETP  base a'!D176*12</f>
        <v>2.7797353846153845</v>
      </c>
      <c r="E176" s="131">
        <f>'2.4.5.3 Emplois ETP  base a'!E176*12</f>
        <v>4.2536824615384612</v>
      </c>
      <c r="F176" s="132">
        <f t="shared" si="64"/>
        <v>3.4029459692307693</v>
      </c>
      <c r="G176" s="133">
        <f t="shared" si="65"/>
        <v>0.85073649230769199</v>
      </c>
      <c r="H176" s="134">
        <f t="shared" si="76"/>
        <v>2.7797353846153845</v>
      </c>
      <c r="I176" s="135"/>
      <c r="J176" s="136">
        <f t="shared" si="77"/>
        <v>0</v>
      </c>
      <c r="K176" s="137"/>
      <c r="L176" s="138">
        <f t="shared" si="78"/>
        <v>0</v>
      </c>
      <c r="M176" s="137"/>
      <c r="N176" s="139">
        <f t="shared" si="79"/>
        <v>0.62321058461538481</v>
      </c>
      <c r="O176" s="137"/>
      <c r="P176" s="140">
        <f t="shared" si="80"/>
        <v>0.85073649230769199</v>
      </c>
      <c r="Q176" s="135"/>
      <c r="R176" s="104">
        <f t="shared" si="81"/>
        <v>2.7797353846153845</v>
      </c>
      <c r="S176" s="137"/>
      <c r="T176" s="141">
        <f t="shared" si="82"/>
        <v>1.4739470769230767</v>
      </c>
      <c r="U176" s="199">
        <f t="shared" si="83"/>
        <v>0</v>
      </c>
      <c r="V176" s="37" t="str">
        <f t="shared" si="84"/>
        <v>ok</v>
      </c>
      <c r="W176" s="37" t="str">
        <f t="shared" si="85"/>
        <v>ok</v>
      </c>
    </row>
    <row r="177" spans="1:23" x14ac:dyDescent="0.25">
      <c r="A177" s="426"/>
      <c r="B177" s="178" t="s">
        <v>21</v>
      </c>
      <c r="C177" s="129">
        <v>29</v>
      </c>
      <c r="D177" s="130">
        <f>'2.4.5.3 Emplois ETP  base a'!D177*12</f>
        <v>4.6247113846153853</v>
      </c>
      <c r="E177" s="131">
        <f>'2.4.5.3 Emplois ETP  base a'!E177*12</f>
        <v>8.1384230769230772</v>
      </c>
      <c r="F177" s="132">
        <f t="shared" si="64"/>
        <v>6.5107384615384625</v>
      </c>
      <c r="G177" s="133">
        <f t="shared" si="65"/>
        <v>1.6276846153846152</v>
      </c>
      <c r="H177" s="134">
        <f t="shared" si="76"/>
        <v>4.6247113846153853</v>
      </c>
      <c r="I177" s="135"/>
      <c r="J177" s="136">
        <f t="shared" si="77"/>
        <v>0</v>
      </c>
      <c r="K177" s="137"/>
      <c r="L177" s="138">
        <f t="shared" si="78"/>
        <v>0</v>
      </c>
      <c r="M177" s="137"/>
      <c r="N177" s="139">
        <f t="shared" si="79"/>
        <v>1.8860270769230771</v>
      </c>
      <c r="O177" s="137"/>
      <c r="P177" s="140">
        <f t="shared" si="80"/>
        <v>1.6276846153846152</v>
      </c>
      <c r="Q177" s="135"/>
      <c r="R177" s="104">
        <f t="shared" si="81"/>
        <v>4.6247113846153853</v>
      </c>
      <c r="S177" s="137"/>
      <c r="T177" s="141">
        <f t="shared" si="82"/>
        <v>3.5137116923076923</v>
      </c>
      <c r="U177" s="199">
        <f t="shared" si="83"/>
        <v>0</v>
      </c>
      <c r="V177" s="37" t="str">
        <f t="shared" si="84"/>
        <v>ok</v>
      </c>
      <c r="W177" s="37" t="str">
        <f t="shared" si="85"/>
        <v>ok</v>
      </c>
    </row>
    <row r="178" spans="1:23" x14ac:dyDescent="0.25">
      <c r="A178" s="426"/>
      <c r="B178" s="178" t="s">
        <v>22</v>
      </c>
      <c r="C178" s="129">
        <v>30</v>
      </c>
      <c r="D178" s="130">
        <f>'2.4.5.3 Emplois ETP  base a'!D178*12</f>
        <v>3.7518424615384616</v>
      </c>
      <c r="E178" s="131">
        <f>'2.4.5.3 Emplois ETP  base a'!E178*12</f>
        <v>5.6968961538461542</v>
      </c>
      <c r="F178" s="132">
        <f t="shared" si="64"/>
        <v>4.5575169230769239</v>
      </c>
      <c r="G178" s="133">
        <f t="shared" si="65"/>
        <v>1.1393792307692305</v>
      </c>
      <c r="H178" s="134">
        <f t="shared" si="76"/>
        <v>3.7518424615384616</v>
      </c>
      <c r="I178" s="135"/>
      <c r="J178" s="136">
        <f t="shared" si="77"/>
        <v>0</v>
      </c>
      <c r="K178" s="137"/>
      <c r="L178" s="138">
        <f t="shared" si="78"/>
        <v>0</v>
      </c>
      <c r="M178" s="137"/>
      <c r="N178" s="139">
        <f t="shared" si="79"/>
        <v>0.80567446153846234</v>
      </c>
      <c r="O178" s="137"/>
      <c r="P178" s="140">
        <f t="shared" si="80"/>
        <v>1.1393792307692305</v>
      </c>
      <c r="Q178" s="135"/>
      <c r="R178" s="104">
        <f t="shared" si="81"/>
        <v>3.7518424615384616</v>
      </c>
      <c r="S178" s="137"/>
      <c r="T178" s="141">
        <f t="shared" si="82"/>
        <v>1.9450536923076929</v>
      </c>
      <c r="U178" s="199">
        <f t="shared" si="83"/>
        <v>0</v>
      </c>
      <c r="V178" s="37" t="str">
        <f t="shared" si="84"/>
        <v>ok</v>
      </c>
      <c r="W178" s="37" t="str">
        <f t="shared" si="85"/>
        <v>ok</v>
      </c>
    </row>
    <row r="179" spans="1:23" ht="15.75" thickBot="1" x14ac:dyDescent="0.3">
      <c r="A179" s="427"/>
      <c r="B179" s="277" t="s">
        <v>23</v>
      </c>
      <c r="C179" s="165">
        <v>31</v>
      </c>
      <c r="D179" s="202">
        <f>'2.4.5.3 Emplois ETP  base a'!D179*12</f>
        <v>2.1693673846153843</v>
      </c>
      <c r="E179" s="203">
        <f>'2.4.5.3 Emplois ETP  base a'!E179*12</f>
        <v>2.7128076923076923</v>
      </c>
      <c r="F179" s="204">
        <f t="shared" si="64"/>
        <v>2.1702461538461537</v>
      </c>
      <c r="G179" s="205">
        <f t="shared" si="65"/>
        <v>0.54256153846153832</v>
      </c>
      <c r="H179" s="206">
        <f t="shared" si="76"/>
        <v>2.1693673846153843</v>
      </c>
      <c r="I179" s="207"/>
      <c r="J179" s="208">
        <f t="shared" si="77"/>
        <v>0</v>
      </c>
      <c r="K179" s="209"/>
      <c r="L179" s="210">
        <f t="shared" si="78"/>
        <v>0</v>
      </c>
      <c r="M179" s="209"/>
      <c r="N179" s="211">
        <f t="shared" si="79"/>
        <v>8.7876923076946056E-4</v>
      </c>
      <c r="O179" s="209"/>
      <c r="P179" s="212">
        <f t="shared" si="80"/>
        <v>0.54256153846153832</v>
      </c>
      <c r="Q179" s="207"/>
      <c r="R179" s="213">
        <f t="shared" si="81"/>
        <v>2.1693673846153843</v>
      </c>
      <c r="S179" s="209"/>
      <c r="T179" s="214">
        <f t="shared" si="82"/>
        <v>0.54344030769230778</v>
      </c>
      <c r="U179" s="215">
        <f t="shared" si="83"/>
        <v>0</v>
      </c>
      <c r="V179" s="37" t="str">
        <f t="shared" si="84"/>
        <v>ok</v>
      </c>
      <c r="W179" s="37" t="str">
        <f t="shared" si="85"/>
        <v>ok</v>
      </c>
    </row>
    <row r="180" spans="1:23" x14ac:dyDescent="0.25">
      <c r="A180" s="425" t="s">
        <v>97</v>
      </c>
      <c r="B180" s="276" t="s">
        <v>19</v>
      </c>
      <c r="C180" s="247">
        <v>3</v>
      </c>
      <c r="D180" s="184">
        <f>'2.4.5.3 Emplois ETP  base a'!D180*12</f>
        <v>4.3871475000000002</v>
      </c>
      <c r="E180" s="185">
        <f>'2.4.5.3 Emplois ETP  base a'!E180*12</f>
        <v>9.8608499999999992</v>
      </c>
      <c r="F180" s="186">
        <f t="shared" si="64"/>
        <v>7.8886799999999999</v>
      </c>
      <c r="G180" s="187">
        <f t="shared" si="65"/>
        <v>1.9721699999999993</v>
      </c>
      <c r="H180" s="188">
        <f>IF(E180&gt;D180,D180,E180)</f>
        <v>4.3871475000000002</v>
      </c>
      <c r="I180" s="189"/>
      <c r="J180" s="190">
        <f>IF(E180&gt;D180,0,D180-E180)</f>
        <v>0</v>
      </c>
      <c r="K180" s="191"/>
      <c r="L180" s="192">
        <f>IF(E180&gt;D180,IF(F180&gt;H180,0,H180-F180),G180)</f>
        <v>0</v>
      </c>
      <c r="M180" s="191"/>
      <c r="N180" s="193">
        <f>IF(E180&gt;D180,IF(F180&gt;H180,F180-H180,0),0)</f>
        <v>3.5015324999999997</v>
      </c>
      <c r="O180" s="191"/>
      <c r="P180" s="194">
        <f>IF(E180&gt;D180,IF(F180&gt;H180,G180,E180-H180),0)</f>
        <v>1.9721699999999993</v>
      </c>
      <c r="Q180" s="189"/>
      <c r="R180" s="195">
        <f>H180-L180</f>
        <v>4.3871475000000002</v>
      </c>
      <c r="S180" s="191"/>
      <c r="T180" s="196">
        <f>L180+N180+P180</f>
        <v>5.473702499999999</v>
      </c>
      <c r="U180" s="197">
        <f>J180+L180</f>
        <v>0</v>
      </c>
      <c r="V180" s="37" t="str">
        <f>IF(R180+T180=E180,"ok","bad")</f>
        <v>ok</v>
      </c>
      <c r="W180" s="37" t="str">
        <f>IF(U180+R180=D180,"ok","bad")</f>
        <v>ok</v>
      </c>
    </row>
    <row r="181" spans="1:23" x14ac:dyDescent="0.25">
      <c r="A181" s="426"/>
      <c r="B181" s="178" t="s">
        <v>20</v>
      </c>
      <c r="C181" s="129">
        <v>4</v>
      </c>
      <c r="D181" s="130">
        <f>'2.4.5.3 Emplois ETP  base a'!D181*12</f>
        <v>3.4447950000000001</v>
      </c>
      <c r="E181" s="131">
        <f>'2.4.5.3 Emplois ETP  base a'!E181*12</f>
        <v>7.2312899999999996</v>
      </c>
      <c r="F181" s="132">
        <f t="shared" si="64"/>
        <v>5.7850320000000002</v>
      </c>
      <c r="G181" s="133">
        <f t="shared" si="65"/>
        <v>1.4462579999999996</v>
      </c>
      <c r="H181" s="134">
        <f t="shared" ref="H181:H199" si="86">IF(E181&gt;D181,D181,E181)</f>
        <v>3.4447950000000001</v>
      </c>
      <c r="I181" s="135"/>
      <c r="J181" s="136">
        <f t="shared" ref="J181:J199" si="87">IF(E181&gt;D181,0,D181-E181)</f>
        <v>0</v>
      </c>
      <c r="K181" s="137"/>
      <c r="L181" s="138">
        <f t="shared" ref="L181:L199" si="88">IF(E181&gt;D181,IF(F181&gt;H181,0,H181-F181),G181)</f>
        <v>0</v>
      </c>
      <c r="M181" s="137"/>
      <c r="N181" s="139">
        <f t="shared" ref="N181:N199" si="89">IF(E181&gt;D181,IF(F181&gt;H181,F181-H181,0),0)</f>
        <v>2.3402370000000001</v>
      </c>
      <c r="O181" s="137"/>
      <c r="P181" s="140">
        <f t="shared" ref="P181:P199" si="90">IF(E181&gt;D181,IF(F181&gt;H181,G181,E181-H181),0)</f>
        <v>1.4462579999999996</v>
      </c>
      <c r="Q181" s="135"/>
      <c r="R181" s="104">
        <f t="shared" ref="R181:R199" si="91">H181-L181</f>
        <v>3.4447950000000001</v>
      </c>
      <c r="S181" s="137"/>
      <c r="T181" s="141">
        <f t="shared" ref="T181:T199" si="92">L181+N181+P181</f>
        <v>3.7864949999999995</v>
      </c>
      <c r="U181" s="199">
        <f t="shared" ref="U181:U199" si="93">J181+L181</f>
        <v>0</v>
      </c>
      <c r="V181" s="37" t="str">
        <f t="shared" ref="V181:V199" si="94">IF(R181+T181=E181,"ok","bad")</f>
        <v>ok</v>
      </c>
      <c r="W181" s="37" t="str">
        <f t="shared" ref="W181:W199" si="95">IF(U181+R181=D181,"ok","bad")</f>
        <v>ok</v>
      </c>
    </row>
    <row r="182" spans="1:23" x14ac:dyDescent="0.25">
      <c r="A182" s="426"/>
      <c r="B182" s="178" t="s">
        <v>21</v>
      </c>
      <c r="C182" s="129">
        <v>5</v>
      </c>
      <c r="D182" s="130">
        <f>'2.4.5.3 Emplois ETP  base a'!D182*12</f>
        <v>1.5067949999999999</v>
      </c>
      <c r="E182" s="131">
        <f>'2.4.5.3 Emplois ETP  base a'!E182*12</f>
        <v>2.9582549999999994</v>
      </c>
      <c r="F182" s="132">
        <f t="shared" si="64"/>
        <v>2.3666039999999997</v>
      </c>
      <c r="G182" s="133">
        <f t="shared" si="65"/>
        <v>0.5916509999999997</v>
      </c>
      <c r="H182" s="134">
        <f t="shared" si="86"/>
        <v>1.5067949999999999</v>
      </c>
      <c r="I182" s="135"/>
      <c r="J182" s="136">
        <f t="shared" si="87"/>
        <v>0</v>
      </c>
      <c r="K182" s="137"/>
      <c r="L182" s="138">
        <f t="shared" si="88"/>
        <v>0</v>
      </c>
      <c r="M182" s="137"/>
      <c r="N182" s="139">
        <f t="shared" si="89"/>
        <v>0.85980899999999982</v>
      </c>
      <c r="O182" s="137"/>
      <c r="P182" s="140">
        <f t="shared" si="90"/>
        <v>0.5916509999999997</v>
      </c>
      <c r="Q182" s="135"/>
      <c r="R182" s="104">
        <f t="shared" si="91"/>
        <v>1.5067949999999999</v>
      </c>
      <c r="S182" s="137"/>
      <c r="T182" s="141">
        <f t="shared" si="92"/>
        <v>1.4514599999999995</v>
      </c>
      <c r="U182" s="199">
        <f t="shared" si="93"/>
        <v>0</v>
      </c>
      <c r="V182" s="37" t="str">
        <f t="shared" si="94"/>
        <v>ok</v>
      </c>
      <c r="W182" s="37" t="str">
        <f t="shared" si="95"/>
        <v>ok</v>
      </c>
    </row>
    <row r="183" spans="1:23" x14ac:dyDescent="0.25">
      <c r="A183" s="426"/>
      <c r="B183" s="178" t="s">
        <v>22</v>
      </c>
      <c r="C183" s="129">
        <v>6</v>
      </c>
      <c r="D183" s="130">
        <f>'2.4.5.3 Emplois ETP  base a'!D183*12</f>
        <v>1.0513650000000001</v>
      </c>
      <c r="E183" s="131">
        <f>'2.4.5.3 Emplois ETP  base a'!E183*12</f>
        <v>4.4373824999999991</v>
      </c>
      <c r="F183" s="132">
        <f t="shared" si="64"/>
        <v>3.5499059999999996</v>
      </c>
      <c r="G183" s="133">
        <f t="shared" si="65"/>
        <v>0.88747649999999967</v>
      </c>
      <c r="H183" s="134">
        <f t="shared" si="86"/>
        <v>1.0513650000000001</v>
      </c>
      <c r="I183" s="135"/>
      <c r="J183" s="136">
        <f t="shared" si="87"/>
        <v>0</v>
      </c>
      <c r="K183" s="137"/>
      <c r="L183" s="138">
        <f t="shared" si="88"/>
        <v>0</v>
      </c>
      <c r="M183" s="137"/>
      <c r="N183" s="139">
        <f t="shared" si="89"/>
        <v>2.4985409999999995</v>
      </c>
      <c r="O183" s="137"/>
      <c r="P183" s="140">
        <f t="shared" si="90"/>
        <v>0.88747649999999967</v>
      </c>
      <c r="Q183" s="135"/>
      <c r="R183" s="104">
        <f t="shared" si="91"/>
        <v>1.0513650000000001</v>
      </c>
      <c r="S183" s="137"/>
      <c r="T183" s="141">
        <f t="shared" si="92"/>
        <v>3.386017499999999</v>
      </c>
      <c r="U183" s="199">
        <f t="shared" si="93"/>
        <v>0</v>
      </c>
      <c r="V183" s="37" t="str">
        <f t="shared" si="94"/>
        <v>ok</v>
      </c>
      <c r="W183" s="37" t="str">
        <f t="shared" si="95"/>
        <v>ok</v>
      </c>
    </row>
    <row r="184" spans="1:23" x14ac:dyDescent="0.25">
      <c r="A184" s="426"/>
      <c r="B184" s="178" t="s">
        <v>23</v>
      </c>
      <c r="C184" s="129">
        <v>7</v>
      </c>
      <c r="D184" s="130">
        <f>'2.4.5.3 Emplois ETP  base a'!D184*12</f>
        <v>2.1802499999999996</v>
      </c>
      <c r="E184" s="131">
        <f>'2.4.5.3 Emplois ETP  base a'!E184*12</f>
        <v>7.2312899999999996</v>
      </c>
      <c r="F184" s="132">
        <f t="shared" si="64"/>
        <v>5.7850320000000002</v>
      </c>
      <c r="G184" s="133">
        <f t="shared" si="65"/>
        <v>1.4462579999999996</v>
      </c>
      <c r="H184" s="134">
        <f t="shared" si="86"/>
        <v>2.1802499999999996</v>
      </c>
      <c r="I184" s="135"/>
      <c r="J184" s="136">
        <f t="shared" si="87"/>
        <v>0</v>
      </c>
      <c r="K184" s="137"/>
      <c r="L184" s="138">
        <f t="shared" si="88"/>
        <v>0</v>
      </c>
      <c r="M184" s="137"/>
      <c r="N184" s="139">
        <f t="shared" si="89"/>
        <v>3.6047820000000006</v>
      </c>
      <c r="O184" s="137"/>
      <c r="P184" s="140">
        <f t="shared" si="90"/>
        <v>1.4462579999999996</v>
      </c>
      <c r="Q184" s="135"/>
      <c r="R184" s="104">
        <f t="shared" si="91"/>
        <v>2.1802499999999996</v>
      </c>
      <c r="S184" s="137"/>
      <c r="T184" s="141">
        <f t="shared" si="92"/>
        <v>5.0510400000000004</v>
      </c>
      <c r="U184" s="199">
        <f t="shared" si="93"/>
        <v>0</v>
      </c>
      <c r="V184" s="37" t="str">
        <f t="shared" si="94"/>
        <v>ok</v>
      </c>
      <c r="W184" s="37" t="str">
        <f t="shared" si="95"/>
        <v>ok</v>
      </c>
    </row>
    <row r="185" spans="1:23" x14ac:dyDescent="0.25">
      <c r="A185" s="426"/>
      <c r="B185" s="178" t="s">
        <v>19</v>
      </c>
      <c r="C185" s="129">
        <v>10</v>
      </c>
      <c r="D185" s="130">
        <f>'2.4.5.3 Emplois ETP  base a'!D185*12</f>
        <v>7.0010250000000003</v>
      </c>
      <c r="E185" s="131">
        <f>'2.4.5.3 Emplois ETP  base a'!E185*12</f>
        <v>5.0568461538461529</v>
      </c>
      <c r="F185" s="132">
        <f t="shared" si="64"/>
        <v>4.0454769230769223</v>
      </c>
      <c r="G185" s="133">
        <f t="shared" si="65"/>
        <v>1.0113692307692304</v>
      </c>
      <c r="H185" s="134">
        <f t="shared" si="86"/>
        <v>5.0568461538461529</v>
      </c>
      <c r="I185" s="135"/>
      <c r="J185" s="136">
        <f t="shared" si="87"/>
        <v>1.9441788461538474</v>
      </c>
      <c r="K185" s="137"/>
      <c r="L185" s="138">
        <f t="shared" si="88"/>
        <v>1.0113692307692304</v>
      </c>
      <c r="M185" s="137"/>
      <c r="N185" s="139">
        <f t="shared" si="89"/>
        <v>0</v>
      </c>
      <c r="O185" s="137"/>
      <c r="P185" s="140">
        <f t="shared" si="90"/>
        <v>0</v>
      </c>
      <c r="Q185" s="135"/>
      <c r="R185" s="104">
        <f t="shared" si="91"/>
        <v>4.0454769230769223</v>
      </c>
      <c r="S185" s="137"/>
      <c r="T185" s="141">
        <f t="shared" si="92"/>
        <v>1.0113692307692304</v>
      </c>
      <c r="U185" s="199">
        <f t="shared" si="93"/>
        <v>2.955548076923078</v>
      </c>
      <c r="V185" s="37" t="str">
        <f t="shared" si="94"/>
        <v>ok</v>
      </c>
      <c r="W185" s="37" t="str">
        <f t="shared" si="95"/>
        <v>ok</v>
      </c>
    </row>
    <row r="186" spans="1:23" x14ac:dyDescent="0.25">
      <c r="A186" s="426"/>
      <c r="B186" s="178" t="s">
        <v>20</v>
      </c>
      <c r="C186" s="129">
        <v>11</v>
      </c>
      <c r="D186" s="130">
        <f>'2.4.5.3 Emplois ETP  base a'!D186*12</f>
        <v>5.6783400000000013</v>
      </c>
      <c r="E186" s="131">
        <f>'2.4.5.3 Emplois ETP  base a'!E186*12</f>
        <v>5.183267307692307</v>
      </c>
      <c r="F186" s="132">
        <f t="shared" si="64"/>
        <v>4.146613846153846</v>
      </c>
      <c r="G186" s="133">
        <f t="shared" si="65"/>
        <v>1.0366534615384613</v>
      </c>
      <c r="H186" s="134">
        <f t="shared" si="86"/>
        <v>5.183267307692307</v>
      </c>
      <c r="I186" s="135"/>
      <c r="J186" s="136">
        <f t="shared" si="87"/>
        <v>0.49507269230769424</v>
      </c>
      <c r="K186" s="137"/>
      <c r="L186" s="138">
        <f t="shared" si="88"/>
        <v>1.0366534615384613</v>
      </c>
      <c r="M186" s="137"/>
      <c r="N186" s="139">
        <f t="shared" si="89"/>
        <v>0</v>
      </c>
      <c r="O186" s="137"/>
      <c r="P186" s="140">
        <f t="shared" si="90"/>
        <v>0</v>
      </c>
      <c r="Q186" s="135"/>
      <c r="R186" s="104">
        <f t="shared" si="91"/>
        <v>4.146613846153846</v>
      </c>
      <c r="S186" s="137"/>
      <c r="T186" s="141">
        <f t="shared" si="92"/>
        <v>1.0366534615384613</v>
      </c>
      <c r="U186" s="199">
        <f t="shared" si="93"/>
        <v>1.5317261538461555</v>
      </c>
      <c r="V186" s="37" t="str">
        <f t="shared" si="94"/>
        <v>ok</v>
      </c>
      <c r="W186" s="37" t="str">
        <f t="shared" si="95"/>
        <v>ok</v>
      </c>
    </row>
    <row r="187" spans="1:23" x14ac:dyDescent="0.25">
      <c r="A187" s="426"/>
      <c r="B187" s="178" t="s">
        <v>21</v>
      </c>
      <c r="C187" s="129">
        <v>12</v>
      </c>
      <c r="D187" s="130">
        <f>'2.4.5.3 Emplois ETP  base a'!D187*12</f>
        <v>3.2824875000000002</v>
      </c>
      <c r="E187" s="131">
        <f>'2.4.5.3 Emplois ETP  base a'!E187*12</f>
        <v>2.7812653846153843</v>
      </c>
      <c r="F187" s="132">
        <f t="shared" si="64"/>
        <v>2.2250123076923076</v>
      </c>
      <c r="G187" s="133">
        <f t="shared" si="65"/>
        <v>0.55625307692307668</v>
      </c>
      <c r="H187" s="134">
        <f t="shared" si="86"/>
        <v>2.7812653846153843</v>
      </c>
      <c r="I187" s="135"/>
      <c r="J187" s="136">
        <f t="shared" si="87"/>
        <v>0.50122211538461592</v>
      </c>
      <c r="K187" s="137"/>
      <c r="L187" s="138">
        <f t="shared" si="88"/>
        <v>0.55625307692307668</v>
      </c>
      <c r="M187" s="137"/>
      <c r="N187" s="139">
        <f t="shared" si="89"/>
        <v>0</v>
      </c>
      <c r="O187" s="137"/>
      <c r="P187" s="140">
        <f t="shared" si="90"/>
        <v>0</v>
      </c>
      <c r="Q187" s="135"/>
      <c r="R187" s="104">
        <f t="shared" si="91"/>
        <v>2.2250123076923076</v>
      </c>
      <c r="S187" s="137"/>
      <c r="T187" s="141">
        <f t="shared" si="92"/>
        <v>0.55625307692307668</v>
      </c>
      <c r="U187" s="199">
        <f t="shared" si="93"/>
        <v>1.0574751923076926</v>
      </c>
      <c r="V187" s="37" t="str">
        <f t="shared" si="94"/>
        <v>ok</v>
      </c>
      <c r="W187" s="37" t="str">
        <f t="shared" si="95"/>
        <v>ok</v>
      </c>
    </row>
    <row r="188" spans="1:23" x14ac:dyDescent="0.25">
      <c r="A188" s="426"/>
      <c r="B188" s="178" t="s">
        <v>22</v>
      </c>
      <c r="C188" s="129">
        <v>13</v>
      </c>
      <c r="D188" s="130">
        <f>'2.4.5.3 Emplois ETP  base a'!D188*12</f>
        <v>2.6502150000000002</v>
      </c>
      <c r="E188" s="131">
        <f>'2.4.5.3 Emplois ETP  base a'!E188*12</f>
        <v>3.539792307692307</v>
      </c>
      <c r="F188" s="132">
        <f t="shared" si="64"/>
        <v>2.8318338461538457</v>
      </c>
      <c r="G188" s="133">
        <f t="shared" si="65"/>
        <v>0.7079584615384612</v>
      </c>
      <c r="H188" s="134">
        <f t="shared" si="86"/>
        <v>2.6502150000000002</v>
      </c>
      <c r="I188" s="135"/>
      <c r="J188" s="136">
        <f t="shared" si="87"/>
        <v>0</v>
      </c>
      <c r="K188" s="137"/>
      <c r="L188" s="138">
        <f t="shared" si="88"/>
        <v>0</v>
      </c>
      <c r="M188" s="137"/>
      <c r="N188" s="139">
        <f t="shared" si="89"/>
        <v>0.18161884615384549</v>
      </c>
      <c r="O188" s="137"/>
      <c r="P188" s="140">
        <f t="shared" si="90"/>
        <v>0.7079584615384612</v>
      </c>
      <c r="Q188" s="135"/>
      <c r="R188" s="104">
        <f t="shared" si="91"/>
        <v>2.6502150000000002</v>
      </c>
      <c r="S188" s="137"/>
      <c r="T188" s="141">
        <f t="shared" si="92"/>
        <v>0.8895773076923067</v>
      </c>
      <c r="U188" s="199">
        <f t="shared" si="93"/>
        <v>0</v>
      </c>
      <c r="V188" s="37" t="str">
        <f t="shared" si="94"/>
        <v>ok</v>
      </c>
      <c r="W188" s="37" t="str">
        <f t="shared" si="95"/>
        <v>ok</v>
      </c>
    </row>
    <row r="189" spans="1:23" x14ac:dyDescent="0.25">
      <c r="A189" s="426"/>
      <c r="B189" s="178" t="s">
        <v>23</v>
      </c>
      <c r="C189" s="129">
        <v>14</v>
      </c>
      <c r="D189" s="130">
        <f>'2.4.5.3 Emplois ETP  base a'!D189*12</f>
        <v>5.0484900000000001</v>
      </c>
      <c r="E189" s="131">
        <f>'2.4.5.3 Emplois ETP  base a'!E189*12</f>
        <v>4.8040038461538455</v>
      </c>
      <c r="F189" s="132">
        <f t="shared" si="64"/>
        <v>3.8432030769230767</v>
      </c>
      <c r="G189" s="133">
        <f t="shared" si="65"/>
        <v>0.96080076923076885</v>
      </c>
      <c r="H189" s="134">
        <f t="shared" si="86"/>
        <v>4.8040038461538455</v>
      </c>
      <c r="I189" s="135"/>
      <c r="J189" s="136">
        <f t="shared" si="87"/>
        <v>0.24448615384615469</v>
      </c>
      <c r="K189" s="137"/>
      <c r="L189" s="138">
        <f t="shared" si="88"/>
        <v>0.96080076923076885</v>
      </c>
      <c r="M189" s="137"/>
      <c r="N189" s="139">
        <f t="shared" si="89"/>
        <v>0</v>
      </c>
      <c r="O189" s="137"/>
      <c r="P189" s="140">
        <f t="shared" si="90"/>
        <v>0</v>
      </c>
      <c r="Q189" s="135"/>
      <c r="R189" s="104">
        <f t="shared" si="91"/>
        <v>3.8432030769230767</v>
      </c>
      <c r="S189" s="137"/>
      <c r="T189" s="141">
        <f t="shared" si="92"/>
        <v>0.96080076923076885</v>
      </c>
      <c r="U189" s="199">
        <f t="shared" si="93"/>
        <v>1.2052869230769234</v>
      </c>
      <c r="V189" s="37" t="str">
        <f t="shared" si="94"/>
        <v>ok</v>
      </c>
      <c r="W189" s="37" t="str">
        <f t="shared" si="95"/>
        <v>ok</v>
      </c>
    </row>
    <row r="190" spans="1:23" x14ac:dyDescent="0.25">
      <c r="A190" s="426"/>
      <c r="B190" s="178" t="s">
        <v>19</v>
      </c>
      <c r="C190" s="129">
        <v>17</v>
      </c>
      <c r="D190" s="130">
        <f>'2.4.5.3 Emplois ETP  base a'!D190*12</f>
        <v>4.3871475000000002</v>
      </c>
      <c r="E190" s="131">
        <f>'2.4.5.3 Emplois ETP  base a'!E190*12</f>
        <v>7.5852692307692298</v>
      </c>
      <c r="F190" s="132">
        <f t="shared" si="64"/>
        <v>6.0682153846153843</v>
      </c>
      <c r="G190" s="133">
        <f t="shared" si="65"/>
        <v>1.5170538461538456</v>
      </c>
      <c r="H190" s="134">
        <f t="shared" si="86"/>
        <v>4.3871475000000002</v>
      </c>
      <c r="I190" s="135"/>
      <c r="J190" s="136">
        <f t="shared" si="87"/>
        <v>0</v>
      </c>
      <c r="K190" s="137"/>
      <c r="L190" s="138">
        <f t="shared" si="88"/>
        <v>0</v>
      </c>
      <c r="M190" s="137"/>
      <c r="N190" s="139">
        <f t="shared" si="89"/>
        <v>1.6810678846153841</v>
      </c>
      <c r="O190" s="137"/>
      <c r="P190" s="140">
        <f t="shared" si="90"/>
        <v>1.5170538461538456</v>
      </c>
      <c r="Q190" s="135"/>
      <c r="R190" s="104">
        <f t="shared" si="91"/>
        <v>4.3871475000000002</v>
      </c>
      <c r="S190" s="137"/>
      <c r="T190" s="141">
        <f t="shared" si="92"/>
        <v>3.1981217307692296</v>
      </c>
      <c r="U190" s="199">
        <f t="shared" si="93"/>
        <v>0</v>
      </c>
      <c r="V190" s="37" t="str">
        <f t="shared" si="94"/>
        <v>ok</v>
      </c>
      <c r="W190" s="37" t="str">
        <f t="shared" si="95"/>
        <v>ok</v>
      </c>
    </row>
    <row r="191" spans="1:23" x14ac:dyDescent="0.25">
      <c r="A191" s="426"/>
      <c r="B191" s="178" t="s">
        <v>20</v>
      </c>
      <c r="C191" s="129">
        <v>18</v>
      </c>
      <c r="D191" s="130">
        <f>'2.4.5.3 Emplois ETP  base a'!D191*12</f>
        <v>3.4447950000000001</v>
      </c>
      <c r="E191" s="131">
        <f>'2.4.5.3 Emplois ETP  base a'!E191*12</f>
        <v>5.8153730769230769</v>
      </c>
      <c r="F191" s="132">
        <f t="shared" si="64"/>
        <v>4.6522984615384617</v>
      </c>
      <c r="G191" s="133">
        <f t="shared" si="65"/>
        <v>1.1630746153846152</v>
      </c>
      <c r="H191" s="134">
        <f t="shared" si="86"/>
        <v>3.4447950000000001</v>
      </c>
      <c r="I191" s="135"/>
      <c r="J191" s="136">
        <f t="shared" si="87"/>
        <v>0</v>
      </c>
      <c r="K191" s="137"/>
      <c r="L191" s="138">
        <f t="shared" si="88"/>
        <v>0</v>
      </c>
      <c r="M191" s="137"/>
      <c r="N191" s="139">
        <f t="shared" si="89"/>
        <v>1.2075034615384617</v>
      </c>
      <c r="O191" s="137"/>
      <c r="P191" s="140">
        <f t="shared" si="90"/>
        <v>1.1630746153846152</v>
      </c>
      <c r="Q191" s="135"/>
      <c r="R191" s="104">
        <f t="shared" si="91"/>
        <v>3.4447950000000001</v>
      </c>
      <c r="S191" s="137"/>
      <c r="T191" s="141">
        <f t="shared" si="92"/>
        <v>2.3705780769230769</v>
      </c>
      <c r="U191" s="199">
        <f t="shared" si="93"/>
        <v>0</v>
      </c>
      <c r="V191" s="37" t="str">
        <f t="shared" si="94"/>
        <v>ok</v>
      </c>
      <c r="W191" s="37" t="str">
        <f t="shared" si="95"/>
        <v>ok</v>
      </c>
    </row>
    <row r="192" spans="1:23" x14ac:dyDescent="0.25">
      <c r="A192" s="426"/>
      <c r="B192" s="178" t="s">
        <v>21</v>
      </c>
      <c r="C192" s="129">
        <v>19</v>
      </c>
      <c r="D192" s="130">
        <f>'2.4.5.3 Emplois ETP  base a'!D192*12</f>
        <v>1.5067949999999999</v>
      </c>
      <c r="E192" s="131">
        <f>'2.4.5.3 Emplois ETP  base a'!E192*12</f>
        <v>2.7812653846153843</v>
      </c>
      <c r="F192" s="132">
        <f t="shared" si="64"/>
        <v>2.2250123076923076</v>
      </c>
      <c r="G192" s="133">
        <f t="shared" si="65"/>
        <v>0.55625307692307668</v>
      </c>
      <c r="H192" s="134">
        <f t="shared" si="86"/>
        <v>1.5067949999999999</v>
      </c>
      <c r="I192" s="135"/>
      <c r="J192" s="136">
        <f t="shared" si="87"/>
        <v>0</v>
      </c>
      <c r="K192" s="137"/>
      <c r="L192" s="138">
        <f t="shared" si="88"/>
        <v>0</v>
      </c>
      <c r="M192" s="137"/>
      <c r="N192" s="139">
        <f t="shared" si="89"/>
        <v>0.71821730769230774</v>
      </c>
      <c r="O192" s="137"/>
      <c r="P192" s="140">
        <f t="shared" si="90"/>
        <v>0.55625307692307668</v>
      </c>
      <c r="Q192" s="135"/>
      <c r="R192" s="104">
        <f t="shared" si="91"/>
        <v>1.5067949999999999</v>
      </c>
      <c r="S192" s="137"/>
      <c r="T192" s="141">
        <f t="shared" si="92"/>
        <v>1.2744703846153844</v>
      </c>
      <c r="U192" s="199">
        <f t="shared" si="93"/>
        <v>0</v>
      </c>
      <c r="V192" s="37" t="str">
        <f t="shared" si="94"/>
        <v>ok</v>
      </c>
      <c r="W192" s="37" t="str">
        <f t="shared" si="95"/>
        <v>ok</v>
      </c>
    </row>
    <row r="193" spans="1:23" x14ac:dyDescent="0.25">
      <c r="A193" s="426"/>
      <c r="B193" s="178" t="s">
        <v>22</v>
      </c>
      <c r="C193" s="129">
        <v>20</v>
      </c>
      <c r="D193" s="130">
        <f>'2.4.5.3 Emplois ETP  base a'!D193*12</f>
        <v>1.0513650000000001</v>
      </c>
      <c r="E193" s="131">
        <f>'2.4.5.3 Emplois ETP  base a'!E193*12</f>
        <v>4.6775826923076913</v>
      </c>
      <c r="F193" s="132">
        <f t="shared" si="64"/>
        <v>3.742066153846153</v>
      </c>
      <c r="G193" s="133">
        <f t="shared" si="65"/>
        <v>0.93551653846153804</v>
      </c>
      <c r="H193" s="134">
        <f t="shared" si="86"/>
        <v>1.0513650000000001</v>
      </c>
      <c r="I193" s="135"/>
      <c r="J193" s="136">
        <f t="shared" si="87"/>
        <v>0</v>
      </c>
      <c r="K193" s="137"/>
      <c r="L193" s="138">
        <f t="shared" si="88"/>
        <v>0</v>
      </c>
      <c r="M193" s="137"/>
      <c r="N193" s="139">
        <f t="shared" si="89"/>
        <v>2.6907011538461529</v>
      </c>
      <c r="O193" s="137"/>
      <c r="P193" s="140">
        <f t="shared" si="90"/>
        <v>0.93551653846153804</v>
      </c>
      <c r="Q193" s="135"/>
      <c r="R193" s="104">
        <f t="shared" si="91"/>
        <v>1.0513650000000001</v>
      </c>
      <c r="S193" s="137"/>
      <c r="T193" s="141">
        <f t="shared" si="92"/>
        <v>3.6262176923076908</v>
      </c>
      <c r="U193" s="199">
        <f t="shared" si="93"/>
        <v>0</v>
      </c>
      <c r="V193" s="37" t="str">
        <f t="shared" si="94"/>
        <v>ok</v>
      </c>
      <c r="W193" s="37" t="str">
        <f t="shared" si="95"/>
        <v>ok</v>
      </c>
    </row>
    <row r="194" spans="1:23" x14ac:dyDescent="0.25">
      <c r="A194" s="426"/>
      <c r="B194" s="178" t="s">
        <v>23</v>
      </c>
      <c r="C194" s="129">
        <v>21</v>
      </c>
      <c r="D194" s="130">
        <f>'2.4.5.3 Emplois ETP  base a'!D194*12</f>
        <v>2.1802499999999996</v>
      </c>
      <c r="E194" s="131">
        <f>'2.4.5.3 Emplois ETP  base a'!E194*12</f>
        <v>5.5625307692307686</v>
      </c>
      <c r="F194" s="132">
        <f t="shared" si="64"/>
        <v>4.4500246153846152</v>
      </c>
      <c r="G194" s="133">
        <f t="shared" si="65"/>
        <v>1.1125061538461534</v>
      </c>
      <c r="H194" s="134">
        <f t="shared" si="86"/>
        <v>2.1802499999999996</v>
      </c>
      <c r="I194" s="135"/>
      <c r="J194" s="136">
        <f t="shared" si="87"/>
        <v>0</v>
      </c>
      <c r="K194" s="137"/>
      <c r="L194" s="138">
        <f t="shared" si="88"/>
        <v>0</v>
      </c>
      <c r="M194" s="137"/>
      <c r="N194" s="139">
        <f t="shared" si="89"/>
        <v>2.2697746153846157</v>
      </c>
      <c r="O194" s="137"/>
      <c r="P194" s="140">
        <f t="shared" si="90"/>
        <v>1.1125061538461534</v>
      </c>
      <c r="Q194" s="135"/>
      <c r="R194" s="104">
        <f t="shared" si="91"/>
        <v>2.1802499999999996</v>
      </c>
      <c r="S194" s="137"/>
      <c r="T194" s="141">
        <f t="shared" si="92"/>
        <v>3.382280769230769</v>
      </c>
      <c r="U194" s="199">
        <f t="shared" si="93"/>
        <v>0</v>
      </c>
      <c r="V194" s="37" t="str">
        <f t="shared" si="94"/>
        <v>ok</v>
      </c>
      <c r="W194" s="37" t="str">
        <f t="shared" si="95"/>
        <v>ok</v>
      </c>
    </row>
    <row r="195" spans="1:23" x14ac:dyDescent="0.25">
      <c r="A195" s="426"/>
      <c r="B195" s="178" t="s">
        <v>19</v>
      </c>
      <c r="C195" s="129">
        <v>24</v>
      </c>
      <c r="D195" s="130">
        <f>'2.4.5.3 Emplois ETP  base a'!D195*12</f>
        <v>8.7500700000000009</v>
      </c>
      <c r="E195" s="131">
        <f>'2.4.5.3 Emplois ETP  base a'!E195*12</f>
        <v>6.2578471153846147</v>
      </c>
      <c r="F195" s="132">
        <f t="shared" si="64"/>
        <v>5.0062776923076919</v>
      </c>
      <c r="G195" s="133">
        <f t="shared" si="65"/>
        <v>1.2515694230769228</v>
      </c>
      <c r="H195" s="134">
        <f t="shared" si="86"/>
        <v>6.2578471153846147</v>
      </c>
      <c r="I195" s="135"/>
      <c r="J195" s="136">
        <f t="shared" si="87"/>
        <v>2.4922228846153862</v>
      </c>
      <c r="K195" s="137"/>
      <c r="L195" s="138">
        <f t="shared" si="88"/>
        <v>1.2515694230769228</v>
      </c>
      <c r="M195" s="137"/>
      <c r="N195" s="139">
        <f t="shared" si="89"/>
        <v>0</v>
      </c>
      <c r="O195" s="137"/>
      <c r="P195" s="140">
        <f t="shared" si="90"/>
        <v>0</v>
      </c>
      <c r="Q195" s="135"/>
      <c r="R195" s="104">
        <f t="shared" si="91"/>
        <v>5.0062776923076919</v>
      </c>
      <c r="S195" s="137"/>
      <c r="T195" s="141">
        <f t="shared" si="92"/>
        <v>1.2515694230769228</v>
      </c>
      <c r="U195" s="199">
        <f t="shared" si="93"/>
        <v>3.743792307692309</v>
      </c>
      <c r="V195" s="37" t="str">
        <f t="shared" si="94"/>
        <v>ok</v>
      </c>
      <c r="W195" s="37" t="str">
        <f t="shared" si="95"/>
        <v>ok</v>
      </c>
    </row>
    <row r="196" spans="1:23" x14ac:dyDescent="0.25">
      <c r="A196" s="426"/>
      <c r="B196" s="178" t="s">
        <v>20</v>
      </c>
      <c r="C196" s="129">
        <v>25</v>
      </c>
      <c r="D196" s="130">
        <f>'2.4.5.3 Emplois ETP  base a'!D196*12</f>
        <v>7.1221499999999995</v>
      </c>
      <c r="E196" s="131">
        <f>'2.4.5.3 Emplois ETP  base a'!E196*12</f>
        <v>3.9645673846153846</v>
      </c>
      <c r="F196" s="132">
        <f t="shared" si="64"/>
        <v>3.171653907692308</v>
      </c>
      <c r="G196" s="133">
        <f t="shared" si="65"/>
        <v>0.79291347692307679</v>
      </c>
      <c r="H196" s="134">
        <f t="shared" si="86"/>
        <v>3.9645673846153846</v>
      </c>
      <c r="I196" s="135"/>
      <c r="J196" s="136">
        <f t="shared" si="87"/>
        <v>3.1575826153846149</v>
      </c>
      <c r="K196" s="137"/>
      <c r="L196" s="138">
        <f t="shared" si="88"/>
        <v>0.79291347692307679</v>
      </c>
      <c r="M196" s="137"/>
      <c r="N196" s="139">
        <f t="shared" si="89"/>
        <v>0</v>
      </c>
      <c r="O196" s="137"/>
      <c r="P196" s="140">
        <f t="shared" si="90"/>
        <v>0</v>
      </c>
      <c r="Q196" s="135"/>
      <c r="R196" s="104">
        <f t="shared" si="91"/>
        <v>3.171653907692308</v>
      </c>
      <c r="S196" s="137"/>
      <c r="T196" s="141">
        <f t="shared" si="92"/>
        <v>0.79291347692307679</v>
      </c>
      <c r="U196" s="199">
        <f t="shared" si="93"/>
        <v>3.9504960923076915</v>
      </c>
      <c r="V196" s="37" t="str">
        <f t="shared" si="94"/>
        <v>ok</v>
      </c>
      <c r="W196" s="37" t="str">
        <f t="shared" si="95"/>
        <v>ok</v>
      </c>
    </row>
    <row r="197" spans="1:23" x14ac:dyDescent="0.25">
      <c r="A197" s="426"/>
      <c r="B197" s="178" t="s">
        <v>21</v>
      </c>
      <c r="C197" s="129">
        <v>26</v>
      </c>
      <c r="D197" s="130">
        <f>'2.4.5.3 Emplois ETP  base a'!D197*12</f>
        <v>4.1037150000000002</v>
      </c>
      <c r="E197" s="131">
        <f>'2.4.5.3 Emplois ETP  base a'!E197*12</f>
        <v>1.8786183461538459</v>
      </c>
      <c r="F197" s="132">
        <f t="shared" ref="F197:F260" si="96">E197*TC</f>
        <v>1.5028946769230769</v>
      </c>
      <c r="G197" s="133">
        <f t="shared" ref="G197:G260" si="97">E197*(1-TC)</f>
        <v>0.37572366923076911</v>
      </c>
      <c r="H197" s="134">
        <f t="shared" si="86"/>
        <v>1.8786183461538459</v>
      </c>
      <c r="I197" s="135"/>
      <c r="J197" s="136">
        <f t="shared" si="87"/>
        <v>2.2250966538461543</v>
      </c>
      <c r="K197" s="137"/>
      <c r="L197" s="138">
        <f t="shared" si="88"/>
        <v>0.37572366923076911</v>
      </c>
      <c r="M197" s="137"/>
      <c r="N197" s="139">
        <f t="shared" si="89"/>
        <v>0</v>
      </c>
      <c r="O197" s="137"/>
      <c r="P197" s="140">
        <f t="shared" si="90"/>
        <v>0</v>
      </c>
      <c r="Q197" s="135"/>
      <c r="R197" s="104">
        <f t="shared" si="91"/>
        <v>1.5028946769230769</v>
      </c>
      <c r="S197" s="137"/>
      <c r="T197" s="141">
        <f t="shared" si="92"/>
        <v>0.37572366923076911</v>
      </c>
      <c r="U197" s="199">
        <f t="shared" si="93"/>
        <v>2.6008203230769236</v>
      </c>
      <c r="V197" s="37" t="str">
        <f t="shared" si="94"/>
        <v>ok</v>
      </c>
      <c r="W197" s="37" t="str">
        <f t="shared" si="95"/>
        <v>ok</v>
      </c>
    </row>
    <row r="198" spans="1:23" x14ac:dyDescent="0.25">
      <c r="A198" s="426"/>
      <c r="B198" s="178" t="s">
        <v>22</v>
      </c>
      <c r="C198" s="129">
        <v>27</v>
      </c>
      <c r="D198" s="130">
        <f>'2.4.5.3 Emplois ETP  base a'!D198*12</f>
        <v>3.3600075000000009</v>
      </c>
      <c r="E198" s="131">
        <f>'2.4.5.3 Emplois ETP  base a'!E198*12</f>
        <v>2.5031388461538455</v>
      </c>
      <c r="F198" s="132">
        <f t="shared" si="96"/>
        <v>2.0025110769230765</v>
      </c>
      <c r="G198" s="133">
        <f t="shared" si="97"/>
        <v>0.50062776923076902</v>
      </c>
      <c r="H198" s="134">
        <f t="shared" si="86"/>
        <v>2.5031388461538455</v>
      </c>
      <c r="I198" s="135"/>
      <c r="J198" s="136">
        <f t="shared" si="87"/>
        <v>0.8568686538461554</v>
      </c>
      <c r="K198" s="137"/>
      <c r="L198" s="138">
        <f t="shared" si="88"/>
        <v>0.50062776923076902</v>
      </c>
      <c r="M198" s="137"/>
      <c r="N198" s="139">
        <f t="shared" si="89"/>
        <v>0</v>
      </c>
      <c r="O198" s="137"/>
      <c r="P198" s="140">
        <f t="shared" si="90"/>
        <v>0</v>
      </c>
      <c r="Q198" s="135"/>
      <c r="R198" s="104">
        <f t="shared" si="91"/>
        <v>2.0025110769230765</v>
      </c>
      <c r="S198" s="137"/>
      <c r="T198" s="141">
        <f t="shared" si="92"/>
        <v>0.50062776923076902</v>
      </c>
      <c r="U198" s="199">
        <f t="shared" si="93"/>
        <v>1.3574964230769244</v>
      </c>
      <c r="V198" s="37" t="str">
        <f t="shared" si="94"/>
        <v>ok</v>
      </c>
      <c r="W198" s="37" t="str">
        <f t="shared" si="95"/>
        <v>ok</v>
      </c>
    </row>
    <row r="199" spans="1:23" ht="15.75" thickBot="1" x14ac:dyDescent="0.3">
      <c r="A199" s="427"/>
      <c r="B199" s="277" t="s">
        <v>23</v>
      </c>
      <c r="C199" s="165">
        <v>28</v>
      </c>
      <c r="D199" s="202">
        <f>'2.4.5.3 Emplois ETP  base a'!D199*12</f>
        <v>6.3106125000000013</v>
      </c>
      <c r="E199" s="203">
        <f>'2.4.5.3 Emplois ETP  base a'!E199*12</f>
        <v>3.9645673846153846</v>
      </c>
      <c r="F199" s="204">
        <f t="shared" si="96"/>
        <v>3.171653907692308</v>
      </c>
      <c r="G199" s="205">
        <f t="shared" si="97"/>
        <v>0.79291347692307679</v>
      </c>
      <c r="H199" s="206">
        <f t="shared" si="86"/>
        <v>3.9645673846153846</v>
      </c>
      <c r="I199" s="207"/>
      <c r="J199" s="208">
        <f t="shared" si="87"/>
        <v>2.3460451153846167</v>
      </c>
      <c r="K199" s="209"/>
      <c r="L199" s="210">
        <f t="shared" si="88"/>
        <v>0.79291347692307679</v>
      </c>
      <c r="M199" s="209"/>
      <c r="N199" s="211">
        <f t="shared" si="89"/>
        <v>0</v>
      </c>
      <c r="O199" s="209"/>
      <c r="P199" s="212">
        <f t="shared" si="90"/>
        <v>0</v>
      </c>
      <c r="Q199" s="207"/>
      <c r="R199" s="213">
        <f t="shared" si="91"/>
        <v>3.171653907692308</v>
      </c>
      <c r="S199" s="209"/>
      <c r="T199" s="214">
        <f t="shared" si="92"/>
        <v>0.79291347692307679</v>
      </c>
      <c r="U199" s="215">
        <f t="shared" si="93"/>
        <v>3.1389585923076933</v>
      </c>
      <c r="V199" s="37" t="str">
        <f t="shared" si="94"/>
        <v>ok</v>
      </c>
      <c r="W199" s="37" t="str">
        <f t="shared" si="95"/>
        <v>ok</v>
      </c>
    </row>
    <row r="200" spans="1:23" x14ac:dyDescent="0.25">
      <c r="A200" s="425" t="s">
        <v>98</v>
      </c>
      <c r="B200" s="276" t="s">
        <v>19</v>
      </c>
      <c r="C200" s="247">
        <v>1</v>
      </c>
      <c r="D200" s="184">
        <f>'2.4.5.3 Emplois ETP  base a'!D200*12</f>
        <v>3.2859201923076924</v>
      </c>
      <c r="E200" s="185">
        <f>'2.4.5.3 Emplois ETP  base a'!E200*12</f>
        <v>7.8412499999999969</v>
      </c>
      <c r="F200" s="186">
        <f t="shared" si="96"/>
        <v>6.2729999999999979</v>
      </c>
      <c r="G200" s="187">
        <f t="shared" si="97"/>
        <v>1.568249999999999</v>
      </c>
      <c r="H200" s="188">
        <f>IF(E200&gt;D200,D200,E200)</f>
        <v>3.2859201923076924</v>
      </c>
      <c r="I200" s="189"/>
      <c r="J200" s="190">
        <f>IF(E200&gt;D200,0,D200-E200)</f>
        <v>0</v>
      </c>
      <c r="K200" s="191"/>
      <c r="L200" s="192">
        <f>IF(E200&gt;D200,IF(F200&gt;H200,0,H200-F200),G200)</f>
        <v>0</v>
      </c>
      <c r="M200" s="191"/>
      <c r="N200" s="193">
        <f>IF(E200&gt;D200,IF(F200&gt;H200,F200-H200,0),0)</f>
        <v>2.9870798076923055</v>
      </c>
      <c r="O200" s="191"/>
      <c r="P200" s="194">
        <f>IF(E200&gt;D200,IF(F200&gt;H200,G200,E200-H200),0)</f>
        <v>1.568249999999999</v>
      </c>
      <c r="Q200" s="189"/>
      <c r="R200" s="195">
        <f>H200-L200</f>
        <v>3.2859201923076924</v>
      </c>
      <c r="S200" s="191"/>
      <c r="T200" s="196">
        <f>L200+N200+P200</f>
        <v>4.5553298076923046</v>
      </c>
      <c r="U200" s="197">
        <f>J200+L200</f>
        <v>0</v>
      </c>
      <c r="V200" s="37" t="str">
        <f>IF(R200+T200=E200,"ok","bad")</f>
        <v>ok</v>
      </c>
      <c r="W200" s="37" t="str">
        <f>IF(U200+R200=D200,"ok","bad")</f>
        <v>ok</v>
      </c>
    </row>
    <row r="201" spans="1:23" x14ac:dyDescent="0.25">
      <c r="A201" s="426"/>
      <c r="B201" s="178" t="s">
        <v>20</v>
      </c>
      <c r="C201" s="129">
        <v>2</v>
      </c>
      <c r="D201" s="130">
        <f>'2.4.5.3 Emplois ETP  base a'!D201*12</f>
        <v>2.5801096153846159</v>
      </c>
      <c r="E201" s="131">
        <f>'2.4.5.3 Emplois ETP  base a'!E201*12</f>
        <v>5.7502499999999994</v>
      </c>
      <c r="F201" s="132">
        <f t="shared" si="96"/>
        <v>4.6002000000000001</v>
      </c>
      <c r="G201" s="133">
        <f t="shared" si="97"/>
        <v>1.1500499999999996</v>
      </c>
      <c r="H201" s="134">
        <f t="shared" ref="H201:H222" si="98">IF(E201&gt;D201,D201,E201)</f>
        <v>2.5801096153846159</v>
      </c>
      <c r="I201" s="135"/>
      <c r="J201" s="136">
        <f t="shared" ref="J201:J222" si="99">IF(E201&gt;D201,0,D201-E201)</f>
        <v>0</v>
      </c>
      <c r="K201" s="137"/>
      <c r="L201" s="138">
        <f t="shared" ref="L201:L222" si="100">IF(E201&gt;D201,IF(F201&gt;H201,0,H201-F201),G201)</f>
        <v>0</v>
      </c>
      <c r="M201" s="137"/>
      <c r="N201" s="139">
        <f t="shared" ref="N201:N222" si="101">IF(E201&gt;D201,IF(F201&gt;H201,F201-H201,0),0)</f>
        <v>2.0200903846153841</v>
      </c>
      <c r="O201" s="137"/>
      <c r="P201" s="140">
        <f t="shared" ref="P201:P222" si="102">IF(E201&gt;D201,IF(F201&gt;H201,G201,E201-H201),0)</f>
        <v>1.1500499999999996</v>
      </c>
      <c r="Q201" s="135"/>
      <c r="R201" s="104">
        <f t="shared" ref="R201:R222" si="103">H201-L201</f>
        <v>2.5801096153846159</v>
      </c>
      <c r="S201" s="137"/>
      <c r="T201" s="141">
        <f t="shared" ref="T201:T222" si="104">L201+N201+P201</f>
        <v>3.1701403846153839</v>
      </c>
      <c r="U201" s="199">
        <f t="shared" ref="U201:U222" si="105">J201+L201</f>
        <v>0</v>
      </c>
      <c r="V201" s="37" t="str">
        <f t="shared" ref="V201:V222" si="106">IF(R201+T201=E201,"ok","bad")</f>
        <v>ok</v>
      </c>
      <c r="W201" s="37" t="str">
        <f t="shared" ref="W201:W222" si="107">IF(U201+R201=D201,"ok","bad")</f>
        <v>ok</v>
      </c>
    </row>
    <row r="202" spans="1:23" x14ac:dyDescent="0.25">
      <c r="A202" s="426"/>
      <c r="B202" s="178" t="s">
        <v>21</v>
      </c>
      <c r="C202" s="129">
        <v>3</v>
      </c>
      <c r="D202" s="130">
        <f>'2.4.5.3 Emplois ETP  base a'!D202*12</f>
        <v>1.1285711538461536</v>
      </c>
      <c r="E202" s="131">
        <f>'2.4.5.3 Emplois ETP  base a'!E202*12</f>
        <v>2.3523749999999994</v>
      </c>
      <c r="F202" s="132">
        <f t="shared" si="96"/>
        <v>1.8818999999999997</v>
      </c>
      <c r="G202" s="133">
        <f t="shared" si="97"/>
        <v>0.47047499999999981</v>
      </c>
      <c r="H202" s="134">
        <f t="shared" si="98"/>
        <v>1.1285711538461536</v>
      </c>
      <c r="I202" s="135"/>
      <c r="J202" s="136">
        <f t="shared" si="99"/>
        <v>0</v>
      </c>
      <c r="K202" s="137"/>
      <c r="L202" s="138">
        <f t="shared" si="100"/>
        <v>0</v>
      </c>
      <c r="M202" s="137"/>
      <c r="N202" s="139">
        <f t="shared" si="101"/>
        <v>0.7533288461538461</v>
      </c>
      <c r="O202" s="137"/>
      <c r="P202" s="140">
        <f t="shared" si="102"/>
        <v>0.47047499999999981</v>
      </c>
      <c r="Q202" s="135"/>
      <c r="R202" s="104">
        <f t="shared" si="103"/>
        <v>1.1285711538461536</v>
      </c>
      <c r="S202" s="137"/>
      <c r="T202" s="141">
        <f t="shared" si="104"/>
        <v>1.2238038461538459</v>
      </c>
      <c r="U202" s="199">
        <f t="shared" si="105"/>
        <v>0</v>
      </c>
      <c r="V202" s="37" t="str">
        <f t="shared" si="106"/>
        <v>ok</v>
      </c>
      <c r="W202" s="37" t="str">
        <f t="shared" si="107"/>
        <v>ok</v>
      </c>
    </row>
    <row r="203" spans="1:23" x14ac:dyDescent="0.25">
      <c r="A203" s="426"/>
      <c r="B203" s="178" t="s">
        <v>22</v>
      </c>
      <c r="C203" s="129">
        <v>4</v>
      </c>
      <c r="D203" s="130">
        <f>'2.4.5.3 Emplois ETP  base a'!D203*12</f>
        <v>0.7874596153846154</v>
      </c>
      <c r="E203" s="131">
        <f>'2.4.5.3 Emplois ETP  base a'!E203*12</f>
        <v>3.5285624999999996</v>
      </c>
      <c r="F203" s="132">
        <f t="shared" si="96"/>
        <v>2.8228499999999999</v>
      </c>
      <c r="G203" s="133">
        <f t="shared" si="97"/>
        <v>0.70571249999999974</v>
      </c>
      <c r="H203" s="134">
        <f t="shared" si="98"/>
        <v>0.7874596153846154</v>
      </c>
      <c r="I203" s="135"/>
      <c r="J203" s="136">
        <f t="shared" si="99"/>
        <v>0</v>
      </c>
      <c r="K203" s="137"/>
      <c r="L203" s="138">
        <f t="shared" si="100"/>
        <v>0</v>
      </c>
      <c r="M203" s="137"/>
      <c r="N203" s="139">
        <f t="shared" si="101"/>
        <v>2.0353903846153845</v>
      </c>
      <c r="O203" s="137"/>
      <c r="P203" s="140">
        <f t="shared" si="102"/>
        <v>0.70571249999999974</v>
      </c>
      <c r="Q203" s="135"/>
      <c r="R203" s="104">
        <f t="shared" si="103"/>
        <v>0.7874596153846154</v>
      </c>
      <c r="S203" s="137"/>
      <c r="T203" s="141">
        <f t="shared" si="104"/>
        <v>2.7411028846153842</v>
      </c>
      <c r="U203" s="199">
        <f t="shared" si="105"/>
        <v>0</v>
      </c>
      <c r="V203" s="37" t="str">
        <f t="shared" si="106"/>
        <v>ok</v>
      </c>
      <c r="W203" s="37" t="str">
        <f t="shared" si="107"/>
        <v>ok</v>
      </c>
    </row>
    <row r="204" spans="1:23" x14ac:dyDescent="0.25">
      <c r="A204" s="426"/>
      <c r="B204" s="178" t="s">
        <v>23</v>
      </c>
      <c r="C204" s="129">
        <v>5</v>
      </c>
      <c r="D204" s="130">
        <f>'2.4.5.3 Emplois ETP  base a'!D204*12</f>
        <v>1.6329807692307692</v>
      </c>
      <c r="E204" s="131">
        <f>'2.4.5.3 Emplois ETP  base a'!E204*12</f>
        <v>5.7502499999999994</v>
      </c>
      <c r="F204" s="132">
        <f t="shared" si="96"/>
        <v>4.6002000000000001</v>
      </c>
      <c r="G204" s="133">
        <f t="shared" si="97"/>
        <v>1.1500499999999996</v>
      </c>
      <c r="H204" s="134">
        <f t="shared" si="98"/>
        <v>1.6329807692307692</v>
      </c>
      <c r="I204" s="135"/>
      <c r="J204" s="136">
        <f t="shared" si="99"/>
        <v>0</v>
      </c>
      <c r="K204" s="137"/>
      <c r="L204" s="138">
        <f t="shared" si="100"/>
        <v>0</v>
      </c>
      <c r="M204" s="137"/>
      <c r="N204" s="139">
        <f t="shared" si="101"/>
        <v>2.9672192307692309</v>
      </c>
      <c r="O204" s="137"/>
      <c r="P204" s="140">
        <f t="shared" si="102"/>
        <v>1.1500499999999996</v>
      </c>
      <c r="Q204" s="135"/>
      <c r="R204" s="104">
        <f t="shared" si="103"/>
        <v>1.6329807692307692</v>
      </c>
      <c r="S204" s="137"/>
      <c r="T204" s="141">
        <f t="shared" si="104"/>
        <v>4.1172692307692307</v>
      </c>
      <c r="U204" s="199">
        <f t="shared" si="105"/>
        <v>0</v>
      </c>
      <c r="V204" s="37" t="str">
        <f t="shared" si="106"/>
        <v>ok</v>
      </c>
      <c r="W204" s="37" t="str">
        <f t="shared" si="107"/>
        <v>ok</v>
      </c>
    </row>
    <row r="205" spans="1:23" x14ac:dyDescent="0.25">
      <c r="A205" s="426"/>
      <c r="B205" s="178" t="s">
        <v>19</v>
      </c>
      <c r="C205" s="129">
        <v>8</v>
      </c>
      <c r="D205" s="130">
        <f>'2.4.5.3 Emplois ETP  base a'!D205*12</f>
        <v>5.2436826923076927</v>
      </c>
      <c r="E205" s="131">
        <f>'2.4.5.3 Emplois ETP  base a'!E205*12</f>
        <v>4.0211538461538465</v>
      </c>
      <c r="F205" s="132">
        <f t="shared" si="96"/>
        <v>3.2169230769230772</v>
      </c>
      <c r="G205" s="133">
        <f t="shared" si="97"/>
        <v>0.80423076923076908</v>
      </c>
      <c r="H205" s="134">
        <f t="shared" si="98"/>
        <v>4.0211538461538465</v>
      </c>
      <c r="I205" s="135"/>
      <c r="J205" s="136">
        <f t="shared" si="99"/>
        <v>1.2225288461538462</v>
      </c>
      <c r="K205" s="137"/>
      <c r="L205" s="138">
        <f t="shared" si="100"/>
        <v>0.80423076923076908</v>
      </c>
      <c r="M205" s="137"/>
      <c r="N205" s="139">
        <f t="shared" si="101"/>
        <v>0</v>
      </c>
      <c r="O205" s="137"/>
      <c r="P205" s="140">
        <f t="shared" si="102"/>
        <v>0</v>
      </c>
      <c r="Q205" s="135"/>
      <c r="R205" s="104">
        <f t="shared" si="103"/>
        <v>3.2169230769230772</v>
      </c>
      <c r="S205" s="137"/>
      <c r="T205" s="141">
        <f t="shared" si="104"/>
        <v>0.80423076923076908</v>
      </c>
      <c r="U205" s="199">
        <f t="shared" si="105"/>
        <v>2.0267596153846155</v>
      </c>
      <c r="V205" s="37" t="str">
        <f t="shared" si="106"/>
        <v>ok</v>
      </c>
      <c r="W205" s="37" t="str">
        <f t="shared" si="107"/>
        <v>ok</v>
      </c>
    </row>
    <row r="206" spans="1:23" x14ac:dyDescent="0.25">
      <c r="A206" s="426"/>
      <c r="B206" s="178" t="s">
        <v>20</v>
      </c>
      <c r="C206" s="129">
        <v>9</v>
      </c>
      <c r="D206" s="130">
        <f>'2.4.5.3 Emplois ETP  base a'!D206*12</f>
        <v>4.2530076923076923</v>
      </c>
      <c r="E206" s="131">
        <f>'2.4.5.3 Emplois ETP  base a'!E206*12</f>
        <v>4.1216826923076919</v>
      </c>
      <c r="F206" s="132">
        <f t="shared" si="96"/>
        <v>3.2973461538461537</v>
      </c>
      <c r="G206" s="133">
        <f t="shared" si="97"/>
        <v>0.8243365384615382</v>
      </c>
      <c r="H206" s="134">
        <f t="shared" si="98"/>
        <v>4.1216826923076919</v>
      </c>
      <c r="I206" s="135"/>
      <c r="J206" s="136">
        <f t="shared" si="99"/>
        <v>0.13132500000000036</v>
      </c>
      <c r="K206" s="137"/>
      <c r="L206" s="138">
        <f t="shared" si="100"/>
        <v>0.8243365384615382</v>
      </c>
      <c r="M206" s="137"/>
      <c r="N206" s="139">
        <f t="shared" si="101"/>
        <v>0</v>
      </c>
      <c r="O206" s="137"/>
      <c r="P206" s="140">
        <f t="shared" si="102"/>
        <v>0</v>
      </c>
      <c r="Q206" s="135"/>
      <c r="R206" s="104">
        <f t="shared" si="103"/>
        <v>3.2973461538461537</v>
      </c>
      <c r="S206" s="137"/>
      <c r="T206" s="141">
        <f t="shared" si="104"/>
        <v>0.8243365384615382</v>
      </c>
      <c r="U206" s="199">
        <f t="shared" si="105"/>
        <v>0.95566153846153856</v>
      </c>
      <c r="V206" s="37" t="str">
        <f t="shared" si="106"/>
        <v>ok</v>
      </c>
      <c r="W206" s="37" t="str">
        <f t="shared" si="107"/>
        <v>ok</v>
      </c>
    </row>
    <row r="207" spans="1:23" x14ac:dyDescent="0.25">
      <c r="A207" s="426"/>
      <c r="B207" s="178" t="s">
        <v>21</v>
      </c>
      <c r="C207" s="129">
        <v>10</v>
      </c>
      <c r="D207" s="130">
        <f>'2.4.5.3 Emplois ETP  base a'!D207*12</f>
        <v>2.4585432692307694</v>
      </c>
      <c r="E207" s="131">
        <f>'2.4.5.3 Emplois ETP  base a'!E207*12</f>
        <v>2.2116346153846149</v>
      </c>
      <c r="F207" s="132">
        <f t="shared" si="96"/>
        <v>1.769307692307692</v>
      </c>
      <c r="G207" s="133">
        <f t="shared" si="97"/>
        <v>0.4423269230769229</v>
      </c>
      <c r="H207" s="134">
        <f t="shared" si="98"/>
        <v>2.2116346153846149</v>
      </c>
      <c r="I207" s="135"/>
      <c r="J207" s="136">
        <f t="shared" si="99"/>
        <v>0.24690865384615446</v>
      </c>
      <c r="K207" s="137"/>
      <c r="L207" s="138">
        <f t="shared" si="100"/>
        <v>0.4423269230769229</v>
      </c>
      <c r="M207" s="137"/>
      <c r="N207" s="139">
        <f t="shared" si="101"/>
        <v>0</v>
      </c>
      <c r="O207" s="137"/>
      <c r="P207" s="140">
        <f t="shared" si="102"/>
        <v>0</v>
      </c>
      <c r="Q207" s="135"/>
      <c r="R207" s="104">
        <f t="shared" si="103"/>
        <v>1.769307692307692</v>
      </c>
      <c r="S207" s="137"/>
      <c r="T207" s="141">
        <f t="shared" si="104"/>
        <v>0.4423269230769229</v>
      </c>
      <c r="U207" s="199">
        <f t="shared" si="105"/>
        <v>0.68923557692307735</v>
      </c>
      <c r="V207" s="37" t="str">
        <f t="shared" si="106"/>
        <v>ok</v>
      </c>
      <c r="W207" s="37" t="str">
        <f t="shared" si="107"/>
        <v>ok</v>
      </c>
    </row>
    <row r="208" spans="1:23" x14ac:dyDescent="0.25">
      <c r="A208" s="426"/>
      <c r="B208" s="178" t="s">
        <v>22</v>
      </c>
      <c r="C208" s="129">
        <v>11</v>
      </c>
      <c r="D208" s="130">
        <f>'2.4.5.3 Emplois ETP  base a'!D208*12</f>
        <v>1.984978846153846</v>
      </c>
      <c r="E208" s="131">
        <f>'2.4.5.3 Emplois ETP  base a'!E208*12</f>
        <v>2.8148076923076921</v>
      </c>
      <c r="F208" s="132">
        <f t="shared" si="96"/>
        <v>2.2518461538461536</v>
      </c>
      <c r="G208" s="133">
        <f t="shared" si="97"/>
        <v>0.56296153846153829</v>
      </c>
      <c r="H208" s="134">
        <f t="shared" si="98"/>
        <v>1.984978846153846</v>
      </c>
      <c r="I208" s="135"/>
      <c r="J208" s="136">
        <f t="shared" si="99"/>
        <v>0</v>
      </c>
      <c r="K208" s="137"/>
      <c r="L208" s="138">
        <f t="shared" si="100"/>
        <v>0</v>
      </c>
      <c r="M208" s="137"/>
      <c r="N208" s="139">
        <f t="shared" si="101"/>
        <v>0.2668673076923076</v>
      </c>
      <c r="O208" s="137"/>
      <c r="P208" s="140">
        <f t="shared" si="102"/>
        <v>0.56296153846153829</v>
      </c>
      <c r="Q208" s="135"/>
      <c r="R208" s="104">
        <f t="shared" si="103"/>
        <v>1.984978846153846</v>
      </c>
      <c r="S208" s="137"/>
      <c r="T208" s="141">
        <f t="shared" si="104"/>
        <v>0.82982884615384589</v>
      </c>
      <c r="U208" s="199">
        <f t="shared" si="105"/>
        <v>0</v>
      </c>
      <c r="V208" s="37" t="str">
        <f t="shared" si="106"/>
        <v>ok</v>
      </c>
      <c r="W208" s="37" t="str">
        <f t="shared" si="107"/>
        <v>ok</v>
      </c>
    </row>
    <row r="209" spans="1:23" x14ac:dyDescent="0.25">
      <c r="A209" s="426"/>
      <c r="B209" s="178" t="s">
        <v>23</v>
      </c>
      <c r="C209" s="129">
        <v>12</v>
      </c>
      <c r="D209" s="130">
        <f>'2.4.5.3 Emplois ETP  base a'!D209*12</f>
        <v>3.7812576923076917</v>
      </c>
      <c r="E209" s="131">
        <f>'2.4.5.3 Emplois ETP  base a'!E209*12</f>
        <v>3.8200961538461535</v>
      </c>
      <c r="F209" s="132">
        <f t="shared" si="96"/>
        <v>3.0560769230769229</v>
      </c>
      <c r="G209" s="133">
        <f t="shared" si="97"/>
        <v>0.76401923076923051</v>
      </c>
      <c r="H209" s="134">
        <f t="shared" si="98"/>
        <v>3.7812576923076917</v>
      </c>
      <c r="I209" s="135"/>
      <c r="J209" s="136">
        <f t="shared" si="99"/>
        <v>0</v>
      </c>
      <c r="K209" s="137"/>
      <c r="L209" s="138">
        <f t="shared" si="100"/>
        <v>0.7251807692307688</v>
      </c>
      <c r="M209" s="137"/>
      <c r="N209" s="139">
        <f t="shared" si="101"/>
        <v>0</v>
      </c>
      <c r="O209" s="137"/>
      <c r="P209" s="140">
        <f t="shared" si="102"/>
        <v>3.8838461538461821E-2</v>
      </c>
      <c r="Q209" s="135"/>
      <c r="R209" s="104">
        <f t="shared" si="103"/>
        <v>3.0560769230769229</v>
      </c>
      <c r="S209" s="137"/>
      <c r="T209" s="141">
        <f t="shared" si="104"/>
        <v>0.76401923076923062</v>
      </c>
      <c r="U209" s="199">
        <f t="shared" si="105"/>
        <v>0.7251807692307688</v>
      </c>
      <c r="V209" s="37" t="str">
        <f t="shared" si="106"/>
        <v>ok</v>
      </c>
      <c r="W209" s="37" t="str">
        <f t="shared" si="107"/>
        <v>ok</v>
      </c>
    </row>
    <row r="210" spans="1:23" x14ac:dyDescent="0.25">
      <c r="A210" s="426"/>
      <c r="B210" s="178" t="s">
        <v>19</v>
      </c>
      <c r="C210" s="129">
        <v>15</v>
      </c>
      <c r="D210" s="130">
        <f>'2.4.5.3 Emplois ETP  base a'!D210*12</f>
        <v>3.2859201923076924</v>
      </c>
      <c r="E210" s="131">
        <f>'2.4.5.3 Emplois ETP  base a'!E210*12</f>
        <v>6.0317307692307685</v>
      </c>
      <c r="F210" s="132">
        <f t="shared" si="96"/>
        <v>4.8253846153846149</v>
      </c>
      <c r="G210" s="133">
        <f t="shared" si="97"/>
        <v>1.2063461538461535</v>
      </c>
      <c r="H210" s="134">
        <f t="shared" si="98"/>
        <v>3.2859201923076924</v>
      </c>
      <c r="I210" s="135"/>
      <c r="J210" s="136">
        <f t="shared" si="99"/>
        <v>0</v>
      </c>
      <c r="K210" s="137"/>
      <c r="L210" s="138">
        <f t="shared" si="100"/>
        <v>0</v>
      </c>
      <c r="M210" s="137"/>
      <c r="N210" s="139">
        <f t="shared" si="101"/>
        <v>1.5394644230769226</v>
      </c>
      <c r="O210" s="137"/>
      <c r="P210" s="140">
        <f t="shared" si="102"/>
        <v>1.2063461538461535</v>
      </c>
      <c r="Q210" s="135"/>
      <c r="R210" s="104">
        <f t="shared" si="103"/>
        <v>3.2859201923076924</v>
      </c>
      <c r="S210" s="137"/>
      <c r="T210" s="141">
        <f t="shared" si="104"/>
        <v>2.7458105769230761</v>
      </c>
      <c r="U210" s="199">
        <f t="shared" si="105"/>
        <v>0</v>
      </c>
      <c r="V210" s="37" t="str">
        <f t="shared" si="106"/>
        <v>ok</v>
      </c>
      <c r="W210" s="37" t="str">
        <f t="shared" si="107"/>
        <v>ok</v>
      </c>
    </row>
    <row r="211" spans="1:23" x14ac:dyDescent="0.25">
      <c r="A211" s="426"/>
      <c r="B211" s="178" t="s">
        <v>20</v>
      </c>
      <c r="C211" s="129">
        <v>16</v>
      </c>
      <c r="D211" s="130">
        <f>'2.4.5.3 Emplois ETP  base a'!D211*12</f>
        <v>2.5801096153846159</v>
      </c>
      <c r="E211" s="131">
        <f>'2.4.5.3 Emplois ETP  base a'!E211*12</f>
        <v>4.6243269230769233</v>
      </c>
      <c r="F211" s="132">
        <f t="shared" si="96"/>
        <v>3.6994615384615388</v>
      </c>
      <c r="G211" s="133">
        <f t="shared" si="97"/>
        <v>0.92486538461538448</v>
      </c>
      <c r="H211" s="134">
        <f t="shared" si="98"/>
        <v>2.5801096153846159</v>
      </c>
      <c r="I211" s="135"/>
      <c r="J211" s="136">
        <f t="shared" si="99"/>
        <v>0</v>
      </c>
      <c r="K211" s="137"/>
      <c r="L211" s="138">
        <f t="shared" si="100"/>
        <v>0</v>
      </c>
      <c r="M211" s="137"/>
      <c r="N211" s="139">
        <f t="shared" si="101"/>
        <v>1.1193519230769229</v>
      </c>
      <c r="O211" s="137"/>
      <c r="P211" s="140">
        <f t="shared" si="102"/>
        <v>0.92486538461538448</v>
      </c>
      <c r="Q211" s="135"/>
      <c r="R211" s="104">
        <f t="shared" si="103"/>
        <v>2.5801096153846159</v>
      </c>
      <c r="S211" s="137"/>
      <c r="T211" s="141">
        <f t="shared" si="104"/>
        <v>2.0442173076923074</v>
      </c>
      <c r="U211" s="199">
        <f t="shared" si="105"/>
        <v>0</v>
      </c>
      <c r="V211" s="37" t="str">
        <f t="shared" si="106"/>
        <v>ok</v>
      </c>
      <c r="W211" s="37" t="str">
        <f t="shared" si="107"/>
        <v>ok</v>
      </c>
    </row>
    <row r="212" spans="1:23" x14ac:dyDescent="0.25">
      <c r="A212" s="426"/>
      <c r="B212" s="178" t="s">
        <v>21</v>
      </c>
      <c r="C212" s="129">
        <v>17</v>
      </c>
      <c r="D212" s="130">
        <f>'2.4.5.3 Emplois ETP  base a'!D212*12</f>
        <v>1.1285711538461536</v>
      </c>
      <c r="E212" s="131">
        <f>'2.4.5.3 Emplois ETP  base a'!E212*12</f>
        <v>2.2116346153846149</v>
      </c>
      <c r="F212" s="132">
        <f t="shared" si="96"/>
        <v>1.769307692307692</v>
      </c>
      <c r="G212" s="133">
        <f t="shared" si="97"/>
        <v>0.4423269230769229</v>
      </c>
      <c r="H212" s="134">
        <f t="shared" si="98"/>
        <v>1.1285711538461536</v>
      </c>
      <c r="I212" s="135"/>
      <c r="J212" s="136">
        <f t="shared" si="99"/>
        <v>0</v>
      </c>
      <c r="K212" s="137"/>
      <c r="L212" s="138">
        <f t="shared" si="100"/>
        <v>0</v>
      </c>
      <c r="M212" s="137"/>
      <c r="N212" s="139">
        <f t="shared" si="101"/>
        <v>0.64073653846153844</v>
      </c>
      <c r="O212" s="137"/>
      <c r="P212" s="140">
        <f t="shared" si="102"/>
        <v>0.4423269230769229</v>
      </c>
      <c r="Q212" s="135"/>
      <c r="R212" s="104">
        <f t="shared" si="103"/>
        <v>1.1285711538461536</v>
      </c>
      <c r="S212" s="137"/>
      <c r="T212" s="141">
        <f t="shared" si="104"/>
        <v>1.0830634615384613</v>
      </c>
      <c r="U212" s="199">
        <f t="shared" si="105"/>
        <v>0</v>
      </c>
      <c r="V212" s="37" t="str">
        <f t="shared" si="106"/>
        <v>ok</v>
      </c>
      <c r="W212" s="37" t="str">
        <f t="shared" si="107"/>
        <v>ok</v>
      </c>
    </row>
    <row r="213" spans="1:23" x14ac:dyDescent="0.25">
      <c r="A213" s="426"/>
      <c r="B213" s="178" t="s">
        <v>22</v>
      </c>
      <c r="C213" s="129">
        <v>18</v>
      </c>
      <c r="D213" s="130">
        <f>'2.4.5.3 Emplois ETP  base a'!D213*12</f>
        <v>0.7874596153846154</v>
      </c>
      <c r="E213" s="131">
        <f>'2.4.5.3 Emplois ETP  base a'!E213*12</f>
        <v>3.7195673076923077</v>
      </c>
      <c r="F213" s="132">
        <f t="shared" si="96"/>
        <v>2.9756538461538464</v>
      </c>
      <c r="G213" s="133">
        <f t="shared" si="97"/>
        <v>0.74391346153846138</v>
      </c>
      <c r="H213" s="134">
        <f t="shared" si="98"/>
        <v>0.7874596153846154</v>
      </c>
      <c r="I213" s="135"/>
      <c r="J213" s="136">
        <f t="shared" si="99"/>
        <v>0</v>
      </c>
      <c r="K213" s="137"/>
      <c r="L213" s="138">
        <f t="shared" si="100"/>
        <v>0</v>
      </c>
      <c r="M213" s="137"/>
      <c r="N213" s="139">
        <f t="shared" si="101"/>
        <v>2.188194230769231</v>
      </c>
      <c r="O213" s="137"/>
      <c r="P213" s="140">
        <f t="shared" si="102"/>
        <v>0.74391346153846138</v>
      </c>
      <c r="Q213" s="135"/>
      <c r="R213" s="104">
        <f t="shared" si="103"/>
        <v>0.7874596153846154</v>
      </c>
      <c r="S213" s="137"/>
      <c r="T213" s="141">
        <f t="shared" si="104"/>
        <v>2.9321076923076923</v>
      </c>
      <c r="U213" s="199">
        <f t="shared" si="105"/>
        <v>0</v>
      </c>
      <c r="V213" s="37" t="str">
        <f t="shared" si="106"/>
        <v>ok</v>
      </c>
      <c r="W213" s="37" t="str">
        <f t="shared" si="107"/>
        <v>ok</v>
      </c>
    </row>
    <row r="214" spans="1:23" x14ac:dyDescent="0.25">
      <c r="A214" s="426"/>
      <c r="B214" s="178" t="s">
        <v>23</v>
      </c>
      <c r="C214" s="129">
        <v>19</v>
      </c>
      <c r="D214" s="130">
        <f>'2.4.5.3 Emplois ETP  base a'!D214*12</f>
        <v>1.6329807692307692</v>
      </c>
      <c r="E214" s="131">
        <f>'2.4.5.3 Emplois ETP  base a'!E214*12</f>
        <v>4.4232692307692298</v>
      </c>
      <c r="F214" s="132">
        <f t="shared" si="96"/>
        <v>3.5386153846153841</v>
      </c>
      <c r="G214" s="133">
        <f t="shared" si="97"/>
        <v>0.88465384615384579</v>
      </c>
      <c r="H214" s="134">
        <f t="shared" si="98"/>
        <v>1.6329807692307692</v>
      </c>
      <c r="I214" s="135"/>
      <c r="J214" s="136">
        <f t="shared" si="99"/>
        <v>0</v>
      </c>
      <c r="K214" s="137"/>
      <c r="L214" s="138">
        <f t="shared" si="100"/>
        <v>0</v>
      </c>
      <c r="M214" s="137"/>
      <c r="N214" s="139">
        <f t="shared" si="101"/>
        <v>1.9056346153846149</v>
      </c>
      <c r="O214" s="137"/>
      <c r="P214" s="140">
        <f t="shared" si="102"/>
        <v>0.88465384615384579</v>
      </c>
      <c r="Q214" s="135"/>
      <c r="R214" s="104">
        <f t="shared" si="103"/>
        <v>1.6329807692307692</v>
      </c>
      <c r="S214" s="137"/>
      <c r="T214" s="141">
        <f t="shared" si="104"/>
        <v>2.7902884615384607</v>
      </c>
      <c r="U214" s="199">
        <f t="shared" si="105"/>
        <v>0</v>
      </c>
      <c r="V214" s="37" t="str">
        <f t="shared" si="106"/>
        <v>ok</v>
      </c>
      <c r="W214" s="37" t="str">
        <f t="shared" si="107"/>
        <v>ok</v>
      </c>
    </row>
    <row r="215" spans="1:23" x14ac:dyDescent="0.25">
      <c r="A215" s="426"/>
      <c r="B215" s="178" t="s">
        <v>19</v>
      </c>
      <c r="C215" s="129">
        <v>22</v>
      </c>
      <c r="D215" s="130">
        <f>'2.4.5.3 Emplois ETP  base a'!D215*12</f>
        <v>6.5536961538461549</v>
      </c>
      <c r="E215" s="131">
        <f>'2.4.5.3 Emplois ETP  base a'!E215*12</f>
        <v>4.9761778846153844</v>
      </c>
      <c r="F215" s="132">
        <f t="shared" si="96"/>
        <v>3.9809423076923078</v>
      </c>
      <c r="G215" s="133">
        <f t="shared" si="97"/>
        <v>0.99523557692307663</v>
      </c>
      <c r="H215" s="134">
        <f t="shared" si="98"/>
        <v>4.9761778846153844</v>
      </c>
      <c r="I215" s="135"/>
      <c r="J215" s="136">
        <f t="shared" si="99"/>
        <v>1.5775182692307705</v>
      </c>
      <c r="K215" s="137"/>
      <c r="L215" s="138">
        <f t="shared" si="100"/>
        <v>0.99523557692307663</v>
      </c>
      <c r="M215" s="137"/>
      <c r="N215" s="139">
        <f t="shared" si="101"/>
        <v>0</v>
      </c>
      <c r="O215" s="137"/>
      <c r="P215" s="140">
        <f t="shared" si="102"/>
        <v>0</v>
      </c>
      <c r="Q215" s="135"/>
      <c r="R215" s="104">
        <f t="shared" si="103"/>
        <v>3.9809423076923078</v>
      </c>
      <c r="S215" s="137"/>
      <c r="T215" s="141">
        <f t="shared" si="104"/>
        <v>0.99523557692307663</v>
      </c>
      <c r="U215" s="199">
        <f t="shared" si="105"/>
        <v>2.5727538461538471</v>
      </c>
      <c r="V215" s="37" t="str">
        <f t="shared" si="106"/>
        <v>ok</v>
      </c>
      <c r="W215" s="37" t="str">
        <f t="shared" si="107"/>
        <v>ok</v>
      </c>
    </row>
    <row r="216" spans="1:23" x14ac:dyDescent="0.25">
      <c r="A216" s="426"/>
      <c r="B216" s="178" t="s">
        <v>20</v>
      </c>
      <c r="C216" s="129">
        <v>23</v>
      </c>
      <c r="D216" s="130">
        <f>'2.4.5.3 Emplois ETP  base a'!D216*12</f>
        <v>5.3344038461538457</v>
      </c>
      <c r="E216" s="131">
        <f>'2.4.5.3 Emplois ETP  base a'!E216*12</f>
        <v>3.1525846153846149</v>
      </c>
      <c r="F216" s="132">
        <f t="shared" si="96"/>
        <v>2.5220676923076919</v>
      </c>
      <c r="G216" s="133">
        <f t="shared" si="97"/>
        <v>0.63051692307692286</v>
      </c>
      <c r="H216" s="134">
        <f t="shared" si="98"/>
        <v>3.1525846153846149</v>
      </c>
      <c r="I216" s="135"/>
      <c r="J216" s="136">
        <f t="shared" si="99"/>
        <v>2.1818192307692308</v>
      </c>
      <c r="K216" s="137"/>
      <c r="L216" s="138">
        <f t="shared" si="100"/>
        <v>0.63051692307692286</v>
      </c>
      <c r="M216" s="137"/>
      <c r="N216" s="139">
        <f t="shared" si="101"/>
        <v>0</v>
      </c>
      <c r="O216" s="137"/>
      <c r="P216" s="140">
        <f t="shared" si="102"/>
        <v>0</v>
      </c>
      <c r="Q216" s="135"/>
      <c r="R216" s="104">
        <f t="shared" si="103"/>
        <v>2.5220676923076919</v>
      </c>
      <c r="S216" s="137"/>
      <c r="T216" s="141">
        <f t="shared" si="104"/>
        <v>0.63051692307692286</v>
      </c>
      <c r="U216" s="199">
        <f t="shared" si="105"/>
        <v>2.8123361538461538</v>
      </c>
      <c r="V216" s="37" t="str">
        <f t="shared" si="106"/>
        <v>ok</v>
      </c>
      <c r="W216" s="37" t="str">
        <f t="shared" si="107"/>
        <v>ok</v>
      </c>
    </row>
    <row r="217" spans="1:23" x14ac:dyDescent="0.25">
      <c r="A217" s="426"/>
      <c r="B217" s="178" t="s">
        <v>21</v>
      </c>
      <c r="C217" s="129">
        <v>24</v>
      </c>
      <c r="D217" s="130">
        <f>'2.4.5.3 Emplois ETP  base a'!D217*12</f>
        <v>3.073632692307692</v>
      </c>
      <c r="E217" s="131">
        <f>'2.4.5.3 Emplois ETP  base a'!E217*12</f>
        <v>1.4938586538461536</v>
      </c>
      <c r="F217" s="132">
        <f t="shared" si="96"/>
        <v>1.195086923076923</v>
      </c>
      <c r="G217" s="133">
        <f t="shared" si="97"/>
        <v>0.29877173076923064</v>
      </c>
      <c r="H217" s="134">
        <f t="shared" si="98"/>
        <v>1.4938586538461536</v>
      </c>
      <c r="I217" s="135"/>
      <c r="J217" s="136">
        <f t="shared" si="99"/>
        <v>1.5797740384615384</v>
      </c>
      <c r="K217" s="137"/>
      <c r="L217" s="138">
        <f t="shared" si="100"/>
        <v>0.29877173076923064</v>
      </c>
      <c r="M217" s="137"/>
      <c r="N217" s="139">
        <f t="shared" si="101"/>
        <v>0</v>
      </c>
      <c r="O217" s="137"/>
      <c r="P217" s="140">
        <f t="shared" si="102"/>
        <v>0</v>
      </c>
      <c r="Q217" s="135"/>
      <c r="R217" s="104">
        <f t="shared" si="103"/>
        <v>1.195086923076923</v>
      </c>
      <c r="S217" s="137"/>
      <c r="T217" s="141">
        <f t="shared" si="104"/>
        <v>0.29877173076923064</v>
      </c>
      <c r="U217" s="199">
        <f t="shared" si="105"/>
        <v>1.878545769230769</v>
      </c>
      <c r="V217" s="37" t="str">
        <f t="shared" si="106"/>
        <v>ok</v>
      </c>
      <c r="W217" s="37" t="str">
        <f t="shared" si="107"/>
        <v>ok</v>
      </c>
    </row>
    <row r="218" spans="1:23" x14ac:dyDescent="0.25">
      <c r="A218" s="426"/>
      <c r="B218" s="178" t="s">
        <v>22</v>
      </c>
      <c r="C218" s="129">
        <v>25</v>
      </c>
      <c r="D218" s="130">
        <f>'2.4.5.3 Emplois ETP  base a'!D218*12</f>
        <v>2.5166048076923078</v>
      </c>
      <c r="E218" s="131">
        <f>'2.4.5.3 Emplois ETP  base a'!E218*12</f>
        <v>1.9904711538461535</v>
      </c>
      <c r="F218" s="132">
        <f t="shared" si="96"/>
        <v>1.5923769230769229</v>
      </c>
      <c r="G218" s="133">
        <f t="shared" si="97"/>
        <v>0.39809423076923062</v>
      </c>
      <c r="H218" s="134">
        <f t="shared" si="98"/>
        <v>1.9904711538461535</v>
      </c>
      <c r="I218" s="135"/>
      <c r="J218" s="136">
        <f t="shared" si="99"/>
        <v>0.52613365384615429</v>
      </c>
      <c r="K218" s="137"/>
      <c r="L218" s="138">
        <f t="shared" si="100"/>
        <v>0.39809423076923062</v>
      </c>
      <c r="M218" s="137"/>
      <c r="N218" s="139">
        <f t="shared" si="101"/>
        <v>0</v>
      </c>
      <c r="O218" s="137"/>
      <c r="P218" s="140">
        <f t="shared" si="102"/>
        <v>0</v>
      </c>
      <c r="Q218" s="135"/>
      <c r="R218" s="104">
        <f t="shared" si="103"/>
        <v>1.5923769230769229</v>
      </c>
      <c r="S218" s="137"/>
      <c r="T218" s="141">
        <f t="shared" si="104"/>
        <v>0.39809423076923062</v>
      </c>
      <c r="U218" s="199">
        <f t="shared" si="105"/>
        <v>0.92422788461538485</v>
      </c>
      <c r="V218" s="37" t="str">
        <f t="shared" si="106"/>
        <v>ok</v>
      </c>
      <c r="W218" s="37" t="str">
        <f t="shared" si="107"/>
        <v>ok</v>
      </c>
    </row>
    <row r="219" spans="1:23" x14ac:dyDescent="0.25">
      <c r="A219" s="426"/>
      <c r="B219" s="178" t="s">
        <v>23</v>
      </c>
      <c r="C219" s="129">
        <v>26</v>
      </c>
      <c r="D219" s="130">
        <f>'2.4.5.3 Emplois ETP  base a'!D219*12</f>
        <v>4.7265721153846156</v>
      </c>
      <c r="E219" s="131">
        <f>'2.4.5.3 Emplois ETP  base a'!E219*12</f>
        <v>3.1525846153846149</v>
      </c>
      <c r="F219" s="132">
        <f t="shared" si="96"/>
        <v>2.5220676923076919</v>
      </c>
      <c r="G219" s="133">
        <f t="shared" si="97"/>
        <v>0.63051692307692286</v>
      </c>
      <c r="H219" s="134">
        <f t="shared" si="98"/>
        <v>3.1525846153846149</v>
      </c>
      <c r="I219" s="135"/>
      <c r="J219" s="136">
        <f t="shared" si="99"/>
        <v>1.5739875000000008</v>
      </c>
      <c r="K219" s="137"/>
      <c r="L219" s="138">
        <f t="shared" si="100"/>
        <v>0.63051692307692286</v>
      </c>
      <c r="M219" s="137"/>
      <c r="N219" s="139">
        <f t="shared" si="101"/>
        <v>0</v>
      </c>
      <c r="O219" s="137"/>
      <c r="P219" s="140">
        <f t="shared" si="102"/>
        <v>0</v>
      </c>
      <c r="Q219" s="135"/>
      <c r="R219" s="104">
        <f t="shared" si="103"/>
        <v>2.5220676923076919</v>
      </c>
      <c r="S219" s="137"/>
      <c r="T219" s="141">
        <f t="shared" si="104"/>
        <v>0.63051692307692286</v>
      </c>
      <c r="U219" s="199">
        <f t="shared" si="105"/>
        <v>2.2045044230769237</v>
      </c>
      <c r="V219" s="37" t="str">
        <f t="shared" si="106"/>
        <v>ok</v>
      </c>
      <c r="W219" s="37" t="str">
        <f t="shared" si="107"/>
        <v>ok</v>
      </c>
    </row>
    <row r="220" spans="1:23" x14ac:dyDescent="0.25">
      <c r="A220" s="426"/>
      <c r="B220" s="178" t="s">
        <v>19</v>
      </c>
      <c r="C220" s="129">
        <v>29</v>
      </c>
      <c r="D220" s="130">
        <f>'2.4.5.3 Emplois ETP  base a'!D220*12</f>
        <v>7.8637096153846162</v>
      </c>
      <c r="E220" s="131">
        <f>'2.4.5.3 Emplois ETP  base a'!E220*12</f>
        <v>6.0317307692307685</v>
      </c>
      <c r="F220" s="132">
        <f t="shared" si="96"/>
        <v>4.8253846153846149</v>
      </c>
      <c r="G220" s="133">
        <f t="shared" si="97"/>
        <v>1.2063461538461535</v>
      </c>
      <c r="H220" s="134">
        <f t="shared" si="98"/>
        <v>6.0317307692307685</v>
      </c>
      <c r="I220" s="135"/>
      <c r="J220" s="136">
        <f t="shared" si="99"/>
        <v>1.8319788461538478</v>
      </c>
      <c r="K220" s="137"/>
      <c r="L220" s="138">
        <f t="shared" si="100"/>
        <v>1.2063461538461535</v>
      </c>
      <c r="M220" s="137"/>
      <c r="N220" s="139">
        <f t="shared" si="101"/>
        <v>0</v>
      </c>
      <c r="O220" s="137"/>
      <c r="P220" s="140">
        <f t="shared" si="102"/>
        <v>0</v>
      </c>
      <c r="Q220" s="135"/>
      <c r="R220" s="104">
        <f t="shared" si="103"/>
        <v>4.8253846153846149</v>
      </c>
      <c r="S220" s="137"/>
      <c r="T220" s="141">
        <f t="shared" si="104"/>
        <v>1.2063461538461535</v>
      </c>
      <c r="U220" s="199">
        <f t="shared" si="105"/>
        <v>3.0383250000000013</v>
      </c>
      <c r="V220" s="37" t="str">
        <f t="shared" si="106"/>
        <v>ok</v>
      </c>
      <c r="W220" s="37" t="str">
        <f t="shared" si="107"/>
        <v>ok</v>
      </c>
    </row>
    <row r="221" spans="1:23" x14ac:dyDescent="0.25">
      <c r="A221" s="426"/>
      <c r="B221" s="178" t="s">
        <v>20</v>
      </c>
      <c r="C221" s="129">
        <v>30</v>
      </c>
      <c r="D221" s="130">
        <f>'2.4.5.3 Emplois ETP  base a'!D221*12</f>
        <v>6.3795115384615375</v>
      </c>
      <c r="E221" s="131">
        <f>'2.4.5.3 Emplois ETP  base a'!E221*12</f>
        <v>4.2222115384615373</v>
      </c>
      <c r="F221" s="132">
        <f t="shared" si="96"/>
        <v>3.3777692307692302</v>
      </c>
      <c r="G221" s="133">
        <f t="shared" si="97"/>
        <v>0.84444230769230733</v>
      </c>
      <c r="H221" s="134">
        <f t="shared" si="98"/>
        <v>4.2222115384615373</v>
      </c>
      <c r="I221" s="135"/>
      <c r="J221" s="136">
        <f t="shared" si="99"/>
        <v>2.1573000000000002</v>
      </c>
      <c r="K221" s="137"/>
      <c r="L221" s="138">
        <f t="shared" si="100"/>
        <v>0.84444230769230733</v>
      </c>
      <c r="M221" s="137"/>
      <c r="N221" s="139">
        <f t="shared" si="101"/>
        <v>0</v>
      </c>
      <c r="O221" s="137"/>
      <c r="P221" s="140">
        <f t="shared" si="102"/>
        <v>0</v>
      </c>
      <c r="Q221" s="135"/>
      <c r="R221" s="104">
        <f t="shared" si="103"/>
        <v>3.3777692307692302</v>
      </c>
      <c r="S221" s="137"/>
      <c r="T221" s="141">
        <f t="shared" si="104"/>
        <v>0.84444230769230733</v>
      </c>
      <c r="U221" s="199">
        <f t="shared" si="105"/>
        <v>3.0017423076923073</v>
      </c>
      <c r="V221" s="37" t="str">
        <f t="shared" si="106"/>
        <v>ok</v>
      </c>
      <c r="W221" s="37" t="str">
        <f t="shared" si="107"/>
        <v>ok</v>
      </c>
    </row>
    <row r="222" spans="1:23" ht="15.75" thickBot="1" x14ac:dyDescent="0.3">
      <c r="A222" s="427"/>
      <c r="B222" s="277" t="s">
        <v>21</v>
      </c>
      <c r="C222" s="165">
        <v>31</v>
      </c>
      <c r="D222" s="202">
        <f>'2.4.5.3 Emplois ETP  base a'!D222*12</f>
        <v>3.6887221153846159</v>
      </c>
      <c r="E222" s="203">
        <f>'2.4.5.3 Emplois ETP  base a'!E222*12</f>
        <v>2.0105769230769233</v>
      </c>
      <c r="F222" s="204">
        <f t="shared" si="96"/>
        <v>1.6084615384615386</v>
      </c>
      <c r="G222" s="205">
        <f t="shared" si="97"/>
        <v>0.40211538461538454</v>
      </c>
      <c r="H222" s="206">
        <f t="shared" si="98"/>
        <v>2.0105769230769233</v>
      </c>
      <c r="I222" s="207"/>
      <c r="J222" s="208">
        <f t="shared" si="99"/>
        <v>1.6781451923076927</v>
      </c>
      <c r="K222" s="209"/>
      <c r="L222" s="210">
        <f t="shared" si="100"/>
        <v>0.40211538461538454</v>
      </c>
      <c r="M222" s="209"/>
      <c r="N222" s="211">
        <f t="shared" si="101"/>
        <v>0</v>
      </c>
      <c r="O222" s="209"/>
      <c r="P222" s="212">
        <f t="shared" si="102"/>
        <v>0</v>
      </c>
      <c r="Q222" s="207"/>
      <c r="R222" s="213">
        <f t="shared" si="103"/>
        <v>1.6084615384615386</v>
      </c>
      <c r="S222" s="209"/>
      <c r="T222" s="214">
        <f t="shared" si="104"/>
        <v>0.40211538461538454</v>
      </c>
      <c r="U222" s="215">
        <f t="shared" si="105"/>
        <v>2.0802605769230773</v>
      </c>
      <c r="V222" s="37" t="str">
        <f t="shared" si="106"/>
        <v>ok</v>
      </c>
      <c r="W222" s="37" t="str">
        <f t="shared" si="107"/>
        <v>ok</v>
      </c>
    </row>
    <row r="223" spans="1:23" x14ac:dyDescent="0.25">
      <c r="A223" s="425" t="s">
        <v>99</v>
      </c>
      <c r="B223" s="276" t="s">
        <v>22</v>
      </c>
      <c r="C223" s="247">
        <v>1</v>
      </c>
      <c r="D223" s="184">
        <f>'2.4.5.3 Emplois ETP  base a'!D223*12</f>
        <v>2.7210971538461539</v>
      </c>
      <c r="E223" s="185">
        <f>'2.4.5.3 Emplois ETP  base a'!E223*12</f>
        <v>11.505599999999999</v>
      </c>
      <c r="F223" s="186">
        <f t="shared" si="96"/>
        <v>9.2044800000000002</v>
      </c>
      <c r="G223" s="187">
        <f t="shared" si="97"/>
        <v>2.3011199999999992</v>
      </c>
      <c r="H223" s="188">
        <f>IF(E223&gt;D223,D223,E223)</f>
        <v>2.7210971538461539</v>
      </c>
      <c r="I223" s="189"/>
      <c r="J223" s="190">
        <f>IF(E223&gt;D223,0,D223-E223)</f>
        <v>0</v>
      </c>
      <c r="K223" s="191"/>
      <c r="L223" s="192">
        <f>IF(E223&gt;D223,IF(F223&gt;H223,0,H223-F223),G223)</f>
        <v>0</v>
      </c>
      <c r="M223" s="191"/>
      <c r="N223" s="193">
        <f>IF(E223&gt;D223,IF(F223&gt;H223,F223-H223,0),0)</f>
        <v>6.4833828461538463</v>
      </c>
      <c r="O223" s="191"/>
      <c r="P223" s="194">
        <f>IF(E223&gt;D223,IF(F223&gt;H223,G223,E223-H223),0)</f>
        <v>2.3011199999999992</v>
      </c>
      <c r="Q223" s="189"/>
      <c r="R223" s="195">
        <f>H223-L223</f>
        <v>2.7210971538461539</v>
      </c>
      <c r="S223" s="191"/>
      <c r="T223" s="196">
        <f>L223+N223+P223</f>
        <v>8.7845028461538455</v>
      </c>
      <c r="U223" s="197">
        <f>J223+L223</f>
        <v>0</v>
      </c>
      <c r="V223" s="37" t="str">
        <f>IF(R223+T223=E223,"ok","bad")</f>
        <v>ok</v>
      </c>
      <c r="W223" s="37" t="str">
        <f>IF(U223+R223=D223,"ok","bad")</f>
        <v>ok</v>
      </c>
    </row>
    <row r="224" spans="1:23" x14ac:dyDescent="0.25">
      <c r="A224" s="426"/>
      <c r="B224" s="178" t="s">
        <v>23</v>
      </c>
      <c r="C224" s="129">
        <v>2</v>
      </c>
      <c r="D224" s="130">
        <f>'2.4.5.3 Emplois ETP  base a'!D224*12</f>
        <v>2.136609692307692</v>
      </c>
      <c r="E224" s="131">
        <f>'2.4.5.3 Emplois ETP  base a'!E224*12</f>
        <v>8.4374400000000005</v>
      </c>
      <c r="F224" s="132">
        <f t="shared" si="96"/>
        <v>6.7499520000000004</v>
      </c>
      <c r="G224" s="133">
        <f t="shared" si="97"/>
        <v>1.6874879999999997</v>
      </c>
      <c r="H224" s="134">
        <f t="shared" ref="H224:H244" si="108">IF(E224&gt;D224,D224,E224)</f>
        <v>2.136609692307692</v>
      </c>
      <c r="I224" s="135"/>
      <c r="J224" s="136">
        <f t="shared" ref="J224:J244" si="109">IF(E224&gt;D224,0,D224-E224)</f>
        <v>0</v>
      </c>
      <c r="K224" s="137"/>
      <c r="L224" s="138">
        <f t="shared" ref="L224:L244" si="110">IF(E224&gt;D224,IF(F224&gt;H224,0,H224-F224),G224)</f>
        <v>0</v>
      </c>
      <c r="M224" s="137"/>
      <c r="N224" s="139">
        <f t="shared" ref="N224:N244" si="111">IF(E224&gt;D224,IF(F224&gt;H224,F224-H224,0),0)</f>
        <v>4.6133423076923084</v>
      </c>
      <c r="O224" s="137"/>
      <c r="P224" s="140">
        <f t="shared" ref="P224:P244" si="112">IF(E224&gt;D224,IF(F224&gt;H224,G224,E224-H224),0)</f>
        <v>1.6874879999999997</v>
      </c>
      <c r="Q224" s="135"/>
      <c r="R224" s="104">
        <f t="shared" ref="R224:R244" si="113">H224-L224</f>
        <v>2.136609692307692</v>
      </c>
      <c r="S224" s="137"/>
      <c r="T224" s="141">
        <f t="shared" ref="T224:T244" si="114">L224+N224+P224</f>
        <v>6.3008303076923085</v>
      </c>
      <c r="U224" s="199">
        <f t="shared" ref="U224:U244" si="115">J224+L224</f>
        <v>0</v>
      </c>
      <c r="V224" s="37" t="str">
        <f t="shared" ref="V224:V244" si="116">IF(R224+T224=E224,"ok","bad")</f>
        <v>ok</v>
      </c>
      <c r="W224" s="37" t="str">
        <f t="shared" ref="W224:W244" si="117">IF(U224+R224=D224,"ok","bad")</f>
        <v>ok</v>
      </c>
    </row>
    <row r="225" spans="1:23" x14ac:dyDescent="0.25">
      <c r="A225" s="426"/>
      <c r="B225" s="178" t="s">
        <v>19</v>
      </c>
      <c r="C225" s="129">
        <v>5</v>
      </c>
      <c r="D225" s="130">
        <f>'2.4.5.3 Emplois ETP  base a'!D225*12</f>
        <v>0.93457892307692314</v>
      </c>
      <c r="E225" s="131">
        <f>'2.4.5.3 Emplois ETP  base a'!E225*12</f>
        <v>3.4516799999999996</v>
      </c>
      <c r="F225" s="132">
        <f t="shared" si="96"/>
        <v>2.7613439999999998</v>
      </c>
      <c r="G225" s="133">
        <f t="shared" si="97"/>
        <v>0.69033599999999973</v>
      </c>
      <c r="H225" s="134">
        <f t="shared" si="108"/>
        <v>0.93457892307692314</v>
      </c>
      <c r="I225" s="135"/>
      <c r="J225" s="136">
        <f t="shared" si="109"/>
        <v>0</v>
      </c>
      <c r="K225" s="137"/>
      <c r="L225" s="138">
        <f t="shared" si="110"/>
        <v>0</v>
      </c>
      <c r="M225" s="137"/>
      <c r="N225" s="139">
        <f t="shared" si="111"/>
        <v>1.8267650769230768</v>
      </c>
      <c r="O225" s="137"/>
      <c r="P225" s="140">
        <f t="shared" si="112"/>
        <v>0.69033599999999973</v>
      </c>
      <c r="Q225" s="135"/>
      <c r="R225" s="104">
        <f t="shared" si="113"/>
        <v>0.93457892307692314</v>
      </c>
      <c r="S225" s="137"/>
      <c r="T225" s="141">
        <f t="shared" si="114"/>
        <v>2.5171010769230766</v>
      </c>
      <c r="U225" s="199">
        <f t="shared" si="115"/>
        <v>0</v>
      </c>
      <c r="V225" s="37" t="str">
        <f t="shared" si="116"/>
        <v>ok</v>
      </c>
      <c r="W225" s="37" t="str">
        <f t="shared" si="117"/>
        <v>ok</v>
      </c>
    </row>
    <row r="226" spans="1:23" x14ac:dyDescent="0.25">
      <c r="A226" s="426"/>
      <c r="B226" s="178" t="s">
        <v>20</v>
      </c>
      <c r="C226" s="129">
        <v>6</v>
      </c>
      <c r="D226" s="130">
        <f>'2.4.5.3 Emplois ETP  base a'!D226*12</f>
        <v>0.65210169230769233</v>
      </c>
      <c r="E226" s="131">
        <f>'2.4.5.3 Emplois ETP  base a'!E226*12</f>
        <v>5.1775200000000012</v>
      </c>
      <c r="F226" s="132">
        <f t="shared" si="96"/>
        <v>4.1420160000000008</v>
      </c>
      <c r="G226" s="133">
        <f t="shared" si="97"/>
        <v>1.035504</v>
      </c>
      <c r="H226" s="134">
        <f t="shared" si="108"/>
        <v>0.65210169230769233</v>
      </c>
      <c r="I226" s="135"/>
      <c r="J226" s="136">
        <f t="shared" si="109"/>
        <v>0</v>
      </c>
      <c r="K226" s="137"/>
      <c r="L226" s="138">
        <f t="shared" si="110"/>
        <v>0</v>
      </c>
      <c r="M226" s="137"/>
      <c r="N226" s="139">
        <f t="shared" si="111"/>
        <v>3.4899143076923087</v>
      </c>
      <c r="O226" s="137"/>
      <c r="P226" s="140">
        <f t="shared" si="112"/>
        <v>1.035504</v>
      </c>
      <c r="Q226" s="135"/>
      <c r="R226" s="104">
        <f t="shared" si="113"/>
        <v>0.65210169230769233</v>
      </c>
      <c r="S226" s="137"/>
      <c r="T226" s="141">
        <f t="shared" si="114"/>
        <v>4.5254183076923091</v>
      </c>
      <c r="U226" s="199">
        <f t="shared" si="115"/>
        <v>0</v>
      </c>
      <c r="V226" s="37" t="str">
        <f t="shared" si="116"/>
        <v>ok</v>
      </c>
      <c r="W226" s="37" t="str">
        <f t="shared" si="117"/>
        <v>ok</v>
      </c>
    </row>
    <row r="227" spans="1:23" x14ac:dyDescent="0.25">
      <c r="A227" s="426"/>
      <c r="B227" s="178" t="s">
        <v>21</v>
      </c>
      <c r="C227" s="129">
        <v>7</v>
      </c>
      <c r="D227" s="130">
        <f>'2.4.5.3 Emplois ETP  base a'!D227*12</f>
        <v>1.3522846153846153</v>
      </c>
      <c r="E227" s="131">
        <f>'2.4.5.3 Emplois ETP  base a'!E227*12</f>
        <v>8.4374400000000005</v>
      </c>
      <c r="F227" s="132">
        <f t="shared" si="96"/>
        <v>6.7499520000000004</v>
      </c>
      <c r="G227" s="133">
        <f t="shared" si="97"/>
        <v>1.6874879999999997</v>
      </c>
      <c r="H227" s="134">
        <f t="shared" si="108"/>
        <v>1.3522846153846153</v>
      </c>
      <c r="I227" s="135"/>
      <c r="J227" s="136">
        <f t="shared" si="109"/>
        <v>0</v>
      </c>
      <c r="K227" s="137"/>
      <c r="L227" s="138">
        <f t="shared" si="110"/>
        <v>0</v>
      </c>
      <c r="M227" s="137"/>
      <c r="N227" s="139">
        <f t="shared" si="111"/>
        <v>5.3976673846153851</v>
      </c>
      <c r="O227" s="137"/>
      <c r="P227" s="140">
        <f t="shared" si="112"/>
        <v>1.6874879999999997</v>
      </c>
      <c r="Q227" s="135"/>
      <c r="R227" s="104">
        <f t="shared" si="113"/>
        <v>1.3522846153846153</v>
      </c>
      <c r="S227" s="137"/>
      <c r="T227" s="141">
        <f t="shared" si="114"/>
        <v>7.0851553846153852</v>
      </c>
      <c r="U227" s="199">
        <f t="shared" si="115"/>
        <v>0</v>
      </c>
      <c r="V227" s="37" t="str">
        <f t="shared" si="116"/>
        <v>ok</v>
      </c>
      <c r="W227" s="37" t="str">
        <f t="shared" si="117"/>
        <v>ok</v>
      </c>
    </row>
    <row r="228" spans="1:23" x14ac:dyDescent="0.25">
      <c r="A228" s="426"/>
      <c r="B228" s="178" t="s">
        <v>22</v>
      </c>
      <c r="C228" s="129">
        <v>8</v>
      </c>
      <c r="D228" s="130">
        <f>'2.4.5.3 Emplois ETP  base a'!D228*12</f>
        <v>4.3423361538461531</v>
      </c>
      <c r="E228" s="131">
        <f>'2.4.5.3 Emplois ETP  base a'!E228*12</f>
        <v>5.9003076923076918</v>
      </c>
      <c r="F228" s="132">
        <f t="shared" si="96"/>
        <v>4.720246153846154</v>
      </c>
      <c r="G228" s="133">
        <f t="shared" si="97"/>
        <v>1.1800615384615381</v>
      </c>
      <c r="H228" s="134">
        <f t="shared" si="108"/>
        <v>4.3423361538461531</v>
      </c>
      <c r="I228" s="135"/>
      <c r="J228" s="136">
        <f t="shared" si="109"/>
        <v>0</v>
      </c>
      <c r="K228" s="137"/>
      <c r="L228" s="138">
        <f t="shared" si="110"/>
        <v>0</v>
      </c>
      <c r="M228" s="137"/>
      <c r="N228" s="139">
        <f t="shared" si="111"/>
        <v>0.37791000000000086</v>
      </c>
      <c r="O228" s="137"/>
      <c r="P228" s="140">
        <f t="shared" si="112"/>
        <v>1.1800615384615381</v>
      </c>
      <c r="Q228" s="135"/>
      <c r="R228" s="104">
        <f t="shared" si="113"/>
        <v>4.3423361538461531</v>
      </c>
      <c r="S228" s="137"/>
      <c r="T228" s="141">
        <f t="shared" si="114"/>
        <v>1.5579715384615389</v>
      </c>
      <c r="U228" s="199">
        <f t="shared" si="115"/>
        <v>0</v>
      </c>
      <c r="V228" s="37" t="str">
        <f t="shared" si="116"/>
        <v>ok</v>
      </c>
      <c r="W228" s="37" t="str">
        <f t="shared" si="117"/>
        <v>ok</v>
      </c>
    </row>
    <row r="229" spans="1:23" x14ac:dyDescent="0.25">
      <c r="A229" s="426"/>
      <c r="B229" s="178" t="s">
        <v>23</v>
      </c>
      <c r="C229" s="129">
        <v>9</v>
      </c>
      <c r="D229" s="130">
        <f>'2.4.5.3 Emplois ETP  base a'!D229*12</f>
        <v>3.521950153846154</v>
      </c>
      <c r="E229" s="131">
        <f>'2.4.5.3 Emplois ETP  base a'!E229*12</f>
        <v>6.0478153846153848</v>
      </c>
      <c r="F229" s="132">
        <f t="shared" si="96"/>
        <v>4.8382523076923079</v>
      </c>
      <c r="G229" s="133">
        <f t="shared" si="97"/>
        <v>1.2095630769230767</v>
      </c>
      <c r="H229" s="134">
        <f t="shared" si="108"/>
        <v>3.521950153846154</v>
      </c>
      <c r="I229" s="135"/>
      <c r="J229" s="136">
        <f t="shared" si="109"/>
        <v>0</v>
      </c>
      <c r="K229" s="137"/>
      <c r="L229" s="138">
        <f t="shared" si="110"/>
        <v>0</v>
      </c>
      <c r="M229" s="137"/>
      <c r="N229" s="139">
        <f t="shared" si="111"/>
        <v>1.3163021538461539</v>
      </c>
      <c r="O229" s="137"/>
      <c r="P229" s="140">
        <f t="shared" si="112"/>
        <v>1.2095630769230767</v>
      </c>
      <c r="Q229" s="135"/>
      <c r="R229" s="104">
        <f t="shared" si="113"/>
        <v>3.521950153846154</v>
      </c>
      <c r="S229" s="137"/>
      <c r="T229" s="141">
        <f t="shared" si="114"/>
        <v>2.5258652307692309</v>
      </c>
      <c r="U229" s="199">
        <f t="shared" si="115"/>
        <v>0</v>
      </c>
      <c r="V229" s="37" t="str">
        <f t="shared" si="116"/>
        <v>ok</v>
      </c>
      <c r="W229" s="37" t="str">
        <f t="shared" si="117"/>
        <v>ok</v>
      </c>
    </row>
    <row r="230" spans="1:23" x14ac:dyDescent="0.25">
      <c r="A230" s="426"/>
      <c r="B230" s="178" t="s">
        <v>19</v>
      </c>
      <c r="C230" s="129">
        <v>12</v>
      </c>
      <c r="D230" s="130">
        <f>'2.4.5.3 Emplois ETP  base a'!D230*12</f>
        <v>2.0359396153846152</v>
      </c>
      <c r="E230" s="131">
        <f>'2.4.5.3 Emplois ETP  base a'!E230*12</f>
        <v>3.245169230769231</v>
      </c>
      <c r="F230" s="132">
        <f t="shared" si="96"/>
        <v>2.5961353846153852</v>
      </c>
      <c r="G230" s="133">
        <f t="shared" si="97"/>
        <v>0.64903384615384607</v>
      </c>
      <c r="H230" s="134">
        <f t="shared" si="108"/>
        <v>2.0359396153846152</v>
      </c>
      <c r="I230" s="135"/>
      <c r="J230" s="136">
        <f t="shared" si="109"/>
        <v>0</v>
      </c>
      <c r="K230" s="137"/>
      <c r="L230" s="138">
        <f t="shared" si="110"/>
        <v>0</v>
      </c>
      <c r="M230" s="137"/>
      <c r="N230" s="139">
        <f t="shared" si="111"/>
        <v>0.56019576923076997</v>
      </c>
      <c r="O230" s="137"/>
      <c r="P230" s="140">
        <f t="shared" si="112"/>
        <v>0.64903384615384607</v>
      </c>
      <c r="Q230" s="135"/>
      <c r="R230" s="104">
        <f t="shared" si="113"/>
        <v>2.0359396153846152</v>
      </c>
      <c r="S230" s="137"/>
      <c r="T230" s="141">
        <f t="shared" si="114"/>
        <v>1.209229615384616</v>
      </c>
      <c r="U230" s="199">
        <f t="shared" si="115"/>
        <v>0</v>
      </c>
      <c r="V230" s="37" t="str">
        <f t="shared" si="116"/>
        <v>ok</v>
      </c>
      <c r="W230" s="37" t="str">
        <f t="shared" si="117"/>
        <v>ok</v>
      </c>
    </row>
    <row r="231" spans="1:23" x14ac:dyDescent="0.25">
      <c r="A231" s="426"/>
      <c r="B231" s="178" t="s">
        <v>20</v>
      </c>
      <c r="C231" s="129">
        <v>13</v>
      </c>
      <c r="D231" s="130">
        <f>'2.4.5.3 Emplois ETP  base a'!D231*12</f>
        <v>1.6437770769230764</v>
      </c>
      <c r="E231" s="131">
        <f>'2.4.5.3 Emplois ETP  base a'!E231*12</f>
        <v>4.1302153846153846</v>
      </c>
      <c r="F231" s="132">
        <f t="shared" si="96"/>
        <v>3.304172307692308</v>
      </c>
      <c r="G231" s="133">
        <f t="shared" si="97"/>
        <v>0.82604307692307677</v>
      </c>
      <c r="H231" s="134">
        <f t="shared" si="108"/>
        <v>1.6437770769230764</v>
      </c>
      <c r="I231" s="135"/>
      <c r="J231" s="136">
        <f t="shared" si="109"/>
        <v>0</v>
      </c>
      <c r="K231" s="137"/>
      <c r="L231" s="138">
        <f t="shared" si="110"/>
        <v>0</v>
      </c>
      <c r="M231" s="137"/>
      <c r="N231" s="139">
        <f t="shared" si="111"/>
        <v>1.6603952307692316</v>
      </c>
      <c r="O231" s="137"/>
      <c r="P231" s="140">
        <f t="shared" si="112"/>
        <v>0.82604307692307677</v>
      </c>
      <c r="Q231" s="135"/>
      <c r="R231" s="104">
        <f t="shared" si="113"/>
        <v>1.6437770769230764</v>
      </c>
      <c r="S231" s="137"/>
      <c r="T231" s="141">
        <f t="shared" si="114"/>
        <v>2.4864383076923082</v>
      </c>
      <c r="U231" s="199">
        <f t="shared" si="115"/>
        <v>0</v>
      </c>
      <c r="V231" s="37" t="str">
        <f t="shared" si="116"/>
        <v>ok</v>
      </c>
      <c r="W231" s="37" t="str">
        <f t="shared" si="117"/>
        <v>ok</v>
      </c>
    </row>
    <row r="232" spans="1:23" x14ac:dyDescent="0.25">
      <c r="A232" s="426"/>
      <c r="B232" s="178" t="s">
        <v>21</v>
      </c>
      <c r="C232" s="129">
        <v>14</v>
      </c>
      <c r="D232" s="130">
        <f>'2.4.5.3 Emplois ETP  base a'!D232*12</f>
        <v>3.1312901538461539</v>
      </c>
      <c r="E232" s="131">
        <f>'2.4.5.3 Emplois ETP  base a'!E232*12</f>
        <v>5.6052923076923076</v>
      </c>
      <c r="F232" s="132">
        <f t="shared" si="96"/>
        <v>4.4842338461538462</v>
      </c>
      <c r="G232" s="133">
        <f t="shared" si="97"/>
        <v>1.1210584615384613</v>
      </c>
      <c r="H232" s="134">
        <f t="shared" si="108"/>
        <v>3.1312901538461539</v>
      </c>
      <c r="I232" s="135"/>
      <c r="J232" s="136">
        <f t="shared" si="109"/>
        <v>0</v>
      </c>
      <c r="K232" s="137"/>
      <c r="L232" s="138">
        <f t="shared" si="110"/>
        <v>0</v>
      </c>
      <c r="M232" s="137"/>
      <c r="N232" s="139">
        <f t="shared" si="111"/>
        <v>1.3529436923076923</v>
      </c>
      <c r="O232" s="137"/>
      <c r="P232" s="140">
        <f t="shared" si="112"/>
        <v>1.1210584615384613</v>
      </c>
      <c r="Q232" s="135"/>
      <c r="R232" s="104">
        <f t="shared" si="113"/>
        <v>3.1312901538461539</v>
      </c>
      <c r="S232" s="137"/>
      <c r="T232" s="141">
        <f t="shared" si="114"/>
        <v>2.4740021538461536</v>
      </c>
      <c r="U232" s="199">
        <f t="shared" si="115"/>
        <v>0</v>
      </c>
      <c r="V232" s="37" t="str">
        <f t="shared" si="116"/>
        <v>ok</v>
      </c>
      <c r="W232" s="37" t="str">
        <f t="shared" si="117"/>
        <v>ok</v>
      </c>
    </row>
    <row r="233" spans="1:23" x14ac:dyDescent="0.25">
      <c r="A233" s="426"/>
      <c r="B233" s="178" t="s">
        <v>22</v>
      </c>
      <c r="C233" s="129">
        <v>15</v>
      </c>
      <c r="D233" s="130">
        <f>'2.4.5.3 Emplois ETP  base a'!D233*12</f>
        <v>2.7210971538461539</v>
      </c>
      <c r="E233" s="131">
        <f>'2.4.5.3 Emplois ETP  base a'!E233*12</f>
        <v>8.8504615384615377</v>
      </c>
      <c r="F233" s="132">
        <f t="shared" si="96"/>
        <v>7.0803692307692305</v>
      </c>
      <c r="G233" s="133">
        <f t="shared" si="97"/>
        <v>1.7700923076923072</v>
      </c>
      <c r="H233" s="134">
        <f t="shared" si="108"/>
        <v>2.7210971538461539</v>
      </c>
      <c r="I233" s="135"/>
      <c r="J233" s="136">
        <f t="shared" si="109"/>
        <v>0</v>
      </c>
      <c r="K233" s="137"/>
      <c r="L233" s="138">
        <f t="shared" si="110"/>
        <v>0</v>
      </c>
      <c r="M233" s="137"/>
      <c r="N233" s="139">
        <f t="shared" si="111"/>
        <v>4.3592720769230766</v>
      </c>
      <c r="O233" s="137"/>
      <c r="P233" s="140">
        <f t="shared" si="112"/>
        <v>1.7700923076923072</v>
      </c>
      <c r="Q233" s="135"/>
      <c r="R233" s="104">
        <f t="shared" si="113"/>
        <v>2.7210971538461539</v>
      </c>
      <c r="S233" s="137"/>
      <c r="T233" s="141">
        <f t="shared" si="114"/>
        <v>6.1293643846153838</v>
      </c>
      <c r="U233" s="199">
        <f t="shared" si="115"/>
        <v>0</v>
      </c>
      <c r="V233" s="37" t="str">
        <f t="shared" si="116"/>
        <v>ok</v>
      </c>
      <c r="W233" s="37" t="str">
        <f t="shared" si="117"/>
        <v>ok</v>
      </c>
    </row>
    <row r="234" spans="1:23" x14ac:dyDescent="0.25">
      <c r="A234" s="426"/>
      <c r="B234" s="178" t="s">
        <v>23</v>
      </c>
      <c r="C234" s="129">
        <v>16</v>
      </c>
      <c r="D234" s="130">
        <f>'2.4.5.3 Emplois ETP  base a'!D234*12</f>
        <v>2.136609692307692</v>
      </c>
      <c r="E234" s="131">
        <f>'2.4.5.3 Emplois ETP  base a'!E234*12</f>
        <v>6.7853538461538463</v>
      </c>
      <c r="F234" s="132">
        <f t="shared" si="96"/>
        <v>5.4282830769230772</v>
      </c>
      <c r="G234" s="133">
        <f t="shared" si="97"/>
        <v>1.3570707692307689</v>
      </c>
      <c r="H234" s="134">
        <f t="shared" si="108"/>
        <v>2.136609692307692</v>
      </c>
      <c r="I234" s="135"/>
      <c r="J234" s="136">
        <f t="shared" si="109"/>
        <v>0</v>
      </c>
      <c r="K234" s="137"/>
      <c r="L234" s="138">
        <f t="shared" si="110"/>
        <v>0</v>
      </c>
      <c r="M234" s="137"/>
      <c r="N234" s="139">
        <f t="shared" si="111"/>
        <v>3.2916733846153852</v>
      </c>
      <c r="O234" s="137"/>
      <c r="P234" s="140">
        <f t="shared" si="112"/>
        <v>1.3570707692307689</v>
      </c>
      <c r="Q234" s="135"/>
      <c r="R234" s="104">
        <f t="shared" si="113"/>
        <v>2.136609692307692</v>
      </c>
      <c r="S234" s="137"/>
      <c r="T234" s="141">
        <f t="shared" si="114"/>
        <v>4.6487441538461542</v>
      </c>
      <c r="U234" s="199">
        <f t="shared" si="115"/>
        <v>0</v>
      </c>
      <c r="V234" s="37" t="str">
        <f t="shared" si="116"/>
        <v>ok</v>
      </c>
      <c r="W234" s="37" t="str">
        <f t="shared" si="117"/>
        <v>ok</v>
      </c>
    </row>
    <row r="235" spans="1:23" x14ac:dyDescent="0.25">
      <c r="A235" s="426"/>
      <c r="B235" s="178" t="s">
        <v>19</v>
      </c>
      <c r="C235" s="129">
        <v>19</v>
      </c>
      <c r="D235" s="130">
        <f>'2.4.5.3 Emplois ETP  base a'!D235*12</f>
        <v>0.93457892307692314</v>
      </c>
      <c r="E235" s="131">
        <f>'2.4.5.3 Emplois ETP  base a'!E235*12</f>
        <v>3.245169230769231</v>
      </c>
      <c r="F235" s="132">
        <f t="shared" si="96"/>
        <v>2.5961353846153852</v>
      </c>
      <c r="G235" s="133">
        <f t="shared" si="97"/>
        <v>0.64903384615384607</v>
      </c>
      <c r="H235" s="134">
        <f t="shared" si="108"/>
        <v>0.93457892307692314</v>
      </c>
      <c r="I235" s="135"/>
      <c r="J235" s="136">
        <f t="shared" si="109"/>
        <v>0</v>
      </c>
      <c r="K235" s="137"/>
      <c r="L235" s="138">
        <f t="shared" si="110"/>
        <v>0</v>
      </c>
      <c r="M235" s="137"/>
      <c r="N235" s="139">
        <f t="shared" si="111"/>
        <v>1.6615564615384621</v>
      </c>
      <c r="O235" s="137"/>
      <c r="P235" s="140">
        <f t="shared" si="112"/>
        <v>0.64903384615384607</v>
      </c>
      <c r="Q235" s="135"/>
      <c r="R235" s="104">
        <f t="shared" si="113"/>
        <v>0.93457892307692314</v>
      </c>
      <c r="S235" s="137"/>
      <c r="T235" s="141">
        <f t="shared" si="114"/>
        <v>2.3105903076923084</v>
      </c>
      <c r="U235" s="199">
        <f t="shared" si="115"/>
        <v>0</v>
      </c>
      <c r="V235" s="37" t="str">
        <f t="shared" si="116"/>
        <v>ok</v>
      </c>
      <c r="W235" s="37" t="str">
        <f t="shared" si="117"/>
        <v>ok</v>
      </c>
    </row>
    <row r="236" spans="1:23" x14ac:dyDescent="0.25">
      <c r="A236" s="426"/>
      <c r="B236" s="178" t="s">
        <v>20</v>
      </c>
      <c r="C236" s="129">
        <v>20</v>
      </c>
      <c r="D236" s="130">
        <f>'2.4.5.3 Emplois ETP  base a'!D236*12</f>
        <v>0.65210169230769233</v>
      </c>
      <c r="E236" s="131">
        <f>'2.4.5.3 Emplois ETP  base a'!E236*12</f>
        <v>5.4577846153846155</v>
      </c>
      <c r="F236" s="132">
        <f t="shared" si="96"/>
        <v>4.3662276923076924</v>
      </c>
      <c r="G236" s="133">
        <f t="shared" si="97"/>
        <v>1.0915569230769229</v>
      </c>
      <c r="H236" s="134">
        <f t="shared" si="108"/>
        <v>0.65210169230769233</v>
      </c>
      <c r="I236" s="135"/>
      <c r="J236" s="136">
        <f t="shared" si="109"/>
        <v>0</v>
      </c>
      <c r="K236" s="137"/>
      <c r="L236" s="138">
        <f t="shared" si="110"/>
        <v>0</v>
      </c>
      <c r="M236" s="137"/>
      <c r="N236" s="139">
        <f t="shared" si="111"/>
        <v>3.7141260000000003</v>
      </c>
      <c r="O236" s="137"/>
      <c r="P236" s="140">
        <f t="shared" si="112"/>
        <v>1.0915569230769229</v>
      </c>
      <c r="Q236" s="135"/>
      <c r="R236" s="104">
        <f t="shared" si="113"/>
        <v>0.65210169230769233</v>
      </c>
      <c r="S236" s="137"/>
      <c r="T236" s="141">
        <f t="shared" si="114"/>
        <v>4.8056829230769234</v>
      </c>
      <c r="U236" s="199">
        <f t="shared" si="115"/>
        <v>0</v>
      </c>
      <c r="V236" s="37" t="str">
        <f t="shared" si="116"/>
        <v>ok</v>
      </c>
      <c r="W236" s="37" t="str">
        <f t="shared" si="117"/>
        <v>ok</v>
      </c>
    </row>
    <row r="237" spans="1:23" x14ac:dyDescent="0.25">
      <c r="A237" s="426"/>
      <c r="B237" s="178" t="s">
        <v>21</v>
      </c>
      <c r="C237" s="129">
        <v>21</v>
      </c>
      <c r="D237" s="130">
        <f>'2.4.5.3 Emplois ETP  base a'!D237*12</f>
        <v>1.3522846153846153</v>
      </c>
      <c r="E237" s="131">
        <f>'2.4.5.3 Emplois ETP  base a'!E237*12</f>
        <v>6.4903384615384621</v>
      </c>
      <c r="F237" s="132">
        <f t="shared" si="96"/>
        <v>5.1922707692307704</v>
      </c>
      <c r="G237" s="133">
        <f t="shared" si="97"/>
        <v>1.2980676923076921</v>
      </c>
      <c r="H237" s="134">
        <f t="shared" si="108"/>
        <v>1.3522846153846153</v>
      </c>
      <c r="I237" s="135"/>
      <c r="J237" s="136">
        <f t="shared" si="109"/>
        <v>0</v>
      </c>
      <c r="K237" s="137"/>
      <c r="L237" s="138">
        <f t="shared" si="110"/>
        <v>0</v>
      </c>
      <c r="M237" s="137"/>
      <c r="N237" s="139">
        <f t="shared" si="111"/>
        <v>3.839986153846155</v>
      </c>
      <c r="O237" s="137"/>
      <c r="P237" s="140">
        <f t="shared" si="112"/>
        <v>1.2980676923076921</v>
      </c>
      <c r="Q237" s="135"/>
      <c r="R237" s="104">
        <f t="shared" si="113"/>
        <v>1.3522846153846153</v>
      </c>
      <c r="S237" s="137"/>
      <c r="T237" s="141">
        <f t="shared" si="114"/>
        <v>5.1380538461538467</v>
      </c>
      <c r="U237" s="199">
        <f t="shared" si="115"/>
        <v>0</v>
      </c>
      <c r="V237" s="37" t="str">
        <f t="shared" si="116"/>
        <v>ok</v>
      </c>
      <c r="W237" s="37" t="str">
        <f t="shared" si="117"/>
        <v>ok</v>
      </c>
    </row>
    <row r="238" spans="1:23" x14ac:dyDescent="0.25">
      <c r="A238" s="426"/>
      <c r="B238" s="178" t="s">
        <v>22</v>
      </c>
      <c r="C238" s="129">
        <v>22</v>
      </c>
      <c r="D238" s="130">
        <f>'2.4.5.3 Emplois ETP  base a'!D238*12</f>
        <v>5.4271689230769233</v>
      </c>
      <c r="E238" s="131">
        <f>'2.4.5.3 Emplois ETP  base a'!E238*12</f>
        <v>7.3016307692307674</v>
      </c>
      <c r="F238" s="132">
        <f t="shared" si="96"/>
        <v>5.8413046153846144</v>
      </c>
      <c r="G238" s="133">
        <f t="shared" si="97"/>
        <v>1.4603261538461532</v>
      </c>
      <c r="H238" s="134">
        <f t="shared" si="108"/>
        <v>5.4271689230769233</v>
      </c>
      <c r="I238" s="135"/>
      <c r="J238" s="136">
        <f t="shared" si="109"/>
        <v>0</v>
      </c>
      <c r="K238" s="137"/>
      <c r="L238" s="138">
        <f t="shared" si="110"/>
        <v>0</v>
      </c>
      <c r="M238" s="137"/>
      <c r="N238" s="139">
        <f t="shared" si="111"/>
        <v>0.41413569230769109</v>
      </c>
      <c r="O238" s="137"/>
      <c r="P238" s="140">
        <f t="shared" si="112"/>
        <v>1.4603261538461532</v>
      </c>
      <c r="Q238" s="135"/>
      <c r="R238" s="104">
        <f t="shared" si="113"/>
        <v>5.4271689230769233</v>
      </c>
      <c r="S238" s="137"/>
      <c r="T238" s="141">
        <f t="shared" si="114"/>
        <v>1.8744618461538443</v>
      </c>
      <c r="U238" s="199">
        <f t="shared" si="115"/>
        <v>0</v>
      </c>
      <c r="V238" s="37" t="str">
        <f t="shared" si="116"/>
        <v>ok</v>
      </c>
      <c r="W238" s="37" t="str">
        <f t="shared" si="117"/>
        <v>ok</v>
      </c>
    </row>
    <row r="239" spans="1:23" x14ac:dyDescent="0.25">
      <c r="A239" s="426"/>
      <c r="B239" s="178" t="s">
        <v>23</v>
      </c>
      <c r="C239" s="129">
        <v>23</v>
      </c>
      <c r="D239" s="130">
        <f>'2.4.5.3 Emplois ETP  base a'!D239*12</f>
        <v>4.4174630769230765</v>
      </c>
      <c r="E239" s="131">
        <f>'2.4.5.3 Emplois ETP  base a'!E239*12</f>
        <v>4.6258412307692307</v>
      </c>
      <c r="F239" s="132">
        <f t="shared" si="96"/>
        <v>3.7006729846153847</v>
      </c>
      <c r="G239" s="133">
        <f t="shared" si="97"/>
        <v>0.92516824615384596</v>
      </c>
      <c r="H239" s="134">
        <f t="shared" si="108"/>
        <v>4.4174630769230765</v>
      </c>
      <c r="I239" s="135"/>
      <c r="J239" s="136">
        <f t="shared" si="109"/>
        <v>0</v>
      </c>
      <c r="K239" s="137"/>
      <c r="L239" s="138">
        <f t="shared" si="110"/>
        <v>0.71679009230769175</v>
      </c>
      <c r="M239" s="137"/>
      <c r="N239" s="139">
        <f t="shared" si="111"/>
        <v>0</v>
      </c>
      <c r="O239" s="137"/>
      <c r="P239" s="140">
        <f t="shared" si="112"/>
        <v>0.20837815384615421</v>
      </c>
      <c r="Q239" s="135"/>
      <c r="R239" s="104">
        <f t="shared" si="113"/>
        <v>3.7006729846153847</v>
      </c>
      <c r="S239" s="137"/>
      <c r="T239" s="141">
        <f t="shared" si="114"/>
        <v>0.92516824615384596</v>
      </c>
      <c r="U239" s="199">
        <f t="shared" si="115"/>
        <v>0.71679009230769175</v>
      </c>
      <c r="V239" s="37" t="str">
        <f t="shared" si="116"/>
        <v>ok</v>
      </c>
      <c r="W239" s="37" t="str">
        <f t="shared" si="117"/>
        <v>ok</v>
      </c>
    </row>
    <row r="240" spans="1:23" x14ac:dyDescent="0.25">
      <c r="A240" s="426"/>
      <c r="B240" s="178" t="s">
        <v>19</v>
      </c>
      <c r="C240" s="129">
        <v>26</v>
      </c>
      <c r="D240" s="130">
        <f>'2.4.5.3 Emplois ETP  base a'!D240*12</f>
        <v>2.5453001538461542</v>
      </c>
      <c r="E240" s="131">
        <f>'2.4.5.3 Emplois ETP  base a'!E240*12</f>
        <v>2.1919643076923072</v>
      </c>
      <c r="F240" s="132">
        <f t="shared" si="96"/>
        <v>1.7535714461538459</v>
      </c>
      <c r="G240" s="133">
        <f t="shared" si="97"/>
        <v>0.43839286153846135</v>
      </c>
      <c r="H240" s="134">
        <f t="shared" si="108"/>
        <v>2.1919643076923072</v>
      </c>
      <c r="I240" s="135"/>
      <c r="J240" s="136">
        <f t="shared" si="109"/>
        <v>0.35333584615384694</v>
      </c>
      <c r="K240" s="137"/>
      <c r="L240" s="138">
        <f t="shared" si="110"/>
        <v>0.43839286153846135</v>
      </c>
      <c r="M240" s="137"/>
      <c r="N240" s="139">
        <f t="shared" si="111"/>
        <v>0</v>
      </c>
      <c r="O240" s="137"/>
      <c r="P240" s="140">
        <f t="shared" si="112"/>
        <v>0</v>
      </c>
      <c r="Q240" s="135"/>
      <c r="R240" s="104">
        <f t="shared" si="113"/>
        <v>1.7535714461538459</v>
      </c>
      <c r="S240" s="137"/>
      <c r="T240" s="141">
        <f t="shared" si="114"/>
        <v>0.43839286153846135</v>
      </c>
      <c r="U240" s="199">
        <f t="shared" si="115"/>
        <v>0.7917287076923083</v>
      </c>
      <c r="V240" s="37" t="str">
        <f t="shared" si="116"/>
        <v>ok</v>
      </c>
      <c r="W240" s="37" t="str">
        <f t="shared" si="117"/>
        <v>ok</v>
      </c>
    </row>
    <row r="241" spans="1:23" x14ac:dyDescent="0.25">
      <c r="A241" s="426"/>
      <c r="B241" s="178" t="s">
        <v>20</v>
      </c>
      <c r="C241" s="129">
        <v>27</v>
      </c>
      <c r="D241" s="130">
        <f>'2.4.5.3 Emplois ETP  base a'!D241*12</f>
        <v>2.0840208461538463</v>
      </c>
      <c r="E241" s="131">
        <f>'2.4.5.3 Emplois ETP  base a'!E241*12</f>
        <v>2.9206523076923077</v>
      </c>
      <c r="F241" s="132">
        <f t="shared" si="96"/>
        <v>2.3365218461538464</v>
      </c>
      <c r="G241" s="133">
        <f t="shared" si="97"/>
        <v>0.58413046153846138</v>
      </c>
      <c r="H241" s="134">
        <f t="shared" si="108"/>
        <v>2.0840208461538463</v>
      </c>
      <c r="I241" s="135"/>
      <c r="J241" s="136">
        <f t="shared" si="109"/>
        <v>0</v>
      </c>
      <c r="K241" s="137"/>
      <c r="L241" s="138">
        <f t="shared" si="110"/>
        <v>0</v>
      </c>
      <c r="M241" s="137"/>
      <c r="N241" s="139">
        <f t="shared" si="111"/>
        <v>0.25250100000000009</v>
      </c>
      <c r="O241" s="137"/>
      <c r="P241" s="140">
        <f t="shared" si="112"/>
        <v>0.58413046153846138</v>
      </c>
      <c r="Q241" s="135"/>
      <c r="R241" s="104">
        <f t="shared" si="113"/>
        <v>2.0840208461538463</v>
      </c>
      <c r="S241" s="137"/>
      <c r="T241" s="141">
        <f t="shared" si="114"/>
        <v>0.83663146153846146</v>
      </c>
      <c r="U241" s="199">
        <f t="shared" si="115"/>
        <v>0</v>
      </c>
      <c r="V241" s="37" t="str">
        <f t="shared" si="116"/>
        <v>ok</v>
      </c>
      <c r="W241" s="37" t="str">
        <f t="shared" si="117"/>
        <v>ok</v>
      </c>
    </row>
    <row r="242" spans="1:23" x14ac:dyDescent="0.25">
      <c r="A242" s="426"/>
      <c r="B242" s="178" t="s">
        <v>21</v>
      </c>
      <c r="C242" s="129">
        <v>28</v>
      </c>
      <c r="D242" s="130">
        <f>'2.4.5.3 Emplois ETP  base a'!D242*12</f>
        <v>3.9141126923076923</v>
      </c>
      <c r="E242" s="131">
        <f>'2.4.5.3 Emplois ETP  base a'!E242*12</f>
        <v>4.6258412307692307</v>
      </c>
      <c r="F242" s="132">
        <f t="shared" si="96"/>
        <v>3.7006729846153847</v>
      </c>
      <c r="G242" s="133">
        <f t="shared" si="97"/>
        <v>0.92516824615384596</v>
      </c>
      <c r="H242" s="134">
        <f t="shared" si="108"/>
        <v>3.9141126923076923</v>
      </c>
      <c r="I242" s="135"/>
      <c r="J242" s="136">
        <f t="shared" si="109"/>
        <v>0</v>
      </c>
      <c r="K242" s="137"/>
      <c r="L242" s="138">
        <f t="shared" si="110"/>
        <v>0.21343970769230758</v>
      </c>
      <c r="M242" s="137"/>
      <c r="N242" s="139">
        <f t="shared" si="111"/>
        <v>0</v>
      </c>
      <c r="O242" s="137"/>
      <c r="P242" s="140">
        <f t="shared" si="112"/>
        <v>0.71172853846153838</v>
      </c>
      <c r="Q242" s="135"/>
      <c r="R242" s="104">
        <f t="shared" si="113"/>
        <v>3.7006729846153847</v>
      </c>
      <c r="S242" s="137"/>
      <c r="T242" s="141">
        <f t="shared" si="114"/>
        <v>0.92516824615384596</v>
      </c>
      <c r="U242" s="199">
        <f t="shared" si="115"/>
        <v>0.21343970769230758</v>
      </c>
      <c r="V242" s="37" t="str">
        <f t="shared" si="116"/>
        <v>ok</v>
      </c>
      <c r="W242" s="37" t="str">
        <f t="shared" si="117"/>
        <v>ok</v>
      </c>
    </row>
    <row r="243" spans="1:23" x14ac:dyDescent="0.25">
      <c r="A243" s="426"/>
      <c r="B243" s="178" t="s">
        <v>22</v>
      </c>
      <c r="C243" s="129">
        <v>29</v>
      </c>
      <c r="D243" s="130">
        <f>'2.4.5.3 Emplois ETP  base a'!D243*12</f>
        <v>6.5120016923076935</v>
      </c>
      <c r="E243" s="131">
        <f>'2.4.5.3 Emplois ETP  base a'!E243*12</f>
        <v>8.8504615384615377</v>
      </c>
      <c r="F243" s="132">
        <f t="shared" si="96"/>
        <v>7.0803692307692305</v>
      </c>
      <c r="G243" s="133">
        <f t="shared" si="97"/>
        <v>1.7700923076923072</v>
      </c>
      <c r="H243" s="134">
        <f t="shared" si="108"/>
        <v>6.5120016923076935</v>
      </c>
      <c r="I243" s="135"/>
      <c r="J243" s="136">
        <f t="shared" si="109"/>
        <v>0</v>
      </c>
      <c r="K243" s="137"/>
      <c r="L243" s="138">
        <f t="shared" si="110"/>
        <v>0</v>
      </c>
      <c r="M243" s="137"/>
      <c r="N243" s="139">
        <f t="shared" si="111"/>
        <v>0.56836753846153698</v>
      </c>
      <c r="O243" s="137"/>
      <c r="P243" s="140">
        <f t="shared" si="112"/>
        <v>1.7700923076923072</v>
      </c>
      <c r="Q243" s="135"/>
      <c r="R243" s="104">
        <f t="shared" si="113"/>
        <v>6.5120016923076935</v>
      </c>
      <c r="S243" s="137"/>
      <c r="T243" s="141">
        <f t="shared" si="114"/>
        <v>2.3384598461538442</v>
      </c>
      <c r="U243" s="199">
        <f t="shared" si="115"/>
        <v>0</v>
      </c>
      <c r="V243" s="37" t="str">
        <f t="shared" si="116"/>
        <v>ok</v>
      </c>
      <c r="W243" s="37" t="str">
        <f t="shared" si="117"/>
        <v>ok</v>
      </c>
    </row>
    <row r="244" spans="1:23" ht="15.75" thickBot="1" x14ac:dyDescent="0.3">
      <c r="A244" s="427"/>
      <c r="B244" s="277" t="s">
        <v>23</v>
      </c>
      <c r="C244" s="165">
        <v>30</v>
      </c>
      <c r="D244" s="202">
        <f>'2.4.5.3 Emplois ETP  base a'!D244*12</f>
        <v>5.28292523076923</v>
      </c>
      <c r="E244" s="203">
        <f>'2.4.5.3 Emplois ETP  base a'!E244*12</f>
        <v>6.1953230769230769</v>
      </c>
      <c r="F244" s="204">
        <f t="shared" si="96"/>
        <v>4.9562584615384617</v>
      </c>
      <c r="G244" s="205">
        <f t="shared" si="97"/>
        <v>1.2390646153846152</v>
      </c>
      <c r="H244" s="206">
        <f t="shared" si="108"/>
        <v>5.28292523076923</v>
      </c>
      <c r="I244" s="207"/>
      <c r="J244" s="208">
        <f t="shared" si="109"/>
        <v>0</v>
      </c>
      <c r="K244" s="209"/>
      <c r="L244" s="210">
        <f t="shared" si="110"/>
        <v>0.32666676923076832</v>
      </c>
      <c r="M244" s="209"/>
      <c r="N244" s="211">
        <f t="shared" si="111"/>
        <v>0</v>
      </c>
      <c r="O244" s="209"/>
      <c r="P244" s="212">
        <f t="shared" si="112"/>
        <v>0.91239784615384689</v>
      </c>
      <c r="Q244" s="207"/>
      <c r="R244" s="213">
        <f t="shared" si="113"/>
        <v>4.9562584615384617</v>
      </c>
      <c r="S244" s="209"/>
      <c r="T244" s="214">
        <f t="shared" si="114"/>
        <v>1.2390646153846152</v>
      </c>
      <c r="U244" s="215">
        <f t="shared" si="115"/>
        <v>0.32666676923076832</v>
      </c>
      <c r="V244" s="37" t="str">
        <f t="shared" si="116"/>
        <v>ok</v>
      </c>
      <c r="W244" s="37" t="str">
        <f t="shared" si="117"/>
        <v>ok</v>
      </c>
    </row>
    <row r="245" spans="1:23" x14ac:dyDescent="0.25">
      <c r="A245" s="425" t="s">
        <v>100</v>
      </c>
      <c r="B245" s="276" t="s">
        <v>19</v>
      </c>
      <c r="C245" s="247">
        <v>3</v>
      </c>
      <c r="D245" s="184">
        <f>'2.4.5.3 Emplois ETP  base a'!D245*12</f>
        <v>2.0319419999999995</v>
      </c>
      <c r="E245" s="185">
        <f>'2.4.5.3 Emplois ETP  base a'!E245*12</f>
        <v>15.376499999999997</v>
      </c>
      <c r="F245" s="186">
        <f t="shared" si="96"/>
        <v>12.301199999999998</v>
      </c>
      <c r="G245" s="187">
        <f t="shared" si="97"/>
        <v>3.0752999999999986</v>
      </c>
      <c r="H245" s="188">
        <f>IF(E245&gt;D245,D245,E245)</f>
        <v>2.0319419999999995</v>
      </c>
      <c r="I245" s="189"/>
      <c r="J245" s="190">
        <f>IF(E245&gt;D245,0,D245-E245)</f>
        <v>0</v>
      </c>
      <c r="K245" s="191"/>
      <c r="L245" s="192">
        <f>IF(E245&gt;D245,IF(F245&gt;H245,0,H245-F245),G245)</f>
        <v>0</v>
      </c>
      <c r="M245" s="191"/>
      <c r="N245" s="193">
        <f>IF(E245&gt;D245,IF(F245&gt;H245,F245-H245,0),0)</f>
        <v>10.269257999999999</v>
      </c>
      <c r="O245" s="191"/>
      <c r="P245" s="194">
        <f>IF(E245&gt;D245,IF(F245&gt;H245,G245,E245-H245),0)</f>
        <v>3.0752999999999986</v>
      </c>
      <c r="Q245" s="189"/>
      <c r="R245" s="195">
        <f>H245-L245</f>
        <v>2.0319419999999995</v>
      </c>
      <c r="S245" s="191"/>
      <c r="T245" s="196">
        <f>L245+N245+P245</f>
        <v>13.344557999999997</v>
      </c>
      <c r="U245" s="197">
        <f>J245+L245</f>
        <v>0</v>
      </c>
      <c r="V245" s="37" t="str">
        <f>IF(R245+T245=E245,"ok","bad")</f>
        <v>ok</v>
      </c>
      <c r="W245" s="37" t="str">
        <f>IF(U245+R245=D245,"ok","bad")</f>
        <v>ok</v>
      </c>
    </row>
    <row r="246" spans="1:23" x14ac:dyDescent="0.25">
      <c r="A246" s="426"/>
      <c r="B246" s="178" t="s">
        <v>20</v>
      </c>
      <c r="C246" s="129">
        <v>4</v>
      </c>
      <c r="D246" s="130">
        <f>'2.4.5.3 Emplois ETP  base a'!D246*12</f>
        <v>1.5954839999999999</v>
      </c>
      <c r="E246" s="131">
        <f>'2.4.5.3 Emplois ETP  base a'!E246*12</f>
        <v>11.2761</v>
      </c>
      <c r="F246" s="132">
        <f t="shared" si="96"/>
        <v>9.02088</v>
      </c>
      <c r="G246" s="133">
        <f t="shared" si="97"/>
        <v>2.2552199999999996</v>
      </c>
      <c r="H246" s="134">
        <f t="shared" ref="H246:H265" si="118">IF(E246&gt;D246,D246,E246)</f>
        <v>1.5954839999999999</v>
      </c>
      <c r="I246" s="135"/>
      <c r="J246" s="136">
        <f t="shared" ref="J246:J265" si="119">IF(E246&gt;D246,0,D246-E246)</f>
        <v>0</v>
      </c>
      <c r="K246" s="137"/>
      <c r="L246" s="138">
        <f t="shared" ref="L246:L265" si="120">IF(E246&gt;D246,IF(F246&gt;H246,0,H246-F246),G246)</f>
        <v>0</v>
      </c>
      <c r="M246" s="137"/>
      <c r="N246" s="139">
        <f t="shared" ref="N246:N265" si="121">IF(E246&gt;D246,IF(F246&gt;H246,F246-H246,0),0)</f>
        <v>7.4253960000000001</v>
      </c>
      <c r="O246" s="137"/>
      <c r="P246" s="140">
        <f t="shared" ref="P246:P265" si="122">IF(E246&gt;D246,IF(F246&gt;H246,G246,E246-H246),0)</f>
        <v>2.2552199999999996</v>
      </c>
      <c r="Q246" s="135"/>
      <c r="R246" s="104">
        <f t="shared" ref="R246:R265" si="123">H246-L246</f>
        <v>1.5954839999999999</v>
      </c>
      <c r="S246" s="137"/>
      <c r="T246" s="141">
        <f t="shared" ref="T246:T265" si="124">L246+N246+P246</f>
        <v>9.6806160000000006</v>
      </c>
      <c r="U246" s="199">
        <f t="shared" ref="U246:U265" si="125">J246+L246</f>
        <v>0</v>
      </c>
      <c r="V246" s="37" t="str">
        <f t="shared" ref="V246:V265" si="126">IF(R246+T246=E246,"ok","bad")</f>
        <v>ok</v>
      </c>
      <c r="W246" s="37" t="str">
        <f t="shared" ref="W246:W265" si="127">IF(U246+R246=D246,"ok","bad")</f>
        <v>ok</v>
      </c>
    </row>
    <row r="247" spans="1:23" x14ac:dyDescent="0.25">
      <c r="A247" s="426"/>
      <c r="B247" s="178" t="s">
        <v>21</v>
      </c>
      <c r="C247" s="129">
        <v>5</v>
      </c>
      <c r="D247" s="130">
        <f>'2.4.5.3 Emplois ETP  base a'!D247*12</f>
        <v>0.69788399999999995</v>
      </c>
      <c r="E247" s="131">
        <f>'2.4.5.3 Emplois ETP  base a'!E247*12</f>
        <v>4.6129499999999988</v>
      </c>
      <c r="F247" s="132">
        <f t="shared" si="96"/>
        <v>3.6903599999999992</v>
      </c>
      <c r="G247" s="133">
        <f t="shared" si="97"/>
        <v>0.92258999999999958</v>
      </c>
      <c r="H247" s="134">
        <f t="shared" si="118"/>
        <v>0.69788399999999995</v>
      </c>
      <c r="I247" s="135"/>
      <c r="J247" s="136">
        <f t="shared" si="119"/>
        <v>0</v>
      </c>
      <c r="K247" s="137"/>
      <c r="L247" s="138">
        <f t="shared" si="120"/>
        <v>0</v>
      </c>
      <c r="M247" s="137"/>
      <c r="N247" s="139">
        <f t="shared" si="121"/>
        <v>2.992475999999999</v>
      </c>
      <c r="O247" s="137"/>
      <c r="P247" s="140">
        <f t="shared" si="122"/>
        <v>0.92258999999999958</v>
      </c>
      <c r="Q247" s="135"/>
      <c r="R247" s="104">
        <f t="shared" si="123"/>
        <v>0.69788399999999995</v>
      </c>
      <c r="S247" s="137"/>
      <c r="T247" s="141">
        <f t="shared" si="124"/>
        <v>3.9150659999999986</v>
      </c>
      <c r="U247" s="199">
        <f t="shared" si="125"/>
        <v>0</v>
      </c>
      <c r="V247" s="37" t="str">
        <f t="shared" si="126"/>
        <v>ok</v>
      </c>
      <c r="W247" s="37" t="str">
        <f t="shared" si="127"/>
        <v>ok</v>
      </c>
    </row>
    <row r="248" spans="1:23" x14ac:dyDescent="0.25">
      <c r="A248" s="426"/>
      <c r="B248" s="178" t="s">
        <v>22</v>
      </c>
      <c r="C248" s="129">
        <v>6</v>
      </c>
      <c r="D248" s="130">
        <f>'2.4.5.3 Emplois ETP  base a'!D248*12</f>
        <v>0.48694799999999994</v>
      </c>
      <c r="E248" s="131">
        <f>'2.4.5.3 Emplois ETP  base a'!E248*12</f>
        <v>6.9194249999999995</v>
      </c>
      <c r="F248" s="132">
        <f t="shared" si="96"/>
        <v>5.5355400000000001</v>
      </c>
      <c r="G248" s="133">
        <f t="shared" si="97"/>
        <v>1.3838849999999996</v>
      </c>
      <c r="H248" s="134">
        <f t="shared" si="118"/>
        <v>0.48694799999999994</v>
      </c>
      <c r="I248" s="135"/>
      <c r="J248" s="136">
        <f t="shared" si="119"/>
        <v>0</v>
      </c>
      <c r="K248" s="137"/>
      <c r="L248" s="138">
        <f t="shared" si="120"/>
        <v>0</v>
      </c>
      <c r="M248" s="137"/>
      <c r="N248" s="139">
        <f t="shared" si="121"/>
        <v>5.0485920000000002</v>
      </c>
      <c r="O248" s="137"/>
      <c r="P248" s="140">
        <f t="shared" si="122"/>
        <v>1.3838849999999996</v>
      </c>
      <c r="Q248" s="135"/>
      <c r="R248" s="104">
        <f t="shared" si="123"/>
        <v>0.48694799999999994</v>
      </c>
      <c r="S248" s="137"/>
      <c r="T248" s="141">
        <f t="shared" si="124"/>
        <v>6.4324769999999996</v>
      </c>
      <c r="U248" s="199">
        <f t="shared" si="125"/>
        <v>0</v>
      </c>
      <c r="V248" s="37" t="str">
        <f t="shared" si="126"/>
        <v>ok</v>
      </c>
      <c r="W248" s="37" t="str">
        <f t="shared" si="127"/>
        <v>ok</v>
      </c>
    </row>
    <row r="249" spans="1:23" x14ac:dyDescent="0.25">
      <c r="A249" s="426"/>
      <c r="B249" s="178" t="s">
        <v>23</v>
      </c>
      <c r="C249" s="129">
        <v>7</v>
      </c>
      <c r="D249" s="130">
        <f>'2.4.5.3 Emplois ETP  base a'!D249*12</f>
        <v>1.0098</v>
      </c>
      <c r="E249" s="131">
        <f>'2.4.5.3 Emplois ETP  base a'!E249*12</f>
        <v>11.2761</v>
      </c>
      <c r="F249" s="132">
        <f t="shared" si="96"/>
        <v>9.02088</v>
      </c>
      <c r="G249" s="133">
        <f t="shared" si="97"/>
        <v>2.2552199999999996</v>
      </c>
      <c r="H249" s="134">
        <f t="shared" si="118"/>
        <v>1.0098</v>
      </c>
      <c r="I249" s="135"/>
      <c r="J249" s="136">
        <f t="shared" si="119"/>
        <v>0</v>
      </c>
      <c r="K249" s="137"/>
      <c r="L249" s="138">
        <f t="shared" si="120"/>
        <v>0</v>
      </c>
      <c r="M249" s="137"/>
      <c r="N249" s="139">
        <f t="shared" si="121"/>
        <v>8.0110799999999998</v>
      </c>
      <c r="O249" s="137"/>
      <c r="P249" s="140">
        <f t="shared" si="122"/>
        <v>2.2552199999999996</v>
      </c>
      <c r="Q249" s="135"/>
      <c r="R249" s="104">
        <f t="shared" si="123"/>
        <v>1.0098</v>
      </c>
      <c r="S249" s="137"/>
      <c r="T249" s="141">
        <f t="shared" si="124"/>
        <v>10.266299999999999</v>
      </c>
      <c r="U249" s="199">
        <f t="shared" si="125"/>
        <v>0</v>
      </c>
      <c r="V249" s="37" t="str">
        <f t="shared" si="126"/>
        <v>ok</v>
      </c>
      <c r="W249" s="37" t="str">
        <f t="shared" si="127"/>
        <v>ok</v>
      </c>
    </row>
    <row r="250" spans="1:23" x14ac:dyDescent="0.25">
      <c r="A250" s="426"/>
      <c r="B250" s="178" t="s">
        <v>19</v>
      </c>
      <c r="C250" s="129">
        <v>10</v>
      </c>
      <c r="D250" s="130">
        <f>'2.4.5.3 Emplois ETP  base a'!D250*12</f>
        <v>3.2425799999999998</v>
      </c>
      <c r="E250" s="131">
        <f>'2.4.5.3 Emplois ETP  base a'!E250*12</f>
        <v>7.8853846153846145</v>
      </c>
      <c r="F250" s="132">
        <f t="shared" si="96"/>
        <v>6.3083076923076922</v>
      </c>
      <c r="G250" s="133">
        <f t="shared" si="97"/>
        <v>1.5770769230769226</v>
      </c>
      <c r="H250" s="134">
        <f t="shared" si="118"/>
        <v>3.2425799999999998</v>
      </c>
      <c r="I250" s="135"/>
      <c r="J250" s="136">
        <f t="shared" si="119"/>
        <v>0</v>
      </c>
      <c r="K250" s="137"/>
      <c r="L250" s="138">
        <f t="shared" si="120"/>
        <v>0</v>
      </c>
      <c r="M250" s="137"/>
      <c r="N250" s="139">
        <f t="shared" si="121"/>
        <v>3.0657276923076924</v>
      </c>
      <c r="O250" s="137"/>
      <c r="P250" s="140">
        <f t="shared" si="122"/>
        <v>1.5770769230769226</v>
      </c>
      <c r="Q250" s="135"/>
      <c r="R250" s="104">
        <f t="shared" si="123"/>
        <v>3.2425799999999998</v>
      </c>
      <c r="S250" s="137"/>
      <c r="T250" s="141">
        <f t="shared" si="124"/>
        <v>4.6428046153846152</v>
      </c>
      <c r="U250" s="199">
        <f t="shared" si="125"/>
        <v>0</v>
      </c>
      <c r="V250" s="37" t="str">
        <f t="shared" si="126"/>
        <v>ok</v>
      </c>
      <c r="W250" s="37" t="str">
        <f t="shared" si="127"/>
        <v>ok</v>
      </c>
    </row>
    <row r="251" spans="1:23" x14ac:dyDescent="0.25">
      <c r="A251" s="426"/>
      <c r="B251" s="178" t="s">
        <v>20</v>
      </c>
      <c r="C251" s="129">
        <v>11</v>
      </c>
      <c r="D251" s="130">
        <f>'2.4.5.3 Emplois ETP  base a'!D251*12</f>
        <v>2.6299679999999999</v>
      </c>
      <c r="E251" s="131">
        <f>'2.4.5.3 Emplois ETP  base a'!E251*12</f>
        <v>8.0825192307692291</v>
      </c>
      <c r="F251" s="132">
        <f t="shared" si="96"/>
        <v>6.4660153846153836</v>
      </c>
      <c r="G251" s="133">
        <f t="shared" si="97"/>
        <v>1.6165038461538455</v>
      </c>
      <c r="H251" s="134">
        <f t="shared" si="118"/>
        <v>2.6299679999999999</v>
      </c>
      <c r="I251" s="135"/>
      <c r="J251" s="136">
        <f t="shared" si="119"/>
        <v>0</v>
      </c>
      <c r="K251" s="137"/>
      <c r="L251" s="138">
        <f t="shared" si="120"/>
        <v>0</v>
      </c>
      <c r="M251" s="137"/>
      <c r="N251" s="139">
        <f t="shared" si="121"/>
        <v>3.8360473846153837</v>
      </c>
      <c r="O251" s="137"/>
      <c r="P251" s="140">
        <f t="shared" si="122"/>
        <v>1.6165038461538455</v>
      </c>
      <c r="Q251" s="135"/>
      <c r="R251" s="104">
        <f t="shared" si="123"/>
        <v>2.6299679999999999</v>
      </c>
      <c r="S251" s="137"/>
      <c r="T251" s="141">
        <f t="shared" si="124"/>
        <v>5.4525512307692292</v>
      </c>
      <c r="U251" s="199">
        <f t="shared" si="125"/>
        <v>0</v>
      </c>
      <c r="V251" s="37" t="str">
        <f t="shared" si="126"/>
        <v>ok</v>
      </c>
      <c r="W251" s="37" t="str">
        <f t="shared" si="127"/>
        <v>ok</v>
      </c>
    </row>
    <row r="252" spans="1:23" x14ac:dyDescent="0.25">
      <c r="A252" s="426"/>
      <c r="B252" s="178" t="s">
        <v>21</v>
      </c>
      <c r="C252" s="129">
        <v>12</v>
      </c>
      <c r="D252" s="130">
        <f>'2.4.5.3 Emplois ETP  base a'!D252*12</f>
        <v>1.5203099999999998</v>
      </c>
      <c r="E252" s="131">
        <f>'2.4.5.3 Emplois ETP  base a'!E252*12</f>
        <v>4.3369615384615381</v>
      </c>
      <c r="F252" s="132">
        <f t="shared" si="96"/>
        <v>3.4695692307692307</v>
      </c>
      <c r="G252" s="133">
        <f t="shared" si="97"/>
        <v>0.86739230769230746</v>
      </c>
      <c r="H252" s="134">
        <f t="shared" si="118"/>
        <v>1.5203099999999998</v>
      </c>
      <c r="I252" s="135"/>
      <c r="J252" s="136">
        <f t="shared" si="119"/>
        <v>0</v>
      </c>
      <c r="K252" s="137"/>
      <c r="L252" s="138">
        <f t="shared" si="120"/>
        <v>0</v>
      </c>
      <c r="M252" s="137"/>
      <c r="N252" s="139">
        <f t="shared" si="121"/>
        <v>1.9492592307692309</v>
      </c>
      <c r="O252" s="137"/>
      <c r="P252" s="140">
        <f t="shared" si="122"/>
        <v>0.86739230769230746</v>
      </c>
      <c r="Q252" s="135"/>
      <c r="R252" s="104">
        <f t="shared" si="123"/>
        <v>1.5203099999999998</v>
      </c>
      <c r="S252" s="137"/>
      <c r="T252" s="141">
        <f t="shared" si="124"/>
        <v>2.8166515384615383</v>
      </c>
      <c r="U252" s="199">
        <f t="shared" si="125"/>
        <v>0</v>
      </c>
      <c r="V252" s="37" t="str">
        <f t="shared" si="126"/>
        <v>ok</v>
      </c>
      <c r="W252" s="37" t="str">
        <f t="shared" si="127"/>
        <v>ok</v>
      </c>
    </row>
    <row r="253" spans="1:23" x14ac:dyDescent="0.25">
      <c r="A253" s="426"/>
      <c r="B253" s="178" t="s">
        <v>22</v>
      </c>
      <c r="C253" s="129">
        <v>13</v>
      </c>
      <c r="D253" s="130">
        <f>'2.4.5.3 Emplois ETP  base a'!D253*12</f>
        <v>1.2274679999999998</v>
      </c>
      <c r="E253" s="131">
        <f>'2.4.5.3 Emplois ETP  base a'!E253*12</f>
        <v>5.5197692307692305</v>
      </c>
      <c r="F253" s="132">
        <f t="shared" si="96"/>
        <v>4.4158153846153843</v>
      </c>
      <c r="G253" s="133">
        <f t="shared" si="97"/>
        <v>1.1039538461538458</v>
      </c>
      <c r="H253" s="134">
        <f t="shared" si="118"/>
        <v>1.2274679999999998</v>
      </c>
      <c r="I253" s="135"/>
      <c r="J253" s="136">
        <f t="shared" si="119"/>
        <v>0</v>
      </c>
      <c r="K253" s="137"/>
      <c r="L253" s="138">
        <f t="shared" si="120"/>
        <v>0</v>
      </c>
      <c r="M253" s="137"/>
      <c r="N253" s="139">
        <f t="shared" si="121"/>
        <v>3.1883473846153843</v>
      </c>
      <c r="O253" s="137"/>
      <c r="P253" s="140">
        <f t="shared" si="122"/>
        <v>1.1039538461538458</v>
      </c>
      <c r="Q253" s="135"/>
      <c r="R253" s="104">
        <f t="shared" si="123"/>
        <v>1.2274679999999998</v>
      </c>
      <c r="S253" s="137"/>
      <c r="T253" s="141">
        <f t="shared" si="124"/>
        <v>4.2923012307692296</v>
      </c>
      <c r="U253" s="199">
        <f t="shared" si="125"/>
        <v>0</v>
      </c>
      <c r="V253" s="37" t="str">
        <f t="shared" si="126"/>
        <v>ok</v>
      </c>
      <c r="W253" s="37" t="str">
        <f t="shared" si="127"/>
        <v>ok</v>
      </c>
    </row>
    <row r="254" spans="1:23" x14ac:dyDescent="0.25">
      <c r="A254" s="426"/>
      <c r="B254" s="178" t="s">
        <v>23</v>
      </c>
      <c r="C254" s="129">
        <v>14</v>
      </c>
      <c r="D254" s="130">
        <f>'2.4.5.3 Emplois ETP  base a'!D254*12</f>
        <v>2.3382480000000001</v>
      </c>
      <c r="E254" s="131">
        <f>'2.4.5.3 Emplois ETP  base a'!E254*12</f>
        <v>7.4911153846153837</v>
      </c>
      <c r="F254" s="132">
        <f t="shared" si="96"/>
        <v>5.9928923076923075</v>
      </c>
      <c r="G254" s="133">
        <f t="shared" si="97"/>
        <v>1.4982230769230764</v>
      </c>
      <c r="H254" s="134">
        <f t="shared" si="118"/>
        <v>2.3382480000000001</v>
      </c>
      <c r="I254" s="135"/>
      <c r="J254" s="136">
        <f t="shared" si="119"/>
        <v>0</v>
      </c>
      <c r="K254" s="137"/>
      <c r="L254" s="138">
        <f t="shared" si="120"/>
        <v>0</v>
      </c>
      <c r="M254" s="137"/>
      <c r="N254" s="139">
        <f t="shared" si="121"/>
        <v>3.6546443076923074</v>
      </c>
      <c r="O254" s="137"/>
      <c r="P254" s="140">
        <f t="shared" si="122"/>
        <v>1.4982230769230764</v>
      </c>
      <c r="Q254" s="135"/>
      <c r="R254" s="104">
        <f t="shared" si="123"/>
        <v>2.3382480000000001</v>
      </c>
      <c r="S254" s="137"/>
      <c r="T254" s="141">
        <f t="shared" si="124"/>
        <v>5.1528673846153836</v>
      </c>
      <c r="U254" s="199">
        <f t="shared" si="125"/>
        <v>0</v>
      </c>
      <c r="V254" s="37" t="str">
        <f t="shared" si="126"/>
        <v>ok</v>
      </c>
      <c r="W254" s="37" t="str">
        <f t="shared" si="127"/>
        <v>ok</v>
      </c>
    </row>
    <row r="255" spans="1:23" x14ac:dyDescent="0.25">
      <c r="A255" s="426"/>
      <c r="B255" s="178" t="s">
        <v>19</v>
      </c>
      <c r="C255" s="129">
        <v>17</v>
      </c>
      <c r="D255" s="130">
        <f>'2.4.5.3 Emplois ETP  base a'!D255*12</f>
        <v>2.0319419999999995</v>
      </c>
      <c r="E255" s="131">
        <f>'2.4.5.3 Emplois ETP  base a'!E255*12</f>
        <v>11.828076923076921</v>
      </c>
      <c r="F255" s="132">
        <f t="shared" si="96"/>
        <v>9.4624615384615378</v>
      </c>
      <c r="G255" s="133">
        <f t="shared" si="97"/>
        <v>2.3656153846153836</v>
      </c>
      <c r="H255" s="134">
        <f t="shared" si="118"/>
        <v>2.0319419999999995</v>
      </c>
      <c r="I255" s="135"/>
      <c r="J255" s="136">
        <f t="shared" si="119"/>
        <v>0</v>
      </c>
      <c r="K255" s="137"/>
      <c r="L255" s="138">
        <f t="shared" si="120"/>
        <v>0</v>
      </c>
      <c r="M255" s="137"/>
      <c r="N255" s="139">
        <f t="shared" si="121"/>
        <v>7.4305195384615388</v>
      </c>
      <c r="O255" s="137"/>
      <c r="P255" s="140">
        <f t="shared" si="122"/>
        <v>2.3656153846153836</v>
      </c>
      <c r="Q255" s="135"/>
      <c r="R255" s="104">
        <f t="shared" si="123"/>
        <v>2.0319419999999995</v>
      </c>
      <c r="S255" s="137"/>
      <c r="T255" s="141">
        <f t="shared" si="124"/>
        <v>9.7961349230769219</v>
      </c>
      <c r="U255" s="199">
        <f t="shared" si="125"/>
        <v>0</v>
      </c>
      <c r="V255" s="37" t="str">
        <f t="shared" si="126"/>
        <v>ok</v>
      </c>
      <c r="W255" s="37" t="str">
        <f t="shared" si="127"/>
        <v>ok</v>
      </c>
    </row>
    <row r="256" spans="1:23" x14ac:dyDescent="0.25">
      <c r="A256" s="426"/>
      <c r="B256" s="178" t="s">
        <v>20</v>
      </c>
      <c r="C256" s="129">
        <v>18</v>
      </c>
      <c r="D256" s="130">
        <f>'2.4.5.3 Emplois ETP  base a'!D256*12</f>
        <v>1.5954839999999999</v>
      </c>
      <c r="E256" s="131">
        <f>'2.4.5.3 Emplois ETP  base a'!E256*12</f>
        <v>9.068192307692307</v>
      </c>
      <c r="F256" s="132">
        <f t="shared" si="96"/>
        <v>7.2545538461538461</v>
      </c>
      <c r="G256" s="133">
        <f t="shared" si="97"/>
        <v>1.8136384615384611</v>
      </c>
      <c r="H256" s="134">
        <f t="shared" si="118"/>
        <v>1.5954839999999999</v>
      </c>
      <c r="I256" s="135"/>
      <c r="J256" s="136">
        <f t="shared" si="119"/>
        <v>0</v>
      </c>
      <c r="K256" s="137"/>
      <c r="L256" s="138">
        <f t="shared" si="120"/>
        <v>0</v>
      </c>
      <c r="M256" s="137"/>
      <c r="N256" s="139">
        <f t="shared" si="121"/>
        <v>5.6590698461538462</v>
      </c>
      <c r="O256" s="137"/>
      <c r="P256" s="140">
        <f t="shared" si="122"/>
        <v>1.8136384615384611</v>
      </c>
      <c r="Q256" s="135"/>
      <c r="R256" s="104">
        <f t="shared" si="123"/>
        <v>1.5954839999999999</v>
      </c>
      <c r="S256" s="137"/>
      <c r="T256" s="141">
        <f t="shared" si="124"/>
        <v>7.4727083076923071</v>
      </c>
      <c r="U256" s="199">
        <f t="shared" si="125"/>
        <v>0</v>
      </c>
      <c r="V256" s="37" t="str">
        <f t="shared" si="126"/>
        <v>ok</v>
      </c>
      <c r="W256" s="37" t="str">
        <f t="shared" si="127"/>
        <v>ok</v>
      </c>
    </row>
    <row r="257" spans="1:23" x14ac:dyDescent="0.25">
      <c r="A257" s="426"/>
      <c r="B257" s="178" t="s">
        <v>21</v>
      </c>
      <c r="C257" s="129">
        <v>19</v>
      </c>
      <c r="D257" s="130">
        <f>'2.4.5.3 Emplois ETP  base a'!D257*12</f>
        <v>0.69788399999999995</v>
      </c>
      <c r="E257" s="131">
        <f>'2.4.5.3 Emplois ETP  base a'!E257*12</f>
        <v>4.3369615384615381</v>
      </c>
      <c r="F257" s="132">
        <f t="shared" si="96"/>
        <v>3.4695692307692307</v>
      </c>
      <c r="G257" s="133">
        <f t="shared" si="97"/>
        <v>0.86739230769230746</v>
      </c>
      <c r="H257" s="134">
        <f t="shared" si="118"/>
        <v>0.69788399999999995</v>
      </c>
      <c r="I257" s="135"/>
      <c r="J257" s="136">
        <f t="shared" si="119"/>
        <v>0</v>
      </c>
      <c r="K257" s="137"/>
      <c r="L257" s="138">
        <f t="shared" si="120"/>
        <v>0</v>
      </c>
      <c r="M257" s="137"/>
      <c r="N257" s="139">
        <f t="shared" si="121"/>
        <v>2.771685230769231</v>
      </c>
      <c r="O257" s="137"/>
      <c r="P257" s="140">
        <f t="shared" si="122"/>
        <v>0.86739230769230746</v>
      </c>
      <c r="Q257" s="135"/>
      <c r="R257" s="104">
        <f t="shared" si="123"/>
        <v>0.69788399999999995</v>
      </c>
      <c r="S257" s="137"/>
      <c r="T257" s="141">
        <f t="shared" si="124"/>
        <v>3.6390775384615384</v>
      </c>
      <c r="U257" s="199">
        <f t="shared" si="125"/>
        <v>0</v>
      </c>
      <c r="V257" s="37" t="str">
        <f t="shared" si="126"/>
        <v>ok</v>
      </c>
      <c r="W257" s="37" t="str">
        <f t="shared" si="127"/>
        <v>ok</v>
      </c>
    </row>
    <row r="258" spans="1:23" x14ac:dyDescent="0.25">
      <c r="A258" s="426"/>
      <c r="B258" s="178" t="s">
        <v>22</v>
      </c>
      <c r="C258" s="129">
        <v>20</v>
      </c>
      <c r="D258" s="130">
        <f>'2.4.5.3 Emplois ETP  base a'!D258*12</f>
        <v>0.48694799999999994</v>
      </c>
      <c r="E258" s="131">
        <f>'2.4.5.3 Emplois ETP  base a'!E258*12</f>
        <v>7.2939807692307683</v>
      </c>
      <c r="F258" s="132">
        <f t="shared" si="96"/>
        <v>5.8351846153846152</v>
      </c>
      <c r="G258" s="133">
        <f t="shared" si="97"/>
        <v>1.4587961538461534</v>
      </c>
      <c r="H258" s="134">
        <f t="shared" si="118"/>
        <v>0.48694799999999994</v>
      </c>
      <c r="I258" s="135"/>
      <c r="J258" s="136">
        <f t="shared" si="119"/>
        <v>0</v>
      </c>
      <c r="K258" s="137"/>
      <c r="L258" s="138">
        <f t="shared" si="120"/>
        <v>0</v>
      </c>
      <c r="M258" s="137"/>
      <c r="N258" s="139">
        <f t="shared" si="121"/>
        <v>5.3482366153846153</v>
      </c>
      <c r="O258" s="137"/>
      <c r="P258" s="140">
        <f t="shared" si="122"/>
        <v>1.4587961538461534</v>
      </c>
      <c r="Q258" s="135"/>
      <c r="R258" s="104">
        <f t="shared" si="123"/>
        <v>0.48694799999999994</v>
      </c>
      <c r="S258" s="137"/>
      <c r="T258" s="141">
        <f t="shared" si="124"/>
        <v>6.8070327692307684</v>
      </c>
      <c r="U258" s="199">
        <f t="shared" si="125"/>
        <v>0</v>
      </c>
      <c r="V258" s="37" t="str">
        <f t="shared" si="126"/>
        <v>ok</v>
      </c>
      <c r="W258" s="37" t="str">
        <f t="shared" si="127"/>
        <v>ok</v>
      </c>
    </row>
    <row r="259" spans="1:23" x14ac:dyDescent="0.25">
      <c r="A259" s="426"/>
      <c r="B259" s="178" t="s">
        <v>23</v>
      </c>
      <c r="C259" s="129">
        <v>21</v>
      </c>
      <c r="D259" s="130">
        <f>'2.4.5.3 Emplois ETP  base a'!D259*12</f>
        <v>1.0098</v>
      </c>
      <c r="E259" s="131">
        <f>'2.4.5.3 Emplois ETP  base a'!E259*12</f>
        <v>8.6739230769230762</v>
      </c>
      <c r="F259" s="132">
        <f t="shared" si="96"/>
        <v>6.9391384615384615</v>
      </c>
      <c r="G259" s="133">
        <f t="shared" si="97"/>
        <v>1.7347846153846149</v>
      </c>
      <c r="H259" s="134">
        <f t="shared" si="118"/>
        <v>1.0098</v>
      </c>
      <c r="I259" s="135"/>
      <c r="J259" s="136">
        <f t="shared" si="119"/>
        <v>0</v>
      </c>
      <c r="K259" s="137"/>
      <c r="L259" s="138">
        <f t="shared" si="120"/>
        <v>0</v>
      </c>
      <c r="M259" s="137"/>
      <c r="N259" s="139">
        <f t="shared" si="121"/>
        <v>5.9293384615384612</v>
      </c>
      <c r="O259" s="137"/>
      <c r="P259" s="140">
        <f t="shared" si="122"/>
        <v>1.7347846153846149</v>
      </c>
      <c r="Q259" s="135"/>
      <c r="R259" s="104">
        <f t="shared" si="123"/>
        <v>1.0098</v>
      </c>
      <c r="S259" s="137"/>
      <c r="T259" s="141">
        <f t="shared" si="124"/>
        <v>7.6641230769230759</v>
      </c>
      <c r="U259" s="199">
        <f t="shared" si="125"/>
        <v>0</v>
      </c>
      <c r="V259" s="37" t="str">
        <f t="shared" si="126"/>
        <v>ok</v>
      </c>
      <c r="W259" s="37" t="str">
        <f t="shared" si="127"/>
        <v>ok</v>
      </c>
    </row>
    <row r="260" spans="1:23" x14ac:dyDescent="0.25">
      <c r="A260" s="426"/>
      <c r="B260" s="178" t="s">
        <v>19</v>
      </c>
      <c r="C260" s="129">
        <v>24</v>
      </c>
      <c r="D260" s="130">
        <f>'2.4.5.3 Emplois ETP  base a'!D260*12</f>
        <v>4.052664</v>
      </c>
      <c r="E260" s="131">
        <f>'2.4.5.3 Emplois ETP  base a'!E260*12</f>
        <v>9.7581634615384605</v>
      </c>
      <c r="F260" s="132">
        <f t="shared" si="96"/>
        <v>7.8065307692307684</v>
      </c>
      <c r="G260" s="133">
        <f t="shared" si="97"/>
        <v>1.9516326923076917</v>
      </c>
      <c r="H260" s="134">
        <f t="shared" si="118"/>
        <v>4.052664</v>
      </c>
      <c r="I260" s="135"/>
      <c r="J260" s="136">
        <f t="shared" si="119"/>
        <v>0</v>
      </c>
      <c r="K260" s="137"/>
      <c r="L260" s="138">
        <f t="shared" si="120"/>
        <v>0</v>
      </c>
      <c r="M260" s="137"/>
      <c r="N260" s="139">
        <f t="shared" si="121"/>
        <v>3.7538667692307683</v>
      </c>
      <c r="O260" s="137"/>
      <c r="P260" s="140">
        <f t="shared" si="122"/>
        <v>1.9516326923076917</v>
      </c>
      <c r="Q260" s="135"/>
      <c r="R260" s="104">
        <f t="shared" si="123"/>
        <v>4.052664</v>
      </c>
      <c r="S260" s="137"/>
      <c r="T260" s="141">
        <f t="shared" si="124"/>
        <v>5.7054994615384604</v>
      </c>
      <c r="U260" s="199">
        <f t="shared" si="125"/>
        <v>0</v>
      </c>
      <c r="V260" s="37" t="str">
        <f t="shared" si="126"/>
        <v>ok</v>
      </c>
      <c r="W260" s="37" t="str">
        <f t="shared" si="127"/>
        <v>ok</v>
      </c>
    </row>
    <row r="261" spans="1:23" x14ac:dyDescent="0.25">
      <c r="A261" s="426"/>
      <c r="B261" s="178" t="s">
        <v>20</v>
      </c>
      <c r="C261" s="129">
        <v>25</v>
      </c>
      <c r="D261" s="130">
        <f>'2.4.5.3 Emplois ETP  base a'!D261*12</f>
        <v>3.2986799999999996</v>
      </c>
      <c r="E261" s="131">
        <f>'2.4.5.3 Emplois ETP  base a'!E261*12</f>
        <v>6.1821415384615381</v>
      </c>
      <c r="F261" s="132">
        <f t="shared" ref="F261:F265" si="128">E261*TC</f>
        <v>4.9457132307692309</v>
      </c>
      <c r="G261" s="133">
        <f t="shared" ref="G261:G265" si="129">E261*(1-TC)</f>
        <v>1.2364283076923073</v>
      </c>
      <c r="H261" s="134">
        <f t="shared" si="118"/>
        <v>3.2986799999999996</v>
      </c>
      <c r="I261" s="135"/>
      <c r="J261" s="136">
        <f t="shared" si="119"/>
        <v>0</v>
      </c>
      <c r="K261" s="137"/>
      <c r="L261" s="138">
        <f t="shared" si="120"/>
        <v>0</v>
      </c>
      <c r="M261" s="137"/>
      <c r="N261" s="139">
        <f t="shared" si="121"/>
        <v>1.6470332307692312</v>
      </c>
      <c r="O261" s="137"/>
      <c r="P261" s="140">
        <f t="shared" si="122"/>
        <v>1.2364283076923073</v>
      </c>
      <c r="Q261" s="135"/>
      <c r="R261" s="104">
        <f t="shared" si="123"/>
        <v>3.2986799999999996</v>
      </c>
      <c r="S261" s="137"/>
      <c r="T261" s="141">
        <f t="shared" si="124"/>
        <v>2.8834615384615385</v>
      </c>
      <c r="U261" s="199">
        <f t="shared" si="125"/>
        <v>0</v>
      </c>
      <c r="V261" s="37" t="str">
        <f t="shared" si="126"/>
        <v>ok</v>
      </c>
      <c r="W261" s="37" t="str">
        <f t="shared" si="127"/>
        <v>ok</v>
      </c>
    </row>
    <row r="262" spans="1:23" x14ac:dyDescent="0.25">
      <c r="A262" s="426"/>
      <c r="B262" s="178" t="s">
        <v>21</v>
      </c>
      <c r="C262" s="129">
        <v>26</v>
      </c>
      <c r="D262" s="130">
        <f>'2.4.5.3 Emplois ETP  base a'!D262*12</f>
        <v>1.9006679999999996</v>
      </c>
      <c r="E262" s="131">
        <f>'2.4.5.3 Emplois ETP  base a'!E262*12</f>
        <v>2.9294203846153843</v>
      </c>
      <c r="F262" s="132">
        <f t="shared" si="128"/>
        <v>2.3435363076923075</v>
      </c>
      <c r="G262" s="133">
        <f t="shared" si="129"/>
        <v>0.58588407692307676</v>
      </c>
      <c r="H262" s="134">
        <f t="shared" si="118"/>
        <v>1.9006679999999996</v>
      </c>
      <c r="I262" s="135"/>
      <c r="J262" s="136">
        <f t="shared" si="119"/>
        <v>0</v>
      </c>
      <c r="K262" s="137"/>
      <c r="L262" s="138">
        <f t="shared" si="120"/>
        <v>0</v>
      </c>
      <c r="M262" s="137"/>
      <c r="N262" s="139">
        <f t="shared" si="121"/>
        <v>0.44286830769230789</v>
      </c>
      <c r="O262" s="137"/>
      <c r="P262" s="140">
        <f t="shared" si="122"/>
        <v>0.58588407692307676</v>
      </c>
      <c r="Q262" s="135"/>
      <c r="R262" s="104">
        <f t="shared" si="123"/>
        <v>1.9006679999999996</v>
      </c>
      <c r="S262" s="137"/>
      <c r="T262" s="141">
        <f t="shared" si="124"/>
        <v>1.0287523846153848</v>
      </c>
      <c r="U262" s="199">
        <f t="shared" si="125"/>
        <v>0</v>
      </c>
      <c r="V262" s="37" t="str">
        <f t="shared" si="126"/>
        <v>ok</v>
      </c>
      <c r="W262" s="37" t="str">
        <f t="shared" si="127"/>
        <v>ok</v>
      </c>
    </row>
    <row r="263" spans="1:23" x14ac:dyDescent="0.25">
      <c r="A263" s="426"/>
      <c r="B263" s="178" t="s">
        <v>22</v>
      </c>
      <c r="C263" s="129">
        <v>27</v>
      </c>
      <c r="D263" s="130">
        <f>'2.4.5.3 Emplois ETP  base a'!D263*12</f>
        <v>1.5562139999999998</v>
      </c>
      <c r="E263" s="131">
        <f>'2.4.5.3 Emplois ETP  base a'!E263*12</f>
        <v>3.9032653846153837</v>
      </c>
      <c r="F263" s="132">
        <f t="shared" si="128"/>
        <v>3.1226123076923074</v>
      </c>
      <c r="G263" s="133">
        <f t="shared" si="129"/>
        <v>0.78065307692307662</v>
      </c>
      <c r="H263" s="134">
        <f t="shared" si="118"/>
        <v>1.5562139999999998</v>
      </c>
      <c r="I263" s="135"/>
      <c r="J263" s="136">
        <f t="shared" si="119"/>
        <v>0</v>
      </c>
      <c r="K263" s="137"/>
      <c r="L263" s="138">
        <f t="shared" si="120"/>
        <v>0</v>
      </c>
      <c r="M263" s="137"/>
      <c r="N263" s="139">
        <f t="shared" si="121"/>
        <v>1.5663983076923076</v>
      </c>
      <c r="O263" s="137"/>
      <c r="P263" s="140">
        <f t="shared" si="122"/>
        <v>0.78065307692307662</v>
      </c>
      <c r="Q263" s="135"/>
      <c r="R263" s="104">
        <f t="shared" si="123"/>
        <v>1.5562139999999998</v>
      </c>
      <c r="S263" s="137"/>
      <c r="T263" s="141">
        <f t="shared" si="124"/>
        <v>2.3470513846153844</v>
      </c>
      <c r="U263" s="199">
        <f t="shared" si="125"/>
        <v>0</v>
      </c>
      <c r="V263" s="37" t="str">
        <f t="shared" si="126"/>
        <v>ok</v>
      </c>
      <c r="W263" s="37" t="str">
        <f t="shared" si="127"/>
        <v>ok</v>
      </c>
    </row>
    <row r="264" spans="1:23" x14ac:dyDescent="0.25">
      <c r="A264" s="426"/>
      <c r="B264" s="178" t="s">
        <v>23</v>
      </c>
      <c r="C264" s="129">
        <v>28</v>
      </c>
      <c r="D264" s="130">
        <f>'2.4.5.3 Emplois ETP  base a'!D264*12</f>
        <v>2.9228100000000001</v>
      </c>
      <c r="E264" s="131">
        <f>'2.4.5.3 Emplois ETP  base a'!E264*12</f>
        <v>6.1821415384615381</v>
      </c>
      <c r="F264" s="132">
        <f t="shared" si="128"/>
        <v>4.9457132307692309</v>
      </c>
      <c r="G264" s="133">
        <f t="shared" si="129"/>
        <v>1.2364283076923073</v>
      </c>
      <c r="H264" s="134">
        <f t="shared" si="118"/>
        <v>2.9228100000000001</v>
      </c>
      <c r="I264" s="135"/>
      <c r="J264" s="136">
        <f t="shared" si="119"/>
        <v>0</v>
      </c>
      <c r="K264" s="137"/>
      <c r="L264" s="138">
        <f t="shared" si="120"/>
        <v>0</v>
      </c>
      <c r="M264" s="137"/>
      <c r="N264" s="139">
        <f t="shared" si="121"/>
        <v>2.0229032307692307</v>
      </c>
      <c r="O264" s="137"/>
      <c r="P264" s="140">
        <f t="shared" si="122"/>
        <v>1.2364283076923073</v>
      </c>
      <c r="Q264" s="135"/>
      <c r="R264" s="104">
        <f t="shared" si="123"/>
        <v>2.9228100000000001</v>
      </c>
      <c r="S264" s="137"/>
      <c r="T264" s="141">
        <f t="shared" si="124"/>
        <v>3.259331538461538</v>
      </c>
      <c r="U264" s="199">
        <f t="shared" si="125"/>
        <v>0</v>
      </c>
      <c r="V264" s="37" t="str">
        <f t="shared" si="126"/>
        <v>ok</v>
      </c>
      <c r="W264" s="37" t="str">
        <f t="shared" si="127"/>
        <v>ok</v>
      </c>
    </row>
    <row r="265" spans="1:23" ht="15.75" thickBot="1" x14ac:dyDescent="0.3">
      <c r="A265" s="427"/>
      <c r="B265" s="277" t="s">
        <v>19</v>
      </c>
      <c r="C265" s="165">
        <v>31</v>
      </c>
      <c r="D265" s="202">
        <f>'2.4.5.3 Emplois ETP  base a'!D265*12</f>
        <v>4.8627479999999998</v>
      </c>
      <c r="E265" s="203">
        <f>'2.4.5.3 Emplois ETP  base a'!E265*12</f>
        <v>11.828076923076921</v>
      </c>
      <c r="F265" s="204">
        <f t="shared" si="128"/>
        <v>9.4624615384615378</v>
      </c>
      <c r="G265" s="205">
        <f t="shared" si="129"/>
        <v>2.3656153846153836</v>
      </c>
      <c r="H265" s="206">
        <f t="shared" si="118"/>
        <v>4.8627479999999998</v>
      </c>
      <c r="I265" s="207"/>
      <c r="J265" s="208">
        <f t="shared" si="119"/>
        <v>0</v>
      </c>
      <c r="K265" s="209"/>
      <c r="L265" s="210">
        <f t="shared" si="120"/>
        <v>0</v>
      </c>
      <c r="M265" s="209"/>
      <c r="N265" s="211">
        <f t="shared" si="121"/>
        <v>4.599713538461538</v>
      </c>
      <c r="O265" s="209"/>
      <c r="P265" s="212">
        <f t="shared" si="122"/>
        <v>2.3656153846153836</v>
      </c>
      <c r="Q265" s="207"/>
      <c r="R265" s="213">
        <f t="shared" si="123"/>
        <v>4.8627479999999998</v>
      </c>
      <c r="S265" s="209"/>
      <c r="T265" s="214">
        <f t="shared" si="124"/>
        <v>6.9653289230769211</v>
      </c>
      <c r="U265" s="215">
        <f t="shared" si="125"/>
        <v>0</v>
      </c>
      <c r="V265" s="37" t="str">
        <f t="shared" si="126"/>
        <v>ok</v>
      </c>
      <c r="W265" s="37" t="str">
        <f t="shared" si="127"/>
        <v>ok</v>
      </c>
    </row>
    <row r="266" spans="1:23" x14ac:dyDescent="0.25"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</row>
    <row r="267" spans="1:23" ht="15.75" thickBot="1" x14ac:dyDescent="0.3"/>
    <row r="268" spans="1:23" ht="51.75" thickBot="1" x14ac:dyDescent="0.3">
      <c r="A268" s="175">
        <v>2018</v>
      </c>
      <c r="B268" s="216"/>
      <c r="C268" s="217"/>
      <c r="D268" s="218" t="s">
        <v>40</v>
      </c>
      <c r="E268" s="219" t="s">
        <v>41</v>
      </c>
      <c r="F268" s="220" t="s">
        <v>42</v>
      </c>
      <c r="G268" s="221" t="s">
        <v>43</v>
      </c>
      <c r="H268" s="222" t="s">
        <v>44</v>
      </c>
      <c r="I268" s="223"/>
      <c r="J268" s="224" t="s">
        <v>45</v>
      </c>
      <c r="K268" s="225"/>
      <c r="L268" s="226" t="s">
        <v>46</v>
      </c>
      <c r="M268" s="225"/>
      <c r="N268" s="227" t="s">
        <v>47</v>
      </c>
      <c r="O268" s="225"/>
      <c r="P268" s="228" t="s">
        <v>48</v>
      </c>
      <c r="Q268" s="223"/>
      <c r="R268" s="229" t="s">
        <v>49</v>
      </c>
      <c r="S268" s="225"/>
      <c r="T268" s="230" t="s">
        <v>50</v>
      </c>
      <c r="U268" s="231" t="s">
        <v>51</v>
      </c>
      <c r="V268" s="32" t="s">
        <v>52</v>
      </c>
    </row>
    <row r="269" spans="1:23" x14ac:dyDescent="0.25">
      <c r="B269" s="246" t="s">
        <v>74</v>
      </c>
      <c r="C269" s="247">
        <v>1</v>
      </c>
      <c r="D269" s="184">
        <f>SUM(D5:D27)</f>
        <v>45.101073230769231</v>
      </c>
      <c r="E269" s="185">
        <f>SUM(E5:E27)</f>
        <v>180.50557499999994</v>
      </c>
      <c r="F269" s="186">
        <f>SUM(F5:F27)</f>
        <v>144.40446</v>
      </c>
      <c r="G269" s="187">
        <f>SUM(G5:G27)</f>
        <v>36.101114999999993</v>
      </c>
      <c r="H269" s="188">
        <f>SUM(H5:H27)</f>
        <v>45.101073230769231</v>
      </c>
      <c r="I269" s="189"/>
      <c r="J269" s="190">
        <f>SUM(J5:J27)</f>
        <v>0</v>
      </c>
      <c r="K269" s="191"/>
      <c r="L269" s="192">
        <f>SUM(L5:L27)</f>
        <v>0</v>
      </c>
      <c r="M269" s="191"/>
      <c r="N269" s="193">
        <f>SUM(N5:N27)</f>
        <v>99.303386769230769</v>
      </c>
      <c r="O269" s="191"/>
      <c r="P269" s="194">
        <f>SUM(P5:P27)</f>
        <v>36.101114999999993</v>
      </c>
      <c r="Q269" s="189"/>
      <c r="R269" s="195">
        <f>SUM(R5:R27)</f>
        <v>45.101073230769231</v>
      </c>
      <c r="S269" s="191"/>
      <c r="T269" s="196">
        <f>SUM(T5:T27)</f>
        <v>135.40450176923073</v>
      </c>
      <c r="U269" s="197">
        <f>SUM(U5:U27)</f>
        <v>0</v>
      </c>
      <c r="V269" s="37" t="str">
        <f t="shared" ref="V269:V280" si="130">IF(R269+T269=E269,"ok","bad")</f>
        <v>ok</v>
      </c>
      <c r="W269" s="37" t="str">
        <f t="shared" ref="W269:W280" si="131">IF(U269+R269=D269,"ok","bad")</f>
        <v>ok</v>
      </c>
    </row>
    <row r="270" spans="1:23" x14ac:dyDescent="0.25">
      <c r="B270" s="163" t="s">
        <v>75</v>
      </c>
      <c r="C270" s="129">
        <v>2</v>
      </c>
      <c r="D270" s="130">
        <f>SUM(D28:D47)</f>
        <v>58.819982999999993</v>
      </c>
      <c r="E270" s="131">
        <f>SUM(E28:E47)</f>
        <v>109.86835061538463</v>
      </c>
      <c r="F270" s="132">
        <f>SUM(F28:F47)</f>
        <v>87.894680492307685</v>
      </c>
      <c r="G270" s="133">
        <f>SUM(G28:G47)</f>
        <v>21.973670123076918</v>
      </c>
      <c r="H270" s="134">
        <f>SUM(H28:H47)</f>
        <v>56.658293076923073</v>
      </c>
      <c r="I270" s="135"/>
      <c r="J270" s="136">
        <f>SUM(J28:J47)</f>
        <v>2.161689923076926</v>
      </c>
      <c r="K270" s="137"/>
      <c r="L270" s="138">
        <f>SUM(L28:L47)</f>
        <v>4.1433600461538429</v>
      </c>
      <c r="M270" s="137"/>
      <c r="N270" s="139">
        <f>SUM(N28:N47)</f>
        <v>35.379747461538464</v>
      </c>
      <c r="O270" s="137"/>
      <c r="P270" s="140">
        <f>SUM(P28:P47)</f>
        <v>17.830310076923077</v>
      </c>
      <c r="Q270" s="135"/>
      <c r="R270" s="104">
        <f>SUM(R28:R47)</f>
        <v>52.514933030769214</v>
      </c>
      <c r="S270" s="137"/>
      <c r="T270" s="141">
        <f>SUM(T28:T47)</f>
        <v>57.353417584615372</v>
      </c>
      <c r="U270" s="199">
        <f>SUM(U28:U47)</f>
        <v>6.3050499692307689</v>
      </c>
      <c r="V270" s="37" t="str">
        <f t="shared" si="130"/>
        <v>ok</v>
      </c>
      <c r="W270" s="37" t="str">
        <f t="shared" si="131"/>
        <v>ok</v>
      </c>
    </row>
    <row r="271" spans="1:23" x14ac:dyDescent="0.25">
      <c r="B271" s="163" t="s">
        <v>76</v>
      </c>
      <c r="C271" s="129">
        <v>3</v>
      </c>
      <c r="D271" s="130">
        <f>SUM(D48:D69)</f>
        <v>86.336923153846158</v>
      </c>
      <c r="E271" s="131">
        <f>SUM(E48:E69)</f>
        <v>73.348647230769231</v>
      </c>
      <c r="F271" s="132">
        <f>SUM(F48:F69)</f>
        <v>58.678917784615393</v>
      </c>
      <c r="G271" s="133">
        <f>SUM(G48:G69)</f>
        <v>14.669729446153843</v>
      </c>
      <c r="H271" s="134">
        <f>SUM(H48:H69)</f>
        <v>57.189085384615382</v>
      </c>
      <c r="I271" s="135"/>
      <c r="J271" s="136">
        <f>SUM(J48:J69)</f>
        <v>29.147837769230776</v>
      </c>
      <c r="K271" s="137"/>
      <c r="L271" s="138">
        <f>SUM(L48:L69)</f>
        <v>6.9837391384615364</v>
      </c>
      <c r="M271" s="137"/>
      <c r="N271" s="139">
        <f>SUM(N48:N69)</f>
        <v>8.4735715384615382</v>
      </c>
      <c r="O271" s="137"/>
      <c r="P271" s="140">
        <f>SUM(P48:P69)</f>
        <v>7.6859903076923057</v>
      </c>
      <c r="Q271" s="135"/>
      <c r="R271" s="104">
        <f>SUM(R48:R69)</f>
        <v>50.205346246153852</v>
      </c>
      <c r="S271" s="137"/>
      <c r="T271" s="141">
        <f>SUM(T48:T69)</f>
        <v>23.143300984615376</v>
      </c>
      <c r="U271" s="199">
        <f>SUM(U48:U69)</f>
        <v>36.131576907692313</v>
      </c>
      <c r="V271" s="37" t="str">
        <f t="shared" si="130"/>
        <v>ok</v>
      </c>
      <c r="W271" s="37" t="str">
        <f t="shared" si="131"/>
        <v>ok</v>
      </c>
    </row>
    <row r="272" spans="1:23" x14ac:dyDescent="0.25">
      <c r="B272" s="163" t="s">
        <v>77</v>
      </c>
      <c r="C272" s="129">
        <v>4</v>
      </c>
      <c r="D272" s="130">
        <f>SUM(D70:D90)</f>
        <v>123.589422</v>
      </c>
      <c r="E272" s="131">
        <f>SUM(E70:E90)</f>
        <v>57.707394461538456</v>
      </c>
      <c r="F272" s="132">
        <f>SUM(F70:F90)</f>
        <v>46.165915569230762</v>
      </c>
      <c r="G272" s="133">
        <f>SUM(G70:G90)</f>
        <v>11.541478892307689</v>
      </c>
      <c r="H272" s="134">
        <f>SUM(H70:H90)</f>
        <v>54.722183999999999</v>
      </c>
      <c r="I272" s="135"/>
      <c r="J272" s="136">
        <f>SUM(J70:J90)</f>
        <v>68.867238</v>
      </c>
      <c r="K272" s="137"/>
      <c r="L272" s="138">
        <f>SUM(L70:L90)</f>
        <v>9.7473145846153812</v>
      </c>
      <c r="M272" s="137"/>
      <c r="N272" s="139">
        <f>SUM(N70:N90)</f>
        <v>1.1910461538461541</v>
      </c>
      <c r="O272" s="137"/>
      <c r="P272" s="140">
        <f>SUM(P70:P90)</f>
        <v>1.7941643076923068</v>
      </c>
      <c r="Q272" s="135"/>
      <c r="R272" s="104">
        <f>SUM(R70:R90)</f>
        <v>44.974869415384617</v>
      </c>
      <c r="S272" s="137"/>
      <c r="T272" s="141">
        <f>SUM(T70:T90)</f>
        <v>12.732525046153842</v>
      </c>
      <c r="U272" s="199">
        <f>SUM(U70:U90)</f>
        <v>78.614552584615382</v>
      </c>
      <c r="V272" s="37" t="str">
        <f t="shared" si="130"/>
        <v>ok</v>
      </c>
      <c r="W272" s="37" t="str">
        <f t="shared" si="131"/>
        <v>ok</v>
      </c>
    </row>
    <row r="273" spans="2:23" x14ac:dyDescent="0.25">
      <c r="B273" s="163" t="s">
        <v>78</v>
      </c>
      <c r="C273" s="129">
        <v>5</v>
      </c>
      <c r="D273" s="130">
        <f>SUM(D91:D113)</f>
        <v>180.48719930769229</v>
      </c>
      <c r="E273" s="131">
        <f>SUM(E91:E113)</f>
        <v>45.082368000000002</v>
      </c>
      <c r="F273" s="132">
        <f>SUM(F91:F113)</f>
        <v>36.065894399999998</v>
      </c>
      <c r="G273" s="133">
        <f>SUM(G91:G113)</f>
        <v>9.0164735999999976</v>
      </c>
      <c r="H273" s="134">
        <f>SUM(H91:H113)</f>
        <v>45.07769561538462</v>
      </c>
      <c r="I273" s="135"/>
      <c r="J273" s="136">
        <f>SUM(J91:J113)</f>
        <v>135.40950369230771</v>
      </c>
      <c r="K273" s="137"/>
      <c r="L273" s="138">
        <f>SUM(L91:L113)</f>
        <v>9.0118012153846117</v>
      </c>
      <c r="M273" s="137"/>
      <c r="N273" s="139">
        <f>SUM(N91:N113)</f>
        <v>0</v>
      </c>
      <c r="O273" s="137"/>
      <c r="P273" s="140">
        <f>SUM(P91:P113)</f>
        <v>4.6723846153844395E-3</v>
      </c>
      <c r="Q273" s="135"/>
      <c r="R273" s="104">
        <f>SUM(R91:R113)</f>
        <v>36.065894399999998</v>
      </c>
      <c r="S273" s="137"/>
      <c r="T273" s="141">
        <f>SUM(T91:T113)</f>
        <v>9.0164735999999976</v>
      </c>
      <c r="U273" s="199">
        <f>SUM(U91:U113)</f>
        <v>144.4213049076923</v>
      </c>
      <c r="V273" s="37" t="str">
        <f t="shared" si="130"/>
        <v>ok</v>
      </c>
      <c r="W273" s="37" t="str">
        <f t="shared" si="131"/>
        <v>ok</v>
      </c>
    </row>
    <row r="274" spans="2:23" x14ac:dyDescent="0.25">
      <c r="B274" s="163" t="s">
        <v>79</v>
      </c>
      <c r="C274" s="129">
        <v>6</v>
      </c>
      <c r="D274" s="130">
        <f>SUM(D114:D134)</f>
        <v>82.39294799999999</v>
      </c>
      <c r="E274" s="131">
        <f>SUM(E114:E134)</f>
        <v>74.183511346153836</v>
      </c>
      <c r="F274" s="132">
        <f>SUM(F114:F134)</f>
        <v>59.346809076923094</v>
      </c>
      <c r="G274" s="133">
        <f>SUM(G114:G134)</f>
        <v>14.83670226923077</v>
      </c>
      <c r="H274" s="134">
        <f>SUM(H114:H134)</f>
        <v>56.620862999999979</v>
      </c>
      <c r="I274" s="135"/>
      <c r="J274" s="136">
        <f>SUM(J114:J134)</f>
        <v>25.772084999999997</v>
      </c>
      <c r="K274" s="137"/>
      <c r="L274" s="138">
        <f>SUM(L114:L134)</f>
        <v>6.6422596153846136</v>
      </c>
      <c r="M274" s="137"/>
      <c r="N274" s="139">
        <f>SUM(N114:N134)</f>
        <v>9.3682056923076971</v>
      </c>
      <c r="O274" s="137"/>
      <c r="P274" s="140">
        <f>SUM(P114:P134)</f>
        <v>8.194442653846151</v>
      </c>
      <c r="Q274" s="135"/>
      <c r="R274" s="104">
        <f>SUM(R114:R134)</f>
        <v>49.978603384615383</v>
      </c>
      <c r="S274" s="137"/>
      <c r="T274" s="141">
        <f>SUM(T114:T134)</f>
        <v>24.204907961538463</v>
      </c>
      <c r="U274" s="199">
        <f>SUM(U114:U134)</f>
        <v>32.414344615384614</v>
      </c>
      <c r="V274" s="37" t="str">
        <f t="shared" si="130"/>
        <v>ok</v>
      </c>
      <c r="W274" s="37" t="str">
        <f t="shared" si="131"/>
        <v>ok</v>
      </c>
    </row>
    <row r="275" spans="2:23" x14ac:dyDescent="0.25">
      <c r="B275" s="163" t="s">
        <v>80</v>
      </c>
      <c r="C275" s="129">
        <v>7</v>
      </c>
      <c r="D275" s="130">
        <f>SUM(D135:D156)</f>
        <v>43.121110430769235</v>
      </c>
      <c r="E275" s="131">
        <f>SUM(E135:E156)</f>
        <v>86.348231423076925</v>
      </c>
      <c r="F275" s="132">
        <f>SUM(F135:F156)</f>
        <v>69.078585138461548</v>
      </c>
      <c r="G275" s="133">
        <f>SUM(G135:G156)</f>
        <v>17.26964628461538</v>
      </c>
      <c r="H275" s="134">
        <f>SUM(H135:H156)</f>
        <v>42.701175253846159</v>
      </c>
      <c r="I275" s="135"/>
      <c r="J275" s="136">
        <f>SUM(J135:J156)</f>
        <v>0.41993517692307658</v>
      </c>
      <c r="K275" s="137"/>
      <c r="L275" s="138">
        <f>SUM(L135:L156)</f>
        <v>1.696530299999998</v>
      </c>
      <c r="M275" s="137"/>
      <c r="N275" s="139">
        <f>SUM(N135:N156)</f>
        <v>28.073940184615381</v>
      </c>
      <c r="O275" s="137"/>
      <c r="P275" s="140">
        <f>SUM(P135:P156)</f>
        <v>15.573115984615381</v>
      </c>
      <c r="Q275" s="135"/>
      <c r="R275" s="104">
        <f>SUM(R135:R156)</f>
        <v>41.004644953846146</v>
      </c>
      <c r="S275" s="137"/>
      <c r="T275" s="141">
        <f>SUM(T135:T156)</f>
        <v>45.343586469230758</v>
      </c>
      <c r="U275" s="199">
        <f>SUM(U135:U156)</f>
        <v>2.1164654769230746</v>
      </c>
      <c r="V275" s="37" t="str">
        <f t="shared" si="130"/>
        <v>ok</v>
      </c>
      <c r="W275" s="37" t="str">
        <f t="shared" si="131"/>
        <v>ok</v>
      </c>
    </row>
    <row r="276" spans="2:23" x14ac:dyDescent="0.25">
      <c r="B276" s="163" t="s">
        <v>81</v>
      </c>
      <c r="C276" s="129">
        <v>8</v>
      </c>
      <c r="D276" s="130">
        <f>SUM(D157:D179)</f>
        <v>45.101073230769231</v>
      </c>
      <c r="E276" s="131">
        <f>SUM(E157:E179)</f>
        <v>121.77522450000001</v>
      </c>
      <c r="F276" s="132">
        <f>SUM(F157:F179)</f>
        <v>97.420179600000012</v>
      </c>
      <c r="G276" s="133">
        <f>SUM(G157:G179)</f>
        <v>24.355044899999996</v>
      </c>
      <c r="H276" s="134">
        <f>SUM(H157:H179)</f>
        <v>45.101073230769231</v>
      </c>
      <c r="I276" s="135"/>
      <c r="J276" s="136">
        <f>SUM(J157:J179)</f>
        <v>0</v>
      </c>
      <c r="K276" s="137"/>
      <c r="L276" s="138">
        <f>SUM(L157:L179)</f>
        <v>0.19513541538461565</v>
      </c>
      <c r="M276" s="137"/>
      <c r="N276" s="139">
        <f>SUM(N157:N179)</f>
        <v>52.514241784615393</v>
      </c>
      <c r="O276" s="137"/>
      <c r="P276" s="140">
        <f>SUM(P157:P179)</f>
        <v>24.159909484615383</v>
      </c>
      <c r="Q276" s="135"/>
      <c r="R276" s="104">
        <f>SUM(R157:R179)</f>
        <v>44.905937815384611</v>
      </c>
      <c r="S276" s="137"/>
      <c r="T276" s="141">
        <f>SUM(T157:T179)</f>
        <v>76.869286684615389</v>
      </c>
      <c r="U276" s="199">
        <f>SUM(U157:U179)</f>
        <v>0.19513541538461565</v>
      </c>
      <c r="V276" s="37" t="str">
        <f t="shared" si="130"/>
        <v>ok</v>
      </c>
      <c r="W276" s="37" t="str">
        <f t="shared" si="131"/>
        <v>ok</v>
      </c>
    </row>
    <row r="277" spans="2:23" x14ac:dyDescent="0.25">
      <c r="B277" s="163" t="s">
        <v>82</v>
      </c>
      <c r="C277" s="129">
        <v>9</v>
      </c>
      <c r="D277" s="130">
        <f>SUM(D180:D199)</f>
        <v>78.447817499999985</v>
      </c>
      <c r="E277" s="131">
        <f>SUM(E180:E199)</f>
        <v>98.075002730769228</v>
      </c>
      <c r="F277" s="132">
        <f>SUM(F180:F199)</f>
        <v>78.460002184615377</v>
      </c>
      <c r="G277" s="133">
        <f>SUM(G180:G199)</f>
        <v>19.615000546153841</v>
      </c>
      <c r="H277" s="134">
        <f>SUM(H180:H199)</f>
        <v>64.18504176923075</v>
      </c>
      <c r="I277" s="135"/>
      <c r="J277" s="136">
        <f>SUM(J180:J199)</f>
        <v>14.262775730769238</v>
      </c>
      <c r="K277" s="137"/>
      <c r="L277" s="138">
        <f>SUM(L180:L199)</f>
        <v>7.2788243538461517</v>
      </c>
      <c r="M277" s="137"/>
      <c r="N277" s="139">
        <f>SUM(N180:N199)</f>
        <v>21.553784769230766</v>
      </c>
      <c r="O277" s="137"/>
      <c r="P277" s="140">
        <f>SUM(P180:P199)</f>
        <v>12.336176192307688</v>
      </c>
      <c r="Q277" s="135"/>
      <c r="R277" s="104">
        <f>SUM(R180:R199)</f>
        <v>56.90621741538461</v>
      </c>
      <c r="S277" s="137"/>
      <c r="T277" s="141">
        <f>SUM(T180:T199)</f>
        <v>41.168785315384596</v>
      </c>
      <c r="U277" s="199">
        <f>SUM(U180:U199)</f>
        <v>21.541600084615389</v>
      </c>
      <c r="V277" s="37" t="str">
        <f t="shared" si="130"/>
        <v>ok</v>
      </c>
      <c r="W277" s="37" t="str">
        <f t="shared" si="131"/>
        <v>ok</v>
      </c>
    </row>
    <row r="278" spans="2:23" x14ac:dyDescent="0.25">
      <c r="B278" s="163" t="s">
        <v>83</v>
      </c>
      <c r="C278" s="129">
        <v>10</v>
      </c>
      <c r="D278" s="130">
        <f>SUM(D200:D222)</f>
        <v>76.688405769230783</v>
      </c>
      <c r="E278" s="131">
        <f>SUM(E200:E222)</f>
        <v>90.252787499999968</v>
      </c>
      <c r="F278" s="132">
        <f>SUM(F200:F222)</f>
        <v>72.20223</v>
      </c>
      <c r="G278" s="133">
        <f>SUM(G200:G222)</f>
        <v>18.050557499999996</v>
      </c>
      <c r="H278" s="134">
        <f>SUM(H200:H222)</f>
        <v>61.980986538461522</v>
      </c>
      <c r="I278" s="135"/>
      <c r="J278" s="136">
        <f>SUM(J200:J222)</f>
        <v>14.707419230769236</v>
      </c>
      <c r="K278" s="137"/>
      <c r="L278" s="138">
        <f>SUM(L200:L222)</f>
        <v>8.2021142307692276</v>
      </c>
      <c r="M278" s="137"/>
      <c r="N278" s="139">
        <f>SUM(N200:N222)</f>
        <v>18.423357692307686</v>
      </c>
      <c r="O278" s="137"/>
      <c r="P278" s="140">
        <f>SUM(P200:P222)</f>
        <v>9.8484432692307671</v>
      </c>
      <c r="Q278" s="135"/>
      <c r="R278" s="104">
        <f>SUM(R200:R222)</f>
        <v>53.778872307692311</v>
      </c>
      <c r="S278" s="137"/>
      <c r="T278" s="141">
        <f>SUM(T200:T222)</f>
        <v>36.473915192307693</v>
      </c>
      <c r="U278" s="199">
        <f>SUM(U200:U222)</f>
        <v>22.909533461538466</v>
      </c>
      <c r="V278" s="37" t="str">
        <f t="shared" si="130"/>
        <v>ok</v>
      </c>
      <c r="W278" s="37" t="str">
        <f t="shared" si="131"/>
        <v>ok</v>
      </c>
    </row>
    <row r="279" spans="2:23" x14ac:dyDescent="0.25">
      <c r="B279" s="163" t="s">
        <v>84</v>
      </c>
      <c r="C279" s="129">
        <v>11</v>
      </c>
      <c r="D279" s="130">
        <f>SUM(D223:D244)</f>
        <v>60.451629923076922</v>
      </c>
      <c r="E279" s="131">
        <f>SUM(E223:E244)</f>
        <v>129.47930215384611</v>
      </c>
      <c r="F279" s="132">
        <f>SUM(F223:F244)</f>
        <v>103.58344172307693</v>
      </c>
      <c r="G279" s="133">
        <f>SUM(G223:G244)</f>
        <v>25.895860430769218</v>
      </c>
      <c r="H279" s="134">
        <f>SUM(H223:H244)</f>
        <v>60.098294076923075</v>
      </c>
      <c r="I279" s="135"/>
      <c r="J279" s="136">
        <f>SUM(J223:J244)</f>
        <v>0.35333584615384694</v>
      </c>
      <c r="K279" s="137"/>
      <c r="L279" s="138">
        <f>SUM(L223:L244)</f>
        <v>1.695289430769229</v>
      </c>
      <c r="M279" s="137"/>
      <c r="N279" s="139">
        <f>SUM(N223:N244)</f>
        <v>45.180437076923084</v>
      </c>
      <c r="O279" s="137"/>
      <c r="P279" s="140">
        <f>SUM(P223:P244)</f>
        <v>24.200571</v>
      </c>
      <c r="Q279" s="135"/>
      <c r="R279" s="104">
        <f>SUM(R223:R244)</f>
        <v>58.403004646153853</v>
      </c>
      <c r="S279" s="137"/>
      <c r="T279" s="141">
        <f>SUM(T223:T244)</f>
        <v>71.076297507692303</v>
      </c>
      <c r="U279" s="199">
        <f>SUM(U223:U244)</f>
        <v>2.0486252769230759</v>
      </c>
      <c r="V279" s="37" t="str">
        <f t="shared" si="130"/>
        <v>ok</v>
      </c>
      <c r="W279" s="37" t="str">
        <f t="shared" si="131"/>
        <v>ok</v>
      </c>
    </row>
    <row r="280" spans="2:23" ht="15.75" thickBot="1" x14ac:dyDescent="0.3">
      <c r="B280" s="164" t="s">
        <v>85</v>
      </c>
      <c r="C280" s="165">
        <v>12</v>
      </c>
      <c r="D280" s="202">
        <f>SUM(D245:D265)</f>
        <v>41.196473999999995</v>
      </c>
      <c r="E280" s="203">
        <f>SUM(E245:E265)</f>
        <v>164.76116884615385</v>
      </c>
      <c r="F280" s="204">
        <f>SUM(F245:F265)</f>
        <v>131.80893507692304</v>
      </c>
      <c r="G280" s="205">
        <f>SUM(G245:G265)</f>
        <v>32.952233769230759</v>
      </c>
      <c r="H280" s="206">
        <f>SUM(H245:H265)</f>
        <v>41.196473999999995</v>
      </c>
      <c r="I280" s="207"/>
      <c r="J280" s="208">
        <f>SUM(J245:J265)</f>
        <v>0</v>
      </c>
      <c r="K280" s="209"/>
      <c r="L280" s="210">
        <f>SUM(L245:L265)</f>
        <v>0</v>
      </c>
      <c r="M280" s="209"/>
      <c r="N280" s="211">
        <f>SUM(N245:N265)</f>
        <v>90.612461076923083</v>
      </c>
      <c r="O280" s="209"/>
      <c r="P280" s="212">
        <f>SUM(P245:P265)</f>
        <v>32.952233769230759</v>
      </c>
      <c r="Q280" s="207"/>
      <c r="R280" s="213">
        <f>SUM(R245:R265)</f>
        <v>41.196473999999995</v>
      </c>
      <c r="S280" s="209"/>
      <c r="T280" s="214">
        <f>SUM(T245:T265)</f>
        <v>123.56469484615384</v>
      </c>
      <c r="U280" s="215">
        <f>SUM(U245:U265)</f>
        <v>0</v>
      </c>
      <c r="V280" s="37" t="str">
        <f t="shared" si="130"/>
        <v>ok</v>
      </c>
      <c r="W280" s="37" t="str">
        <f t="shared" si="131"/>
        <v>ok</v>
      </c>
    </row>
    <row r="281" spans="2:23" ht="15.75" thickBot="1" x14ac:dyDescent="0.3">
      <c r="B281" s="248" t="s">
        <v>103</v>
      </c>
      <c r="C281" s="165"/>
      <c r="D281" s="257">
        <f>SUM(D269:D280)</f>
        <v>921.73405954615384</v>
      </c>
      <c r="E281" s="258">
        <f>SUM(E269:E280)</f>
        <v>1231.3875638076925</v>
      </c>
      <c r="F281" s="259">
        <f>SUM(F269:F280)</f>
        <v>985.1100510461539</v>
      </c>
      <c r="G281" s="260">
        <f>SUM(G269:G280)</f>
        <v>246.27751276153839</v>
      </c>
      <c r="H281" s="261">
        <f>SUM(H269:H280)</f>
        <v>630.63223917692289</v>
      </c>
      <c r="I281" s="262"/>
      <c r="J281" s="263">
        <f>SUM(J269:J280)</f>
        <v>291.10182036923084</v>
      </c>
      <c r="K281" s="264"/>
      <c r="L281" s="265">
        <f>SUM(L269:L280)</f>
        <v>55.596368330769202</v>
      </c>
      <c r="M281" s="264"/>
      <c r="N281" s="266">
        <f>SUM(N269:N280)</f>
        <v>410.0741802</v>
      </c>
      <c r="O281" s="264"/>
      <c r="P281" s="267">
        <f>SUM(P269:P280)</f>
        <v>190.68114443076919</v>
      </c>
      <c r="Q281" s="262"/>
      <c r="R281" s="268">
        <f>SUM(R269:R280)</f>
        <v>575.03587084615378</v>
      </c>
      <c r="S281" s="264"/>
      <c r="T281" s="269">
        <f>SUM(T269:T280)</f>
        <v>656.35169296153845</v>
      </c>
      <c r="U281" s="270">
        <f>SUM(U269:U280)</f>
        <v>346.69818869999995</v>
      </c>
      <c r="V281" s="37"/>
      <c r="W281" s="37"/>
    </row>
    <row r="282" spans="2:23" x14ac:dyDescent="0.25">
      <c r="B282" s="431" t="s">
        <v>104</v>
      </c>
      <c r="C282" s="432"/>
      <c r="D282" s="250">
        <f>AVERAGE(D269:D280)</f>
        <v>76.811171628846154</v>
      </c>
      <c r="E282" s="250">
        <f>AVERAGE(E269:E280)</f>
        <v>102.6156303173077</v>
      </c>
      <c r="F282" s="250"/>
      <c r="G282" s="250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  <c r="R282" s="250">
        <f>AVERAGE(R269:R280)</f>
        <v>47.919655903846149</v>
      </c>
      <c r="S282" s="251"/>
      <c r="T282" s="251"/>
      <c r="U282" s="252"/>
      <c r="V282" s="37"/>
      <c r="W282" s="37"/>
    </row>
    <row r="283" spans="2:23" ht="15.75" thickBot="1" x14ac:dyDescent="0.3">
      <c r="B283" s="433" t="s">
        <v>105</v>
      </c>
      <c r="C283" s="434"/>
      <c r="D283" s="253">
        <f>D281/COUNT(C5:C265)</f>
        <v>3.5315481208664896</v>
      </c>
      <c r="E283" s="253">
        <f>E281/COUNT(C5:C265)</f>
        <v>4.7179600145888596</v>
      </c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>
        <f>R281/COUNT(C5:C265)</f>
        <v>2.203202570291777</v>
      </c>
      <c r="S283" s="254"/>
      <c r="T283" s="254"/>
      <c r="U283" s="255"/>
    </row>
    <row r="284" spans="2:23" x14ac:dyDescent="0.25"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</row>
  </sheetData>
  <mergeCells count="14">
    <mergeCell ref="B282:C282"/>
    <mergeCell ref="B283:C283"/>
    <mergeCell ref="A135:A156"/>
    <mergeCell ref="A157:A179"/>
    <mergeCell ref="A180:A199"/>
    <mergeCell ref="A200:A222"/>
    <mergeCell ref="A223:A244"/>
    <mergeCell ref="A245:A265"/>
    <mergeCell ref="A114:A134"/>
    <mergeCell ref="A5:A27"/>
    <mergeCell ref="A28:A47"/>
    <mergeCell ref="A48:A69"/>
    <mergeCell ref="A70:A90"/>
    <mergeCell ref="A91:A113"/>
  </mergeCells>
  <pageMargins left="0.7" right="0.7" top="0.75" bottom="0.75" header="0.3" footer="0.3"/>
  <pageSetup paperSize="9"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7"/>
  <sheetViews>
    <sheetView tabSelected="1" zoomScale="80" zoomScaleNormal="80" workbookViewId="0">
      <pane ySplit="1" topLeftCell="A268" activePane="bottomLeft" state="frozen"/>
      <selection pane="bottomLeft" activeCell="S290" sqref="R290:S290"/>
    </sheetView>
  </sheetViews>
  <sheetFormatPr baseColWidth="10" defaultRowHeight="15" x14ac:dyDescent="0.25"/>
  <cols>
    <col min="1" max="1" width="12.42578125" customWidth="1"/>
    <col min="2" max="2" width="13.5703125" customWidth="1"/>
    <col min="3" max="3" width="8.140625" bestFit="1" customWidth="1"/>
    <col min="4" max="4" width="11.7109375" customWidth="1"/>
    <col min="5" max="5" width="9.7109375" bestFit="1" customWidth="1"/>
    <col min="6" max="6" width="9.5703125" customWidth="1"/>
    <col min="7" max="7" width="9.7109375" customWidth="1"/>
    <col min="9" max="9" width="0.85546875" customWidth="1"/>
    <col min="11" max="11" width="0.85546875" customWidth="1"/>
    <col min="13" max="13" width="0.85546875" customWidth="1"/>
    <col min="15" max="15" width="0.85546875" customWidth="1"/>
    <col min="17" max="17" width="0.85546875" customWidth="1"/>
    <col min="19" max="19" width="0.85546875" customWidth="1"/>
    <col min="22" max="22" width="4.140625" bestFit="1" customWidth="1"/>
    <col min="23" max="23" width="3" bestFit="1" customWidth="1"/>
  </cols>
  <sheetData>
    <row r="1" spans="1:23" x14ac:dyDescent="0.25">
      <c r="A1" s="2" t="s">
        <v>108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thickBot="1" x14ac:dyDescent="0.3"/>
    <row r="3" spans="1:23" ht="51.75" thickBot="1" x14ac:dyDescent="0.3">
      <c r="A3" s="175">
        <v>2018</v>
      </c>
      <c r="B3" s="216"/>
      <c r="C3" s="217"/>
      <c r="D3" s="218" t="s">
        <v>40</v>
      </c>
      <c r="E3" s="219" t="s">
        <v>41</v>
      </c>
      <c r="F3" s="220" t="s">
        <v>42</v>
      </c>
      <c r="G3" s="221" t="s">
        <v>43</v>
      </c>
      <c r="H3" s="222" t="s">
        <v>44</v>
      </c>
      <c r="I3" s="223"/>
      <c r="J3" s="224" t="s">
        <v>45</v>
      </c>
      <c r="K3" s="225"/>
      <c r="L3" s="226" t="s">
        <v>46</v>
      </c>
      <c r="M3" s="225"/>
      <c r="N3" s="227" t="s">
        <v>47</v>
      </c>
      <c r="O3" s="225"/>
      <c r="P3" s="228" t="s">
        <v>48</v>
      </c>
      <c r="Q3" s="223"/>
      <c r="R3" s="229" t="s">
        <v>49</v>
      </c>
      <c r="S3" s="225"/>
      <c r="T3" s="230" t="s">
        <v>50</v>
      </c>
      <c r="U3" s="231" t="s">
        <v>51</v>
      </c>
      <c r="V3" s="32" t="s">
        <v>52</v>
      </c>
      <c r="W3" s="32"/>
    </row>
    <row r="4" spans="1:23" ht="3" customHeight="1" thickBot="1" x14ac:dyDescent="0.3">
      <c r="A4" s="37"/>
      <c r="B4" s="272"/>
      <c r="C4" s="273"/>
      <c r="D4" s="271"/>
      <c r="E4" s="271"/>
      <c r="F4" s="271"/>
      <c r="G4" s="271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4"/>
      <c r="S4" s="273"/>
      <c r="T4" s="273"/>
      <c r="U4" s="275"/>
      <c r="V4" s="37"/>
      <c r="W4" s="37"/>
    </row>
    <row r="5" spans="1:23" x14ac:dyDescent="0.25">
      <c r="A5" s="428" t="s">
        <v>89</v>
      </c>
      <c r="B5" s="182" t="s">
        <v>19</v>
      </c>
      <c r="C5" s="247">
        <v>1</v>
      </c>
      <c r="D5" s="184">
        <f>'2.4.5.4 Emplois ETP  base m'!D5/QTMGI</f>
        <v>3.3128165274725276</v>
      </c>
      <c r="E5" s="185">
        <f>'2.4.5.4 Emplois ETP  base m'!E5/QTMGI</f>
        <v>26.884285714285703</v>
      </c>
      <c r="F5" s="186">
        <f t="shared" ref="F5:F68" si="0">E5*TC</f>
        <v>21.507428571428562</v>
      </c>
      <c r="G5" s="187">
        <f t="shared" ref="G5:G68" si="1">E5*(1-TC)</f>
        <v>5.3768571428571397</v>
      </c>
      <c r="H5" s="188">
        <f>IF(E5&gt;D5,D5,E5)</f>
        <v>3.3128165274725276</v>
      </c>
      <c r="I5" s="189"/>
      <c r="J5" s="190">
        <f>IF(E5&gt;D5,0,D5-E5)</f>
        <v>0</v>
      </c>
      <c r="K5" s="191"/>
      <c r="L5" s="192">
        <f>IF(E5&gt;D5,IF(F5&gt;H5,0,H5-F5),G5)</f>
        <v>0</v>
      </c>
      <c r="M5" s="191"/>
      <c r="N5" s="193">
        <f>IF(E5&gt;D5,IF(F5&gt;H5,F5-H5,0),0)</f>
        <v>18.194612043956035</v>
      </c>
      <c r="O5" s="191"/>
      <c r="P5" s="194">
        <f>IF(E5&gt;D5,IF(F5&gt;H5,G5,E5-H5),0)</f>
        <v>5.3768571428571397</v>
      </c>
      <c r="Q5" s="189"/>
      <c r="R5" s="195">
        <f>H5-L5</f>
        <v>3.3128165274725276</v>
      </c>
      <c r="S5" s="191"/>
      <c r="T5" s="196">
        <f>L5+N5+P5</f>
        <v>23.571469186813175</v>
      </c>
      <c r="U5" s="197">
        <f>J5+L5</f>
        <v>0</v>
      </c>
      <c r="V5" s="37" t="str">
        <f>IF(R5+T5=E5,"ok","bad")</f>
        <v>ok</v>
      </c>
      <c r="W5" s="37" t="str">
        <f>IF(U5+R5=D5,"ok","bad")</f>
        <v>ok</v>
      </c>
    </row>
    <row r="6" spans="1:23" x14ac:dyDescent="0.25">
      <c r="A6" s="429"/>
      <c r="B6" s="198" t="s">
        <v>20</v>
      </c>
      <c r="C6" s="129">
        <v>2</v>
      </c>
      <c r="D6" s="130">
        <f>'2.4.5.4 Emplois ETP  base m'!D6/QTMGI</f>
        <v>2.6012286593406597</v>
      </c>
      <c r="E6" s="131">
        <f>'2.4.5.4 Emplois ETP  base m'!E6/QTMGI</f>
        <v>19.715142857142855</v>
      </c>
      <c r="F6" s="132">
        <f t="shared" si="0"/>
        <v>15.772114285714284</v>
      </c>
      <c r="G6" s="133">
        <f t="shared" si="1"/>
        <v>3.9430285714285702</v>
      </c>
      <c r="H6" s="134">
        <f t="shared" ref="H6:H27" si="2">IF(E6&gt;D6,D6,E6)</f>
        <v>2.6012286593406597</v>
      </c>
      <c r="I6" s="135"/>
      <c r="J6" s="136">
        <f t="shared" ref="J6:J27" si="3">IF(E6&gt;D6,0,D6-E6)</f>
        <v>0</v>
      </c>
      <c r="K6" s="137"/>
      <c r="L6" s="138">
        <f t="shared" ref="L6:L27" si="4">IF(E6&gt;D6,IF(F6&gt;H6,0,H6-F6),G6)</f>
        <v>0</v>
      </c>
      <c r="M6" s="137"/>
      <c r="N6" s="139">
        <f t="shared" ref="N6:N27" si="5">IF(E6&gt;D6,IF(F6&gt;H6,F6-H6,0),0)</f>
        <v>13.170885626373625</v>
      </c>
      <c r="O6" s="137"/>
      <c r="P6" s="140">
        <f t="shared" ref="P6:P27" si="6">IF(E6&gt;D6,IF(F6&gt;H6,G6,E6-H6),0)</f>
        <v>3.9430285714285702</v>
      </c>
      <c r="Q6" s="135"/>
      <c r="R6" s="104">
        <f t="shared" ref="R6:R27" si="7">H6-L6</f>
        <v>2.6012286593406597</v>
      </c>
      <c r="S6" s="137"/>
      <c r="T6" s="141">
        <f t="shared" ref="T6:T27" si="8">L6+N6+P6</f>
        <v>17.113914197802195</v>
      </c>
      <c r="U6" s="199">
        <f t="shared" ref="U6:U27" si="9">J6+L6</f>
        <v>0</v>
      </c>
      <c r="V6" s="37" t="str">
        <f t="shared" ref="V6:V27" si="10">IF(R6+T6=E6,"ok","bad")</f>
        <v>ok</v>
      </c>
      <c r="W6" s="37" t="str">
        <f t="shared" ref="W6:W27" si="11">IF(U6+R6=D6,"ok","bad")</f>
        <v>ok</v>
      </c>
    </row>
    <row r="7" spans="1:23" x14ac:dyDescent="0.25">
      <c r="A7" s="429"/>
      <c r="B7" s="198" t="s">
        <v>21</v>
      </c>
      <c r="C7" s="129">
        <v>3</v>
      </c>
      <c r="D7" s="130">
        <f>'2.4.5.4 Emplois ETP  base m'!D7/QTMGI</f>
        <v>1.1378088791208791</v>
      </c>
      <c r="E7" s="131">
        <f>'2.4.5.4 Emplois ETP  base m'!E7/QTMGI</f>
        <v>8.0652857142857126</v>
      </c>
      <c r="F7" s="132">
        <f t="shared" si="0"/>
        <v>6.4522285714285701</v>
      </c>
      <c r="G7" s="133">
        <f t="shared" si="1"/>
        <v>1.6130571428571421</v>
      </c>
      <c r="H7" s="134">
        <f t="shared" si="2"/>
        <v>1.1378088791208791</v>
      </c>
      <c r="I7" s="135"/>
      <c r="J7" s="136">
        <f t="shared" si="3"/>
        <v>0</v>
      </c>
      <c r="K7" s="137"/>
      <c r="L7" s="138">
        <f t="shared" si="4"/>
        <v>0</v>
      </c>
      <c r="M7" s="137"/>
      <c r="N7" s="139">
        <f t="shared" si="5"/>
        <v>5.3144196923076912</v>
      </c>
      <c r="O7" s="137"/>
      <c r="P7" s="140">
        <f t="shared" si="6"/>
        <v>1.6130571428571421</v>
      </c>
      <c r="Q7" s="135"/>
      <c r="R7" s="104">
        <f t="shared" si="7"/>
        <v>1.1378088791208791</v>
      </c>
      <c r="S7" s="137"/>
      <c r="T7" s="141">
        <f t="shared" si="8"/>
        <v>6.9274768351648337</v>
      </c>
      <c r="U7" s="199">
        <f t="shared" si="9"/>
        <v>0</v>
      </c>
      <c r="V7" s="37" t="str">
        <f t="shared" si="10"/>
        <v>ok</v>
      </c>
      <c r="W7" s="37" t="str">
        <f t="shared" si="11"/>
        <v>ok</v>
      </c>
    </row>
    <row r="8" spans="1:23" x14ac:dyDescent="0.25">
      <c r="A8" s="429"/>
      <c r="B8" s="198" t="s">
        <v>22</v>
      </c>
      <c r="C8" s="129">
        <v>4</v>
      </c>
      <c r="D8" s="130">
        <f>'2.4.5.4 Emplois ETP  base m'!D8/QTMGI</f>
        <v>0.79390523076923059</v>
      </c>
      <c r="E8" s="131">
        <f>'2.4.5.4 Emplois ETP  base m'!E8/QTMGI</f>
        <v>12.09792857142857</v>
      </c>
      <c r="F8" s="132">
        <f t="shared" si="0"/>
        <v>9.6783428571428569</v>
      </c>
      <c r="G8" s="133">
        <f t="shared" si="1"/>
        <v>2.4195857142857133</v>
      </c>
      <c r="H8" s="134">
        <f t="shared" si="2"/>
        <v>0.79390523076923059</v>
      </c>
      <c r="I8" s="135"/>
      <c r="J8" s="136">
        <f t="shared" si="3"/>
        <v>0</v>
      </c>
      <c r="K8" s="137"/>
      <c r="L8" s="138">
        <f t="shared" si="4"/>
        <v>0</v>
      </c>
      <c r="M8" s="137"/>
      <c r="N8" s="139">
        <f t="shared" si="5"/>
        <v>8.8844376263736269</v>
      </c>
      <c r="O8" s="137"/>
      <c r="P8" s="140">
        <f t="shared" si="6"/>
        <v>2.4195857142857133</v>
      </c>
      <c r="Q8" s="135"/>
      <c r="R8" s="104">
        <f t="shared" si="7"/>
        <v>0.79390523076923059</v>
      </c>
      <c r="S8" s="137"/>
      <c r="T8" s="141">
        <f t="shared" si="8"/>
        <v>11.30402334065934</v>
      </c>
      <c r="U8" s="199">
        <f t="shared" si="9"/>
        <v>0</v>
      </c>
      <c r="V8" s="37" t="str">
        <f t="shared" si="10"/>
        <v>ok</v>
      </c>
      <c r="W8" s="37" t="str">
        <f t="shared" si="11"/>
        <v>ok</v>
      </c>
    </row>
    <row r="9" spans="1:23" x14ac:dyDescent="0.25">
      <c r="A9" s="429"/>
      <c r="B9" s="198" t="s">
        <v>23</v>
      </c>
      <c r="C9" s="129">
        <v>5</v>
      </c>
      <c r="D9" s="130">
        <f>'2.4.5.4 Emplois ETP  base m'!D9/QTMGI</f>
        <v>1.6463472527472531</v>
      </c>
      <c r="E9" s="131">
        <f>'2.4.5.4 Emplois ETP  base m'!E9/QTMGI</f>
        <v>19.715142857142855</v>
      </c>
      <c r="F9" s="132">
        <f t="shared" si="0"/>
        <v>15.772114285714284</v>
      </c>
      <c r="G9" s="133">
        <f t="shared" si="1"/>
        <v>3.9430285714285702</v>
      </c>
      <c r="H9" s="134">
        <f t="shared" si="2"/>
        <v>1.6463472527472531</v>
      </c>
      <c r="I9" s="135"/>
      <c r="J9" s="136">
        <f t="shared" si="3"/>
        <v>0</v>
      </c>
      <c r="K9" s="137"/>
      <c r="L9" s="138">
        <f t="shared" si="4"/>
        <v>0</v>
      </c>
      <c r="M9" s="137"/>
      <c r="N9" s="139">
        <f t="shared" si="5"/>
        <v>14.125767032967032</v>
      </c>
      <c r="O9" s="137"/>
      <c r="P9" s="140">
        <f t="shared" si="6"/>
        <v>3.9430285714285702</v>
      </c>
      <c r="Q9" s="135"/>
      <c r="R9" s="104">
        <f t="shared" si="7"/>
        <v>1.6463472527472531</v>
      </c>
      <c r="S9" s="137"/>
      <c r="T9" s="141">
        <f t="shared" si="8"/>
        <v>18.068795604395604</v>
      </c>
      <c r="U9" s="199">
        <f t="shared" si="9"/>
        <v>0</v>
      </c>
      <c r="V9" s="37" t="str">
        <f t="shared" si="10"/>
        <v>ok</v>
      </c>
      <c r="W9" s="37" t="str">
        <f t="shared" si="11"/>
        <v>ok</v>
      </c>
    </row>
    <row r="10" spans="1:23" x14ac:dyDescent="0.25">
      <c r="A10" s="429"/>
      <c r="B10" s="198" t="s">
        <v>19</v>
      </c>
      <c r="C10" s="129">
        <v>8</v>
      </c>
      <c r="D10" s="130">
        <f>'2.4.5.4 Emplois ETP  base m'!D10/QTMGI</f>
        <v>5.2866039560439555</v>
      </c>
      <c r="E10" s="131">
        <f>'2.4.5.4 Emplois ETP  base m'!E10/QTMGI</f>
        <v>13.786813186813188</v>
      </c>
      <c r="F10" s="132">
        <f t="shared" si="0"/>
        <v>11.029450549450551</v>
      </c>
      <c r="G10" s="133">
        <f t="shared" si="1"/>
        <v>2.757362637362637</v>
      </c>
      <c r="H10" s="134">
        <f t="shared" si="2"/>
        <v>5.2866039560439555</v>
      </c>
      <c r="I10" s="135"/>
      <c r="J10" s="136">
        <f t="shared" si="3"/>
        <v>0</v>
      </c>
      <c r="K10" s="137"/>
      <c r="L10" s="138">
        <f t="shared" si="4"/>
        <v>0</v>
      </c>
      <c r="M10" s="137"/>
      <c r="N10" s="139">
        <f t="shared" si="5"/>
        <v>5.742846593406596</v>
      </c>
      <c r="O10" s="137"/>
      <c r="P10" s="140">
        <f t="shared" si="6"/>
        <v>2.757362637362637</v>
      </c>
      <c r="Q10" s="135"/>
      <c r="R10" s="104">
        <f t="shared" si="7"/>
        <v>5.2866039560439555</v>
      </c>
      <c r="S10" s="137"/>
      <c r="T10" s="141">
        <f t="shared" si="8"/>
        <v>8.500209230769233</v>
      </c>
      <c r="U10" s="199">
        <f t="shared" si="9"/>
        <v>0</v>
      </c>
      <c r="V10" s="37" t="str">
        <f t="shared" si="10"/>
        <v>ok</v>
      </c>
      <c r="W10" s="37" t="str">
        <f t="shared" si="11"/>
        <v>ok</v>
      </c>
    </row>
    <row r="11" spans="1:23" x14ac:dyDescent="0.25">
      <c r="A11" s="429"/>
      <c r="B11" s="198" t="s">
        <v>20</v>
      </c>
      <c r="C11" s="129">
        <v>9</v>
      </c>
      <c r="D11" s="130">
        <f>'2.4.5.4 Emplois ETP  base m'!D11/QTMGI</f>
        <v>4.2878199560439567</v>
      </c>
      <c r="E11" s="131">
        <f>'2.4.5.4 Emplois ETP  base m'!E11/QTMGI</f>
        <v>14.131483516483515</v>
      </c>
      <c r="F11" s="132">
        <f t="shared" si="0"/>
        <v>11.305186813186813</v>
      </c>
      <c r="G11" s="133">
        <f t="shared" si="1"/>
        <v>2.8262967032967024</v>
      </c>
      <c r="H11" s="134">
        <f t="shared" si="2"/>
        <v>4.2878199560439567</v>
      </c>
      <c r="I11" s="135"/>
      <c r="J11" s="136">
        <f t="shared" si="3"/>
        <v>0</v>
      </c>
      <c r="K11" s="137"/>
      <c r="L11" s="138">
        <f t="shared" si="4"/>
        <v>0</v>
      </c>
      <c r="M11" s="137"/>
      <c r="N11" s="139">
        <f t="shared" si="5"/>
        <v>7.0173668571428562</v>
      </c>
      <c r="O11" s="137"/>
      <c r="P11" s="140">
        <f t="shared" si="6"/>
        <v>2.8262967032967024</v>
      </c>
      <c r="Q11" s="135"/>
      <c r="R11" s="104">
        <f t="shared" si="7"/>
        <v>4.2878199560439567</v>
      </c>
      <c r="S11" s="137"/>
      <c r="T11" s="141">
        <f t="shared" si="8"/>
        <v>9.843663560439559</v>
      </c>
      <c r="U11" s="199">
        <f t="shared" si="9"/>
        <v>0</v>
      </c>
      <c r="V11" s="37" t="str">
        <f t="shared" si="10"/>
        <v>ok</v>
      </c>
      <c r="W11" s="37" t="str">
        <f t="shared" si="11"/>
        <v>ok</v>
      </c>
    </row>
    <row r="12" spans="1:23" x14ac:dyDescent="0.25">
      <c r="A12" s="429"/>
      <c r="B12" s="198" t="s">
        <v>21</v>
      </c>
      <c r="C12" s="129">
        <v>10</v>
      </c>
      <c r="D12" s="130">
        <f>'2.4.5.4 Emplois ETP  base m'!D12/QTMGI</f>
        <v>2.4786672527472526</v>
      </c>
      <c r="E12" s="131">
        <f>'2.4.5.4 Emplois ETP  base m'!E12/QTMGI</f>
        <v>7.582747252747251</v>
      </c>
      <c r="F12" s="132">
        <f t="shared" si="0"/>
        <v>6.0661978021978014</v>
      </c>
      <c r="G12" s="133">
        <f t="shared" si="1"/>
        <v>1.5165494505494499</v>
      </c>
      <c r="H12" s="134">
        <f t="shared" si="2"/>
        <v>2.4786672527472526</v>
      </c>
      <c r="I12" s="135"/>
      <c r="J12" s="136">
        <f t="shared" si="3"/>
        <v>0</v>
      </c>
      <c r="K12" s="137"/>
      <c r="L12" s="138">
        <f t="shared" si="4"/>
        <v>0</v>
      </c>
      <c r="M12" s="137"/>
      <c r="N12" s="139">
        <f t="shared" si="5"/>
        <v>3.5875305494505487</v>
      </c>
      <c r="O12" s="137"/>
      <c r="P12" s="140">
        <f t="shared" si="6"/>
        <v>1.5165494505494499</v>
      </c>
      <c r="Q12" s="135"/>
      <c r="R12" s="104">
        <f t="shared" si="7"/>
        <v>2.4786672527472526</v>
      </c>
      <c r="S12" s="137"/>
      <c r="T12" s="141">
        <f t="shared" si="8"/>
        <v>5.1040799999999988</v>
      </c>
      <c r="U12" s="199">
        <f t="shared" si="9"/>
        <v>0</v>
      </c>
      <c r="V12" s="37" t="str">
        <f t="shared" si="10"/>
        <v>ok</v>
      </c>
      <c r="W12" s="37" t="str">
        <f t="shared" si="11"/>
        <v>ok</v>
      </c>
    </row>
    <row r="13" spans="1:23" x14ac:dyDescent="0.25">
      <c r="A13" s="429"/>
      <c r="B13" s="198" t="s">
        <v>22</v>
      </c>
      <c r="C13" s="129">
        <v>11</v>
      </c>
      <c r="D13" s="130">
        <f>'2.4.5.4 Emplois ETP  base m'!D13/QTMGI</f>
        <v>2.001226549450549</v>
      </c>
      <c r="E13" s="131">
        <f>'2.4.5.4 Emplois ETP  base m'!E13/QTMGI</f>
        <v>9.6507692307692299</v>
      </c>
      <c r="F13" s="132">
        <f t="shared" si="0"/>
        <v>7.7206153846153844</v>
      </c>
      <c r="G13" s="133">
        <f t="shared" si="1"/>
        <v>1.9301538461538454</v>
      </c>
      <c r="H13" s="134">
        <f t="shared" si="2"/>
        <v>2.001226549450549</v>
      </c>
      <c r="I13" s="135"/>
      <c r="J13" s="136">
        <f t="shared" si="3"/>
        <v>0</v>
      </c>
      <c r="K13" s="137"/>
      <c r="L13" s="138">
        <f t="shared" si="4"/>
        <v>0</v>
      </c>
      <c r="M13" s="137"/>
      <c r="N13" s="139">
        <f t="shared" si="5"/>
        <v>5.7193888351648354</v>
      </c>
      <c r="O13" s="137"/>
      <c r="P13" s="140">
        <f t="shared" si="6"/>
        <v>1.9301538461538454</v>
      </c>
      <c r="Q13" s="135"/>
      <c r="R13" s="104">
        <f t="shared" si="7"/>
        <v>2.001226549450549</v>
      </c>
      <c r="S13" s="137"/>
      <c r="T13" s="141">
        <f t="shared" si="8"/>
        <v>7.6495426813186809</v>
      </c>
      <c r="U13" s="199">
        <f t="shared" si="9"/>
        <v>0</v>
      </c>
      <c r="V13" s="37" t="str">
        <f t="shared" si="10"/>
        <v>ok</v>
      </c>
      <c r="W13" s="37" t="str">
        <f t="shared" si="11"/>
        <v>ok</v>
      </c>
    </row>
    <row r="14" spans="1:23" x14ac:dyDescent="0.25">
      <c r="A14" s="429"/>
      <c r="B14" s="198" t="s">
        <v>23</v>
      </c>
      <c r="C14" s="129">
        <v>12</v>
      </c>
      <c r="D14" s="130">
        <f>'2.4.5.4 Emplois ETP  base m'!D14/QTMGI</f>
        <v>3.8122085274725275</v>
      </c>
      <c r="E14" s="131">
        <f>'2.4.5.4 Emplois ETP  base m'!E14/QTMGI</f>
        <v>13.097472527472526</v>
      </c>
      <c r="F14" s="132">
        <f t="shared" si="0"/>
        <v>10.477978021978021</v>
      </c>
      <c r="G14" s="133">
        <f t="shared" si="1"/>
        <v>2.6194945054945045</v>
      </c>
      <c r="H14" s="134">
        <f t="shared" si="2"/>
        <v>3.8122085274725275</v>
      </c>
      <c r="I14" s="135"/>
      <c r="J14" s="136">
        <f t="shared" si="3"/>
        <v>0</v>
      </c>
      <c r="K14" s="137"/>
      <c r="L14" s="138">
        <f t="shared" si="4"/>
        <v>0</v>
      </c>
      <c r="M14" s="137"/>
      <c r="N14" s="139">
        <f t="shared" si="5"/>
        <v>6.6657694945054935</v>
      </c>
      <c r="O14" s="137"/>
      <c r="P14" s="140">
        <f t="shared" si="6"/>
        <v>2.6194945054945045</v>
      </c>
      <c r="Q14" s="135"/>
      <c r="R14" s="104">
        <f t="shared" si="7"/>
        <v>3.8122085274725275</v>
      </c>
      <c r="S14" s="137"/>
      <c r="T14" s="141">
        <f t="shared" si="8"/>
        <v>9.285263999999998</v>
      </c>
      <c r="U14" s="199">
        <f t="shared" si="9"/>
        <v>0</v>
      </c>
      <c r="V14" s="37" t="str">
        <f t="shared" si="10"/>
        <v>ok</v>
      </c>
      <c r="W14" s="37" t="str">
        <f t="shared" si="11"/>
        <v>ok</v>
      </c>
    </row>
    <row r="15" spans="1:23" x14ac:dyDescent="0.25">
      <c r="A15" s="429"/>
      <c r="B15" s="198" t="s">
        <v>19</v>
      </c>
      <c r="C15" s="129">
        <v>15</v>
      </c>
      <c r="D15" s="130">
        <f>'2.4.5.4 Emplois ETP  base m'!D15/QTMGI</f>
        <v>3.3128165274725276</v>
      </c>
      <c r="E15" s="131">
        <f>'2.4.5.4 Emplois ETP  base m'!E15/QTMGI</f>
        <v>20.680219780219776</v>
      </c>
      <c r="F15" s="132">
        <f t="shared" si="0"/>
        <v>16.54417582417582</v>
      </c>
      <c r="G15" s="133">
        <f t="shared" si="1"/>
        <v>4.1360439560439541</v>
      </c>
      <c r="H15" s="134">
        <f t="shared" si="2"/>
        <v>3.3128165274725276</v>
      </c>
      <c r="I15" s="135"/>
      <c r="J15" s="136">
        <f t="shared" si="3"/>
        <v>0</v>
      </c>
      <c r="K15" s="137"/>
      <c r="L15" s="138">
        <f t="shared" si="4"/>
        <v>0</v>
      </c>
      <c r="M15" s="137"/>
      <c r="N15" s="139">
        <f t="shared" si="5"/>
        <v>13.231359296703292</v>
      </c>
      <c r="O15" s="137"/>
      <c r="P15" s="140">
        <f t="shared" si="6"/>
        <v>4.1360439560439541</v>
      </c>
      <c r="Q15" s="135"/>
      <c r="R15" s="104">
        <f t="shared" si="7"/>
        <v>3.3128165274725276</v>
      </c>
      <c r="S15" s="137"/>
      <c r="T15" s="141">
        <f t="shared" si="8"/>
        <v>17.367403252747245</v>
      </c>
      <c r="U15" s="199">
        <f t="shared" si="9"/>
        <v>0</v>
      </c>
      <c r="V15" s="37" t="str">
        <f t="shared" si="10"/>
        <v>ok</v>
      </c>
      <c r="W15" s="37" t="str">
        <f t="shared" si="11"/>
        <v>ok</v>
      </c>
    </row>
    <row r="16" spans="1:23" x14ac:dyDescent="0.25">
      <c r="A16" s="429"/>
      <c r="B16" s="198" t="s">
        <v>20</v>
      </c>
      <c r="C16" s="129">
        <v>16</v>
      </c>
      <c r="D16" s="130">
        <f>'2.4.5.4 Emplois ETP  base m'!D16/QTMGI</f>
        <v>2.6012286593406597</v>
      </c>
      <c r="E16" s="131">
        <f>'2.4.5.4 Emplois ETP  base m'!E16/QTMGI</f>
        <v>15.854835164835164</v>
      </c>
      <c r="F16" s="132">
        <f t="shared" si="0"/>
        <v>12.683868131868131</v>
      </c>
      <c r="G16" s="133">
        <f t="shared" si="1"/>
        <v>3.1709670329670319</v>
      </c>
      <c r="H16" s="134">
        <f t="shared" si="2"/>
        <v>2.6012286593406597</v>
      </c>
      <c r="I16" s="135"/>
      <c r="J16" s="136">
        <f t="shared" si="3"/>
        <v>0</v>
      </c>
      <c r="K16" s="137"/>
      <c r="L16" s="138">
        <f t="shared" si="4"/>
        <v>0</v>
      </c>
      <c r="M16" s="137"/>
      <c r="N16" s="139">
        <f t="shared" si="5"/>
        <v>10.082639472527472</v>
      </c>
      <c r="O16" s="137"/>
      <c r="P16" s="140">
        <f t="shared" si="6"/>
        <v>3.1709670329670319</v>
      </c>
      <c r="Q16" s="135"/>
      <c r="R16" s="104">
        <f t="shared" si="7"/>
        <v>2.6012286593406597</v>
      </c>
      <c r="S16" s="137"/>
      <c r="T16" s="141">
        <f t="shared" si="8"/>
        <v>13.253606505494503</v>
      </c>
      <c r="U16" s="199">
        <f t="shared" si="9"/>
        <v>0</v>
      </c>
      <c r="V16" s="37" t="str">
        <f t="shared" si="10"/>
        <v>ok</v>
      </c>
      <c r="W16" s="37" t="str">
        <f t="shared" si="11"/>
        <v>ok</v>
      </c>
    </row>
    <row r="17" spans="1:23" x14ac:dyDescent="0.25">
      <c r="A17" s="429"/>
      <c r="B17" s="198" t="s">
        <v>21</v>
      </c>
      <c r="C17" s="129">
        <v>17</v>
      </c>
      <c r="D17" s="130">
        <f>'2.4.5.4 Emplois ETP  base m'!D17/QTMGI</f>
        <v>1.1378088791208791</v>
      </c>
      <c r="E17" s="131">
        <f>'2.4.5.4 Emplois ETP  base m'!E17/QTMGI</f>
        <v>7.582747252747251</v>
      </c>
      <c r="F17" s="132">
        <f t="shared" si="0"/>
        <v>6.0661978021978014</v>
      </c>
      <c r="G17" s="133">
        <f t="shared" si="1"/>
        <v>1.5165494505494499</v>
      </c>
      <c r="H17" s="134">
        <f t="shared" si="2"/>
        <v>1.1378088791208791</v>
      </c>
      <c r="I17" s="135"/>
      <c r="J17" s="136">
        <f t="shared" si="3"/>
        <v>0</v>
      </c>
      <c r="K17" s="137"/>
      <c r="L17" s="138">
        <f t="shared" si="4"/>
        <v>0</v>
      </c>
      <c r="M17" s="137"/>
      <c r="N17" s="139">
        <f t="shared" si="5"/>
        <v>4.9283889230769224</v>
      </c>
      <c r="O17" s="137"/>
      <c r="P17" s="140">
        <f t="shared" si="6"/>
        <v>1.5165494505494499</v>
      </c>
      <c r="Q17" s="135"/>
      <c r="R17" s="104">
        <f t="shared" si="7"/>
        <v>1.1378088791208791</v>
      </c>
      <c r="S17" s="137"/>
      <c r="T17" s="141">
        <f t="shared" si="8"/>
        <v>6.4449383736263721</v>
      </c>
      <c r="U17" s="199">
        <f t="shared" si="9"/>
        <v>0</v>
      </c>
      <c r="V17" s="37" t="str">
        <f t="shared" si="10"/>
        <v>ok</v>
      </c>
      <c r="W17" s="37" t="str">
        <f t="shared" si="11"/>
        <v>ok</v>
      </c>
    </row>
    <row r="18" spans="1:23" x14ac:dyDescent="0.25">
      <c r="A18" s="429"/>
      <c r="B18" s="198" t="s">
        <v>22</v>
      </c>
      <c r="C18" s="129">
        <v>18</v>
      </c>
      <c r="D18" s="130">
        <f>'2.4.5.4 Emplois ETP  base m'!D18/QTMGI</f>
        <v>0.79390523076923059</v>
      </c>
      <c r="E18" s="131">
        <f>'2.4.5.4 Emplois ETP  base m'!E18/QTMGI</f>
        <v>12.752802197802197</v>
      </c>
      <c r="F18" s="132">
        <f t="shared" si="0"/>
        <v>10.202241758241758</v>
      </c>
      <c r="G18" s="133">
        <f t="shared" si="1"/>
        <v>2.5505604395604387</v>
      </c>
      <c r="H18" s="134">
        <f t="shared" si="2"/>
        <v>0.79390523076923059</v>
      </c>
      <c r="I18" s="135"/>
      <c r="J18" s="136">
        <f t="shared" si="3"/>
        <v>0</v>
      </c>
      <c r="K18" s="137"/>
      <c r="L18" s="138">
        <f t="shared" si="4"/>
        <v>0</v>
      </c>
      <c r="M18" s="137"/>
      <c r="N18" s="139">
        <f t="shared" si="5"/>
        <v>9.4083365274725281</v>
      </c>
      <c r="O18" s="137"/>
      <c r="P18" s="140">
        <f t="shared" si="6"/>
        <v>2.5505604395604387</v>
      </c>
      <c r="Q18" s="135"/>
      <c r="R18" s="104">
        <f t="shared" si="7"/>
        <v>0.79390523076923059</v>
      </c>
      <c r="S18" s="137"/>
      <c r="T18" s="141">
        <f t="shared" si="8"/>
        <v>11.958896967032967</v>
      </c>
      <c r="U18" s="199">
        <f t="shared" si="9"/>
        <v>0</v>
      </c>
      <c r="V18" s="37" t="str">
        <f t="shared" si="10"/>
        <v>ok</v>
      </c>
      <c r="W18" s="37" t="str">
        <f t="shared" si="11"/>
        <v>ok</v>
      </c>
    </row>
    <row r="19" spans="1:23" x14ac:dyDescent="0.25">
      <c r="A19" s="429"/>
      <c r="B19" s="198" t="s">
        <v>23</v>
      </c>
      <c r="C19" s="129">
        <v>19</v>
      </c>
      <c r="D19" s="130">
        <f>'2.4.5.4 Emplois ETP  base m'!D19/QTMGI</f>
        <v>1.6463472527472531</v>
      </c>
      <c r="E19" s="131">
        <f>'2.4.5.4 Emplois ETP  base m'!E19/QTMGI</f>
        <v>15.165494505494502</v>
      </c>
      <c r="F19" s="132">
        <f t="shared" si="0"/>
        <v>12.132395604395603</v>
      </c>
      <c r="G19" s="133">
        <f t="shared" si="1"/>
        <v>3.0330989010988998</v>
      </c>
      <c r="H19" s="134">
        <f t="shared" si="2"/>
        <v>1.6463472527472531</v>
      </c>
      <c r="I19" s="135"/>
      <c r="J19" s="136">
        <f t="shared" si="3"/>
        <v>0</v>
      </c>
      <c r="K19" s="137"/>
      <c r="L19" s="138">
        <f t="shared" si="4"/>
        <v>0</v>
      </c>
      <c r="M19" s="137"/>
      <c r="N19" s="139">
        <f t="shared" si="5"/>
        <v>10.48604835164835</v>
      </c>
      <c r="O19" s="137"/>
      <c r="P19" s="140">
        <f t="shared" si="6"/>
        <v>3.0330989010988998</v>
      </c>
      <c r="Q19" s="135"/>
      <c r="R19" s="104">
        <f t="shared" si="7"/>
        <v>1.6463472527472531</v>
      </c>
      <c r="S19" s="137"/>
      <c r="T19" s="141">
        <f t="shared" si="8"/>
        <v>13.519147252747249</v>
      </c>
      <c r="U19" s="199">
        <f t="shared" si="9"/>
        <v>0</v>
      </c>
      <c r="V19" s="37" t="str">
        <f t="shared" si="10"/>
        <v>ok</v>
      </c>
      <c r="W19" s="37" t="str">
        <f t="shared" si="11"/>
        <v>ok</v>
      </c>
    </row>
    <row r="20" spans="1:23" x14ac:dyDescent="0.25">
      <c r="A20" s="429"/>
      <c r="B20" s="198" t="s">
        <v>19</v>
      </c>
      <c r="C20" s="129">
        <v>22</v>
      </c>
      <c r="D20" s="130">
        <f>'2.4.5.4 Emplois ETP  base m'!D20/QTMGI</f>
        <v>6.607340307692307</v>
      </c>
      <c r="E20" s="131">
        <f>'2.4.5.4 Emplois ETP  base m'!E20/QTMGI</f>
        <v>17.061181318681317</v>
      </c>
      <c r="F20" s="132">
        <f t="shared" si="0"/>
        <v>13.648945054945054</v>
      </c>
      <c r="G20" s="133">
        <f t="shared" si="1"/>
        <v>3.4122362637362627</v>
      </c>
      <c r="H20" s="134">
        <f t="shared" si="2"/>
        <v>6.607340307692307</v>
      </c>
      <c r="I20" s="135"/>
      <c r="J20" s="136">
        <f t="shared" si="3"/>
        <v>0</v>
      </c>
      <c r="K20" s="137"/>
      <c r="L20" s="138">
        <f t="shared" si="4"/>
        <v>0</v>
      </c>
      <c r="M20" s="137"/>
      <c r="N20" s="139">
        <f t="shared" si="5"/>
        <v>7.0416047472527472</v>
      </c>
      <c r="O20" s="137"/>
      <c r="P20" s="140">
        <f t="shared" si="6"/>
        <v>3.4122362637362627</v>
      </c>
      <c r="Q20" s="135"/>
      <c r="R20" s="104">
        <f t="shared" si="7"/>
        <v>6.607340307692307</v>
      </c>
      <c r="S20" s="137"/>
      <c r="T20" s="141">
        <f t="shared" si="8"/>
        <v>10.453841010989009</v>
      </c>
      <c r="U20" s="199">
        <f t="shared" si="9"/>
        <v>0</v>
      </c>
      <c r="V20" s="37" t="str">
        <f t="shared" si="10"/>
        <v>ok</v>
      </c>
      <c r="W20" s="37" t="str">
        <f t="shared" si="11"/>
        <v>ok</v>
      </c>
    </row>
    <row r="21" spans="1:23" x14ac:dyDescent="0.25">
      <c r="A21" s="429"/>
      <c r="B21" s="198" t="s">
        <v>20</v>
      </c>
      <c r="C21" s="129">
        <v>23</v>
      </c>
      <c r="D21" s="130">
        <f>'2.4.5.4 Emplois ETP  base m'!D21/QTMGI</f>
        <v>5.3780676923076918</v>
      </c>
      <c r="E21" s="131">
        <f>'2.4.5.4 Emplois ETP  base m'!E21/QTMGI</f>
        <v>10.808861538461535</v>
      </c>
      <c r="F21" s="132">
        <f t="shared" si="0"/>
        <v>8.6470892307692289</v>
      </c>
      <c r="G21" s="133">
        <f t="shared" si="1"/>
        <v>2.1617723076923068</v>
      </c>
      <c r="H21" s="134">
        <f t="shared" si="2"/>
        <v>5.3780676923076918</v>
      </c>
      <c r="I21" s="135"/>
      <c r="J21" s="136">
        <f t="shared" si="3"/>
        <v>0</v>
      </c>
      <c r="K21" s="137"/>
      <c r="L21" s="138">
        <f t="shared" si="4"/>
        <v>0</v>
      </c>
      <c r="M21" s="137"/>
      <c r="N21" s="139">
        <f t="shared" si="5"/>
        <v>3.2690215384615371</v>
      </c>
      <c r="O21" s="137"/>
      <c r="P21" s="140">
        <f t="shared" si="6"/>
        <v>2.1617723076923068</v>
      </c>
      <c r="Q21" s="135"/>
      <c r="R21" s="104">
        <f t="shared" si="7"/>
        <v>5.3780676923076918</v>
      </c>
      <c r="S21" s="137"/>
      <c r="T21" s="141">
        <f t="shared" si="8"/>
        <v>5.4307938461538434</v>
      </c>
      <c r="U21" s="199">
        <f t="shared" si="9"/>
        <v>0</v>
      </c>
      <c r="V21" s="37" t="str">
        <f t="shared" si="10"/>
        <v>ok</v>
      </c>
      <c r="W21" s="37" t="str">
        <f t="shared" si="11"/>
        <v>ok</v>
      </c>
    </row>
    <row r="22" spans="1:23" x14ac:dyDescent="0.25">
      <c r="A22" s="429"/>
      <c r="B22" s="198" t="s">
        <v>21</v>
      </c>
      <c r="C22" s="129">
        <v>24</v>
      </c>
      <c r="D22" s="130">
        <f>'2.4.5.4 Emplois ETP  base m'!D22/QTMGI</f>
        <v>3.0987913846153847</v>
      </c>
      <c r="E22" s="131">
        <f>'2.4.5.4 Emplois ETP  base m'!E22/QTMGI</f>
        <v>5.1218010989010976</v>
      </c>
      <c r="F22" s="132">
        <f t="shared" si="0"/>
        <v>4.0974408791208781</v>
      </c>
      <c r="G22" s="133">
        <f t="shared" si="1"/>
        <v>1.0243602197802193</v>
      </c>
      <c r="H22" s="134">
        <f t="shared" si="2"/>
        <v>3.0987913846153847</v>
      </c>
      <c r="I22" s="135"/>
      <c r="J22" s="136">
        <f t="shared" si="3"/>
        <v>0</v>
      </c>
      <c r="K22" s="137"/>
      <c r="L22" s="138">
        <f t="shared" si="4"/>
        <v>0</v>
      </c>
      <c r="M22" s="137"/>
      <c r="N22" s="139">
        <f t="shared" si="5"/>
        <v>0.99864949450549334</v>
      </c>
      <c r="O22" s="137"/>
      <c r="P22" s="140">
        <f t="shared" si="6"/>
        <v>1.0243602197802193</v>
      </c>
      <c r="Q22" s="135"/>
      <c r="R22" s="104">
        <f t="shared" si="7"/>
        <v>3.0987913846153847</v>
      </c>
      <c r="S22" s="137"/>
      <c r="T22" s="141">
        <f t="shared" si="8"/>
        <v>2.0230097142857124</v>
      </c>
      <c r="U22" s="199">
        <f t="shared" si="9"/>
        <v>0</v>
      </c>
      <c r="V22" s="37" t="str">
        <f t="shared" si="10"/>
        <v>ok</v>
      </c>
      <c r="W22" s="37" t="str">
        <f t="shared" si="11"/>
        <v>ok</v>
      </c>
    </row>
    <row r="23" spans="1:23" x14ac:dyDescent="0.25">
      <c r="A23" s="429"/>
      <c r="B23" s="198" t="s">
        <v>22</v>
      </c>
      <c r="C23" s="129">
        <v>25</v>
      </c>
      <c r="D23" s="130">
        <f>'2.4.5.4 Emplois ETP  base m'!D23/QTMGI</f>
        <v>2.5372040439560437</v>
      </c>
      <c r="E23" s="131">
        <f>'2.4.5.4 Emplois ETP  base m'!E23/QTMGI</f>
        <v>6.8244725274725262</v>
      </c>
      <c r="F23" s="132">
        <f t="shared" si="0"/>
        <v>5.4595780219780217</v>
      </c>
      <c r="G23" s="133">
        <f t="shared" si="1"/>
        <v>1.364894505494505</v>
      </c>
      <c r="H23" s="134">
        <f t="shared" si="2"/>
        <v>2.5372040439560437</v>
      </c>
      <c r="I23" s="135"/>
      <c r="J23" s="136">
        <f t="shared" si="3"/>
        <v>0</v>
      </c>
      <c r="K23" s="137"/>
      <c r="L23" s="138">
        <f t="shared" si="4"/>
        <v>0</v>
      </c>
      <c r="M23" s="137"/>
      <c r="N23" s="139">
        <f t="shared" si="5"/>
        <v>2.922373978021978</v>
      </c>
      <c r="O23" s="137"/>
      <c r="P23" s="140">
        <f t="shared" si="6"/>
        <v>1.364894505494505</v>
      </c>
      <c r="Q23" s="135"/>
      <c r="R23" s="104">
        <f t="shared" si="7"/>
        <v>2.5372040439560437</v>
      </c>
      <c r="S23" s="137"/>
      <c r="T23" s="141">
        <f t="shared" si="8"/>
        <v>4.2872684835164829</v>
      </c>
      <c r="U23" s="199">
        <f t="shared" si="9"/>
        <v>0</v>
      </c>
      <c r="V23" s="37" t="str">
        <f t="shared" si="10"/>
        <v>ok</v>
      </c>
      <c r="W23" s="37" t="str">
        <f t="shared" si="11"/>
        <v>ok</v>
      </c>
    </row>
    <row r="24" spans="1:23" x14ac:dyDescent="0.25">
      <c r="A24" s="429"/>
      <c r="B24" s="198" t="s">
        <v>23</v>
      </c>
      <c r="C24" s="129">
        <v>26</v>
      </c>
      <c r="D24" s="130">
        <f>'2.4.5.4 Emplois ETP  base m'!D24/QTMGI</f>
        <v>4.765260659340659</v>
      </c>
      <c r="E24" s="131">
        <f>'2.4.5.4 Emplois ETP  base m'!E24/QTMGI</f>
        <v>10.808861538461535</v>
      </c>
      <c r="F24" s="132">
        <f t="shared" si="0"/>
        <v>8.6470892307692289</v>
      </c>
      <c r="G24" s="133">
        <f t="shared" si="1"/>
        <v>2.1617723076923068</v>
      </c>
      <c r="H24" s="134">
        <f t="shared" si="2"/>
        <v>4.765260659340659</v>
      </c>
      <c r="I24" s="135"/>
      <c r="J24" s="136">
        <f t="shared" si="3"/>
        <v>0</v>
      </c>
      <c r="K24" s="137"/>
      <c r="L24" s="138">
        <f t="shared" si="4"/>
        <v>0</v>
      </c>
      <c r="M24" s="137"/>
      <c r="N24" s="139">
        <f t="shared" si="5"/>
        <v>3.8818285714285699</v>
      </c>
      <c r="O24" s="137"/>
      <c r="P24" s="140">
        <f t="shared" si="6"/>
        <v>2.1617723076923068</v>
      </c>
      <c r="Q24" s="135"/>
      <c r="R24" s="104">
        <f t="shared" si="7"/>
        <v>4.765260659340659</v>
      </c>
      <c r="S24" s="137"/>
      <c r="T24" s="141">
        <f t="shared" si="8"/>
        <v>6.0436008791208771</v>
      </c>
      <c r="U24" s="199">
        <f t="shared" si="9"/>
        <v>0</v>
      </c>
      <c r="V24" s="37" t="str">
        <f t="shared" si="10"/>
        <v>ok</v>
      </c>
      <c r="W24" s="37" t="str">
        <f t="shared" si="11"/>
        <v>ok</v>
      </c>
    </row>
    <row r="25" spans="1:23" x14ac:dyDescent="0.25">
      <c r="A25" s="429"/>
      <c r="B25" s="198" t="s">
        <v>19</v>
      </c>
      <c r="C25" s="129">
        <v>29</v>
      </c>
      <c r="D25" s="130">
        <f>'2.4.5.4 Emplois ETP  base m'!D25/QTMGI</f>
        <v>7.9280766593406602</v>
      </c>
      <c r="E25" s="131">
        <f>'2.4.5.4 Emplois ETP  base m'!E25/QTMGI</f>
        <v>20.680219780219776</v>
      </c>
      <c r="F25" s="132">
        <f t="shared" si="0"/>
        <v>16.54417582417582</v>
      </c>
      <c r="G25" s="133">
        <f t="shared" si="1"/>
        <v>4.1360439560439541</v>
      </c>
      <c r="H25" s="134">
        <f t="shared" si="2"/>
        <v>7.9280766593406602</v>
      </c>
      <c r="I25" s="135"/>
      <c r="J25" s="136">
        <f t="shared" si="3"/>
        <v>0</v>
      </c>
      <c r="K25" s="137"/>
      <c r="L25" s="138">
        <f t="shared" si="4"/>
        <v>0</v>
      </c>
      <c r="M25" s="137"/>
      <c r="N25" s="139">
        <f t="shared" si="5"/>
        <v>8.616099164835159</v>
      </c>
      <c r="O25" s="137"/>
      <c r="P25" s="140">
        <f t="shared" si="6"/>
        <v>4.1360439560439541</v>
      </c>
      <c r="Q25" s="135"/>
      <c r="R25" s="104">
        <f t="shared" si="7"/>
        <v>7.9280766593406602</v>
      </c>
      <c r="S25" s="137"/>
      <c r="T25" s="141">
        <f t="shared" si="8"/>
        <v>12.752143120879113</v>
      </c>
      <c r="U25" s="199">
        <f t="shared" si="9"/>
        <v>0</v>
      </c>
      <c r="V25" s="37" t="str">
        <f t="shared" si="10"/>
        <v>ok</v>
      </c>
      <c r="W25" s="37" t="str">
        <f t="shared" si="11"/>
        <v>ok</v>
      </c>
    </row>
    <row r="26" spans="1:23" x14ac:dyDescent="0.25">
      <c r="A26" s="429"/>
      <c r="B26" s="198" t="s">
        <v>20</v>
      </c>
      <c r="C26" s="129">
        <v>30</v>
      </c>
      <c r="D26" s="130">
        <f>'2.4.5.4 Emplois ETP  base m'!D26/QTMGI</f>
        <v>6.4317299340659337</v>
      </c>
      <c r="E26" s="131">
        <f>'2.4.5.4 Emplois ETP  base m'!E26/QTMGI</f>
        <v>14.47615384615384</v>
      </c>
      <c r="F26" s="132">
        <f t="shared" si="0"/>
        <v>11.580923076923073</v>
      </c>
      <c r="G26" s="133">
        <f t="shared" si="1"/>
        <v>2.8952307692307673</v>
      </c>
      <c r="H26" s="134">
        <f t="shared" si="2"/>
        <v>6.4317299340659337</v>
      </c>
      <c r="I26" s="135"/>
      <c r="J26" s="136">
        <f t="shared" si="3"/>
        <v>0</v>
      </c>
      <c r="K26" s="137"/>
      <c r="L26" s="138">
        <f t="shared" si="4"/>
        <v>0</v>
      </c>
      <c r="M26" s="137"/>
      <c r="N26" s="139">
        <f t="shared" si="5"/>
        <v>5.1491931428571389</v>
      </c>
      <c r="O26" s="137"/>
      <c r="P26" s="140">
        <f t="shared" si="6"/>
        <v>2.8952307692307673</v>
      </c>
      <c r="Q26" s="135"/>
      <c r="R26" s="104">
        <f t="shared" si="7"/>
        <v>6.4317299340659337</v>
      </c>
      <c r="S26" s="137"/>
      <c r="T26" s="141">
        <f t="shared" si="8"/>
        <v>8.0444239120879057</v>
      </c>
      <c r="U26" s="199">
        <f t="shared" si="9"/>
        <v>0</v>
      </c>
      <c r="V26" s="37" t="str">
        <f t="shared" si="10"/>
        <v>ok</v>
      </c>
      <c r="W26" s="37" t="str">
        <f t="shared" si="11"/>
        <v>ok</v>
      </c>
    </row>
    <row r="27" spans="1:23" ht="15.75" thickBot="1" x14ac:dyDescent="0.3">
      <c r="A27" s="430"/>
      <c r="B27" s="200" t="s">
        <v>21</v>
      </c>
      <c r="C27" s="165">
        <v>31</v>
      </c>
      <c r="D27" s="202">
        <f>'2.4.5.4 Emplois ETP  base m'!D27/QTMGI</f>
        <v>3.7189155164835155</v>
      </c>
      <c r="E27" s="203">
        <f>'2.4.5.4 Emplois ETP  base m'!E27/QTMGI</f>
        <v>6.8934065934065938</v>
      </c>
      <c r="F27" s="204">
        <f t="shared" si="0"/>
        <v>5.5147252747252757</v>
      </c>
      <c r="G27" s="205">
        <f t="shared" si="1"/>
        <v>1.3786813186813185</v>
      </c>
      <c r="H27" s="206">
        <f t="shared" si="2"/>
        <v>3.7189155164835155</v>
      </c>
      <c r="I27" s="207"/>
      <c r="J27" s="208">
        <f t="shared" si="3"/>
        <v>0</v>
      </c>
      <c r="K27" s="209"/>
      <c r="L27" s="210">
        <f t="shared" si="4"/>
        <v>0</v>
      </c>
      <c r="M27" s="209"/>
      <c r="N27" s="211">
        <f t="shared" si="5"/>
        <v>1.7958097582417603</v>
      </c>
      <c r="O27" s="209"/>
      <c r="P27" s="212">
        <f t="shared" si="6"/>
        <v>1.3786813186813185</v>
      </c>
      <c r="Q27" s="207"/>
      <c r="R27" s="213">
        <f t="shared" si="7"/>
        <v>3.7189155164835155</v>
      </c>
      <c r="S27" s="209"/>
      <c r="T27" s="214">
        <f t="shared" si="8"/>
        <v>3.1744910769230787</v>
      </c>
      <c r="U27" s="215">
        <f t="shared" si="9"/>
        <v>0</v>
      </c>
      <c r="V27" s="37" t="str">
        <f t="shared" si="10"/>
        <v>ok</v>
      </c>
      <c r="W27" s="37" t="str">
        <f t="shared" si="11"/>
        <v>ok</v>
      </c>
    </row>
    <row r="28" spans="1:23" x14ac:dyDescent="0.25">
      <c r="A28" s="425" t="s">
        <v>90</v>
      </c>
      <c r="B28" s="276" t="s">
        <v>22</v>
      </c>
      <c r="C28" s="247">
        <v>1</v>
      </c>
      <c r="D28" s="184">
        <f>'2.4.5.4 Emplois ETP  base m'!D28/QTMGI</f>
        <v>5.6390957802197805</v>
      </c>
      <c r="E28" s="185">
        <f>'2.4.5.4 Emplois ETP  base m'!E28/QTMGI</f>
        <v>18.937028571428566</v>
      </c>
      <c r="F28" s="186">
        <f t="shared" si="0"/>
        <v>15.149622857142854</v>
      </c>
      <c r="G28" s="187">
        <f t="shared" si="1"/>
        <v>3.7874057142857125</v>
      </c>
      <c r="H28" s="188">
        <f>IF(E28&gt;D28,D28,E28)</f>
        <v>5.6390957802197805</v>
      </c>
      <c r="I28" s="189"/>
      <c r="J28" s="190">
        <f>IF(E28&gt;D28,0,D28-E28)</f>
        <v>0</v>
      </c>
      <c r="K28" s="191"/>
      <c r="L28" s="192">
        <f>IF(E28&gt;D28,IF(F28&gt;H28,0,H28-F28),G28)</f>
        <v>0</v>
      </c>
      <c r="M28" s="191"/>
      <c r="N28" s="193">
        <f>IF(E28&gt;D28,IF(F28&gt;H28,F28-H28,0),0)</f>
        <v>9.5105270769230721</v>
      </c>
      <c r="O28" s="191"/>
      <c r="P28" s="194">
        <f>IF(E28&gt;D28,IF(F28&gt;H28,G28,E28-H28),0)</f>
        <v>3.7874057142857125</v>
      </c>
      <c r="Q28" s="189"/>
      <c r="R28" s="195">
        <f>H28-L28</f>
        <v>5.6390957802197805</v>
      </c>
      <c r="S28" s="191"/>
      <c r="T28" s="196">
        <f>L28+N28+P28</f>
        <v>13.297932791208785</v>
      </c>
      <c r="U28" s="197">
        <f>J28+L28</f>
        <v>0</v>
      </c>
      <c r="V28" s="37" t="str">
        <f>IF(R28+T28=E28,"ok","bad")</f>
        <v>ok</v>
      </c>
      <c r="W28" s="37" t="str">
        <f>IF(U28+R28=D28,"ok","bad")</f>
        <v>ok</v>
      </c>
    </row>
    <row r="29" spans="1:23" x14ac:dyDescent="0.25">
      <c r="A29" s="426"/>
      <c r="B29" s="178" t="s">
        <v>23</v>
      </c>
      <c r="C29" s="129">
        <v>2</v>
      </c>
      <c r="D29" s="130">
        <f>'2.4.5.4 Emplois ETP  base m'!D29/QTMGI</f>
        <v>4.4278267252747261</v>
      </c>
      <c r="E29" s="131">
        <f>'2.4.5.4 Emplois ETP  base m'!E29/QTMGI</f>
        <v>13.887154285714285</v>
      </c>
      <c r="F29" s="132">
        <f t="shared" si="0"/>
        <v>11.109723428571428</v>
      </c>
      <c r="G29" s="133">
        <f t="shared" si="1"/>
        <v>2.7774308571428565</v>
      </c>
      <c r="H29" s="134">
        <f t="shared" ref="H29:H47" si="12">IF(E29&gt;D29,D29,E29)</f>
        <v>4.4278267252747261</v>
      </c>
      <c r="I29" s="135"/>
      <c r="J29" s="136">
        <f t="shared" ref="J29:J47" si="13">IF(E29&gt;D29,0,D29-E29)</f>
        <v>0</v>
      </c>
      <c r="K29" s="137"/>
      <c r="L29" s="138">
        <f t="shared" ref="L29:L47" si="14">IF(E29&gt;D29,IF(F29&gt;H29,0,H29-F29),G29)</f>
        <v>0</v>
      </c>
      <c r="M29" s="137"/>
      <c r="N29" s="139">
        <f t="shared" ref="N29:N47" si="15">IF(E29&gt;D29,IF(F29&gt;H29,F29-H29,0),0)</f>
        <v>6.6818967032967018</v>
      </c>
      <c r="O29" s="137"/>
      <c r="P29" s="140">
        <f t="shared" ref="P29:P47" si="16">IF(E29&gt;D29,IF(F29&gt;H29,G29,E29-H29),0)</f>
        <v>2.7774308571428565</v>
      </c>
      <c r="Q29" s="135"/>
      <c r="R29" s="104">
        <f t="shared" ref="R29:R47" si="17">H29-L29</f>
        <v>4.4278267252747261</v>
      </c>
      <c r="S29" s="137"/>
      <c r="T29" s="141">
        <f t="shared" ref="T29:T47" si="18">L29+N29+P29</f>
        <v>9.4593275604395579</v>
      </c>
      <c r="U29" s="199">
        <f t="shared" ref="U29:U47" si="19">J29+L29</f>
        <v>0</v>
      </c>
      <c r="V29" s="37" t="str">
        <f t="shared" ref="V29:V47" si="20">IF(R29+T29=E29,"ok","bad")</f>
        <v>ok</v>
      </c>
      <c r="W29" s="37" t="str">
        <f t="shared" ref="W29:W47" si="21">IF(U29+R29=D29,"ok","bad")</f>
        <v>ok</v>
      </c>
    </row>
    <row r="30" spans="1:23" x14ac:dyDescent="0.25">
      <c r="A30" s="426"/>
      <c r="B30" s="178" t="s">
        <v>19</v>
      </c>
      <c r="C30" s="129">
        <v>5</v>
      </c>
      <c r="D30" s="130">
        <f>'2.4.5.4 Emplois ETP  base m'!D30/QTMGI</f>
        <v>1.9367849670329667</v>
      </c>
      <c r="E30" s="131">
        <f>'2.4.5.4 Emplois ETP  base m'!E30/QTMGI</f>
        <v>5.6811085714285712</v>
      </c>
      <c r="F30" s="132">
        <f t="shared" si="0"/>
        <v>4.5448868571428571</v>
      </c>
      <c r="G30" s="133">
        <f t="shared" si="1"/>
        <v>1.1362217142857141</v>
      </c>
      <c r="H30" s="134">
        <f t="shared" si="12"/>
        <v>1.9367849670329667</v>
      </c>
      <c r="I30" s="135"/>
      <c r="J30" s="136">
        <f t="shared" si="13"/>
        <v>0</v>
      </c>
      <c r="K30" s="137"/>
      <c r="L30" s="138">
        <f t="shared" si="14"/>
        <v>0</v>
      </c>
      <c r="M30" s="137"/>
      <c r="N30" s="139">
        <f t="shared" si="15"/>
        <v>2.6081018901098902</v>
      </c>
      <c r="O30" s="137"/>
      <c r="P30" s="140">
        <f t="shared" si="16"/>
        <v>1.1362217142857141</v>
      </c>
      <c r="Q30" s="135"/>
      <c r="R30" s="104">
        <f t="shared" si="17"/>
        <v>1.9367849670329667</v>
      </c>
      <c r="S30" s="137"/>
      <c r="T30" s="141">
        <f t="shared" si="18"/>
        <v>3.7443236043956043</v>
      </c>
      <c r="U30" s="199">
        <f t="shared" si="19"/>
        <v>0</v>
      </c>
      <c r="V30" s="37" t="str">
        <f t="shared" si="20"/>
        <v>ok</v>
      </c>
      <c r="W30" s="37" t="str">
        <f t="shared" si="21"/>
        <v>ok</v>
      </c>
    </row>
    <row r="31" spans="1:23" x14ac:dyDescent="0.25">
      <c r="A31" s="426"/>
      <c r="B31" s="178" t="s">
        <v>20</v>
      </c>
      <c r="C31" s="129">
        <v>6</v>
      </c>
      <c r="D31" s="130">
        <f>'2.4.5.4 Emplois ETP  base m'!D31/QTMGI</f>
        <v>1.3513901538461537</v>
      </c>
      <c r="E31" s="131">
        <f>'2.4.5.4 Emplois ETP  base m'!E31/QTMGI</f>
        <v>8.5216628571428572</v>
      </c>
      <c r="F31" s="132">
        <f t="shared" si="0"/>
        <v>6.8173302857142861</v>
      </c>
      <c r="G31" s="133">
        <f t="shared" si="1"/>
        <v>1.7043325714285711</v>
      </c>
      <c r="H31" s="134">
        <f t="shared" si="12"/>
        <v>1.3513901538461537</v>
      </c>
      <c r="I31" s="135"/>
      <c r="J31" s="136">
        <f t="shared" si="13"/>
        <v>0</v>
      </c>
      <c r="K31" s="137"/>
      <c r="L31" s="138">
        <f t="shared" si="14"/>
        <v>0</v>
      </c>
      <c r="M31" s="137"/>
      <c r="N31" s="139">
        <f t="shared" si="15"/>
        <v>5.4659401318681322</v>
      </c>
      <c r="O31" s="137"/>
      <c r="P31" s="140">
        <f t="shared" si="16"/>
        <v>1.7043325714285711</v>
      </c>
      <c r="Q31" s="135"/>
      <c r="R31" s="104">
        <f t="shared" si="17"/>
        <v>1.3513901538461537</v>
      </c>
      <c r="S31" s="137"/>
      <c r="T31" s="141">
        <f t="shared" si="18"/>
        <v>7.1702727032967033</v>
      </c>
      <c r="U31" s="199">
        <f t="shared" si="19"/>
        <v>0</v>
      </c>
      <c r="V31" s="37" t="str">
        <f t="shared" si="20"/>
        <v>ok</v>
      </c>
      <c r="W31" s="37" t="str">
        <f t="shared" si="21"/>
        <v>ok</v>
      </c>
    </row>
    <row r="32" spans="1:23" x14ac:dyDescent="0.25">
      <c r="A32" s="426"/>
      <c r="B32" s="178" t="s">
        <v>21</v>
      </c>
      <c r="C32" s="129">
        <v>7</v>
      </c>
      <c r="D32" s="130">
        <f>'2.4.5.4 Emplois ETP  base m'!D32/QTMGI</f>
        <v>2.8024219780219779</v>
      </c>
      <c r="E32" s="131">
        <f>'2.4.5.4 Emplois ETP  base m'!E32/QTMGI</f>
        <v>13.887154285714285</v>
      </c>
      <c r="F32" s="132">
        <f t="shared" si="0"/>
        <v>11.109723428571428</v>
      </c>
      <c r="G32" s="133">
        <f t="shared" si="1"/>
        <v>2.7774308571428565</v>
      </c>
      <c r="H32" s="134">
        <f t="shared" si="12"/>
        <v>2.8024219780219779</v>
      </c>
      <c r="I32" s="135"/>
      <c r="J32" s="136">
        <f t="shared" si="13"/>
        <v>0</v>
      </c>
      <c r="K32" s="137"/>
      <c r="L32" s="138">
        <f t="shared" si="14"/>
        <v>0</v>
      </c>
      <c r="M32" s="137"/>
      <c r="N32" s="139">
        <f t="shared" si="15"/>
        <v>8.3073014505494491</v>
      </c>
      <c r="O32" s="137"/>
      <c r="P32" s="140">
        <f t="shared" si="16"/>
        <v>2.7774308571428565</v>
      </c>
      <c r="Q32" s="135"/>
      <c r="R32" s="104">
        <f t="shared" si="17"/>
        <v>2.8024219780219779</v>
      </c>
      <c r="S32" s="137"/>
      <c r="T32" s="141">
        <f t="shared" si="18"/>
        <v>11.084732307692306</v>
      </c>
      <c r="U32" s="199">
        <f t="shared" si="19"/>
        <v>0</v>
      </c>
      <c r="V32" s="37" t="str">
        <f t="shared" si="20"/>
        <v>ok</v>
      </c>
      <c r="W32" s="37" t="str">
        <f t="shared" si="21"/>
        <v>ok</v>
      </c>
    </row>
    <row r="33" spans="1:23" x14ac:dyDescent="0.25">
      <c r="A33" s="426"/>
      <c r="B33" s="178" t="s">
        <v>22</v>
      </c>
      <c r="C33" s="129">
        <v>8</v>
      </c>
      <c r="D33" s="130">
        <f>'2.4.5.4 Emplois ETP  base m'!D33/QTMGI</f>
        <v>8.9988883516483487</v>
      </c>
      <c r="E33" s="131">
        <f>'2.4.5.4 Emplois ETP  base m'!E33/QTMGI</f>
        <v>9.7112967032967017</v>
      </c>
      <c r="F33" s="132">
        <f t="shared" si="0"/>
        <v>7.7690373626373619</v>
      </c>
      <c r="G33" s="133">
        <f t="shared" si="1"/>
        <v>1.9422593406593398</v>
      </c>
      <c r="H33" s="134">
        <f t="shared" si="12"/>
        <v>8.9988883516483487</v>
      </c>
      <c r="I33" s="135"/>
      <c r="J33" s="136">
        <f t="shared" si="13"/>
        <v>0</v>
      </c>
      <c r="K33" s="137"/>
      <c r="L33" s="138">
        <f t="shared" si="14"/>
        <v>1.2298509890109868</v>
      </c>
      <c r="M33" s="137"/>
      <c r="N33" s="139">
        <f t="shared" si="15"/>
        <v>0</v>
      </c>
      <c r="O33" s="137"/>
      <c r="P33" s="140">
        <f t="shared" si="16"/>
        <v>0.71240835164835303</v>
      </c>
      <c r="Q33" s="135"/>
      <c r="R33" s="104">
        <f t="shared" si="17"/>
        <v>7.7690373626373619</v>
      </c>
      <c r="S33" s="137"/>
      <c r="T33" s="141">
        <f t="shared" si="18"/>
        <v>1.9422593406593398</v>
      </c>
      <c r="U33" s="199">
        <f t="shared" si="19"/>
        <v>1.2298509890109868</v>
      </c>
      <c r="V33" s="37" t="str">
        <f t="shared" si="20"/>
        <v>ok</v>
      </c>
      <c r="W33" s="37" t="str">
        <f t="shared" si="21"/>
        <v>ok</v>
      </c>
    </row>
    <row r="34" spans="1:23" x14ac:dyDescent="0.25">
      <c r="A34" s="426"/>
      <c r="B34" s="178" t="s">
        <v>23</v>
      </c>
      <c r="C34" s="129">
        <v>9</v>
      </c>
      <c r="D34" s="130">
        <f>'2.4.5.4 Emplois ETP  base m'!D34/QTMGI</f>
        <v>7.2987523516483526</v>
      </c>
      <c r="E34" s="131">
        <f>'2.4.5.4 Emplois ETP  base m'!E34/QTMGI</f>
        <v>9.9540791208791202</v>
      </c>
      <c r="F34" s="132">
        <f t="shared" si="0"/>
        <v>7.9632632967032961</v>
      </c>
      <c r="G34" s="133">
        <f t="shared" si="1"/>
        <v>1.9908158241758236</v>
      </c>
      <c r="H34" s="134">
        <f t="shared" si="12"/>
        <v>7.2987523516483526</v>
      </c>
      <c r="I34" s="135"/>
      <c r="J34" s="136">
        <f t="shared" si="13"/>
        <v>0</v>
      </c>
      <c r="K34" s="137"/>
      <c r="L34" s="138">
        <f t="shared" si="14"/>
        <v>0</v>
      </c>
      <c r="M34" s="137"/>
      <c r="N34" s="139">
        <f t="shared" si="15"/>
        <v>0.66451094505494357</v>
      </c>
      <c r="O34" s="137"/>
      <c r="P34" s="140">
        <f t="shared" si="16"/>
        <v>1.9908158241758236</v>
      </c>
      <c r="Q34" s="135"/>
      <c r="R34" s="104">
        <f t="shared" si="17"/>
        <v>7.2987523516483526</v>
      </c>
      <c r="S34" s="137"/>
      <c r="T34" s="141">
        <f t="shared" si="18"/>
        <v>2.6553267692307672</v>
      </c>
      <c r="U34" s="199">
        <f t="shared" si="19"/>
        <v>0</v>
      </c>
      <c r="V34" s="37" t="str">
        <f t="shared" si="20"/>
        <v>ok</v>
      </c>
      <c r="W34" s="37" t="str">
        <f t="shared" si="21"/>
        <v>ok</v>
      </c>
    </row>
    <row r="35" spans="1:23" x14ac:dyDescent="0.25">
      <c r="A35" s="426"/>
      <c r="B35" s="178" t="s">
        <v>19</v>
      </c>
      <c r="C35" s="129">
        <v>12</v>
      </c>
      <c r="D35" s="130">
        <f>'2.4.5.4 Emplois ETP  base m'!D35/QTMGI</f>
        <v>4.2192019780219781</v>
      </c>
      <c r="E35" s="131">
        <f>'2.4.5.4 Emplois ETP  base m'!E35/QTMGI</f>
        <v>5.341213186813186</v>
      </c>
      <c r="F35" s="132">
        <f t="shared" si="0"/>
        <v>4.272970549450549</v>
      </c>
      <c r="G35" s="133">
        <f t="shared" si="1"/>
        <v>1.068242637362637</v>
      </c>
      <c r="H35" s="134">
        <f t="shared" si="12"/>
        <v>4.2192019780219781</v>
      </c>
      <c r="I35" s="135"/>
      <c r="J35" s="136">
        <f t="shared" si="13"/>
        <v>0</v>
      </c>
      <c r="K35" s="137"/>
      <c r="L35" s="138">
        <f t="shared" si="14"/>
        <v>0</v>
      </c>
      <c r="M35" s="137"/>
      <c r="N35" s="139">
        <f t="shared" si="15"/>
        <v>5.3768571428570944E-2</v>
      </c>
      <c r="O35" s="137"/>
      <c r="P35" s="140">
        <f t="shared" si="16"/>
        <v>1.068242637362637</v>
      </c>
      <c r="Q35" s="135"/>
      <c r="R35" s="104">
        <f t="shared" si="17"/>
        <v>4.2192019780219781</v>
      </c>
      <c r="S35" s="137"/>
      <c r="T35" s="141">
        <f t="shared" si="18"/>
        <v>1.122011208791208</v>
      </c>
      <c r="U35" s="199">
        <f t="shared" si="19"/>
        <v>0</v>
      </c>
      <c r="V35" s="37" t="str">
        <f t="shared" si="20"/>
        <v>ok</v>
      </c>
      <c r="W35" s="37" t="str">
        <f t="shared" si="21"/>
        <v>ok</v>
      </c>
    </row>
    <row r="36" spans="1:23" x14ac:dyDescent="0.25">
      <c r="A36" s="426"/>
      <c r="B36" s="178" t="s">
        <v>20</v>
      </c>
      <c r="C36" s="129">
        <v>13</v>
      </c>
      <c r="D36" s="130">
        <f>'2.4.5.4 Emplois ETP  base m'!D36/QTMGI</f>
        <v>3.406499604395604</v>
      </c>
      <c r="E36" s="131">
        <f>'2.4.5.4 Emplois ETP  base m'!E36/QTMGI</f>
        <v>6.7979076923076933</v>
      </c>
      <c r="F36" s="132">
        <f t="shared" si="0"/>
        <v>5.4383261538461554</v>
      </c>
      <c r="G36" s="133">
        <f t="shared" si="1"/>
        <v>1.3595815384615384</v>
      </c>
      <c r="H36" s="134">
        <f t="shared" si="12"/>
        <v>3.406499604395604</v>
      </c>
      <c r="I36" s="135"/>
      <c r="J36" s="136">
        <f t="shared" si="13"/>
        <v>0</v>
      </c>
      <c r="K36" s="137"/>
      <c r="L36" s="138">
        <f t="shared" si="14"/>
        <v>0</v>
      </c>
      <c r="M36" s="137"/>
      <c r="N36" s="139">
        <f t="shared" si="15"/>
        <v>2.0318265494505514</v>
      </c>
      <c r="O36" s="137"/>
      <c r="P36" s="140">
        <f t="shared" si="16"/>
        <v>1.3595815384615384</v>
      </c>
      <c r="Q36" s="135"/>
      <c r="R36" s="104">
        <f t="shared" si="17"/>
        <v>3.406499604395604</v>
      </c>
      <c r="S36" s="137"/>
      <c r="T36" s="141">
        <f t="shared" si="18"/>
        <v>3.3914080879120898</v>
      </c>
      <c r="U36" s="199">
        <f t="shared" si="19"/>
        <v>0</v>
      </c>
      <c r="V36" s="37" t="str">
        <f t="shared" si="20"/>
        <v>ok</v>
      </c>
      <c r="W36" s="37" t="str">
        <f t="shared" si="21"/>
        <v>ok</v>
      </c>
    </row>
    <row r="37" spans="1:23" x14ac:dyDescent="0.25">
      <c r="A37" s="426"/>
      <c r="B37" s="178" t="s">
        <v>21</v>
      </c>
      <c r="C37" s="129">
        <v>14</v>
      </c>
      <c r="D37" s="130">
        <f>'2.4.5.4 Emplois ETP  base m'!D37/QTMGI</f>
        <v>6.4891637802197799</v>
      </c>
      <c r="E37" s="131">
        <f>'2.4.5.4 Emplois ETP  base m'!E37/QTMGI</f>
        <v>9.2257318681318683</v>
      </c>
      <c r="F37" s="132">
        <f t="shared" si="0"/>
        <v>7.3805854945054952</v>
      </c>
      <c r="G37" s="133">
        <f t="shared" si="1"/>
        <v>1.8451463736263733</v>
      </c>
      <c r="H37" s="134">
        <f t="shared" si="12"/>
        <v>6.4891637802197799</v>
      </c>
      <c r="I37" s="135"/>
      <c r="J37" s="136">
        <f t="shared" si="13"/>
        <v>0</v>
      </c>
      <c r="K37" s="137"/>
      <c r="L37" s="138">
        <f t="shared" si="14"/>
        <v>0</v>
      </c>
      <c r="M37" s="137"/>
      <c r="N37" s="139">
        <f t="shared" si="15"/>
        <v>0.89142171428571526</v>
      </c>
      <c r="O37" s="137"/>
      <c r="P37" s="140">
        <f t="shared" si="16"/>
        <v>1.8451463736263733</v>
      </c>
      <c r="Q37" s="135"/>
      <c r="R37" s="104">
        <f t="shared" si="17"/>
        <v>6.4891637802197799</v>
      </c>
      <c r="S37" s="137"/>
      <c r="T37" s="141">
        <f t="shared" si="18"/>
        <v>2.7365680879120884</v>
      </c>
      <c r="U37" s="199">
        <f t="shared" si="19"/>
        <v>0</v>
      </c>
      <c r="V37" s="37" t="str">
        <f t="shared" si="20"/>
        <v>ok</v>
      </c>
      <c r="W37" s="37" t="str">
        <f t="shared" si="21"/>
        <v>ok</v>
      </c>
    </row>
    <row r="38" spans="1:23" x14ac:dyDescent="0.25">
      <c r="A38" s="426"/>
      <c r="B38" s="178" t="s">
        <v>22</v>
      </c>
      <c r="C38" s="129">
        <v>15</v>
      </c>
      <c r="D38" s="130">
        <f>'2.4.5.4 Emplois ETP  base m'!D38/QTMGI</f>
        <v>5.6390957802197805</v>
      </c>
      <c r="E38" s="131">
        <f>'2.4.5.4 Emplois ETP  base m'!E38/QTMGI</f>
        <v>14.566945054945055</v>
      </c>
      <c r="F38" s="132">
        <f t="shared" si="0"/>
        <v>11.653556043956044</v>
      </c>
      <c r="G38" s="133">
        <f t="shared" si="1"/>
        <v>2.9133890109890106</v>
      </c>
      <c r="H38" s="134">
        <f t="shared" si="12"/>
        <v>5.6390957802197805</v>
      </c>
      <c r="I38" s="135"/>
      <c r="J38" s="136">
        <f t="shared" si="13"/>
        <v>0</v>
      </c>
      <c r="K38" s="137"/>
      <c r="L38" s="138">
        <f t="shared" si="14"/>
        <v>0</v>
      </c>
      <c r="M38" s="137"/>
      <c r="N38" s="139">
        <f t="shared" si="15"/>
        <v>6.0144602637362636</v>
      </c>
      <c r="O38" s="137"/>
      <c r="P38" s="140">
        <f t="shared" si="16"/>
        <v>2.9133890109890106</v>
      </c>
      <c r="Q38" s="135"/>
      <c r="R38" s="104">
        <f t="shared" si="17"/>
        <v>5.6390957802197805</v>
      </c>
      <c r="S38" s="137"/>
      <c r="T38" s="141">
        <f t="shared" si="18"/>
        <v>8.9278492747252738</v>
      </c>
      <c r="U38" s="199">
        <f t="shared" si="19"/>
        <v>0</v>
      </c>
      <c r="V38" s="37" t="str">
        <f t="shared" si="20"/>
        <v>ok</v>
      </c>
      <c r="W38" s="37" t="str">
        <f t="shared" si="21"/>
        <v>ok</v>
      </c>
    </row>
    <row r="39" spans="1:23" x14ac:dyDescent="0.25">
      <c r="A39" s="426"/>
      <c r="B39" s="178" t="s">
        <v>23</v>
      </c>
      <c r="C39" s="129">
        <v>16</v>
      </c>
      <c r="D39" s="130">
        <f>'2.4.5.4 Emplois ETP  base m'!D39/QTMGI</f>
        <v>4.4278267252747261</v>
      </c>
      <c r="E39" s="131">
        <f>'2.4.5.4 Emplois ETP  base m'!E39/QTMGI</f>
        <v>11.167991208791207</v>
      </c>
      <c r="F39" s="132">
        <f t="shared" si="0"/>
        <v>8.9343929670329665</v>
      </c>
      <c r="G39" s="133">
        <f t="shared" si="1"/>
        <v>2.2335982417582407</v>
      </c>
      <c r="H39" s="134">
        <f t="shared" si="12"/>
        <v>4.4278267252747261</v>
      </c>
      <c r="I39" s="135"/>
      <c r="J39" s="136">
        <f t="shared" si="13"/>
        <v>0</v>
      </c>
      <c r="K39" s="137"/>
      <c r="L39" s="138">
        <f t="shared" si="14"/>
        <v>0</v>
      </c>
      <c r="M39" s="137"/>
      <c r="N39" s="139">
        <f t="shared" si="15"/>
        <v>4.5065662417582404</v>
      </c>
      <c r="O39" s="137"/>
      <c r="P39" s="140">
        <f t="shared" si="16"/>
        <v>2.2335982417582407</v>
      </c>
      <c r="Q39" s="135"/>
      <c r="R39" s="104">
        <f t="shared" si="17"/>
        <v>4.4278267252747261</v>
      </c>
      <c r="S39" s="137"/>
      <c r="T39" s="141">
        <f t="shared" si="18"/>
        <v>6.7401644835164811</v>
      </c>
      <c r="U39" s="199">
        <f t="shared" si="19"/>
        <v>0</v>
      </c>
      <c r="V39" s="37" t="str">
        <f t="shared" si="20"/>
        <v>ok</v>
      </c>
      <c r="W39" s="37" t="str">
        <f t="shared" si="21"/>
        <v>ok</v>
      </c>
    </row>
    <row r="40" spans="1:23" x14ac:dyDescent="0.25">
      <c r="A40" s="426"/>
      <c r="B40" s="178" t="s">
        <v>19</v>
      </c>
      <c r="C40" s="129">
        <v>19</v>
      </c>
      <c r="D40" s="130">
        <f>'2.4.5.4 Emplois ETP  base m'!D40/QTMGI</f>
        <v>1.9367849670329667</v>
      </c>
      <c r="E40" s="131">
        <f>'2.4.5.4 Emplois ETP  base m'!E40/QTMGI</f>
        <v>5.341213186813186</v>
      </c>
      <c r="F40" s="132">
        <f t="shared" si="0"/>
        <v>4.272970549450549</v>
      </c>
      <c r="G40" s="133">
        <f t="shared" si="1"/>
        <v>1.068242637362637</v>
      </c>
      <c r="H40" s="134">
        <f t="shared" si="12"/>
        <v>1.9367849670329667</v>
      </c>
      <c r="I40" s="135"/>
      <c r="J40" s="136">
        <f t="shared" si="13"/>
        <v>0</v>
      </c>
      <c r="K40" s="137"/>
      <c r="L40" s="138">
        <f t="shared" si="14"/>
        <v>0</v>
      </c>
      <c r="M40" s="137"/>
      <c r="N40" s="139">
        <f t="shared" si="15"/>
        <v>2.3361855824175821</v>
      </c>
      <c r="O40" s="137"/>
      <c r="P40" s="140">
        <f t="shared" si="16"/>
        <v>1.068242637362637</v>
      </c>
      <c r="Q40" s="135"/>
      <c r="R40" s="104">
        <f t="shared" si="17"/>
        <v>1.9367849670329667</v>
      </c>
      <c r="S40" s="137"/>
      <c r="T40" s="141">
        <f t="shared" si="18"/>
        <v>3.4044282197802191</v>
      </c>
      <c r="U40" s="199">
        <f t="shared" si="19"/>
        <v>0</v>
      </c>
      <c r="V40" s="37" t="str">
        <f t="shared" si="20"/>
        <v>ok</v>
      </c>
      <c r="W40" s="37" t="str">
        <f t="shared" si="21"/>
        <v>ok</v>
      </c>
    </row>
    <row r="41" spans="1:23" x14ac:dyDescent="0.25">
      <c r="A41" s="426"/>
      <c r="B41" s="178" t="s">
        <v>20</v>
      </c>
      <c r="C41" s="129">
        <v>20</v>
      </c>
      <c r="D41" s="130">
        <f>'2.4.5.4 Emplois ETP  base m'!D41/QTMGI</f>
        <v>1.3513901538461537</v>
      </c>
      <c r="E41" s="131">
        <f>'2.4.5.4 Emplois ETP  base m'!E41/QTMGI</f>
        <v>8.982949450549448</v>
      </c>
      <c r="F41" s="132">
        <f t="shared" si="0"/>
        <v>7.1863595604395591</v>
      </c>
      <c r="G41" s="133">
        <f t="shared" si="1"/>
        <v>1.7965898901098891</v>
      </c>
      <c r="H41" s="134">
        <f t="shared" si="12"/>
        <v>1.3513901538461537</v>
      </c>
      <c r="I41" s="135"/>
      <c r="J41" s="136">
        <f t="shared" si="13"/>
        <v>0</v>
      </c>
      <c r="K41" s="137"/>
      <c r="L41" s="138">
        <f t="shared" si="14"/>
        <v>0</v>
      </c>
      <c r="M41" s="137"/>
      <c r="N41" s="139">
        <f t="shared" si="15"/>
        <v>5.8349694065934052</v>
      </c>
      <c r="O41" s="137"/>
      <c r="P41" s="140">
        <f t="shared" si="16"/>
        <v>1.7965898901098891</v>
      </c>
      <c r="Q41" s="135"/>
      <c r="R41" s="104">
        <f t="shared" si="17"/>
        <v>1.3513901538461537</v>
      </c>
      <c r="S41" s="137"/>
      <c r="T41" s="141">
        <f t="shared" si="18"/>
        <v>7.6315592967032941</v>
      </c>
      <c r="U41" s="199">
        <f t="shared" si="19"/>
        <v>0</v>
      </c>
      <c r="V41" s="37" t="str">
        <f t="shared" si="20"/>
        <v>ok</v>
      </c>
      <c r="W41" s="37" t="str">
        <f t="shared" si="21"/>
        <v>ok</v>
      </c>
    </row>
    <row r="42" spans="1:23" x14ac:dyDescent="0.25">
      <c r="A42" s="426"/>
      <c r="B42" s="178" t="s">
        <v>21</v>
      </c>
      <c r="C42" s="129">
        <v>21</v>
      </c>
      <c r="D42" s="130">
        <f>'2.4.5.4 Emplois ETP  base m'!D42/QTMGI</f>
        <v>2.8024219780219779</v>
      </c>
      <c r="E42" s="131">
        <f>'2.4.5.4 Emplois ETP  base m'!E42/QTMGI</f>
        <v>10.682426373626372</v>
      </c>
      <c r="F42" s="132">
        <f t="shared" si="0"/>
        <v>8.545941098901098</v>
      </c>
      <c r="G42" s="133">
        <f t="shared" si="1"/>
        <v>2.1364852747252741</v>
      </c>
      <c r="H42" s="134">
        <f t="shared" si="12"/>
        <v>2.8024219780219779</v>
      </c>
      <c r="I42" s="135"/>
      <c r="J42" s="136">
        <f t="shared" si="13"/>
        <v>0</v>
      </c>
      <c r="K42" s="137"/>
      <c r="L42" s="138">
        <f t="shared" si="14"/>
        <v>0</v>
      </c>
      <c r="M42" s="137"/>
      <c r="N42" s="139">
        <f t="shared" si="15"/>
        <v>5.7435191208791201</v>
      </c>
      <c r="O42" s="137"/>
      <c r="P42" s="140">
        <f t="shared" si="16"/>
        <v>2.1364852747252741</v>
      </c>
      <c r="Q42" s="135"/>
      <c r="R42" s="104">
        <f t="shared" si="17"/>
        <v>2.8024219780219779</v>
      </c>
      <c r="S42" s="137"/>
      <c r="T42" s="141">
        <f t="shared" si="18"/>
        <v>7.8800043956043941</v>
      </c>
      <c r="U42" s="199">
        <f t="shared" si="19"/>
        <v>0</v>
      </c>
      <c r="V42" s="37" t="str">
        <f t="shared" si="20"/>
        <v>ok</v>
      </c>
      <c r="W42" s="37" t="str">
        <f t="shared" si="21"/>
        <v>ok</v>
      </c>
    </row>
    <row r="43" spans="1:23" x14ac:dyDescent="0.25">
      <c r="A43" s="426"/>
      <c r="B43" s="178" t="s">
        <v>22</v>
      </c>
      <c r="C43" s="129">
        <v>22</v>
      </c>
      <c r="D43" s="130">
        <f>'2.4.5.4 Emplois ETP  base m'!D43/QTMGI</f>
        <v>11.247053538461536</v>
      </c>
      <c r="E43" s="131">
        <f>'2.4.5.4 Emplois ETP  base m'!E43/QTMGI</f>
        <v>12.017729670329668</v>
      </c>
      <c r="F43" s="132">
        <f t="shared" si="0"/>
        <v>9.614183736263735</v>
      </c>
      <c r="G43" s="133">
        <f t="shared" si="1"/>
        <v>2.4035459340659333</v>
      </c>
      <c r="H43" s="134">
        <f t="shared" si="12"/>
        <v>11.247053538461536</v>
      </c>
      <c r="I43" s="135"/>
      <c r="J43" s="136">
        <f t="shared" si="13"/>
        <v>0</v>
      </c>
      <c r="K43" s="137"/>
      <c r="L43" s="138">
        <f t="shared" si="14"/>
        <v>1.632869802197801</v>
      </c>
      <c r="M43" s="137"/>
      <c r="N43" s="139">
        <f t="shared" si="15"/>
        <v>0</v>
      </c>
      <c r="O43" s="137"/>
      <c r="P43" s="140">
        <f t="shared" si="16"/>
        <v>0.77067613186813233</v>
      </c>
      <c r="Q43" s="135"/>
      <c r="R43" s="104">
        <f t="shared" si="17"/>
        <v>9.614183736263735</v>
      </c>
      <c r="S43" s="137"/>
      <c r="T43" s="141">
        <f t="shared" si="18"/>
        <v>2.4035459340659333</v>
      </c>
      <c r="U43" s="199">
        <f t="shared" si="19"/>
        <v>1.632869802197801</v>
      </c>
      <c r="V43" s="37" t="str">
        <f t="shared" si="20"/>
        <v>ok</v>
      </c>
      <c r="W43" s="37" t="str">
        <f t="shared" si="21"/>
        <v>ok</v>
      </c>
    </row>
    <row r="44" spans="1:23" x14ac:dyDescent="0.25">
      <c r="A44" s="426"/>
      <c r="B44" s="178" t="s">
        <v>23</v>
      </c>
      <c r="C44" s="129">
        <v>23</v>
      </c>
      <c r="D44" s="130">
        <f>'2.4.5.4 Emplois ETP  base m'!D44/QTMGI</f>
        <v>9.1545784615384598</v>
      </c>
      <c r="E44" s="131">
        <f>'2.4.5.4 Emplois ETP  base m'!E44/QTMGI</f>
        <v>7.6136566153846124</v>
      </c>
      <c r="F44" s="132">
        <f t="shared" si="0"/>
        <v>6.0909252923076904</v>
      </c>
      <c r="G44" s="133">
        <f t="shared" si="1"/>
        <v>1.5227313230769222</v>
      </c>
      <c r="H44" s="134">
        <f t="shared" si="12"/>
        <v>7.6136566153846124</v>
      </c>
      <c r="I44" s="135"/>
      <c r="J44" s="136">
        <f t="shared" si="13"/>
        <v>1.5409218461538474</v>
      </c>
      <c r="K44" s="137"/>
      <c r="L44" s="138">
        <f t="shared" si="14"/>
        <v>1.5227313230769222</v>
      </c>
      <c r="M44" s="137"/>
      <c r="N44" s="139">
        <f t="shared" si="15"/>
        <v>0</v>
      </c>
      <c r="O44" s="137"/>
      <c r="P44" s="140">
        <f t="shared" si="16"/>
        <v>0</v>
      </c>
      <c r="Q44" s="135"/>
      <c r="R44" s="104">
        <f t="shared" si="17"/>
        <v>6.0909252923076904</v>
      </c>
      <c r="S44" s="137"/>
      <c r="T44" s="141">
        <f t="shared" si="18"/>
        <v>1.5227313230769222</v>
      </c>
      <c r="U44" s="199">
        <f t="shared" si="19"/>
        <v>3.0636531692307694</v>
      </c>
      <c r="V44" s="37" t="str">
        <f t="shared" si="20"/>
        <v>ok</v>
      </c>
      <c r="W44" s="37" t="str">
        <f t="shared" si="21"/>
        <v>ok</v>
      </c>
    </row>
    <row r="45" spans="1:23" x14ac:dyDescent="0.25">
      <c r="A45" s="426"/>
      <c r="B45" s="178" t="s">
        <v>19</v>
      </c>
      <c r="C45" s="129">
        <v>26</v>
      </c>
      <c r="D45" s="130">
        <f>'2.4.5.4 Emplois ETP  base m'!D45/QTMGI</f>
        <v>5.274780923076924</v>
      </c>
      <c r="E45" s="131">
        <f>'2.4.5.4 Emplois ETP  base m'!E45/QTMGI</f>
        <v>3.6077467252747248</v>
      </c>
      <c r="F45" s="132">
        <f t="shared" si="0"/>
        <v>2.8861973802197802</v>
      </c>
      <c r="G45" s="133">
        <f t="shared" si="1"/>
        <v>0.72154934505494484</v>
      </c>
      <c r="H45" s="134">
        <f t="shared" si="12"/>
        <v>3.6077467252747248</v>
      </c>
      <c r="I45" s="135"/>
      <c r="J45" s="136">
        <f t="shared" si="13"/>
        <v>1.6670341978021992</v>
      </c>
      <c r="K45" s="137"/>
      <c r="L45" s="138">
        <f t="shared" si="14"/>
        <v>0.72154934505494484</v>
      </c>
      <c r="M45" s="137"/>
      <c r="N45" s="139">
        <f t="shared" si="15"/>
        <v>0</v>
      </c>
      <c r="O45" s="137"/>
      <c r="P45" s="140">
        <f t="shared" si="16"/>
        <v>0</v>
      </c>
      <c r="Q45" s="135"/>
      <c r="R45" s="104">
        <f t="shared" si="17"/>
        <v>2.8861973802197802</v>
      </c>
      <c r="S45" s="137"/>
      <c r="T45" s="141">
        <f t="shared" si="18"/>
        <v>0.72154934505494484</v>
      </c>
      <c r="U45" s="199">
        <f t="shared" si="19"/>
        <v>2.3885835428571438</v>
      </c>
      <c r="V45" s="37" t="str">
        <f t="shared" si="20"/>
        <v>bad</v>
      </c>
      <c r="W45" s="37" t="str">
        <f t="shared" si="21"/>
        <v>ok</v>
      </c>
    </row>
    <row r="46" spans="1:23" x14ac:dyDescent="0.25">
      <c r="A46" s="426"/>
      <c r="B46" s="178" t="s">
        <v>20</v>
      </c>
      <c r="C46" s="129">
        <v>27</v>
      </c>
      <c r="D46" s="130">
        <f>'2.4.5.4 Emplois ETP  base m'!D46/QTMGI</f>
        <v>4.3188436483516472</v>
      </c>
      <c r="E46" s="131">
        <f>'2.4.5.4 Emplois ETP  base m'!E46/QTMGI</f>
        <v>4.8070918681318675</v>
      </c>
      <c r="F46" s="132">
        <f t="shared" si="0"/>
        <v>3.845673494505494</v>
      </c>
      <c r="G46" s="133">
        <f t="shared" si="1"/>
        <v>0.96141837362637328</v>
      </c>
      <c r="H46" s="134">
        <f t="shared" si="12"/>
        <v>4.3188436483516472</v>
      </c>
      <c r="I46" s="135"/>
      <c r="J46" s="136">
        <f t="shared" si="13"/>
        <v>0</v>
      </c>
      <c r="K46" s="137"/>
      <c r="L46" s="138">
        <f t="shared" si="14"/>
        <v>0.47317015384615324</v>
      </c>
      <c r="M46" s="137"/>
      <c r="N46" s="139">
        <f t="shared" si="15"/>
        <v>0</v>
      </c>
      <c r="O46" s="137"/>
      <c r="P46" s="140">
        <f t="shared" si="16"/>
        <v>0.48824821978022026</v>
      </c>
      <c r="Q46" s="135"/>
      <c r="R46" s="104">
        <f t="shared" si="17"/>
        <v>3.845673494505494</v>
      </c>
      <c r="S46" s="137"/>
      <c r="T46" s="141">
        <f t="shared" si="18"/>
        <v>0.9614183736263735</v>
      </c>
      <c r="U46" s="199">
        <f t="shared" si="19"/>
        <v>0.47317015384615324</v>
      </c>
      <c r="V46" s="37" t="str">
        <f t="shared" si="20"/>
        <v>ok</v>
      </c>
      <c r="W46" s="37" t="str">
        <f t="shared" si="21"/>
        <v>ok</v>
      </c>
    </row>
    <row r="47" spans="1:23" ht="15.75" thickBot="1" x14ac:dyDescent="0.3">
      <c r="A47" s="427"/>
      <c r="B47" s="277" t="s">
        <v>21</v>
      </c>
      <c r="C47" s="165">
        <v>28</v>
      </c>
      <c r="D47" s="202">
        <f>'2.4.5.4 Emplois ETP  base m'!D47/QTMGI</f>
        <v>8.1114547252747258</v>
      </c>
      <c r="E47" s="203">
        <f>'2.4.5.4 Emplois ETP  base m'!E47/QTMGI</f>
        <v>7.6136566153846124</v>
      </c>
      <c r="F47" s="204">
        <f t="shared" si="0"/>
        <v>6.0909252923076904</v>
      </c>
      <c r="G47" s="205">
        <f t="shared" si="1"/>
        <v>1.5227313230769222</v>
      </c>
      <c r="H47" s="206">
        <f t="shared" si="12"/>
        <v>7.6136566153846124</v>
      </c>
      <c r="I47" s="207"/>
      <c r="J47" s="208">
        <f t="shared" si="13"/>
        <v>0.49779810989011342</v>
      </c>
      <c r="K47" s="209"/>
      <c r="L47" s="210">
        <f t="shared" si="14"/>
        <v>1.5227313230769222</v>
      </c>
      <c r="M47" s="209"/>
      <c r="N47" s="211">
        <f t="shared" si="15"/>
        <v>0</v>
      </c>
      <c r="O47" s="209"/>
      <c r="P47" s="212">
        <f t="shared" si="16"/>
        <v>0</v>
      </c>
      <c r="Q47" s="207"/>
      <c r="R47" s="213">
        <f t="shared" si="17"/>
        <v>6.0909252923076904</v>
      </c>
      <c r="S47" s="209"/>
      <c r="T47" s="214">
        <f t="shared" si="18"/>
        <v>1.5227313230769222</v>
      </c>
      <c r="U47" s="215">
        <f t="shared" si="19"/>
        <v>2.0205294329670354</v>
      </c>
      <c r="V47" s="37" t="str">
        <f t="shared" si="20"/>
        <v>ok</v>
      </c>
      <c r="W47" s="37" t="str">
        <f t="shared" si="21"/>
        <v>ok</v>
      </c>
    </row>
    <row r="48" spans="1:23" x14ac:dyDescent="0.25">
      <c r="A48" s="425" t="s">
        <v>91</v>
      </c>
      <c r="B48" s="276" t="s">
        <v>22</v>
      </c>
      <c r="C48" s="247">
        <v>1</v>
      </c>
      <c r="D48" s="184">
        <f>'2.4.5.4 Emplois ETP  base m'!D48/QTMGI</f>
        <v>6.662171472527473</v>
      </c>
      <c r="E48" s="185">
        <f>'2.4.5.4 Emplois ETP  base m'!E48/QTMGI</f>
        <v>11.173371428571429</v>
      </c>
      <c r="F48" s="186">
        <f t="shared" si="0"/>
        <v>8.9386971428571425</v>
      </c>
      <c r="G48" s="187">
        <f t="shared" si="1"/>
        <v>2.2346742857142852</v>
      </c>
      <c r="H48" s="188">
        <f>IF(E48&gt;D48,D48,E48)</f>
        <v>6.662171472527473</v>
      </c>
      <c r="I48" s="189"/>
      <c r="J48" s="190">
        <f>IF(E48&gt;D48,0,D48-E48)</f>
        <v>0</v>
      </c>
      <c r="K48" s="191"/>
      <c r="L48" s="192">
        <f>IF(E48&gt;D48,IF(F48&gt;H48,0,H48-F48),G48)</f>
        <v>0</v>
      </c>
      <c r="M48" s="191"/>
      <c r="N48" s="193">
        <f>IF(E48&gt;D48,IF(F48&gt;H48,F48-H48,0),0)</f>
        <v>2.2765256703296695</v>
      </c>
      <c r="O48" s="191"/>
      <c r="P48" s="194">
        <f>IF(E48&gt;D48,IF(F48&gt;H48,G48,E48-H48),0)</f>
        <v>2.2346742857142852</v>
      </c>
      <c r="Q48" s="189"/>
      <c r="R48" s="195">
        <f>H48-L48</f>
        <v>6.662171472527473</v>
      </c>
      <c r="S48" s="191"/>
      <c r="T48" s="196">
        <f>L48+N48+P48</f>
        <v>4.5111999560439546</v>
      </c>
      <c r="U48" s="197">
        <f>J48+L48</f>
        <v>0</v>
      </c>
      <c r="V48" s="37" t="str">
        <f>IF(R48+T48=E48,"ok","bad")</f>
        <v>ok</v>
      </c>
      <c r="W48" s="37" t="str">
        <f>IF(U48+R48=D48,"ok","bad")</f>
        <v>ok</v>
      </c>
    </row>
    <row r="49" spans="1:23" x14ac:dyDescent="0.25">
      <c r="A49" s="426"/>
      <c r="B49" s="178" t="s">
        <v>23</v>
      </c>
      <c r="C49" s="129">
        <v>2</v>
      </c>
      <c r="D49" s="130">
        <f>'2.4.5.4 Emplois ETP  base m'!D49/QTMGI</f>
        <v>5.2311473406593407</v>
      </c>
      <c r="E49" s="131">
        <f>'2.4.5.4 Emplois ETP  base m'!E49/QTMGI</f>
        <v>8.1938057142857144</v>
      </c>
      <c r="F49" s="132">
        <f t="shared" si="0"/>
        <v>6.5550445714285717</v>
      </c>
      <c r="G49" s="133">
        <f t="shared" si="1"/>
        <v>1.6387611428571425</v>
      </c>
      <c r="H49" s="134">
        <f t="shared" ref="H49:H69" si="22">IF(E49&gt;D49,D49,E49)</f>
        <v>5.2311473406593407</v>
      </c>
      <c r="I49" s="135"/>
      <c r="J49" s="136">
        <f t="shared" ref="J49:J69" si="23">IF(E49&gt;D49,0,D49-E49)</f>
        <v>0</v>
      </c>
      <c r="K49" s="137"/>
      <c r="L49" s="138">
        <f t="shared" ref="L49:L69" si="24">IF(E49&gt;D49,IF(F49&gt;H49,0,H49-F49),G49)</f>
        <v>0</v>
      </c>
      <c r="M49" s="137"/>
      <c r="N49" s="139">
        <f t="shared" ref="N49:N69" si="25">IF(E49&gt;D49,IF(F49&gt;H49,F49-H49,0),0)</f>
        <v>1.3238972307692309</v>
      </c>
      <c r="O49" s="137"/>
      <c r="P49" s="140">
        <f t="shared" ref="P49:P69" si="26">IF(E49&gt;D49,IF(F49&gt;H49,G49,E49-H49),0)</f>
        <v>1.6387611428571425</v>
      </c>
      <c r="Q49" s="135"/>
      <c r="R49" s="104">
        <f t="shared" ref="R49:R69" si="27">H49-L49</f>
        <v>5.2311473406593407</v>
      </c>
      <c r="S49" s="137"/>
      <c r="T49" s="141">
        <f t="shared" ref="T49:T69" si="28">L49+N49+P49</f>
        <v>2.9626583736263736</v>
      </c>
      <c r="U49" s="199">
        <f t="shared" ref="U49:U69" si="29">J49+L49</f>
        <v>0</v>
      </c>
      <c r="V49" s="37" t="str">
        <f t="shared" ref="V49:V69" si="30">IF(R49+T49=E49,"ok","bad")</f>
        <v>ok</v>
      </c>
      <c r="W49" s="37" t="str">
        <f t="shared" ref="W49:W69" si="31">IF(U49+R49=D49,"ok","bad")</f>
        <v>ok</v>
      </c>
    </row>
    <row r="50" spans="1:23" x14ac:dyDescent="0.25">
      <c r="A50" s="426"/>
      <c r="B50" s="178" t="s">
        <v>19</v>
      </c>
      <c r="C50" s="129">
        <v>5</v>
      </c>
      <c r="D50" s="130">
        <f>'2.4.5.4 Emplois ETP  base m'!D50/QTMGI</f>
        <v>2.288167120879121</v>
      </c>
      <c r="E50" s="131">
        <f>'2.4.5.4 Emplois ETP  base m'!E50/QTMGI</f>
        <v>3.3520114285714278</v>
      </c>
      <c r="F50" s="132">
        <f t="shared" si="0"/>
        <v>2.6816091428571425</v>
      </c>
      <c r="G50" s="133">
        <f t="shared" si="1"/>
        <v>0.6704022857142854</v>
      </c>
      <c r="H50" s="134">
        <f t="shared" si="22"/>
        <v>2.288167120879121</v>
      </c>
      <c r="I50" s="135"/>
      <c r="J50" s="136">
        <f t="shared" si="23"/>
        <v>0</v>
      </c>
      <c r="K50" s="137"/>
      <c r="L50" s="138">
        <f t="shared" si="24"/>
        <v>0</v>
      </c>
      <c r="M50" s="137"/>
      <c r="N50" s="139">
        <f t="shared" si="25"/>
        <v>0.39344202197802147</v>
      </c>
      <c r="O50" s="137"/>
      <c r="P50" s="140">
        <f t="shared" si="26"/>
        <v>0.6704022857142854</v>
      </c>
      <c r="Q50" s="135"/>
      <c r="R50" s="104">
        <f t="shared" si="27"/>
        <v>2.288167120879121</v>
      </c>
      <c r="S50" s="137"/>
      <c r="T50" s="141">
        <f t="shared" si="28"/>
        <v>1.0638443076923068</v>
      </c>
      <c r="U50" s="199">
        <f t="shared" si="29"/>
        <v>0</v>
      </c>
      <c r="V50" s="37" t="str">
        <f t="shared" si="30"/>
        <v>ok</v>
      </c>
      <c r="W50" s="37" t="str">
        <f t="shared" si="31"/>
        <v>ok</v>
      </c>
    </row>
    <row r="51" spans="1:23" x14ac:dyDescent="0.25">
      <c r="A51" s="426"/>
      <c r="B51" s="178" t="s">
        <v>20</v>
      </c>
      <c r="C51" s="129">
        <v>6</v>
      </c>
      <c r="D51" s="130">
        <f>'2.4.5.4 Emplois ETP  base m'!D51/QTMGI</f>
        <v>1.596566769230769</v>
      </c>
      <c r="E51" s="131">
        <f>'2.4.5.4 Emplois ETP  base m'!E51/QTMGI</f>
        <v>5.0280171428571423</v>
      </c>
      <c r="F51" s="132">
        <f t="shared" si="0"/>
        <v>4.0224137142857144</v>
      </c>
      <c r="G51" s="133">
        <f t="shared" si="1"/>
        <v>1.0056034285714281</v>
      </c>
      <c r="H51" s="134">
        <f t="shared" si="22"/>
        <v>1.596566769230769</v>
      </c>
      <c r="I51" s="135"/>
      <c r="J51" s="136">
        <f t="shared" si="23"/>
        <v>0</v>
      </c>
      <c r="K51" s="137"/>
      <c r="L51" s="138">
        <f t="shared" si="24"/>
        <v>0</v>
      </c>
      <c r="M51" s="137"/>
      <c r="N51" s="139">
        <f t="shared" si="25"/>
        <v>2.4258469450549454</v>
      </c>
      <c r="O51" s="137"/>
      <c r="P51" s="140">
        <f t="shared" si="26"/>
        <v>1.0056034285714281</v>
      </c>
      <c r="Q51" s="135"/>
      <c r="R51" s="104">
        <f t="shared" si="27"/>
        <v>1.596566769230769</v>
      </c>
      <c r="S51" s="137"/>
      <c r="T51" s="141">
        <f t="shared" si="28"/>
        <v>3.4314503736263733</v>
      </c>
      <c r="U51" s="199">
        <f t="shared" si="29"/>
        <v>0</v>
      </c>
      <c r="V51" s="37" t="str">
        <f t="shared" si="30"/>
        <v>ok</v>
      </c>
      <c r="W51" s="37" t="str">
        <f t="shared" si="31"/>
        <v>ok</v>
      </c>
    </row>
    <row r="52" spans="1:23" x14ac:dyDescent="0.25">
      <c r="A52" s="426"/>
      <c r="B52" s="178" t="s">
        <v>21</v>
      </c>
      <c r="C52" s="129">
        <v>7</v>
      </c>
      <c r="D52" s="130">
        <f>'2.4.5.4 Emplois ETP  base m'!D52/QTMGI</f>
        <v>3.3108527472527469</v>
      </c>
      <c r="E52" s="131">
        <f>'2.4.5.4 Emplois ETP  base m'!E52/QTMGI</f>
        <v>8.1938057142857144</v>
      </c>
      <c r="F52" s="132">
        <f t="shared" si="0"/>
        <v>6.5550445714285717</v>
      </c>
      <c r="G52" s="133">
        <f t="shared" si="1"/>
        <v>1.6387611428571425</v>
      </c>
      <c r="H52" s="134">
        <f t="shared" si="22"/>
        <v>3.3108527472527469</v>
      </c>
      <c r="I52" s="135"/>
      <c r="J52" s="136">
        <f t="shared" si="23"/>
        <v>0</v>
      </c>
      <c r="K52" s="137"/>
      <c r="L52" s="138">
        <f t="shared" si="24"/>
        <v>0</v>
      </c>
      <c r="M52" s="137"/>
      <c r="N52" s="139">
        <f t="shared" si="25"/>
        <v>3.2441918241758247</v>
      </c>
      <c r="O52" s="137"/>
      <c r="P52" s="140">
        <f t="shared" si="26"/>
        <v>1.6387611428571425</v>
      </c>
      <c r="Q52" s="135"/>
      <c r="R52" s="104">
        <f t="shared" si="27"/>
        <v>3.3108527472527469</v>
      </c>
      <c r="S52" s="137"/>
      <c r="T52" s="141">
        <f t="shared" si="28"/>
        <v>4.882952967032967</v>
      </c>
      <c r="U52" s="199">
        <f t="shared" si="29"/>
        <v>0</v>
      </c>
      <c r="V52" s="37" t="str">
        <f t="shared" si="30"/>
        <v>ok</v>
      </c>
      <c r="W52" s="37" t="str">
        <f t="shared" si="31"/>
        <v>ok</v>
      </c>
    </row>
    <row r="53" spans="1:23" x14ac:dyDescent="0.25">
      <c r="A53" s="426"/>
      <c r="B53" s="178" t="s">
        <v>22</v>
      </c>
      <c r="C53" s="129">
        <v>8</v>
      </c>
      <c r="D53" s="130">
        <f>'2.4.5.4 Emplois ETP  base m'!D53/QTMGI</f>
        <v>10.631516043956045</v>
      </c>
      <c r="E53" s="131">
        <f>'2.4.5.4 Emplois ETP  base m'!E53/QTMGI</f>
        <v>5.7299340659340654</v>
      </c>
      <c r="F53" s="132">
        <f t="shared" si="0"/>
        <v>4.5839472527472527</v>
      </c>
      <c r="G53" s="133">
        <f t="shared" si="1"/>
        <v>1.1459868131868127</v>
      </c>
      <c r="H53" s="134">
        <f t="shared" si="22"/>
        <v>5.7299340659340654</v>
      </c>
      <c r="I53" s="135"/>
      <c r="J53" s="136">
        <f t="shared" si="23"/>
        <v>4.90158197802198</v>
      </c>
      <c r="K53" s="137"/>
      <c r="L53" s="138">
        <f t="shared" si="24"/>
        <v>1.1459868131868127</v>
      </c>
      <c r="M53" s="137"/>
      <c r="N53" s="139">
        <f t="shared" si="25"/>
        <v>0</v>
      </c>
      <c r="O53" s="137"/>
      <c r="P53" s="140">
        <f t="shared" si="26"/>
        <v>0</v>
      </c>
      <c r="Q53" s="135"/>
      <c r="R53" s="104">
        <f t="shared" si="27"/>
        <v>4.5839472527472527</v>
      </c>
      <c r="S53" s="137"/>
      <c r="T53" s="141">
        <f t="shared" si="28"/>
        <v>1.1459868131868127</v>
      </c>
      <c r="U53" s="199">
        <f t="shared" si="29"/>
        <v>6.0475687912087928</v>
      </c>
      <c r="V53" s="37" t="str">
        <f t="shared" si="30"/>
        <v>ok</v>
      </c>
      <c r="W53" s="37" t="str">
        <f t="shared" si="31"/>
        <v>ok</v>
      </c>
    </row>
    <row r="54" spans="1:23" x14ac:dyDescent="0.25">
      <c r="A54" s="426"/>
      <c r="B54" s="178" t="s">
        <v>23</v>
      </c>
      <c r="C54" s="129">
        <v>9</v>
      </c>
      <c r="D54" s="130">
        <f>'2.4.5.4 Emplois ETP  base m'!D54/QTMGI</f>
        <v>8.6229320439560446</v>
      </c>
      <c r="E54" s="131">
        <f>'2.4.5.4 Emplois ETP  base m'!E54/QTMGI</f>
        <v>5.8731824175824165</v>
      </c>
      <c r="F54" s="132">
        <f t="shared" si="0"/>
        <v>4.6985459340659332</v>
      </c>
      <c r="G54" s="133">
        <f t="shared" si="1"/>
        <v>1.1746364835164831</v>
      </c>
      <c r="H54" s="134">
        <f t="shared" si="22"/>
        <v>5.8731824175824165</v>
      </c>
      <c r="I54" s="135"/>
      <c r="J54" s="136">
        <f t="shared" si="23"/>
        <v>2.7497496263736281</v>
      </c>
      <c r="K54" s="137"/>
      <c r="L54" s="138">
        <f t="shared" si="24"/>
        <v>1.1746364835164831</v>
      </c>
      <c r="M54" s="137"/>
      <c r="N54" s="139">
        <f t="shared" si="25"/>
        <v>0</v>
      </c>
      <c r="O54" s="137"/>
      <c r="P54" s="140">
        <f t="shared" si="26"/>
        <v>0</v>
      </c>
      <c r="Q54" s="135"/>
      <c r="R54" s="104">
        <f t="shared" si="27"/>
        <v>4.6985459340659332</v>
      </c>
      <c r="S54" s="137"/>
      <c r="T54" s="141">
        <f t="shared" si="28"/>
        <v>1.1746364835164831</v>
      </c>
      <c r="U54" s="199">
        <f t="shared" si="29"/>
        <v>3.9243861098901114</v>
      </c>
      <c r="V54" s="37" t="str">
        <f t="shared" si="30"/>
        <v>ok</v>
      </c>
      <c r="W54" s="37" t="str">
        <f t="shared" si="31"/>
        <v>ok</v>
      </c>
    </row>
    <row r="55" spans="1:23" x14ac:dyDescent="0.25">
      <c r="A55" s="426"/>
      <c r="B55" s="178" t="s">
        <v>19</v>
      </c>
      <c r="C55" s="129">
        <v>12</v>
      </c>
      <c r="D55" s="130">
        <f>'2.4.5.4 Emplois ETP  base m'!D55/QTMGI</f>
        <v>4.9846727472527474</v>
      </c>
      <c r="E55" s="131">
        <f>'2.4.5.4 Emplois ETP  base m'!E55/QTMGI</f>
        <v>3.1514637362637363</v>
      </c>
      <c r="F55" s="132">
        <f t="shared" si="0"/>
        <v>2.5211709890109892</v>
      </c>
      <c r="G55" s="133">
        <f t="shared" si="1"/>
        <v>0.63029274725274709</v>
      </c>
      <c r="H55" s="134">
        <f t="shared" si="22"/>
        <v>3.1514637362637363</v>
      </c>
      <c r="I55" s="135"/>
      <c r="J55" s="136">
        <f t="shared" si="23"/>
        <v>1.8332090109890111</v>
      </c>
      <c r="K55" s="137"/>
      <c r="L55" s="138">
        <f t="shared" si="24"/>
        <v>0.63029274725274709</v>
      </c>
      <c r="M55" s="137"/>
      <c r="N55" s="139">
        <f t="shared" si="25"/>
        <v>0</v>
      </c>
      <c r="O55" s="137"/>
      <c r="P55" s="140">
        <f t="shared" si="26"/>
        <v>0</v>
      </c>
      <c r="Q55" s="135"/>
      <c r="R55" s="104">
        <f t="shared" si="27"/>
        <v>2.5211709890109892</v>
      </c>
      <c r="S55" s="137"/>
      <c r="T55" s="141">
        <f t="shared" si="28"/>
        <v>0.63029274725274709</v>
      </c>
      <c r="U55" s="199">
        <f t="shared" si="29"/>
        <v>2.4635017582417582</v>
      </c>
      <c r="V55" s="37" t="str">
        <f t="shared" si="30"/>
        <v>ok</v>
      </c>
      <c r="W55" s="37" t="str">
        <f t="shared" si="31"/>
        <v>ok</v>
      </c>
    </row>
    <row r="56" spans="1:23" x14ac:dyDescent="0.25">
      <c r="A56" s="426"/>
      <c r="B56" s="178" t="s">
        <v>20</v>
      </c>
      <c r="C56" s="129">
        <v>13</v>
      </c>
      <c r="D56" s="130">
        <f>'2.4.5.4 Emplois ETP  base m'!D56/QTMGI</f>
        <v>4.0245254505494508</v>
      </c>
      <c r="E56" s="131">
        <f>'2.4.5.4 Emplois ETP  base m'!E56/QTMGI</f>
        <v>4.0109538461538463</v>
      </c>
      <c r="F56" s="132">
        <f t="shared" si="0"/>
        <v>3.2087630769230771</v>
      </c>
      <c r="G56" s="133">
        <f t="shared" si="1"/>
        <v>0.80219076923076904</v>
      </c>
      <c r="H56" s="134">
        <f t="shared" si="22"/>
        <v>4.0109538461538463</v>
      </c>
      <c r="I56" s="135"/>
      <c r="J56" s="136">
        <f t="shared" si="23"/>
        <v>1.3571604395604453E-2</v>
      </c>
      <c r="K56" s="137"/>
      <c r="L56" s="138">
        <f t="shared" si="24"/>
        <v>0.80219076923076904</v>
      </c>
      <c r="M56" s="137"/>
      <c r="N56" s="139">
        <f t="shared" si="25"/>
        <v>0</v>
      </c>
      <c r="O56" s="137"/>
      <c r="P56" s="140">
        <f t="shared" si="26"/>
        <v>0</v>
      </c>
      <c r="Q56" s="135"/>
      <c r="R56" s="104">
        <f t="shared" si="27"/>
        <v>3.2087630769230771</v>
      </c>
      <c r="S56" s="137"/>
      <c r="T56" s="141">
        <f t="shared" si="28"/>
        <v>0.80219076923076904</v>
      </c>
      <c r="U56" s="199">
        <f t="shared" si="29"/>
        <v>0.81576237362637349</v>
      </c>
      <c r="V56" s="37" t="str">
        <f t="shared" si="30"/>
        <v>ok</v>
      </c>
      <c r="W56" s="37" t="str">
        <f t="shared" si="31"/>
        <v>ok</v>
      </c>
    </row>
    <row r="57" spans="1:23" x14ac:dyDescent="0.25">
      <c r="A57" s="426"/>
      <c r="B57" s="178" t="s">
        <v>21</v>
      </c>
      <c r="C57" s="129">
        <v>14</v>
      </c>
      <c r="D57" s="130">
        <f>'2.4.5.4 Emplois ETP  base m'!D57/QTMGI</f>
        <v>7.6664634725274707</v>
      </c>
      <c r="E57" s="131">
        <f>'2.4.5.4 Emplois ETP  base m'!E57/QTMGI</f>
        <v>5.4434373626373622</v>
      </c>
      <c r="F57" s="132">
        <f t="shared" si="0"/>
        <v>4.3547498901098898</v>
      </c>
      <c r="G57" s="133">
        <f t="shared" si="1"/>
        <v>1.0886874725274722</v>
      </c>
      <c r="H57" s="134">
        <f t="shared" si="22"/>
        <v>5.4434373626373622</v>
      </c>
      <c r="I57" s="135"/>
      <c r="J57" s="136">
        <f t="shared" si="23"/>
        <v>2.2230261098901085</v>
      </c>
      <c r="K57" s="137"/>
      <c r="L57" s="138">
        <f t="shared" si="24"/>
        <v>1.0886874725274722</v>
      </c>
      <c r="M57" s="137"/>
      <c r="N57" s="139">
        <f t="shared" si="25"/>
        <v>0</v>
      </c>
      <c r="O57" s="137"/>
      <c r="P57" s="140">
        <f t="shared" si="26"/>
        <v>0</v>
      </c>
      <c r="Q57" s="135"/>
      <c r="R57" s="104">
        <f t="shared" si="27"/>
        <v>4.3547498901098898</v>
      </c>
      <c r="S57" s="137"/>
      <c r="T57" s="141">
        <f t="shared" si="28"/>
        <v>1.0886874725274722</v>
      </c>
      <c r="U57" s="199">
        <f t="shared" si="29"/>
        <v>3.311713582417581</v>
      </c>
      <c r="V57" s="37" t="str">
        <f t="shared" si="30"/>
        <v>ok</v>
      </c>
      <c r="W57" s="37" t="str">
        <f t="shared" si="31"/>
        <v>ok</v>
      </c>
    </row>
    <row r="58" spans="1:23" x14ac:dyDescent="0.25">
      <c r="A58" s="426"/>
      <c r="B58" s="178" t="s">
        <v>22</v>
      </c>
      <c r="C58" s="129">
        <v>15</v>
      </c>
      <c r="D58" s="130">
        <f>'2.4.5.4 Emplois ETP  base m'!D58/QTMGI</f>
        <v>6.662171472527473</v>
      </c>
      <c r="E58" s="131">
        <f>'2.4.5.4 Emplois ETP  base m'!E58/QTMGI</f>
        <v>8.5949010989010972</v>
      </c>
      <c r="F58" s="132">
        <f t="shared" si="0"/>
        <v>6.8759208791208781</v>
      </c>
      <c r="G58" s="133">
        <f t="shared" si="1"/>
        <v>1.7189802197802191</v>
      </c>
      <c r="H58" s="134">
        <f t="shared" si="22"/>
        <v>6.662171472527473</v>
      </c>
      <c r="I58" s="135"/>
      <c r="J58" s="136">
        <f t="shared" si="23"/>
        <v>0</v>
      </c>
      <c r="K58" s="137"/>
      <c r="L58" s="138">
        <f t="shared" si="24"/>
        <v>0</v>
      </c>
      <c r="M58" s="137"/>
      <c r="N58" s="139">
        <f t="shared" si="25"/>
        <v>0.21374940659340513</v>
      </c>
      <c r="O58" s="137"/>
      <c r="P58" s="140">
        <f t="shared" si="26"/>
        <v>1.7189802197802191</v>
      </c>
      <c r="Q58" s="135"/>
      <c r="R58" s="104">
        <f t="shared" si="27"/>
        <v>6.662171472527473</v>
      </c>
      <c r="S58" s="137"/>
      <c r="T58" s="141">
        <f t="shared" si="28"/>
        <v>1.9327296263736242</v>
      </c>
      <c r="U58" s="199">
        <f t="shared" si="29"/>
        <v>0</v>
      </c>
      <c r="V58" s="37" t="str">
        <f t="shared" si="30"/>
        <v>ok</v>
      </c>
      <c r="W58" s="37" t="str">
        <f t="shared" si="31"/>
        <v>ok</v>
      </c>
    </row>
    <row r="59" spans="1:23" x14ac:dyDescent="0.25">
      <c r="A59" s="426"/>
      <c r="B59" s="178" t="s">
        <v>23</v>
      </c>
      <c r="C59" s="129">
        <v>16</v>
      </c>
      <c r="D59" s="130">
        <f>'2.4.5.4 Emplois ETP  base m'!D59/QTMGI</f>
        <v>5.2311473406593407</v>
      </c>
      <c r="E59" s="131">
        <f>'2.4.5.4 Emplois ETP  base m'!E59/QTMGI</f>
        <v>6.5894241758241758</v>
      </c>
      <c r="F59" s="132">
        <f t="shared" si="0"/>
        <v>5.2715393406593414</v>
      </c>
      <c r="G59" s="133">
        <f t="shared" si="1"/>
        <v>1.3178848351648349</v>
      </c>
      <c r="H59" s="134">
        <f t="shared" si="22"/>
        <v>5.2311473406593407</v>
      </c>
      <c r="I59" s="135"/>
      <c r="J59" s="136">
        <f t="shared" si="23"/>
        <v>0</v>
      </c>
      <c r="K59" s="137"/>
      <c r="L59" s="138">
        <f t="shared" si="24"/>
        <v>0</v>
      </c>
      <c r="M59" s="137"/>
      <c r="N59" s="139">
        <f t="shared" si="25"/>
        <v>4.039200000000065E-2</v>
      </c>
      <c r="O59" s="137"/>
      <c r="P59" s="140">
        <f t="shared" si="26"/>
        <v>1.3178848351648349</v>
      </c>
      <c r="Q59" s="135"/>
      <c r="R59" s="104">
        <f t="shared" si="27"/>
        <v>5.2311473406593407</v>
      </c>
      <c r="S59" s="137"/>
      <c r="T59" s="141">
        <f t="shared" si="28"/>
        <v>1.3582768351648355</v>
      </c>
      <c r="U59" s="199">
        <f t="shared" si="29"/>
        <v>0</v>
      </c>
      <c r="V59" s="37" t="str">
        <f t="shared" si="30"/>
        <v>ok</v>
      </c>
      <c r="W59" s="37" t="str">
        <f t="shared" si="31"/>
        <v>ok</v>
      </c>
    </row>
    <row r="60" spans="1:23" x14ac:dyDescent="0.25">
      <c r="A60" s="426"/>
      <c r="B60" s="178" t="s">
        <v>19</v>
      </c>
      <c r="C60" s="129">
        <v>19</v>
      </c>
      <c r="D60" s="130">
        <f>'2.4.5.4 Emplois ETP  base m'!D60/QTMGI</f>
        <v>2.288167120879121</v>
      </c>
      <c r="E60" s="131">
        <f>'2.4.5.4 Emplois ETP  base m'!E60/QTMGI</f>
        <v>3.1514637362637363</v>
      </c>
      <c r="F60" s="132">
        <f t="shared" si="0"/>
        <v>2.5211709890109892</v>
      </c>
      <c r="G60" s="133">
        <f t="shared" si="1"/>
        <v>0.63029274725274709</v>
      </c>
      <c r="H60" s="134">
        <f t="shared" si="22"/>
        <v>2.288167120879121</v>
      </c>
      <c r="I60" s="135"/>
      <c r="J60" s="136">
        <f t="shared" si="23"/>
        <v>0</v>
      </c>
      <c r="K60" s="137"/>
      <c r="L60" s="138">
        <f t="shared" si="24"/>
        <v>0</v>
      </c>
      <c r="M60" s="137"/>
      <c r="N60" s="139">
        <f t="shared" si="25"/>
        <v>0.23300386813186824</v>
      </c>
      <c r="O60" s="137"/>
      <c r="P60" s="140">
        <f t="shared" si="26"/>
        <v>0.63029274725274709</v>
      </c>
      <c r="Q60" s="135"/>
      <c r="R60" s="104">
        <f t="shared" si="27"/>
        <v>2.288167120879121</v>
      </c>
      <c r="S60" s="137"/>
      <c r="T60" s="141">
        <f t="shared" si="28"/>
        <v>0.86329661538461533</v>
      </c>
      <c r="U60" s="199">
        <f t="shared" si="29"/>
        <v>0</v>
      </c>
      <c r="V60" s="37" t="str">
        <f t="shared" si="30"/>
        <v>ok</v>
      </c>
      <c r="W60" s="37" t="str">
        <f t="shared" si="31"/>
        <v>ok</v>
      </c>
    </row>
    <row r="61" spans="1:23" x14ac:dyDescent="0.25">
      <c r="A61" s="426"/>
      <c r="B61" s="178" t="s">
        <v>20</v>
      </c>
      <c r="C61" s="129">
        <v>20</v>
      </c>
      <c r="D61" s="130">
        <f>'2.4.5.4 Emplois ETP  base m'!D61/QTMGI</f>
        <v>1.596566769230769</v>
      </c>
      <c r="E61" s="131">
        <f>'2.4.5.4 Emplois ETP  base m'!E61/QTMGI</f>
        <v>5.300189010989012</v>
      </c>
      <c r="F61" s="132">
        <f t="shared" si="0"/>
        <v>4.2401512087912101</v>
      </c>
      <c r="G61" s="133">
        <f t="shared" si="1"/>
        <v>1.0600378021978021</v>
      </c>
      <c r="H61" s="134">
        <f t="shared" si="22"/>
        <v>1.596566769230769</v>
      </c>
      <c r="I61" s="135"/>
      <c r="J61" s="136">
        <f t="shared" si="23"/>
        <v>0</v>
      </c>
      <c r="K61" s="137"/>
      <c r="L61" s="138">
        <f t="shared" si="24"/>
        <v>0</v>
      </c>
      <c r="M61" s="137"/>
      <c r="N61" s="139">
        <f t="shared" si="25"/>
        <v>2.6435844395604411</v>
      </c>
      <c r="O61" s="137"/>
      <c r="P61" s="140">
        <f t="shared" si="26"/>
        <v>1.0600378021978021</v>
      </c>
      <c r="Q61" s="135"/>
      <c r="R61" s="104">
        <f t="shared" si="27"/>
        <v>1.596566769230769</v>
      </c>
      <c r="S61" s="137"/>
      <c r="T61" s="141">
        <f t="shared" si="28"/>
        <v>3.703622241758243</v>
      </c>
      <c r="U61" s="199">
        <f t="shared" si="29"/>
        <v>0</v>
      </c>
      <c r="V61" s="37" t="str">
        <f t="shared" si="30"/>
        <v>ok</v>
      </c>
      <c r="W61" s="37" t="str">
        <f t="shared" si="31"/>
        <v>ok</v>
      </c>
    </row>
    <row r="62" spans="1:23" x14ac:dyDescent="0.25">
      <c r="A62" s="426"/>
      <c r="B62" s="178" t="s">
        <v>21</v>
      </c>
      <c r="C62" s="129">
        <v>21</v>
      </c>
      <c r="D62" s="130">
        <f>'2.4.5.4 Emplois ETP  base m'!D62/QTMGI</f>
        <v>3.3108527472527469</v>
      </c>
      <c r="E62" s="131">
        <f>'2.4.5.4 Emplois ETP  base m'!E62/QTMGI</f>
        <v>6.3029274725274727</v>
      </c>
      <c r="F62" s="132">
        <f t="shared" si="0"/>
        <v>5.0423419780219785</v>
      </c>
      <c r="G62" s="133">
        <f t="shared" si="1"/>
        <v>1.2605854945054942</v>
      </c>
      <c r="H62" s="134">
        <f t="shared" si="22"/>
        <v>3.3108527472527469</v>
      </c>
      <c r="I62" s="135"/>
      <c r="J62" s="136">
        <f t="shared" si="23"/>
        <v>0</v>
      </c>
      <c r="K62" s="137"/>
      <c r="L62" s="138">
        <f t="shared" si="24"/>
        <v>0</v>
      </c>
      <c r="M62" s="137"/>
      <c r="N62" s="139">
        <f t="shared" si="25"/>
        <v>1.7314892307692316</v>
      </c>
      <c r="O62" s="137"/>
      <c r="P62" s="140">
        <f t="shared" si="26"/>
        <v>1.2605854945054942</v>
      </c>
      <c r="Q62" s="135"/>
      <c r="R62" s="104">
        <f t="shared" si="27"/>
        <v>3.3108527472527469</v>
      </c>
      <c r="S62" s="137"/>
      <c r="T62" s="141">
        <f t="shared" si="28"/>
        <v>2.9920747252747257</v>
      </c>
      <c r="U62" s="199">
        <f t="shared" si="29"/>
        <v>0</v>
      </c>
      <c r="V62" s="37" t="str">
        <f t="shared" si="30"/>
        <v>ok</v>
      </c>
      <c r="W62" s="37" t="str">
        <f t="shared" si="31"/>
        <v>ok</v>
      </c>
    </row>
    <row r="63" spans="1:23" x14ac:dyDescent="0.25">
      <c r="A63" s="426"/>
      <c r="B63" s="178" t="s">
        <v>22</v>
      </c>
      <c r="C63" s="129">
        <v>22</v>
      </c>
      <c r="D63" s="130">
        <f>'2.4.5.4 Emplois ETP  base m'!D63/QTMGI</f>
        <v>13.28755569230769</v>
      </c>
      <c r="E63" s="131">
        <f>'2.4.5.4 Emplois ETP  base m'!E63/QTMGI</f>
        <v>7.0907934065934048</v>
      </c>
      <c r="F63" s="132">
        <f t="shared" si="0"/>
        <v>5.6726347252747242</v>
      </c>
      <c r="G63" s="133">
        <f t="shared" si="1"/>
        <v>1.4181586813186806</v>
      </c>
      <c r="H63" s="134">
        <f t="shared" si="22"/>
        <v>7.0907934065934048</v>
      </c>
      <c r="I63" s="135"/>
      <c r="J63" s="136">
        <f t="shared" si="23"/>
        <v>6.1967622857142848</v>
      </c>
      <c r="K63" s="137"/>
      <c r="L63" s="138">
        <f t="shared" si="24"/>
        <v>1.4181586813186806</v>
      </c>
      <c r="M63" s="137"/>
      <c r="N63" s="139">
        <f t="shared" si="25"/>
        <v>0</v>
      </c>
      <c r="O63" s="137"/>
      <c r="P63" s="140">
        <f t="shared" si="26"/>
        <v>0</v>
      </c>
      <c r="Q63" s="135"/>
      <c r="R63" s="104">
        <f t="shared" si="27"/>
        <v>5.6726347252747242</v>
      </c>
      <c r="S63" s="137"/>
      <c r="T63" s="141">
        <f t="shared" si="28"/>
        <v>1.4181586813186806</v>
      </c>
      <c r="U63" s="199">
        <f t="shared" si="29"/>
        <v>7.6149209670329654</v>
      </c>
      <c r="V63" s="37" t="str">
        <f t="shared" si="30"/>
        <v>ok</v>
      </c>
      <c r="W63" s="37" t="str">
        <f t="shared" si="31"/>
        <v>ok</v>
      </c>
    </row>
    <row r="64" spans="1:23" x14ac:dyDescent="0.25">
      <c r="A64" s="426"/>
      <c r="B64" s="178" t="s">
        <v>23</v>
      </c>
      <c r="C64" s="129">
        <v>23</v>
      </c>
      <c r="D64" s="130">
        <f>'2.4.5.4 Emplois ETP  base m'!D64/QTMGI</f>
        <v>10.815452307692308</v>
      </c>
      <c r="E64" s="131">
        <f>'2.4.5.4 Emplois ETP  base m'!E64/QTMGI</f>
        <v>4.4922683076923065</v>
      </c>
      <c r="F64" s="132">
        <f t="shared" si="0"/>
        <v>3.5938146461538452</v>
      </c>
      <c r="G64" s="133">
        <f t="shared" si="1"/>
        <v>0.89845366153846107</v>
      </c>
      <c r="H64" s="134">
        <f t="shared" si="22"/>
        <v>4.4922683076923065</v>
      </c>
      <c r="I64" s="135"/>
      <c r="J64" s="136">
        <f t="shared" si="23"/>
        <v>6.3231840000000012</v>
      </c>
      <c r="K64" s="137"/>
      <c r="L64" s="138">
        <f t="shared" si="24"/>
        <v>0.89845366153846107</v>
      </c>
      <c r="M64" s="137"/>
      <c r="N64" s="139">
        <f t="shared" si="25"/>
        <v>0</v>
      </c>
      <c r="O64" s="137"/>
      <c r="P64" s="140">
        <f t="shared" si="26"/>
        <v>0</v>
      </c>
      <c r="Q64" s="135"/>
      <c r="R64" s="104">
        <f t="shared" si="27"/>
        <v>3.5938146461538452</v>
      </c>
      <c r="S64" s="137"/>
      <c r="T64" s="141">
        <f t="shared" si="28"/>
        <v>0.89845366153846107</v>
      </c>
      <c r="U64" s="199">
        <f t="shared" si="29"/>
        <v>7.2216376615384625</v>
      </c>
      <c r="V64" s="37" t="str">
        <f t="shared" si="30"/>
        <v>ok</v>
      </c>
      <c r="W64" s="37" t="str">
        <f t="shared" si="31"/>
        <v>ok</v>
      </c>
    </row>
    <row r="65" spans="1:23" x14ac:dyDescent="0.25">
      <c r="A65" s="426"/>
      <c r="B65" s="178" t="s">
        <v>19</v>
      </c>
      <c r="C65" s="129">
        <v>26</v>
      </c>
      <c r="D65" s="130">
        <f>'2.4.5.4 Emplois ETP  base m'!D65/QTMGI</f>
        <v>6.2317606153846175</v>
      </c>
      <c r="E65" s="131">
        <f>'2.4.5.4 Emplois ETP  base m'!E65/QTMGI</f>
        <v>2.1286705054945054</v>
      </c>
      <c r="F65" s="132">
        <f t="shared" si="0"/>
        <v>1.7029364043956043</v>
      </c>
      <c r="G65" s="133">
        <f t="shared" si="1"/>
        <v>0.42573410109890097</v>
      </c>
      <c r="H65" s="134">
        <f t="shared" si="22"/>
        <v>2.1286705054945054</v>
      </c>
      <c r="I65" s="135"/>
      <c r="J65" s="136">
        <f t="shared" si="23"/>
        <v>4.103090109890112</v>
      </c>
      <c r="K65" s="137"/>
      <c r="L65" s="138">
        <f t="shared" si="24"/>
        <v>0.42573410109890097</v>
      </c>
      <c r="M65" s="137"/>
      <c r="N65" s="139">
        <f t="shared" si="25"/>
        <v>0</v>
      </c>
      <c r="O65" s="137"/>
      <c r="P65" s="140">
        <f t="shared" si="26"/>
        <v>0</v>
      </c>
      <c r="Q65" s="135"/>
      <c r="R65" s="104">
        <f t="shared" si="27"/>
        <v>1.7029364043956043</v>
      </c>
      <c r="S65" s="137"/>
      <c r="T65" s="141">
        <f t="shared" si="28"/>
        <v>0.42573410109890097</v>
      </c>
      <c r="U65" s="199">
        <f t="shared" si="29"/>
        <v>4.5288242109890131</v>
      </c>
      <c r="V65" s="37" t="str">
        <f t="shared" si="30"/>
        <v>ok</v>
      </c>
      <c r="W65" s="37" t="str">
        <f t="shared" si="31"/>
        <v>ok</v>
      </c>
    </row>
    <row r="66" spans="1:23" x14ac:dyDescent="0.25">
      <c r="A66" s="426"/>
      <c r="B66" s="178" t="s">
        <v>20</v>
      </c>
      <c r="C66" s="129">
        <v>27</v>
      </c>
      <c r="D66" s="130">
        <f>'2.4.5.4 Emplois ETP  base m'!D66/QTMGI</f>
        <v>5.102391956043955</v>
      </c>
      <c r="E66" s="131">
        <f>'2.4.5.4 Emplois ETP  base m'!E66/QTMGI</f>
        <v>2.8363173626373626</v>
      </c>
      <c r="F66" s="132">
        <f t="shared" si="0"/>
        <v>2.2690538901098902</v>
      </c>
      <c r="G66" s="133">
        <f t="shared" si="1"/>
        <v>0.56726347252747233</v>
      </c>
      <c r="H66" s="134">
        <f t="shared" si="22"/>
        <v>2.8363173626373626</v>
      </c>
      <c r="I66" s="135"/>
      <c r="J66" s="136">
        <f t="shared" si="23"/>
        <v>2.2660745934065925</v>
      </c>
      <c r="K66" s="137"/>
      <c r="L66" s="138">
        <f t="shared" si="24"/>
        <v>0.56726347252747233</v>
      </c>
      <c r="M66" s="137"/>
      <c r="N66" s="139">
        <f t="shared" si="25"/>
        <v>0</v>
      </c>
      <c r="O66" s="137"/>
      <c r="P66" s="140">
        <f t="shared" si="26"/>
        <v>0</v>
      </c>
      <c r="Q66" s="135"/>
      <c r="R66" s="104">
        <f t="shared" si="27"/>
        <v>2.2690538901098902</v>
      </c>
      <c r="S66" s="137"/>
      <c r="T66" s="141">
        <f t="shared" si="28"/>
        <v>0.56726347252747233</v>
      </c>
      <c r="U66" s="199">
        <f t="shared" si="29"/>
        <v>2.8333380659340648</v>
      </c>
      <c r="V66" s="37" t="str">
        <f t="shared" si="30"/>
        <v>ok</v>
      </c>
      <c r="W66" s="37" t="str">
        <f t="shared" si="31"/>
        <v>ok</v>
      </c>
    </row>
    <row r="67" spans="1:23" x14ac:dyDescent="0.25">
      <c r="A67" s="426"/>
      <c r="B67" s="178" t="s">
        <v>21</v>
      </c>
      <c r="C67" s="129">
        <v>28</v>
      </c>
      <c r="D67" s="130">
        <f>'2.4.5.4 Emplois ETP  base m'!D67/QTMGI</f>
        <v>9.5830793406593404</v>
      </c>
      <c r="E67" s="131">
        <f>'2.4.5.4 Emplois ETP  base m'!E67/QTMGI</f>
        <v>4.4922683076923065</v>
      </c>
      <c r="F67" s="132">
        <f t="shared" si="0"/>
        <v>3.5938146461538452</v>
      </c>
      <c r="G67" s="133">
        <f t="shared" si="1"/>
        <v>0.89845366153846107</v>
      </c>
      <c r="H67" s="134">
        <f t="shared" si="22"/>
        <v>4.4922683076923065</v>
      </c>
      <c r="I67" s="135"/>
      <c r="J67" s="136">
        <f t="shared" si="23"/>
        <v>5.090811032967034</v>
      </c>
      <c r="K67" s="137"/>
      <c r="L67" s="138">
        <f t="shared" si="24"/>
        <v>0.89845366153846107</v>
      </c>
      <c r="M67" s="137"/>
      <c r="N67" s="139">
        <f t="shared" si="25"/>
        <v>0</v>
      </c>
      <c r="O67" s="137"/>
      <c r="P67" s="140">
        <f t="shared" si="26"/>
        <v>0</v>
      </c>
      <c r="Q67" s="135"/>
      <c r="R67" s="104">
        <f t="shared" si="27"/>
        <v>3.5938146461538452</v>
      </c>
      <c r="S67" s="137"/>
      <c r="T67" s="141">
        <f t="shared" si="28"/>
        <v>0.89845366153846107</v>
      </c>
      <c r="U67" s="199">
        <f t="shared" si="29"/>
        <v>5.9892646945054953</v>
      </c>
      <c r="V67" s="37" t="str">
        <f t="shared" si="30"/>
        <v>ok</v>
      </c>
      <c r="W67" s="37" t="str">
        <f t="shared" si="31"/>
        <v>ok</v>
      </c>
    </row>
    <row r="68" spans="1:23" x14ac:dyDescent="0.25">
      <c r="A68" s="426"/>
      <c r="B68" s="178" t="s">
        <v>22</v>
      </c>
      <c r="C68" s="129">
        <v>29</v>
      </c>
      <c r="D68" s="130">
        <f>'2.4.5.4 Emplois ETP  base m'!D68/QTMGI</f>
        <v>15.943595340659344</v>
      </c>
      <c r="E68" s="131">
        <f>'2.4.5.4 Emplois ETP  base m'!E68/QTMGI</f>
        <v>8.5949010989010972</v>
      </c>
      <c r="F68" s="132">
        <f t="shared" si="0"/>
        <v>6.8759208791208781</v>
      </c>
      <c r="G68" s="133">
        <f t="shared" si="1"/>
        <v>1.7189802197802191</v>
      </c>
      <c r="H68" s="134">
        <f t="shared" si="22"/>
        <v>8.5949010989010972</v>
      </c>
      <c r="I68" s="135"/>
      <c r="J68" s="136">
        <f t="shared" si="23"/>
        <v>7.3486942417582473</v>
      </c>
      <c r="K68" s="137"/>
      <c r="L68" s="138">
        <f t="shared" si="24"/>
        <v>1.7189802197802191</v>
      </c>
      <c r="M68" s="137"/>
      <c r="N68" s="139">
        <f t="shared" si="25"/>
        <v>0</v>
      </c>
      <c r="O68" s="137"/>
      <c r="P68" s="140">
        <f t="shared" si="26"/>
        <v>0</v>
      </c>
      <c r="Q68" s="135"/>
      <c r="R68" s="104">
        <f t="shared" si="27"/>
        <v>6.8759208791208781</v>
      </c>
      <c r="S68" s="137"/>
      <c r="T68" s="141">
        <f t="shared" si="28"/>
        <v>1.7189802197802191</v>
      </c>
      <c r="U68" s="199">
        <f t="shared" si="29"/>
        <v>9.0676744615384663</v>
      </c>
      <c r="V68" s="37" t="str">
        <f t="shared" si="30"/>
        <v>ok</v>
      </c>
      <c r="W68" s="37" t="str">
        <f t="shared" si="31"/>
        <v>ok</v>
      </c>
    </row>
    <row r="69" spans="1:23" ht="15.75" thickBot="1" x14ac:dyDescent="0.3">
      <c r="A69" s="427"/>
      <c r="B69" s="277" t="s">
        <v>23</v>
      </c>
      <c r="C69" s="165">
        <v>30</v>
      </c>
      <c r="D69" s="202">
        <f>'2.4.5.4 Emplois ETP  base m'!D69/QTMGI</f>
        <v>12.934398065934063</v>
      </c>
      <c r="E69" s="203">
        <f>'2.4.5.4 Emplois ETP  base m'!E69/QTMGI</f>
        <v>6.0164307692307695</v>
      </c>
      <c r="F69" s="204">
        <f t="shared" ref="F69:F132" si="32">E69*TC</f>
        <v>4.8131446153846156</v>
      </c>
      <c r="G69" s="205">
        <f t="shared" ref="G69:G132" si="33">E69*(1-TC)</f>
        <v>1.2032861538461537</v>
      </c>
      <c r="H69" s="206">
        <f t="shared" si="22"/>
        <v>6.0164307692307695</v>
      </c>
      <c r="I69" s="207"/>
      <c r="J69" s="208">
        <f t="shared" si="23"/>
        <v>6.9179672967032939</v>
      </c>
      <c r="K69" s="209"/>
      <c r="L69" s="210">
        <f t="shared" si="24"/>
        <v>1.2032861538461537</v>
      </c>
      <c r="M69" s="209"/>
      <c r="N69" s="211">
        <f t="shared" si="25"/>
        <v>0</v>
      </c>
      <c r="O69" s="209"/>
      <c r="P69" s="212">
        <f t="shared" si="26"/>
        <v>0</v>
      </c>
      <c r="Q69" s="207"/>
      <c r="R69" s="213">
        <f t="shared" si="27"/>
        <v>4.8131446153846156</v>
      </c>
      <c r="S69" s="209"/>
      <c r="T69" s="214">
        <f t="shared" si="28"/>
        <v>1.2032861538461537</v>
      </c>
      <c r="U69" s="215">
        <f t="shared" si="29"/>
        <v>8.1212534505494478</v>
      </c>
      <c r="V69" s="37" t="str">
        <f t="shared" si="30"/>
        <v>ok</v>
      </c>
      <c r="W69" s="37" t="str">
        <f t="shared" si="31"/>
        <v>ok</v>
      </c>
    </row>
    <row r="70" spans="1:23" x14ac:dyDescent="0.25">
      <c r="A70" s="425" t="s">
        <v>92</v>
      </c>
      <c r="B70" s="276" t="s">
        <v>19</v>
      </c>
      <c r="C70" s="247">
        <v>2</v>
      </c>
      <c r="D70" s="184">
        <f>'2.4.5.4 Emplois ETP  base m'!D70/QTMGI</f>
        <v>10.449987428571427</v>
      </c>
      <c r="E70" s="185">
        <f>'2.4.5.4 Emplois ETP  base m'!E70/QTMGI</f>
        <v>9.2324571428571431</v>
      </c>
      <c r="F70" s="186">
        <f t="shared" si="32"/>
        <v>7.3859657142857147</v>
      </c>
      <c r="G70" s="187">
        <f t="shared" si="33"/>
        <v>1.8464914285714282</v>
      </c>
      <c r="H70" s="188">
        <f>IF(E70&gt;D70,D70,E70)</f>
        <v>9.2324571428571431</v>
      </c>
      <c r="I70" s="189"/>
      <c r="J70" s="190">
        <f>IF(E70&gt;D70,0,D70-E70)</f>
        <v>1.2175302857142842</v>
      </c>
      <c r="K70" s="191"/>
      <c r="L70" s="192">
        <f>IF(E70&gt;D70,IF(F70&gt;H70,0,H70-F70),G70)</f>
        <v>1.8464914285714282</v>
      </c>
      <c r="M70" s="191"/>
      <c r="N70" s="193">
        <f>IF(E70&gt;D70,IF(F70&gt;H70,F70-H70,0),0)</f>
        <v>0</v>
      </c>
      <c r="O70" s="191"/>
      <c r="P70" s="194">
        <f>IF(E70&gt;D70,IF(F70&gt;H70,G70,E70-H70),0)</f>
        <v>0</v>
      </c>
      <c r="Q70" s="189"/>
      <c r="R70" s="195">
        <f>H70-L70</f>
        <v>7.3859657142857147</v>
      </c>
      <c r="S70" s="191"/>
      <c r="T70" s="196">
        <f>L70+N70+P70</f>
        <v>1.8464914285714282</v>
      </c>
      <c r="U70" s="197">
        <f>J70+L70</f>
        <v>3.0640217142857127</v>
      </c>
      <c r="V70" s="37" t="str">
        <f>IF(R70+T70=E70,"ok","bad")</f>
        <v>ok</v>
      </c>
      <c r="W70" s="37" t="str">
        <f>IF(U70+R70=D70,"ok","bad")</f>
        <v>ok</v>
      </c>
    </row>
    <row r="71" spans="1:23" x14ac:dyDescent="0.25">
      <c r="A71" s="426"/>
      <c r="B71" s="178" t="s">
        <v>20</v>
      </c>
      <c r="C71" s="129">
        <v>3</v>
      </c>
      <c r="D71" s="130">
        <f>'2.4.5.4 Emplois ETP  base m'!D71/QTMGI</f>
        <v>8.2053462857142865</v>
      </c>
      <c r="E71" s="131">
        <f>'2.4.5.4 Emplois ETP  base m'!E71/QTMGI</f>
        <v>6.7704685714285704</v>
      </c>
      <c r="F71" s="132">
        <f t="shared" si="32"/>
        <v>5.4163748571428565</v>
      </c>
      <c r="G71" s="133">
        <f t="shared" si="33"/>
        <v>1.3540937142857137</v>
      </c>
      <c r="H71" s="134">
        <f t="shared" ref="H71:H90" si="34">IF(E71&gt;D71,D71,E71)</f>
        <v>6.7704685714285704</v>
      </c>
      <c r="I71" s="135"/>
      <c r="J71" s="136">
        <f t="shared" ref="J71:J90" si="35">IF(E71&gt;D71,0,D71-E71)</f>
        <v>1.4348777142857161</v>
      </c>
      <c r="K71" s="137"/>
      <c r="L71" s="138">
        <f t="shared" ref="L71:L90" si="36">IF(E71&gt;D71,IF(F71&gt;H71,0,H71-F71),G71)</f>
        <v>1.3540937142857137</v>
      </c>
      <c r="M71" s="137"/>
      <c r="N71" s="139">
        <f t="shared" ref="N71:N90" si="37">IF(E71&gt;D71,IF(F71&gt;H71,F71-H71,0),0)</f>
        <v>0</v>
      </c>
      <c r="O71" s="137"/>
      <c r="P71" s="140">
        <f t="shared" ref="P71:P90" si="38">IF(E71&gt;D71,IF(F71&gt;H71,G71,E71-H71),0)</f>
        <v>0</v>
      </c>
      <c r="Q71" s="135"/>
      <c r="R71" s="104">
        <f t="shared" ref="R71:R90" si="39">H71-L71</f>
        <v>5.4163748571428565</v>
      </c>
      <c r="S71" s="137"/>
      <c r="T71" s="141">
        <f t="shared" ref="T71:T90" si="40">L71+N71+P71</f>
        <v>1.3540937142857137</v>
      </c>
      <c r="U71" s="199">
        <f t="shared" ref="U71:U90" si="41">J71+L71</f>
        <v>2.78897142857143</v>
      </c>
      <c r="V71" s="37" t="str">
        <f t="shared" ref="V71:V90" si="42">IF(R71+T71=E71,"ok","bad")</f>
        <v>ok</v>
      </c>
      <c r="W71" s="37" t="str">
        <f t="shared" ref="W71:W90" si="43">IF(U71+R71=D71,"ok","bad")</f>
        <v>ok</v>
      </c>
    </row>
    <row r="72" spans="1:23" x14ac:dyDescent="0.25">
      <c r="A72" s="426"/>
      <c r="B72" s="178" t="s">
        <v>21</v>
      </c>
      <c r="C72" s="129">
        <v>4</v>
      </c>
      <c r="D72" s="130">
        <f>'2.4.5.4 Emplois ETP  base m'!D72/QTMGI</f>
        <v>3.589117714285714</v>
      </c>
      <c r="E72" s="131">
        <f>'2.4.5.4 Emplois ETP  base m'!E72/QTMGI</f>
        <v>2.7697371428571422</v>
      </c>
      <c r="F72" s="132">
        <f t="shared" si="32"/>
        <v>2.2157897142857137</v>
      </c>
      <c r="G72" s="133">
        <f t="shared" si="33"/>
        <v>0.55394742857142831</v>
      </c>
      <c r="H72" s="134">
        <f t="shared" si="34"/>
        <v>2.7697371428571422</v>
      </c>
      <c r="I72" s="135"/>
      <c r="J72" s="136">
        <f t="shared" si="35"/>
        <v>0.81938057142857179</v>
      </c>
      <c r="K72" s="137"/>
      <c r="L72" s="138">
        <f t="shared" si="36"/>
        <v>0.55394742857142831</v>
      </c>
      <c r="M72" s="137"/>
      <c r="N72" s="139">
        <f t="shared" si="37"/>
        <v>0</v>
      </c>
      <c r="O72" s="137"/>
      <c r="P72" s="140">
        <f t="shared" si="38"/>
        <v>0</v>
      </c>
      <c r="Q72" s="135"/>
      <c r="R72" s="104">
        <f t="shared" si="39"/>
        <v>2.2157897142857141</v>
      </c>
      <c r="S72" s="137"/>
      <c r="T72" s="141">
        <f t="shared" si="40"/>
        <v>0.55394742857142831</v>
      </c>
      <c r="U72" s="199">
        <f t="shared" si="41"/>
        <v>1.3733280000000001</v>
      </c>
      <c r="V72" s="37" t="str">
        <f t="shared" si="42"/>
        <v>ok</v>
      </c>
      <c r="W72" s="37" t="str">
        <f t="shared" si="43"/>
        <v>ok</v>
      </c>
    </row>
    <row r="73" spans="1:23" x14ac:dyDescent="0.25">
      <c r="A73" s="426"/>
      <c r="B73" s="178" t="s">
        <v>22</v>
      </c>
      <c r="C73" s="129">
        <v>5</v>
      </c>
      <c r="D73" s="130">
        <f>'2.4.5.4 Emplois ETP  base m'!D73/QTMGI</f>
        <v>2.5043039999999994</v>
      </c>
      <c r="E73" s="131">
        <f>'2.4.5.4 Emplois ETP  base m'!E73/QTMGI</f>
        <v>4.1546057142857142</v>
      </c>
      <c r="F73" s="132">
        <f t="shared" si="32"/>
        <v>3.3236845714285717</v>
      </c>
      <c r="G73" s="133">
        <f t="shared" si="33"/>
        <v>0.83092114285714269</v>
      </c>
      <c r="H73" s="134">
        <f t="shared" si="34"/>
        <v>2.5043039999999994</v>
      </c>
      <c r="I73" s="135"/>
      <c r="J73" s="136">
        <f t="shared" si="35"/>
        <v>0</v>
      </c>
      <c r="K73" s="137"/>
      <c r="L73" s="138">
        <f t="shared" si="36"/>
        <v>0</v>
      </c>
      <c r="M73" s="137"/>
      <c r="N73" s="139">
        <f t="shared" si="37"/>
        <v>0.81938057142857224</v>
      </c>
      <c r="O73" s="137"/>
      <c r="P73" s="140">
        <f t="shared" si="38"/>
        <v>0.83092114285714269</v>
      </c>
      <c r="Q73" s="135"/>
      <c r="R73" s="104">
        <f t="shared" si="39"/>
        <v>2.5043039999999994</v>
      </c>
      <c r="S73" s="137"/>
      <c r="T73" s="141">
        <f t="shared" si="40"/>
        <v>1.6503017142857148</v>
      </c>
      <c r="U73" s="199">
        <f t="shared" si="41"/>
        <v>0</v>
      </c>
      <c r="V73" s="37" t="str">
        <f t="shared" si="42"/>
        <v>ok</v>
      </c>
      <c r="W73" s="37" t="str">
        <f t="shared" si="43"/>
        <v>ok</v>
      </c>
    </row>
    <row r="74" spans="1:23" x14ac:dyDescent="0.25">
      <c r="A74" s="426"/>
      <c r="B74" s="178" t="s">
        <v>23</v>
      </c>
      <c r="C74" s="129">
        <v>6</v>
      </c>
      <c r="D74" s="130">
        <f>'2.4.5.4 Emplois ETP  base m'!D74/QTMGI</f>
        <v>5.1932571428571421</v>
      </c>
      <c r="E74" s="131">
        <f>'2.4.5.4 Emplois ETP  base m'!E74/QTMGI</f>
        <v>6.7704685714285704</v>
      </c>
      <c r="F74" s="132">
        <f t="shared" si="32"/>
        <v>5.4163748571428565</v>
      </c>
      <c r="G74" s="133">
        <f t="shared" si="33"/>
        <v>1.3540937142857137</v>
      </c>
      <c r="H74" s="134">
        <f t="shared" si="34"/>
        <v>5.1932571428571421</v>
      </c>
      <c r="I74" s="135"/>
      <c r="J74" s="136">
        <f t="shared" si="35"/>
        <v>0</v>
      </c>
      <c r="K74" s="137"/>
      <c r="L74" s="138">
        <f t="shared" si="36"/>
        <v>0</v>
      </c>
      <c r="M74" s="137"/>
      <c r="N74" s="139">
        <f t="shared" si="37"/>
        <v>0.22311771428571436</v>
      </c>
      <c r="O74" s="137"/>
      <c r="P74" s="140">
        <f t="shared" si="38"/>
        <v>1.3540937142857137</v>
      </c>
      <c r="Q74" s="135"/>
      <c r="R74" s="104">
        <f t="shared" si="39"/>
        <v>5.1932571428571421</v>
      </c>
      <c r="S74" s="137"/>
      <c r="T74" s="141">
        <f t="shared" si="40"/>
        <v>1.577211428571428</v>
      </c>
      <c r="U74" s="199">
        <f t="shared" si="41"/>
        <v>0</v>
      </c>
      <c r="V74" s="37" t="str">
        <f t="shared" si="42"/>
        <v>ok</v>
      </c>
      <c r="W74" s="37" t="str">
        <f t="shared" si="43"/>
        <v>ok</v>
      </c>
    </row>
    <row r="75" spans="1:23" x14ac:dyDescent="0.25">
      <c r="A75" s="426"/>
      <c r="B75" s="178" t="s">
        <v>19</v>
      </c>
      <c r="C75" s="129">
        <v>9</v>
      </c>
      <c r="D75" s="130">
        <f>'2.4.5.4 Emplois ETP  base m'!D75/QTMGI</f>
        <v>16.67612571428571</v>
      </c>
      <c r="E75" s="131">
        <f>'2.4.5.4 Emplois ETP  base m'!E75/QTMGI</f>
        <v>4.7345934065934054</v>
      </c>
      <c r="F75" s="132">
        <f t="shared" si="32"/>
        <v>3.7876747252747247</v>
      </c>
      <c r="G75" s="133">
        <f t="shared" si="33"/>
        <v>0.94691868131868084</v>
      </c>
      <c r="H75" s="134">
        <f t="shared" si="34"/>
        <v>4.7345934065934054</v>
      </c>
      <c r="I75" s="135"/>
      <c r="J75" s="136">
        <f t="shared" si="35"/>
        <v>11.941532307692306</v>
      </c>
      <c r="K75" s="137"/>
      <c r="L75" s="138">
        <f t="shared" si="36"/>
        <v>0.94691868131868084</v>
      </c>
      <c r="M75" s="137"/>
      <c r="N75" s="139">
        <f t="shared" si="37"/>
        <v>0</v>
      </c>
      <c r="O75" s="137"/>
      <c r="P75" s="140">
        <f t="shared" si="38"/>
        <v>0</v>
      </c>
      <c r="Q75" s="135"/>
      <c r="R75" s="104">
        <f t="shared" si="39"/>
        <v>3.7876747252747247</v>
      </c>
      <c r="S75" s="137"/>
      <c r="T75" s="141">
        <f t="shared" si="40"/>
        <v>0.94691868131868084</v>
      </c>
      <c r="U75" s="199">
        <f t="shared" si="41"/>
        <v>12.888450989010988</v>
      </c>
      <c r="V75" s="37" t="str">
        <f t="shared" si="42"/>
        <v>ok</v>
      </c>
      <c r="W75" s="37" t="str">
        <f t="shared" si="43"/>
        <v>ok</v>
      </c>
    </row>
    <row r="76" spans="1:23" x14ac:dyDescent="0.25">
      <c r="A76" s="426"/>
      <c r="B76" s="178" t="s">
        <v>20</v>
      </c>
      <c r="C76" s="129">
        <v>10</v>
      </c>
      <c r="D76" s="130">
        <f>'2.4.5.4 Emplois ETP  base m'!D76/QTMGI</f>
        <v>13.525549714285717</v>
      </c>
      <c r="E76" s="131">
        <f>'2.4.5.4 Emplois ETP  base m'!E76/QTMGI</f>
        <v>4.8529582417582411</v>
      </c>
      <c r="F76" s="132">
        <f t="shared" si="32"/>
        <v>3.882366593406593</v>
      </c>
      <c r="G76" s="133">
        <f t="shared" si="33"/>
        <v>0.97059164835164802</v>
      </c>
      <c r="H76" s="134">
        <f t="shared" si="34"/>
        <v>4.8529582417582411</v>
      </c>
      <c r="I76" s="135"/>
      <c r="J76" s="136">
        <f t="shared" si="35"/>
        <v>8.6725914725274755</v>
      </c>
      <c r="K76" s="137"/>
      <c r="L76" s="138">
        <f t="shared" si="36"/>
        <v>0.97059164835164802</v>
      </c>
      <c r="M76" s="137"/>
      <c r="N76" s="139">
        <f t="shared" si="37"/>
        <v>0</v>
      </c>
      <c r="O76" s="137"/>
      <c r="P76" s="140">
        <f t="shared" si="38"/>
        <v>0</v>
      </c>
      <c r="Q76" s="135"/>
      <c r="R76" s="104">
        <f t="shared" si="39"/>
        <v>3.882366593406593</v>
      </c>
      <c r="S76" s="137"/>
      <c r="T76" s="141">
        <f t="shared" si="40"/>
        <v>0.97059164835164802</v>
      </c>
      <c r="U76" s="199">
        <f t="shared" si="41"/>
        <v>9.6431831208791241</v>
      </c>
      <c r="V76" s="37" t="str">
        <f t="shared" si="42"/>
        <v>ok</v>
      </c>
      <c r="W76" s="37" t="str">
        <f t="shared" si="43"/>
        <v>ok</v>
      </c>
    </row>
    <row r="77" spans="1:23" x14ac:dyDescent="0.25">
      <c r="A77" s="426"/>
      <c r="B77" s="178" t="s">
        <v>21</v>
      </c>
      <c r="C77" s="129">
        <v>11</v>
      </c>
      <c r="D77" s="130">
        <f>'2.4.5.4 Emplois ETP  base m'!D77/QTMGI</f>
        <v>7.8187371428571408</v>
      </c>
      <c r="E77" s="131">
        <f>'2.4.5.4 Emplois ETP  base m'!E77/QTMGI</f>
        <v>2.6040263736263731</v>
      </c>
      <c r="F77" s="132">
        <f t="shared" si="32"/>
        <v>2.0832210989010984</v>
      </c>
      <c r="G77" s="133">
        <f t="shared" si="33"/>
        <v>0.52080527472527449</v>
      </c>
      <c r="H77" s="134">
        <f t="shared" si="34"/>
        <v>2.6040263736263731</v>
      </c>
      <c r="I77" s="135"/>
      <c r="J77" s="136">
        <f t="shared" si="35"/>
        <v>5.2147107692307682</v>
      </c>
      <c r="K77" s="137"/>
      <c r="L77" s="138">
        <f t="shared" si="36"/>
        <v>0.52080527472527449</v>
      </c>
      <c r="M77" s="137"/>
      <c r="N77" s="139">
        <f t="shared" si="37"/>
        <v>0</v>
      </c>
      <c r="O77" s="137"/>
      <c r="P77" s="140">
        <f t="shared" si="38"/>
        <v>0</v>
      </c>
      <c r="Q77" s="135"/>
      <c r="R77" s="104">
        <f t="shared" si="39"/>
        <v>2.0832210989010989</v>
      </c>
      <c r="S77" s="137"/>
      <c r="T77" s="141">
        <f t="shared" si="40"/>
        <v>0.52080527472527449</v>
      </c>
      <c r="U77" s="199">
        <f t="shared" si="41"/>
        <v>5.7355160439560429</v>
      </c>
      <c r="V77" s="37" t="str">
        <f t="shared" si="42"/>
        <v>ok</v>
      </c>
      <c r="W77" s="37" t="str">
        <f t="shared" si="43"/>
        <v>ok</v>
      </c>
    </row>
    <row r="78" spans="1:23" x14ac:dyDescent="0.25">
      <c r="A78" s="426"/>
      <c r="B78" s="178" t="s">
        <v>22</v>
      </c>
      <c r="C78" s="129">
        <v>12</v>
      </c>
      <c r="D78" s="130">
        <f>'2.4.5.4 Emplois ETP  base m'!D78/QTMGI</f>
        <v>6.3126925714285695</v>
      </c>
      <c r="E78" s="131">
        <f>'2.4.5.4 Emplois ETP  base m'!E78/QTMGI</f>
        <v>3.3142153846153839</v>
      </c>
      <c r="F78" s="132">
        <f t="shared" si="32"/>
        <v>2.6513723076923075</v>
      </c>
      <c r="G78" s="133">
        <f t="shared" si="33"/>
        <v>0.66284307692307665</v>
      </c>
      <c r="H78" s="134">
        <f t="shared" si="34"/>
        <v>3.3142153846153839</v>
      </c>
      <c r="I78" s="135"/>
      <c r="J78" s="136">
        <f t="shared" si="35"/>
        <v>2.9984771868131856</v>
      </c>
      <c r="K78" s="137"/>
      <c r="L78" s="138">
        <f t="shared" si="36"/>
        <v>0.66284307692307665</v>
      </c>
      <c r="M78" s="137"/>
      <c r="N78" s="139">
        <f t="shared" si="37"/>
        <v>0</v>
      </c>
      <c r="O78" s="137"/>
      <c r="P78" s="140">
        <f t="shared" si="38"/>
        <v>0</v>
      </c>
      <c r="Q78" s="135"/>
      <c r="R78" s="104">
        <f t="shared" si="39"/>
        <v>2.6513723076923075</v>
      </c>
      <c r="S78" s="137"/>
      <c r="T78" s="141">
        <f t="shared" si="40"/>
        <v>0.66284307692307665</v>
      </c>
      <c r="U78" s="199">
        <f t="shared" si="41"/>
        <v>3.6613202637362621</v>
      </c>
      <c r="V78" s="37" t="str">
        <f t="shared" si="42"/>
        <v>ok</v>
      </c>
      <c r="W78" s="37" t="str">
        <f t="shared" si="43"/>
        <v>ok</v>
      </c>
    </row>
    <row r="79" spans="1:23" x14ac:dyDescent="0.25">
      <c r="A79" s="426"/>
      <c r="B79" s="178" t="s">
        <v>23</v>
      </c>
      <c r="C79" s="129">
        <v>13</v>
      </c>
      <c r="D79" s="130">
        <f>'2.4.5.4 Emplois ETP  base m'!D79/QTMGI</f>
        <v>12.025275428571426</v>
      </c>
      <c r="E79" s="131">
        <f>'2.4.5.4 Emplois ETP  base m'!E79/QTMGI</f>
        <v>4.4978637362637359</v>
      </c>
      <c r="F79" s="132">
        <f t="shared" si="32"/>
        <v>3.5982909890109891</v>
      </c>
      <c r="G79" s="133">
        <f t="shared" si="33"/>
        <v>0.89957274725274694</v>
      </c>
      <c r="H79" s="134">
        <f t="shared" si="34"/>
        <v>4.4978637362637359</v>
      </c>
      <c r="I79" s="135"/>
      <c r="J79" s="136">
        <f t="shared" si="35"/>
        <v>7.5274116923076901</v>
      </c>
      <c r="K79" s="137"/>
      <c r="L79" s="138">
        <f t="shared" si="36"/>
        <v>0.89957274725274694</v>
      </c>
      <c r="M79" s="137"/>
      <c r="N79" s="139">
        <f t="shared" si="37"/>
        <v>0</v>
      </c>
      <c r="O79" s="137"/>
      <c r="P79" s="140">
        <f t="shared" si="38"/>
        <v>0</v>
      </c>
      <c r="Q79" s="135"/>
      <c r="R79" s="104">
        <f t="shared" si="39"/>
        <v>3.5982909890109891</v>
      </c>
      <c r="S79" s="137"/>
      <c r="T79" s="141">
        <f t="shared" si="40"/>
        <v>0.89957274725274694</v>
      </c>
      <c r="U79" s="199">
        <f t="shared" si="41"/>
        <v>8.426984439560437</v>
      </c>
      <c r="V79" s="37" t="str">
        <f t="shared" si="42"/>
        <v>ok</v>
      </c>
      <c r="W79" s="37" t="str">
        <f t="shared" si="43"/>
        <v>ok</v>
      </c>
    </row>
    <row r="80" spans="1:23" x14ac:dyDescent="0.25">
      <c r="A80" s="426"/>
      <c r="B80" s="178" t="s">
        <v>19</v>
      </c>
      <c r="C80" s="129">
        <v>16</v>
      </c>
      <c r="D80" s="130">
        <f>'2.4.5.4 Emplois ETP  base m'!D80/QTMGI</f>
        <v>10.449987428571427</v>
      </c>
      <c r="E80" s="131">
        <f>'2.4.5.4 Emplois ETP  base m'!E80/QTMGI</f>
        <v>7.1018901098901077</v>
      </c>
      <c r="F80" s="132">
        <f t="shared" si="32"/>
        <v>5.6815120879120862</v>
      </c>
      <c r="G80" s="133">
        <f t="shared" si="33"/>
        <v>1.4203780219780213</v>
      </c>
      <c r="H80" s="134">
        <f t="shared" si="34"/>
        <v>7.1018901098901077</v>
      </c>
      <c r="I80" s="135"/>
      <c r="J80" s="136">
        <f t="shared" si="35"/>
        <v>3.3480973186813197</v>
      </c>
      <c r="K80" s="137"/>
      <c r="L80" s="138">
        <f t="shared" si="36"/>
        <v>1.4203780219780213</v>
      </c>
      <c r="M80" s="137"/>
      <c r="N80" s="139">
        <f t="shared" si="37"/>
        <v>0</v>
      </c>
      <c r="O80" s="137"/>
      <c r="P80" s="140">
        <f t="shared" si="38"/>
        <v>0</v>
      </c>
      <c r="Q80" s="135"/>
      <c r="R80" s="104">
        <f t="shared" si="39"/>
        <v>5.6815120879120862</v>
      </c>
      <c r="S80" s="137"/>
      <c r="T80" s="141">
        <f t="shared" si="40"/>
        <v>1.4203780219780213</v>
      </c>
      <c r="U80" s="199">
        <f t="shared" si="41"/>
        <v>4.7684753406593412</v>
      </c>
      <c r="V80" s="37" t="str">
        <f t="shared" si="42"/>
        <v>ok</v>
      </c>
      <c r="W80" s="37" t="str">
        <f t="shared" si="43"/>
        <v>ok</v>
      </c>
    </row>
    <row r="81" spans="1:23" x14ac:dyDescent="0.25">
      <c r="A81" s="426"/>
      <c r="B81" s="178" t="s">
        <v>20</v>
      </c>
      <c r="C81" s="129">
        <v>17</v>
      </c>
      <c r="D81" s="130">
        <f>'2.4.5.4 Emplois ETP  base m'!D81/QTMGI</f>
        <v>8.2053462857142865</v>
      </c>
      <c r="E81" s="131">
        <f>'2.4.5.4 Emplois ETP  base m'!E81/QTMGI</f>
        <v>5.4447824175824175</v>
      </c>
      <c r="F81" s="132">
        <f t="shared" si="32"/>
        <v>4.3558259340659342</v>
      </c>
      <c r="G81" s="133">
        <f t="shared" si="33"/>
        <v>1.0889564835164833</v>
      </c>
      <c r="H81" s="134">
        <f t="shared" si="34"/>
        <v>5.4447824175824175</v>
      </c>
      <c r="I81" s="135"/>
      <c r="J81" s="136">
        <f t="shared" si="35"/>
        <v>2.7605638681318689</v>
      </c>
      <c r="K81" s="137"/>
      <c r="L81" s="138">
        <f t="shared" si="36"/>
        <v>1.0889564835164833</v>
      </c>
      <c r="M81" s="137"/>
      <c r="N81" s="139">
        <f t="shared" si="37"/>
        <v>0</v>
      </c>
      <c r="O81" s="137"/>
      <c r="P81" s="140">
        <f t="shared" si="38"/>
        <v>0</v>
      </c>
      <c r="Q81" s="135"/>
      <c r="R81" s="104">
        <f t="shared" si="39"/>
        <v>4.3558259340659342</v>
      </c>
      <c r="S81" s="137"/>
      <c r="T81" s="141">
        <f t="shared" si="40"/>
        <v>1.0889564835164833</v>
      </c>
      <c r="U81" s="199">
        <f t="shared" si="41"/>
        <v>3.8495203516483523</v>
      </c>
      <c r="V81" s="37" t="str">
        <f t="shared" si="42"/>
        <v>ok</v>
      </c>
      <c r="W81" s="37" t="str">
        <f t="shared" si="43"/>
        <v>ok</v>
      </c>
    </row>
    <row r="82" spans="1:23" x14ac:dyDescent="0.25">
      <c r="A82" s="426"/>
      <c r="B82" s="178" t="s">
        <v>21</v>
      </c>
      <c r="C82" s="129">
        <v>18</v>
      </c>
      <c r="D82" s="130">
        <f>'2.4.5.4 Emplois ETP  base m'!D82/QTMGI</f>
        <v>3.589117714285714</v>
      </c>
      <c r="E82" s="131">
        <f>'2.4.5.4 Emplois ETP  base m'!E82/QTMGI</f>
        <v>2.6040263736263731</v>
      </c>
      <c r="F82" s="132">
        <f t="shared" si="32"/>
        <v>2.0832210989010984</v>
      </c>
      <c r="G82" s="133">
        <f t="shared" si="33"/>
        <v>0.52080527472527449</v>
      </c>
      <c r="H82" s="134">
        <f t="shared" si="34"/>
        <v>2.6040263736263731</v>
      </c>
      <c r="I82" s="135"/>
      <c r="J82" s="136">
        <f t="shared" si="35"/>
        <v>0.9850913406593409</v>
      </c>
      <c r="K82" s="137"/>
      <c r="L82" s="138">
        <f t="shared" si="36"/>
        <v>0.52080527472527449</v>
      </c>
      <c r="M82" s="137"/>
      <c r="N82" s="139">
        <f t="shared" si="37"/>
        <v>0</v>
      </c>
      <c r="O82" s="137"/>
      <c r="P82" s="140">
        <f t="shared" si="38"/>
        <v>0</v>
      </c>
      <c r="Q82" s="135"/>
      <c r="R82" s="104">
        <f t="shared" si="39"/>
        <v>2.0832210989010989</v>
      </c>
      <c r="S82" s="137"/>
      <c r="T82" s="141">
        <f t="shared" si="40"/>
        <v>0.52080527472527449</v>
      </c>
      <c r="U82" s="199">
        <f t="shared" si="41"/>
        <v>1.5058966153846154</v>
      </c>
      <c r="V82" s="37" t="str">
        <f t="shared" si="42"/>
        <v>ok</v>
      </c>
      <c r="W82" s="37" t="str">
        <f t="shared" si="43"/>
        <v>ok</v>
      </c>
    </row>
    <row r="83" spans="1:23" x14ac:dyDescent="0.25">
      <c r="A83" s="426"/>
      <c r="B83" s="178" t="s">
        <v>22</v>
      </c>
      <c r="C83" s="129">
        <v>19</v>
      </c>
      <c r="D83" s="130">
        <f>'2.4.5.4 Emplois ETP  base m'!D83/QTMGI</f>
        <v>2.5043039999999994</v>
      </c>
      <c r="E83" s="131">
        <f>'2.4.5.4 Emplois ETP  base m'!E83/QTMGI</f>
        <v>4.3794989010989003</v>
      </c>
      <c r="F83" s="132">
        <f t="shared" si="32"/>
        <v>3.5035991208791204</v>
      </c>
      <c r="G83" s="133">
        <f t="shared" si="33"/>
        <v>0.87589978021977988</v>
      </c>
      <c r="H83" s="134">
        <f t="shared" si="34"/>
        <v>2.5043039999999994</v>
      </c>
      <c r="I83" s="135"/>
      <c r="J83" s="136">
        <f t="shared" si="35"/>
        <v>0</v>
      </c>
      <c r="K83" s="137"/>
      <c r="L83" s="138">
        <f t="shared" si="36"/>
        <v>0</v>
      </c>
      <c r="M83" s="137"/>
      <c r="N83" s="139">
        <f t="shared" si="37"/>
        <v>0.99929512087912098</v>
      </c>
      <c r="O83" s="137"/>
      <c r="P83" s="140">
        <f t="shared" si="38"/>
        <v>0.87589978021977988</v>
      </c>
      <c r="Q83" s="135"/>
      <c r="R83" s="104">
        <f t="shared" si="39"/>
        <v>2.5043039999999994</v>
      </c>
      <c r="S83" s="137"/>
      <c r="T83" s="141">
        <f t="shared" si="40"/>
        <v>1.8751949010989009</v>
      </c>
      <c r="U83" s="199">
        <f t="shared" si="41"/>
        <v>0</v>
      </c>
      <c r="V83" s="37" t="str">
        <f t="shared" si="42"/>
        <v>ok</v>
      </c>
      <c r="W83" s="37" t="str">
        <f t="shared" si="43"/>
        <v>ok</v>
      </c>
    </row>
    <row r="84" spans="1:23" x14ac:dyDescent="0.25">
      <c r="A84" s="426"/>
      <c r="B84" s="178" t="s">
        <v>23</v>
      </c>
      <c r="C84" s="129">
        <v>20</v>
      </c>
      <c r="D84" s="130">
        <f>'2.4.5.4 Emplois ETP  base m'!D84/QTMGI</f>
        <v>5.1932571428571421</v>
      </c>
      <c r="E84" s="131">
        <f>'2.4.5.4 Emplois ETP  base m'!E84/QTMGI</f>
        <v>5.2080527472527463</v>
      </c>
      <c r="F84" s="132">
        <f t="shared" si="32"/>
        <v>4.1664421978021968</v>
      </c>
      <c r="G84" s="133">
        <f t="shared" si="33"/>
        <v>1.041610549450549</v>
      </c>
      <c r="H84" s="134">
        <f t="shared" si="34"/>
        <v>5.1932571428571421</v>
      </c>
      <c r="I84" s="135"/>
      <c r="J84" s="136">
        <f t="shared" si="35"/>
        <v>0</v>
      </c>
      <c r="K84" s="137"/>
      <c r="L84" s="138">
        <f t="shared" si="36"/>
        <v>1.0268149450549453</v>
      </c>
      <c r="M84" s="137"/>
      <c r="N84" s="139">
        <f t="shared" si="37"/>
        <v>0</v>
      </c>
      <c r="O84" s="137"/>
      <c r="P84" s="140">
        <f t="shared" si="38"/>
        <v>1.4795604395604123E-2</v>
      </c>
      <c r="Q84" s="135"/>
      <c r="R84" s="104">
        <f t="shared" si="39"/>
        <v>4.1664421978021968</v>
      </c>
      <c r="S84" s="137"/>
      <c r="T84" s="141">
        <f t="shared" si="40"/>
        <v>1.0416105494505494</v>
      </c>
      <c r="U84" s="199">
        <f t="shared" si="41"/>
        <v>1.0268149450549453</v>
      </c>
      <c r="V84" s="37" t="str">
        <f t="shared" si="42"/>
        <v>ok</v>
      </c>
      <c r="W84" s="37" t="str">
        <f t="shared" si="43"/>
        <v>ok</v>
      </c>
    </row>
    <row r="85" spans="1:23" x14ac:dyDescent="0.25">
      <c r="A85" s="426"/>
      <c r="B85" s="178" t="s">
        <v>19</v>
      </c>
      <c r="C85" s="129">
        <v>23</v>
      </c>
      <c r="D85" s="130">
        <f>'2.4.5.4 Emplois ETP  base m'!D85/QTMGI</f>
        <v>20.842271999999994</v>
      </c>
      <c r="E85" s="131">
        <f>'2.4.5.4 Emplois ETP  base m'!E85/QTMGI</f>
        <v>5.8590593406593392</v>
      </c>
      <c r="F85" s="132">
        <f t="shared" si="32"/>
        <v>4.6872474725274715</v>
      </c>
      <c r="G85" s="133">
        <f t="shared" si="33"/>
        <v>1.1718118681318677</v>
      </c>
      <c r="H85" s="134">
        <f t="shared" si="34"/>
        <v>5.8590593406593392</v>
      </c>
      <c r="I85" s="135"/>
      <c r="J85" s="136">
        <f t="shared" si="35"/>
        <v>14.983212659340655</v>
      </c>
      <c r="K85" s="137"/>
      <c r="L85" s="138">
        <f t="shared" si="36"/>
        <v>1.1718118681318677</v>
      </c>
      <c r="M85" s="137"/>
      <c r="N85" s="139">
        <f t="shared" si="37"/>
        <v>0</v>
      </c>
      <c r="O85" s="137"/>
      <c r="P85" s="140">
        <f t="shared" si="38"/>
        <v>0</v>
      </c>
      <c r="Q85" s="135"/>
      <c r="R85" s="104">
        <f t="shared" si="39"/>
        <v>4.6872474725274715</v>
      </c>
      <c r="S85" s="137"/>
      <c r="T85" s="141">
        <f t="shared" si="40"/>
        <v>1.1718118681318677</v>
      </c>
      <c r="U85" s="199">
        <f t="shared" si="41"/>
        <v>16.155024527472523</v>
      </c>
      <c r="V85" s="37" t="str">
        <f t="shared" si="42"/>
        <v>ok</v>
      </c>
      <c r="W85" s="37" t="str">
        <f t="shared" si="43"/>
        <v>ok</v>
      </c>
    </row>
    <row r="86" spans="1:23" x14ac:dyDescent="0.25">
      <c r="A86" s="426"/>
      <c r="B86" s="178" t="s">
        <v>20</v>
      </c>
      <c r="C86" s="129">
        <v>24</v>
      </c>
      <c r="D86" s="130">
        <f>'2.4.5.4 Emplois ETP  base m'!D86/QTMGI</f>
        <v>16.964639999999999</v>
      </c>
      <c r="E86" s="131">
        <f>'2.4.5.4 Emplois ETP  base m'!E86/QTMGI</f>
        <v>3.7119212307692298</v>
      </c>
      <c r="F86" s="132">
        <f t="shared" si="32"/>
        <v>2.9695369846153841</v>
      </c>
      <c r="G86" s="133">
        <f t="shared" si="33"/>
        <v>0.74238424615384579</v>
      </c>
      <c r="H86" s="134">
        <f t="shared" si="34"/>
        <v>3.7119212307692298</v>
      </c>
      <c r="I86" s="135"/>
      <c r="J86" s="136">
        <f t="shared" si="35"/>
        <v>13.25271876923077</v>
      </c>
      <c r="K86" s="137"/>
      <c r="L86" s="138">
        <f t="shared" si="36"/>
        <v>0.74238424615384579</v>
      </c>
      <c r="M86" s="137"/>
      <c r="N86" s="139">
        <f t="shared" si="37"/>
        <v>0</v>
      </c>
      <c r="O86" s="137"/>
      <c r="P86" s="140">
        <f t="shared" si="38"/>
        <v>0</v>
      </c>
      <c r="Q86" s="135"/>
      <c r="R86" s="104">
        <f t="shared" si="39"/>
        <v>2.9695369846153841</v>
      </c>
      <c r="S86" s="137"/>
      <c r="T86" s="141">
        <f t="shared" si="40"/>
        <v>0.74238424615384579</v>
      </c>
      <c r="U86" s="199">
        <f t="shared" si="41"/>
        <v>13.995103015384615</v>
      </c>
      <c r="V86" s="37" t="str">
        <f t="shared" si="42"/>
        <v>ok</v>
      </c>
      <c r="W86" s="37" t="str">
        <f t="shared" si="43"/>
        <v>ok</v>
      </c>
    </row>
    <row r="87" spans="1:23" x14ac:dyDescent="0.25">
      <c r="A87" s="426"/>
      <c r="B87" s="178" t="s">
        <v>21</v>
      </c>
      <c r="C87" s="129">
        <v>25</v>
      </c>
      <c r="D87" s="130">
        <f>'2.4.5.4 Emplois ETP  base m'!D87/QTMGI</f>
        <v>9.7748640000000009</v>
      </c>
      <c r="E87" s="131">
        <f>'2.4.5.4 Emplois ETP  base m'!E87/QTMGI</f>
        <v>1.7589014505494502</v>
      </c>
      <c r="F87" s="132">
        <f t="shared" si="32"/>
        <v>1.4071211604395604</v>
      </c>
      <c r="G87" s="133">
        <f t="shared" si="33"/>
        <v>0.35178029010988998</v>
      </c>
      <c r="H87" s="134">
        <f t="shared" si="34"/>
        <v>1.7589014505494502</v>
      </c>
      <c r="I87" s="135"/>
      <c r="J87" s="136">
        <f t="shared" si="35"/>
        <v>8.0159625494505509</v>
      </c>
      <c r="K87" s="137"/>
      <c r="L87" s="138">
        <f t="shared" si="36"/>
        <v>0.35178029010988998</v>
      </c>
      <c r="M87" s="137"/>
      <c r="N87" s="139">
        <f t="shared" si="37"/>
        <v>0</v>
      </c>
      <c r="O87" s="137"/>
      <c r="P87" s="140">
        <f t="shared" si="38"/>
        <v>0</v>
      </c>
      <c r="Q87" s="135"/>
      <c r="R87" s="104">
        <f t="shared" si="39"/>
        <v>1.4071211604395604</v>
      </c>
      <c r="S87" s="137"/>
      <c r="T87" s="141">
        <f t="shared" si="40"/>
        <v>0.35178029010988998</v>
      </c>
      <c r="U87" s="199">
        <f t="shared" si="41"/>
        <v>8.3677428395604405</v>
      </c>
      <c r="V87" s="37" t="str">
        <f t="shared" si="42"/>
        <v>ok</v>
      </c>
      <c r="W87" s="37" t="str">
        <f t="shared" si="43"/>
        <v>ok</v>
      </c>
    </row>
    <row r="88" spans="1:23" x14ac:dyDescent="0.25">
      <c r="A88" s="426"/>
      <c r="B88" s="178" t="s">
        <v>22</v>
      </c>
      <c r="C88" s="129">
        <v>26</v>
      </c>
      <c r="D88" s="130">
        <f>'2.4.5.4 Emplois ETP  base m'!D88/QTMGI</f>
        <v>8.0033862857142832</v>
      </c>
      <c r="E88" s="131">
        <f>'2.4.5.4 Emplois ETP  base m'!E88/QTMGI</f>
        <v>2.3436237362637362</v>
      </c>
      <c r="F88" s="132">
        <f t="shared" si="32"/>
        <v>1.8748989890109891</v>
      </c>
      <c r="G88" s="133">
        <f t="shared" si="33"/>
        <v>0.46872474725274715</v>
      </c>
      <c r="H88" s="134">
        <f t="shared" si="34"/>
        <v>2.3436237362637362</v>
      </c>
      <c r="I88" s="135"/>
      <c r="J88" s="136">
        <f t="shared" si="35"/>
        <v>5.659762549450547</v>
      </c>
      <c r="K88" s="137"/>
      <c r="L88" s="138">
        <f t="shared" si="36"/>
        <v>0.46872474725274715</v>
      </c>
      <c r="M88" s="137"/>
      <c r="N88" s="139">
        <f t="shared" si="37"/>
        <v>0</v>
      </c>
      <c r="O88" s="137"/>
      <c r="P88" s="140">
        <f t="shared" si="38"/>
        <v>0</v>
      </c>
      <c r="Q88" s="135"/>
      <c r="R88" s="104">
        <f t="shared" si="39"/>
        <v>1.8748989890109891</v>
      </c>
      <c r="S88" s="137"/>
      <c r="T88" s="141">
        <f t="shared" si="40"/>
        <v>0.46872474725274715</v>
      </c>
      <c r="U88" s="199">
        <f t="shared" si="41"/>
        <v>6.1284872967032946</v>
      </c>
      <c r="V88" s="37" t="str">
        <f t="shared" si="42"/>
        <v>ok</v>
      </c>
      <c r="W88" s="37" t="str">
        <f t="shared" si="43"/>
        <v>ok</v>
      </c>
    </row>
    <row r="89" spans="1:23" x14ac:dyDescent="0.25">
      <c r="A89" s="426"/>
      <c r="B89" s="178" t="s">
        <v>23</v>
      </c>
      <c r="C89" s="129">
        <v>27</v>
      </c>
      <c r="D89" s="130">
        <f>'2.4.5.4 Emplois ETP  base m'!D89/QTMGI</f>
        <v>15.031594285714286</v>
      </c>
      <c r="E89" s="131">
        <f>'2.4.5.4 Emplois ETP  base m'!E89/QTMGI</f>
        <v>3.7119212307692298</v>
      </c>
      <c r="F89" s="132">
        <f t="shared" si="32"/>
        <v>2.9695369846153841</v>
      </c>
      <c r="G89" s="133">
        <f t="shared" si="33"/>
        <v>0.74238424615384579</v>
      </c>
      <c r="H89" s="134">
        <f t="shared" si="34"/>
        <v>3.7119212307692298</v>
      </c>
      <c r="I89" s="135"/>
      <c r="J89" s="136">
        <f t="shared" si="35"/>
        <v>11.319673054945056</v>
      </c>
      <c r="K89" s="137"/>
      <c r="L89" s="138">
        <f t="shared" si="36"/>
        <v>0.74238424615384579</v>
      </c>
      <c r="M89" s="137"/>
      <c r="N89" s="139">
        <f t="shared" si="37"/>
        <v>0</v>
      </c>
      <c r="O89" s="137"/>
      <c r="P89" s="140">
        <f t="shared" si="38"/>
        <v>0</v>
      </c>
      <c r="Q89" s="135"/>
      <c r="R89" s="104">
        <f t="shared" si="39"/>
        <v>2.9695369846153841</v>
      </c>
      <c r="S89" s="137"/>
      <c r="T89" s="141">
        <f t="shared" si="40"/>
        <v>0.74238424615384579</v>
      </c>
      <c r="U89" s="199">
        <f t="shared" si="41"/>
        <v>12.062057301098902</v>
      </c>
      <c r="V89" s="37" t="str">
        <f t="shared" si="42"/>
        <v>ok</v>
      </c>
      <c r="W89" s="37" t="str">
        <f t="shared" si="43"/>
        <v>ok</v>
      </c>
    </row>
    <row r="90" spans="1:23" ht="15.75" thickBot="1" x14ac:dyDescent="0.3">
      <c r="A90" s="427"/>
      <c r="B90" s="277" t="s">
        <v>19</v>
      </c>
      <c r="C90" s="165">
        <v>30</v>
      </c>
      <c r="D90" s="202">
        <f>'2.4.5.4 Emplois ETP  base m'!D90/QTMGI</f>
        <v>25.008418285714285</v>
      </c>
      <c r="E90" s="203">
        <f>'2.4.5.4 Emplois ETP  base m'!E90/QTMGI</f>
        <v>7.1018901098901077</v>
      </c>
      <c r="F90" s="204">
        <f t="shared" si="32"/>
        <v>5.6815120879120862</v>
      </c>
      <c r="G90" s="205">
        <f t="shared" si="33"/>
        <v>1.4203780219780213</v>
      </c>
      <c r="H90" s="206">
        <f t="shared" si="34"/>
        <v>7.1018901098901077</v>
      </c>
      <c r="I90" s="207"/>
      <c r="J90" s="208">
        <f t="shared" si="35"/>
        <v>17.906528175824178</v>
      </c>
      <c r="K90" s="209"/>
      <c r="L90" s="210">
        <f t="shared" si="36"/>
        <v>1.4203780219780213</v>
      </c>
      <c r="M90" s="209"/>
      <c r="N90" s="211">
        <f t="shared" si="37"/>
        <v>0</v>
      </c>
      <c r="O90" s="209"/>
      <c r="P90" s="212">
        <f t="shared" si="38"/>
        <v>0</v>
      </c>
      <c r="Q90" s="207"/>
      <c r="R90" s="213">
        <f t="shared" si="39"/>
        <v>5.6815120879120862</v>
      </c>
      <c r="S90" s="209"/>
      <c r="T90" s="214">
        <f t="shared" si="40"/>
        <v>1.4203780219780213</v>
      </c>
      <c r="U90" s="215">
        <f t="shared" si="41"/>
        <v>19.326906197802199</v>
      </c>
      <c r="V90" s="37" t="str">
        <f t="shared" si="42"/>
        <v>ok</v>
      </c>
      <c r="W90" s="37" t="str">
        <f t="shared" si="43"/>
        <v>ok</v>
      </c>
    </row>
    <row r="91" spans="1:23" x14ac:dyDescent="0.25">
      <c r="A91" s="425" t="s">
        <v>93</v>
      </c>
      <c r="B91" s="276" t="s">
        <v>20</v>
      </c>
      <c r="C91" s="247">
        <v>1</v>
      </c>
      <c r="D91" s="184">
        <f>'2.4.5.4 Emplois ETP  base m'!D91/QTMGI</f>
        <v>13.257355846153846</v>
      </c>
      <c r="E91" s="185">
        <f>'2.4.5.4 Emplois ETP  base m'!E91/QTMGI</f>
        <v>6.7145142857142845</v>
      </c>
      <c r="F91" s="186">
        <f t="shared" si="32"/>
        <v>5.3716114285714278</v>
      </c>
      <c r="G91" s="187">
        <f t="shared" si="33"/>
        <v>1.3429028571428565</v>
      </c>
      <c r="H91" s="188">
        <f>IF(E91&gt;D91,D91,E91)</f>
        <v>6.7145142857142845</v>
      </c>
      <c r="I91" s="189"/>
      <c r="J91" s="190">
        <f>IF(E91&gt;D91,0,D91-E91)</f>
        <v>6.5428415604395616</v>
      </c>
      <c r="K91" s="191"/>
      <c r="L91" s="192">
        <f>IF(E91&gt;D91,IF(F91&gt;H91,0,H91-F91),G91)</f>
        <v>1.3429028571428565</v>
      </c>
      <c r="M91" s="191"/>
      <c r="N91" s="193">
        <f>IF(E91&gt;D91,IF(F91&gt;H91,F91-H91,0),0)</f>
        <v>0</v>
      </c>
      <c r="O91" s="191"/>
      <c r="P91" s="194">
        <f>IF(E91&gt;D91,IF(F91&gt;H91,G91,E91-H91),0)</f>
        <v>0</v>
      </c>
      <c r="Q91" s="189"/>
      <c r="R91" s="195">
        <f>H91-L91</f>
        <v>5.3716114285714278</v>
      </c>
      <c r="S91" s="191"/>
      <c r="T91" s="196">
        <f>L91+N91+P91</f>
        <v>1.3429028571428565</v>
      </c>
      <c r="U91" s="197">
        <f>J91+L91</f>
        <v>7.8857444175824183</v>
      </c>
      <c r="V91" s="37" t="str">
        <f>IF(R91+T91=E91,"ok","bad")</f>
        <v>ok</v>
      </c>
      <c r="W91" s="37" t="str">
        <f>IF(U91+R91=D91,"ok","bad")</f>
        <v>ok</v>
      </c>
    </row>
    <row r="92" spans="1:23" x14ac:dyDescent="0.25">
      <c r="A92" s="426"/>
      <c r="B92" s="178" t="s">
        <v>21</v>
      </c>
      <c r="C92" s="129">
        <v>2</v>
      </c>
      <c r="D92" s="130">
        <f>'2.4.5.4 Emplois ETP  base m'!D92/QTMGI</f>
        <v>10.409696307692309</v>
      </c>
      <c r="E92" s="131">
        <f>'2.4.5.4 Emplois ETP  base m'!E92/QTMGI</f>
        <v>4.9239771428571419</v>
      </c>
      <c r="F92" s="132">
        <f t="shared" si="32"/>
        <v>3.9391817142857137</v>
      </c>
      <c r="G92" s="133">
        <f t="shared" si="33"/>
        <v>0.98479542857142821</v>
      </c>
      <c r="H92" s="134">
        <f t="shared" ref="H92:H113" si="44">IF(E92&gt;D92,D92,E92)</f>
        <v>4.9239771428571419</v>
      </c>
      <c r="I92" s="135"/>
      <c r="J92" s="136">
        <f t="shared" ref="J92:J113" si="45">IF(E92&gt;D92,0,D92-E92)</f>
        <v>5.4857191648351673</v>
      </c>
      <c r="K92" s="137"/>
      <c r="L92" s="138">
        <f t="shared" ref="L92:L113" si="46">IF(E92&gt;D92,IF(F92&gt;H92,0,H92-F92),G92)</f>
        <v>0.98479542857142821</v>
      </c>
      <c r="M92" s="137"/>
      <c r="N92" s="139">
        <f t="shared" ref="N92:N113" si="47">IF(E92&gt;D92,IF(F92&gt;H92,F92-H92,0),0)</f>
        <v>0</v>
      </c>
      <c r="O92" s="137"/>
      <c r="P92" s="140">
        <f t="shared" ref="P92:P113" si="48">IF(E92&gt;D92,IF(F92&gt;H92,G92,E92-H92),0)</f>
        <v>0</v>
      </c>
      <c r="Q92" s="135"/>
      <c r="R92" s="104">
        <f t="shared" ref="R92:R113" si="49">H92-L92</f>
        <v>3.9391817142857137</v>
      </c>
      <c r="S92" s="137"/>
      <c r="T92" s="141">
        <f t="shared" ref="T92:T113" si="50">L92+N92+P92</f>
        <v>0.98479542857142821</v>
      </c>
      <c r="U92" s="199">
        <f t="shared" ref="U92:U113" si="51">J92+L92</f>
        <v>6.4705145934065955</v>
      </c>
      <c r="V92" s="37" t="str">
        <f t="shared" ref="V92:V113" si="52">IF(R92+T92=E92,"ok","bad")</f>
        <v>ok</v>
      </c>
      <c r="W92" s="37" t="str">
        <f t="shared" ref="W92:W113" si="53">IF(U92+R92=D92,"ok","bad")</f>
        <v>ok</v>
      </c>
    </row>
    <row r="93" spans="1:23" x14ac:dyDescent="0.25">
      <c r="A93" s="426"/>
      <c r="B93" s="178" t="s">
        <v>22</v>
      </c>
      <c r="C93" s="129">
        <v>3</v>
      </c>
      <c r="D93" s="130">
        <f>'2.4.5.4 Emplois ETP  base m'!D93/QTMGI</f>
        <v>4.5533270769230763</v>
      </c>
      <c r="E93" s="131">
        <f>'2.4.5.4 Emplois ETP  base m'!E93/QTMGI</f>
        <v>2.0143542857142855</v>
      </c>
      <c r="F93" s="132">
        <f t="shared" si="32"/>
        <v>1.6114834285714286</v>
      </c>
      <c r="G93" s="133">
        <f t="shared" si="33"/>
        <v>0.40287085714285703</v>
      </c>
      <c r="H93" s="134">
        <f t="shared" si="44"/>
        <v>2.0143542857142855</v>
      </c>
      <c r="I93" s="135"/>
      <c r="J93" s="136">
        <f t="shared" si="45"/>
        <v>2.5389727912087907</v>
      </c>
      <c r="K93" s="137"/>
      <c r="L93" s="138">
        <f t="shared" si="46"/>
        <v>0.40287085714285703</v>
      </c>
      <c r="M93" s="137"/>
      <c r="N93" s="139">
        <f t="shared" si="47"/>
        <v>0</v>
      </c>
      <c r="O93" s="137"/>
      <c r="P93" s="140">
        <f t="shared" si="48"/>
        <v>0</v>
      </c>
      <c r="Q93" s="135"/>
      <c r="R93" s="104">
        <f t="shared" si="49"/>
        <v>1.6114834285714286</v>
      </c>
      <c r="S93" s="137"/>
      <c r="T93" s="141">
        <f t="shared" si="50"/>
        <v>0.40287085714285703</v>
      </c>
      <c r="U93" s="199">
        <f t="shared" si="51"/>
        <v>2.9418436483516479</v>
      </c>
      <c r="V93" s="37" t="str">
        <f t="shared" si="52"/>
        <v>ok</v>
      </c>
      <c r="W93" s="37" t="str">
        <f t="shared" si="53"/>
        <v>ok</v>
      </c>
    </row>
    <row r="94" spans="1:23" x14ac:dyDescent="0.25">
      <c r="A94" s="426"/>
      <c r="B94" s="178" t="s">
        <v>23</v>
      </c>
      <c r="C94" s="129">
        <v>4</v>
      </c>
      <c r="D94" s="130">
        <f>'2.4.5.4 Emplois ETP  base m'!D94/QTMGI</f>
        <v>3.1770803076923073</v>
      </c>
      <c r="E94" s="131">
        <f>'2.4.5.4 Emplois ETP  base m'!E94/QTMGI</f>
        <v>3.0215314285714276</v>
      </c>
      <c r="F94" s="132">
        <f t="shared" si="32"/>
        <v>2.4172251428571423</v>
      </c>
      <c r="G94" s="133">
        <f t="shared" si="33"/>
        <v>0.60430628571428535</v>
      </c>
      <c r="H94" s="134">
        <f t="shared" si="44"/>
        <v>3.0215314285714276</v>
      </c>
      <c r="I94" s="135"/>
      <c r="J94" s="136">
        <f t="shared" si="45"/>
        <v>0.15554887912087967</v>
      </c>
      <c r="K94" s="137"/>
      <c r="L94" s="138">
        <f t="shared" si="46"/>
        <v>0.60430628571428535</v>
      </c>
      <c r="M94" s="137"/>
      <c r="N94" s="139">
        <f t="shared" si="47"/>
        <v>0</v>
      </c>
      <c r="O94" s="137"/>
      <c r="P94" s="140">
        <f t="shared" si="48"/>
        <v>0</v>
      </c>
      <c r="Q94" s="135"/>
      <c r="R94" s="104">
        <f t="shared" si="49"/>
        <v>2.4172251428571423</v>
      </c>
      <c r="S94" s="137"/>
      <c r="T94" s="141">
        <f t="shared" si="50"/>
        <v>0.60430628571428535</v>
      </c>
      <c r="U94" s="199">
        <f t="shared" si="51"/>
        <v>0.75985516483516502</v>
      </c>
      <c r="V94" s="37" t="str">
        <f t="shared" si="52"/>
        <v>ok</v>
      </c>
      <c r="W94" s="37" t="str">
        <f t="shared" si="53"/>
        <v>ok</v>
      </c>
    </row>
    <row r="95" spans="1:23" x14ac:dyDescent="0.25">
      <c r="A95" s="426"/>
      <c r="B95" s="178" t="s">
        <v>19</v>
      </c>
      <c r="C95" s="129">
        <v>7</v>
      </c>
      <c r="D95" s="130">
        <f>'2.4.5.4 Emplois ETP  base m'!D95/QTMGI</f>
        <v>6.5884153846153835</v>
      </c>
      <c r="E95" s="131">
        <f>'2.4.5.4 Emplois ETP  base m'!E95/QTMGI</f>
        <v>4.9239771428571419</v>
      </c>
      <c r="F95" s="132">
        <f t="shared" si="32"/>
        <v>3.9391817142857137</v>
      </c>
      <c r="G95" s="133">
        <f t="shared" si="33"/>
        <v>0.98479542857142821</v>
      </c>
      <c r="H95" s="134">
        <f t="shared" si="44"/>
        <v>4.9239771428571419</v>
      </c>
      <c r="I95" s="135"/>
      <c r="J95" s="136">
        <f t="shared" si="45"/>
        <v>1.6644382417582415</v>
      </c>
      <c r="K95" s="137"/>
      <c r="L95" s="138">
        <f t="shared" si="46"/>
        <v>0.98479542857142821</v>
      </c>
      <c r="M95" s="137"/>
      <c r="N95" s="139">
        <f t="shared" si="47"/>
        <v>0</v>
      </c>
      <c r="O95" s="137"/>
      <c r="P95" s="140">
        <f t="shared" si="48"/>
        <v>0</v>
      </c>
      <c r="Q95" s="135"/>
      <c r="R95" s="104">
        <f t="shared" si="49"/>
        <v>3.9391817142857137</v>
      </c>
      <c r="S95" s="137"/>
      <c r="T95" s="141">
        <f t="shared" si="50"/>
        <v>0.98479542857142821</v>
      </c>
      <c r="U95" s="199">
        <f t="shared" si="51"/>
        <v>2.6492336703296697</v>
      </c>
      <c r="V95" s="37" t="str">
        <f t="shared" si="52"/>
        <v>ok</v>
      </c>
      <c r="W95" s="37" t="str">
        <f t="shared" si="53"/>
        <v>ok</v>
      </c>
    </row>
    <row r="96" spans="1:23" x14ac:dyDescent="0.25">
      <c r="A96" s="426"/>
      <c r="B96" s="178" t="s">
        <v>20</v>
      </c>
      <c r="C96" s="129">
        <v>8</v>
      </c>
      <c r="D96" s="130">
        <f>'2.4.5.4 Emplois ETP  base m'!D96/QTMGI</f>
        <v>21.156133846153846</v>
      </c>
      <c r="E96" s="131">
        <f>'2.4.5.4 Emplois ETP  base m'!E96/QTMGI</f>
        <v>3.4433406593406595</v>
      </c>
      <c r="F96" s="132">
        <f t="shared" si="32"/>
        <v>2.7546725274725277</v>
      </c>
      <c r="G96" s="133">
        <f t="shared" si="33"/>
        <v>0.68866813186813169</v>
      </c>
      <c r="H96" s="134">
        <f t="shared" si="44"/>
        <v>3.4433406593406595</v>
      </c>
      <c r="I96" s="135"/>
      <c r="J96" s="136">
        <f t="shared" si="45"/>
        <v>17.712793186813187</v>
      </c>
      <c r="K96" s="137"/>
      <c r="L96" s="138">
        <f t="shared" si="46"/>
        <v>0.68866813186813169</v>
      </c>
      <c r="M96" s="137"/>
      <c r="N96" s="139">
        <f t="shared" si="47"/>
        <v>0</v>
      </c>
      <c r="O96" s="137"/>
      <c r="P96" s="140">
        <f t="shared" si="48"/>
        <v>0</v>
      </c>
      <c r="Q96" s="135"/>
      <c r="R96" s="104">
        <f t="shared" si="49"/>
        <v>2.7546725274725277</v>
      </c>
      <c r="S96" s="137"/>
      <c r="T96" s="141">
        <f t="shared" si="50"/>
        <v>0.68866813186813169</v>
      </c>
      <c r="U96" s="199">
        <f t="shared" si="51"/>
        <v>18.401461318681317</v>
      </c>
      <c r="V96" s="37" t="str">
        <f t="shared" si="52"/>
        <v>ok</v>
      </c>
      <c r="W96" s="37" t="str">
        <f t="shared" si="53"/>
        <v>ok</v>
      </c>
    </row>
    <row r="97" spans="1:23" x14ac:dyDescent="0.25">
      <c r="A97" s="426"/>
      <c r="B97" s="178" t="s">
        <v>21</v>
      </c>
      <c r="C97" s="129">
        <v>9</v>
      </c>
      <c r="D97" s="130">
        <f>'2.4.5.4 Emplois ETP  base m'!D97/QTMGI</f>
        <v>17.159161846153843</v>
      </c>
      <c r="E97" s="131">
        <f>'2.4.5.4 Emplois ETP  base m'!E97/QTMGI</f>
        <v>3.5294241758241758</v>
      </c>
      <c r="F97" s="132">
        <f t="shared" si="32"/>
        <v>2.823539340659341</v>
      </c>
      <c r="G97" s="133">
        <f t="shared" si="33"/>
        <v>0.70588483516483502</v>
      </c>
      <c r="H97" s="134">
        <f t="shared" si="44"/>
        <v>3.5294241758241758</v>
      </c>
      <c r="I97" s="135"/>
      <c r="J97" s="136">
        <f t="shared" si="45"/>
        <v>13.629737670329668</v>
      </c>
      <c r="K97" s="137"/>
      <c r="L97" s="138">
        <f t="shared" si="46"/>
        <v>0.70588483516483502</v>
      </c>
      <c r="M97" s="137"/>
      <c r="N97" s="139">
        <f t="shared" si="47"/>
        <v>0</v>
      </c>
      <c r="O97" s="137"/>
      <c r="P97" s="140">
        <f t="shared" si="48"/>
        <v>0</v>
      </c>
      <c r="Q97" s="135"/>
      <c r="R97" s="104">
        <f t="shared" si="49"/>
        <v>2.823539340659341</v>
      </c>
      <c r="S97" s="137"/>
      <c r="T97" s="141">
        <f t="shared" si="50"/>
        <v>0.70588483516483502</v>
      </c>
      <c r="U97" s="199">
        <f t="shared" si="51"/>
        <v>14.335622505494502</v>
      </c>
      <c r="V97" s="37" t="str">
        <f t="shared" si="52"/>
        <v>ok</v>
      </c>
      <c r="W97" s="37" t="str">
        <f t="shared" si="53"/>
        <v>ok</v>
      </c>
    </row>
    <row r="98" spans="1:23" x14ac:dyDescent="0.25">
      <c r="A98" s="426"/>
      <c r="B98" s="178" t="s">
        <v>22</v>
      </c>
      <c r="C98" s="129">
        <v>10</v>
      </c>
      <c r="D98" s="130">
        <f>'2.4.5.4 Emplois ETP  base m'!D98/QTMGI</f>
        <v>9.9192253846153839</v>
      </c>
      <c r="E98" s="131">
        <f>'2.4.5.4 Emplois ETP  base m'!E98/QTMGI</f>
        <v>1.8938373626373624</v>
      </c>
      <c r="F98" s="132">
        <f t="shared" si="32"/>
        <v>1.51506989010989</v>
      </c>
      <c r="G98" s="133">
        <f t="shared" si="33"/>
        <v>0.37876747252747239</v>
      </c>
      <c r="H98" s="134">
        <f t="shared" si="44"/>
        <v>1.8938373626373624</v>
      </c>
      <c r="I98" s="135"/>
      <c r="J98" s="136">
        <f t="shared" si="45"/>
        <v>8.0253880219780207</v>
      </c>
      <c r="K98" s="137"/>
      <c r="L98" s="138">
        <f t="shared" si="46"/>
        <v>0.37876747252747239</v>
      </c>
      <c r="M98" s="137"/>
      <c r="N98" s="139">
        <f t="shared" si="47"/>
        <v>0</v>
      </c>
      <c r="O98" s="137"/>
      <c r="P98" s="140">
        <f t="shared" si="48"/>
        <v>0</v>
      </c>
      <c r="Q98" s="135"/>
      <c r="R98" s="104">
        <f t="shared" si="49"/>
        <v>1.51506989010989</v>
      </c>
      <c r="S98" s="137"/>
      <c r="T98" s="141">
        <f t="shared" si="50"/>
        <v>0.37876747252747239</v>
      </c>
      <c r="U98" s="199">
        <f t="shared" si="51"/>
        <v>8.4041554945054937</v>
      </c>
      <c r="V98" s="37" t="str">
        <f t="shared" si="52"/>
        <v>ok</v>
      </c>
      <c r="W98" s="37" t="str">
        <f t="shared" si="53"/>
        <v>ok</v>
      </c>
    </row>
    <row r="99" spans="1:23" x14ac:dyDescent="0.25">
      <c r="A99" s="426"/>
      <c r="B99" s="178" t="s">
        <v>23</v>
      </c>
      <c r="C99" s="129">
        <v>11</v>
      </c>
      <c r="D99" s="130">
        <f>'2.4.5.4 Emplois ETP  base m'!D99/QTMGI</f>
        <v>8.0085849230769224</v>
      </c>
      <c r="E99" s="131">
        <f>'2.4.5.4 Emplois ETP  base m'!E99/QTMGI</f>
        <v>2.4103384615384615</v>
      </c>
      <c r="F99" s="132">
        <f t="shared" si="32"/>
        <v>1.9282707692307692</v>
      </c>
      <c r="G99" s="133">
        <f t="shared" si="33"/>
        <v>0.4820676923076922</v>
      </c>
      <c r="H99" s="134">
        <f t="shared" si="44"/>
        <v>2.4103384615384615</v>
      </c>
      <c r="I99" s="135"/>
      <c r="J99" s="136">
        <f t="shared" si="45"/>
        <v>5.5982464615384604</v>
      </c>
      <c r="K99" s="137"/>
      <c r="L99" s="138">
        <f t="shared" si="46"/>
        <v>0.4820676923076922</v>
      </c>
      <c r="M99" s="137"/>
      <c r="N99" s="139">
        <f t="shared" si="47"/>
        <v>0</v>
      </c>
      <c r="O99" s="137"/>
      <c r="P99" s="140">
        <f t="shared" si="48"/>
        <v>0</v>
      </c>
      <c r="Q99" s="135"/>
      <c r="R99" s="104">
        <f t="shared" si="49"/>
        <v>1.9282707692307692</v>
      </c>
      <c r="S99" s="137"/>
      <c r="T99" s="141">
        <f t="shared" si="50"/>
        <v>0.4820676923076922</v>
      </c>
      <c r="U99" s="199">
        <f t="shared" si="51"/>
        <v>6.0803141538461523</v>
      </c>
      <c r="V99" s="37" t="str">
        <f t="shared" si="52"/>
        <v>ok</v>
      </c>
      <c r="W99" s="37" t="str">
        <f t="shared" si="53"/>
        <v>ok</v>
      </c>
    </row>
    <row r="100" spans="1:23" x14ac:dyDescent="0.25">
      <c r="A100" s="426"/>
      <c r="B100" s="178" t="s">
        <v>19</v>
      </c>
      <c r="C100" s="129">
        <v>14</v>
      </c>
      <c r="D100" s="130">
        <f>'2.4.5.4 Emplois ETP  base m'!D100/QTMGI</f>
        <v>15.255841846153844</v>
      </c>
      <c r="E100" s="131">
        <f>'2.4.5.4 Emplois ETP  base m'!E100/QTMGI</f>
        <v>3.271173626373626</v>
      </c>
      <c r="F100" s="132">
        <f t="shared" si="32"/>
        <v>2.616938901098901</v>
      </c>
      <c r="G100" s="133">
        <f t="shared" si="33"/>
        <v>0.65423472527472504</v>
      </c>
      <c r="H100" s="134">
        <f t="shared" si="44"/>
        <v>3.271173626373626</v>
      </c>
      <c r="I100" s="135"/>
      <c r="J100" s="136">
        <f t="shared" si="45"/>
        <v>11.984668219780218</v>
      </c>
      <c r="K100" s="137"/>
      <c r="L100" s="138">
        <f t="shared" si="46"/>
        <v>0.65423472527472504</v>
      </c>
      <c r="M100" s="137"/>
      <c r="N100" s="139">
        <f t="shared" si="47"/>
        <v>0</v>
      </c>
      <c r="O100" s="137"/>
      <c r="P100" s="140">
        <f t="shared" si="48"/>
        <v>0</v>
      </c>
      <c r="Q100" s="135"/>
      <c r="R100" s="104">
        <f t="shared" si="49"/>
        <v>2.616938901098901</v>
      </c>
      <c r="S100" s="137"/>
      <c r="T100" s="141">
        <f t="shared" si="50"/>
        <v>0.65423472527472504</v>
      </c>
      <c r="U100" s="199">
        <f t="shared" si="51"/>
        <v>12.638902945054943</v>
      </c>
      <c r="V100" s="37" t="str">
        <f t="shared" si="52"/>
        <v>ok</v>
      </c>
      <c r="W100" s="37" t="str">
        <f t="shared" si="53"/>
        <v>ok</v>
      </c>
    </row>
    <row r="101" spans="1:23" x14ac:dyDescent="0.25">
      <c r="A101" s="426"/>
      <c r="B101" s="178" t="s">
        <v>20</v>
      </c>
      <c r="C101" s="129">
        <v>15</v>
      </c>
      <c r="D101" s="130">
        <f>'2.4.5.4 Emplois ETP  base m'!D101/QTMGI</f>
        <v>13.257355846153846</v>
      </c>
      <c r="E101" s="131">
        <f>'2.4.5.4 Emplois ETP  base m'!E101/QTMGI</f>
        <v>5.1650109890109892</v>
      </c>
      <c r="F101" s="132">
        <f t="shared" si="32"/>
        <v>4.1320087912087917</v>
      </c>
      <c r="G101" s="133">
        <f t="shared" si="33"/>
        <v>1.0330021978021977</v>
      </c>
      <c r="H101" s="134">
        <f t="shared" si="44"/>
        <v>5.1650109890109892</v>
      </c>
      <c r="I101" s="135"/>
      <c r="J101" s="136">
        <f t="shared" si="45"/>
        <v>8.0923448571428569</v>
      </c>
      <c r="K101" s="137"/>
      <c r="L101" s="138">
        <f t="shared" si="46"/>
        <v>1.0330021978021977</v>
      </c>
      <c r="M101" s="137"/>
      <c r="N101" s="139">
        <f t="shared" si="47"/>
        <v>0</v>
      </c>
      <c r="O101" s="137"/>
      <c r="P101" s="140">
        <f t="shared" si="48"/>
        <v>0</v>
      </c>
      <c r="Q101" s="135"/>
      <c r="R101" s="104">
        <f t="shared" si="49"/>
        <v>4.1320087912087917</v>
      </c>
      <c r="S101" s="137"/>
      <c r="T101" s="141">
        <f t="shared" si="50"/>
        <v>1.0330021978021977</v>
      </c>
      <c r="U101" s="199">
        <f t="shared" si="51"/>
        <v>9.1253470549450544</v>
      </c>
      <c r="V101" s="37" t="str">
        <f t="shared" si="52"/>
        <v>ok</v>
      </c>
      <c r="W101" s="37" t="str">
        <f t="shared" si="53"/>
        <v>ok</v>
      </c>
    </row>
    <row r="102" spans="1:23" x14ac:dyDescent="0.25">
      <c r="A102" s="426"/>
      <c r="B102" s="178" t="s">
        <v>21</v>
      </c>
      <c r="C102" s="129">
        <v>16</v>
      </c>
      <c r="D102" s="130">
        <f>'2.4.5.4 Emplois ETP  base m'!D102/QTMGI</f>
        <v>10.409696307692309</v>
      </c>
      <c r="E102" s="131">
        <f>'2.4.5.4 Emplois ETP  base m'!E102/QTMGI</f>
        <v>3.9598417582417573</v>
      </c>
      <c r="F102" s="132">
        <f t="shared" si="32"/>
        <v>3.1678734065934062</v>
      </c>
      <c r="G102" s="133">
        <f t="shared" si="33"/>
        <v>0.79196835164835133</v>
      </c>
      <c r="H102" s="134">
        <f t="shared" si="44"/>
        <v>3.9598417582417573</v>
      </c>
      <c r="I102" s="135"/>
      <c r="J102" s="136">
        <f t="shared" si="45"/>
        <v>6.4498545494505519</v>
      </c>
      <c r="K102" s="137"/>
      <c r="L102" s="138">
        <f t="shared" si="46"/>
        <v>0.79196835164835133</v>
      </c>
      <c r="M102" s="137"/>
      <c r="N102" s="139">
        <f t="shared" si="47"/>
        <v>0</v>
      </c>
      <c r="O102" s="137"/>
      <c r="P102" s="140">
        <f t="shared" si="48"/>
        <v>0</v>
      </c>
      <c r="Q102" s="135"/>
      <c r="R102" s="104">
        <f t="shared" si="49"/>
        <v>3.1678734065934062</v>
      </c>
      <c r="S102" s="137"/>
      <c r="T102" s="141">
        <f t="shared" si="50"/>
        <v>0.79196835164835133</v>
      </c>
      <c r="U102" s="199">
        <f t="shared" si="51"/>
        <v>7.241822901098903</v>
      </c>
      <c r="V102" s="37" t="str">
        <f t="shared" si="52"/>
        <v>ok</v>
      </c>
      <c r="W102" s="37" t="str">
        <f t="shared" si="53"/>
        <v>ok</v>
      </c>
    </row>
    <row r="103" spans="1:23" x14ac:dyDescent="0.25">
      <c r="A103" s="426"/>
      <c r="B103" s="178" t="s">
        <v>22</v>
      </c>
      <c r="C103" s="129">
        <v>17</v>
      </c>
      <c r="D103" s="130">
        <f>'2.4.5.4 Emplois ETP  base m'!D103/QTMGI</f>
        <v>4.5533270769230763</v>
      </c>
      <c r="E103" s="131">
        <f>'2.4.5.4 Emplois ETP  base m'!E103/QTMGI</f>
        <v>1.8938373626373624</v>
      </c>
      <c r="F103" s="132">
        <f t="shared" si="32"/>
        <v>1.51506989010989</v>
      </c>
      <c r="G103" s="133">
        <f t="shared" si="33"/>
        <v>0.37876747252747239</v>
      </c>
      <c r="H103" s="134">
        <f t="shared" si="44"/>
        <v>1.8938373626373624</v>
      </c>
      <c r="I103" s="135"/>
      <c r="J103" s="136">
        <f t="shared" si="45"/>
        <v>2.6594897142857139</v>
      </c>
      <c r="K103" s="137"/>
      <c r="L103" s="138">
        <f t="shared" si="46"/>
        <v>0.37876747252747239</v>
      </c>
      <c r="M103" s="137"/>
      <c r="N103" s="139">
        <f t="shared" si="47"/>
        <v>0</v>
      </c>
      <c r="O103" s="137"/>
      <c r="P103" s="140">
        <f t="shared" si="48"/>
        <v>0</v>
      </c>
      <c r="Q103" s="135"/>
      <c r="R103" s="104">
        <f t="shared" si="49"/>
        <v>1.51506989010989</v>
      </c>
      <c r="S103" s="137"/>
      <c r="T103" s="141">
        <f t="shared" si="50"/>
        <v>0.37876747252747239</v>
      </c>
      <c r="U103" s="199">
        <f t="shared" si="51"/>
        <v>3.0382571868131865</v>
      </c>
      <c r="V103" s="37" t="str">
        <f t="shared" si="52"/>
        <v>ok</v>
      </c>
      <c r="W103" s="37" t="str">
        <f t="shared" si="53"/>
        <v>ok</v>
      </c>
    </row>
    <row r="104" spans="1:23" x14ac:dyDescent="0.25">
      <c r="A104" s="426"/>
      <c r="B104" s="178" t="s">
        <v>23</v>
      </c>
      <c r="C104" s="129">
        <v>18</v>
      </c>
      <c r="D104" s="130">
        <f>'2.4.5.4 Emplois ETP  base m'!D104/QTMGI</f>
        <v>3.1770803076923073</v>
      </c>
      <c r="E104" s="131">
        <f>'2.4.5.4 Emplois ETP  base m'!E104/QTMGI</f>
        <v>3.1850901098901092</v>
      </c>
      <c r="F104" s="132">
        <f t="shared" si="32"/>
        <v>2.5480720879120877</v>
      </c>
      <c r="G104" s="133">
        <f t="shared" si="33"/>
        <v>0.63701802197802171</v>
      </c>
      <c r="H104" s="134">
        <f t="shared" si="44"/>
        <v>3.1770803076923073</v>
      </c>
      <c r="I104" s="135"/>
      <c r="J104" s="136">
        <f t="shared" si="45"/>
        <v>0</v>
      </c>
      <c r="K104" s="137"/>
      <c r="L104" s="138">
        <f t="shared" si="46"/>
        <v>0.62900821978021959</v>
      </c>
      <c r="M104" s="137"/>
      <c r="N104" s="139">
        <f t="shared" si="47"/>
        <v>0</v>
      </c>
      <c r="O104" s="137"/>
      <c r="P104" s="140">
        <f t="shared" si="48"/>
        <v>8.0098021978018963E-3</v>
      </c>
      <c r="Q104" s="135"/>
      <c r="R104" s="104">
        <f t="shared" si="49"/>
        <v>2.5480720879120877</v>
      </c>
      <c r="S104" s="137"/>
      <c r="T104" s="141">
        <f t="shared" si="50"/>
        <v>0.63701802197802149</v>
      </c>
      <c r="U104" s="199">
        <f t="shared" si="51"/>
        <v>0.62900821978021959</v>
      </c>
      <c r="V104" s="37" t="str">
        <f t="shared" si="52"/>
        <v>ok</v>
      </c>
      <c r="W104" s="37" t="str">
        <f t="shared" si="53"/>
        <v>ok</v>
      </c>
    </row>
    <row r="105" spans="1:23" x14ac:dyDescent="0.25">
      <c r="A105" s="426"/>
      <c r="B105" s="178" t="s">
        <v>19</v>
      </c>
      <c r="C105" s="129">
        <v>21</v>
      </c>
      <c r="D105" s="130">
        <f>'2.4.5.4 Emplois ETP  base m'!D105/QTMGI</f>
        <v>6.5884153846153835</v>
      </c>
      <c r="E105" s="131">
        <f>'2.4.5.4 Emplois ETP  base m'!E105/QTMGI</f>
        <v>3.7876747252747247</v>
      </c>
      <c r="F105" s="132">
        <f t="shared" si="32"/>
        <v>3.03013978021978</v>
      </c>
      <c r="G105" s="133">
        <f t="shared" si="33"/>
        <v>0.75753494505494479</v>
      </c>
      <c r="H105" s="134">
        <f t="shared" si="44"/>
        <v>3.7876747252747247</v>
      </c>
      <c r="I105" s="135"/>
      <c r="J105" s="136">
        <f t="shared" si="45"/>
        <v>2.8007406593406587</v>
      </c>
      <c r="K105" s="137"/>
      <c r="L105" s="138">
        <f t="shared" si="46"/>
        <v>0.75753494505494479</v>
      </c>
      <c r="M105" s="137"/>
      <c r="N105" s="139">
        <f t="shared" si="47"/>
        <v>0</v>
      </c>
      <c r="O105" s="137"/>
      <c r="P105" s="140">
        <f t="shared" si="48"/>
        <v>0</v>
      </c>
      <c r="Q105" s="135"/>
      <c r="R105" s="104">
        <f t="shared" si="49"/>
        <v>3.03013978021978</v>
      </c>
      <c r="S105" s="137"/>
      <c r="T105" s="141">
        <f t="shared" si="50"/>
        <v>0.75753494505494479</v>
      </c>
      <c r="U105" s="199">
        <f t="shared" si="51"/>
        <v>3.5582756043956034</v>
      </c>
      <c r="V105" s="37" t="str">
        <f t="shared" si="52"/>
        <v>ok</v>
      </c>
      <c r="W105" s="37" t="str">
        <f t="shared" si="53"/>
        <v>ok</v>
      </c>
    </row>
    <row r="106" spans="1:23" x14ac:dyDescent="0.25">
      <c r="A106" s="426"/>
      <c r="B106" s="178" t="s">
        <v>20</v>
      </c>
      <c r="C106" s="129">
        <v>22</v>
      </c>
      <c r="D106" s="130">
        <f>'2.4.5.4 Emplois ETP  base m'!D106/QTMGI</f>
        <v>26.441507076923074</v>
      </c>
      <c r="E106" s="131">
        <f>'2.4.5.4 Emplois ETP  base m'!E106/QTMGI</f>
        <v>4.2611340659340664</v>
      </c>
      <c r="F106" s="132">
        <f t="shared" si="32"/>
        <v>3.4089072527472535</v>
      </c>
      <c r="G106" s="133">
        <f t="shared" si="33"/>
        <v>0.85222681318681304</v>
      </c>
      <c r="H106" s="134">
        <f t="shared" si="44"/>
        <v>4.2611340659340664</v>
      </c>
      <c r="I106" s="135"/>
      <c r="J106" s="136">
        <f t="shared" si="45"/>
        <v>22.180373010989008</v>
      </c>
      <c r="K106" s="137"/>
      <c r="L106" s="138">
        <f t="shared" si="46"/>
        <v>0.85222681318681304</v>
      </c>
      <c r="M106" s="137"/>
      <c r="N106" s="139">
        <f t="shared" si="47"/>
        <v>0</v>
      </c>
      <c r="O106" s="137"/>
      <c r="P106" s="140">
        <f t="shared" si="48"/>
        <v>0</v>
      </c>
      <c r="Q106" s="135"/>
      <c r="R106" s="104">
        <f t="shared" si="49"/>
        <v>3.4089072527472535</v>
      </c>
      <c r="S106" s="137"/>
      <c r="T106" s="141">
        <f t="shared" si="50"/>
        <v>0.85222681318681304</v>
      </c>
      <c r="U106" s="199">
        <f t="shared" si="51"/>
        <v>23.032599824175822</v>
      </c>
      <c r="V106" s="37" t="str">
        <f t="shared" si="52"/>
        <v>ok</v>
      </c>
      <c r="W106" s="37" t="str">
        <f t="shared" si="53"/>
        <v>ok</v>
      </c>
    </row>
    <row r="107" spans="1:23" x14ac:dyDescent="0.25">
      <c r="A107" s="426"/>
      <c r="B107" s="178" t="s">
        <v>21</v>
      </c>
      <c r="C107" s="129">
        <v>23</v>
      </c>
      <c r="D107" s="130">
        <f>'2.4.5.4 Emplois ETP  base m'!D107/QTMGI</f>
        <v>21.522156923076921</v>
      </c>
      <c r="E107" s="131">
        <f>'2.4.5.4 Emplois ETP  base m'!E107/QTMGI</f>
        <v>2.6995790769230767</v>
      </c>
      <c r="F107" s="132">
        <f t="shared" si="32"/>
        <v>2.1596632615384617</v>
      </c>
      <c r="G107" s="133">
        <f t="shared" si="33"/>
        <v>0.53991581538461519</v>
      </c>
      <c r="H107" s="134">
        <f t="shared" si="44"/>
        <v>2.6995790769230767</v>
      </c>
      <c r="I107" s="135"/>
      <c r="J107" s="136">
        <f t="shared" si="45"/>
        <v>18.822577846153845</v>
      </c>
      <c r="K107" s="137"/>
      <c r="L107" s="138">
        <f t="shared" si="46"/>
        <v>0.53991581538461519</v>
      </c>
      <c r="M107" s="137"/>
      <c r="N107" s="139">
        <f t="shared" si="47"/>
        <v>0</v>
      </c>
      <c r="O107" s="137"/>
      <c r="P107" s="140">
        <f t="shared" si="48"/>
        <v>0</v>
      </c>
      <c r="Q107" s="135"/>
      <c r="R107" s="104">
        <f t="shared" si="49"/>
        <v>2.1596632615384617</v>
      </c>
      <c r="S107" s="137"/>
      <c r="T107" s="141">
        <f t="shared" si="50"/>
        <v>0.53991581538461519</v>
      </c>
      <c r="U107" s="199">
        <f t="shared" si="51"/>
        <v>19.362493661538458</v>
      </c>
      <c r="V107" s="37" t="str">
        <f t="shared" si="52"/>
        <v>ok</v>
      </c>
      <c r="W107" s="37" t="str">
        <f t="shared" si="53"/>
        <v>ok</v>
      </c>
    </row>
    <row r="108" spans="1:23" x14ac:dyDescent="0.25">
      <c r="A108" s="426"/>
      <c r="B108" s="178" t="s">
        <v>22</v>
      </c>
      <c r="C108" s="129">
        <v>24</v>
      </c>
      <c r="D108" s="130">
        <f>'2.4.5.4 Emplois ETP  base m'!D108/QTMGI</f>
        <v>12.400861846153846</v>
      </c>
      <c r="E108" s="131">
        <f>'2.4.5.4 Emplois ETP  base m'!E108/QTMGI</f>
        <v>1.2792010549450548</v>
      </c>
      <c r="F108" s="132">
        <f t="shared" si="32"/>
        <v>1.0233608439560438</v>
      </c>
      <c r="G108" s="133">
        <f t="shared" si="33"/>
        <v>0.25584021098901089</v>
      </c>
      <c r="H108" s="134">
        <f t="shared" si="44"/>
        <v>1.2792010549450548</v>
      </c>
      <c r="I108" s="135"/>
      <c r="J108" s="136">
        <f t="shared" si="45"/>
        <v>11.121660791208791</v>
      </c>
      <c r="K108" s="137"/>
      <c r="L108" s="138">
        <f t="shared" si="46"/>
        <v>0.25584021098901089</v>
      </c>
      <c r="M108" s="137"/>
      <c r="N108" s="139">
        <f t="shared" si="47"/>
        <v>0</v>
      </c>
      <c r="O108" s="137"/>
      <c r="P108" s="140">
        <f t="shared" si="48"/>
        <v>0</v>
      </c>
      <c r="Q108" s="135"/>
      <c r="R108" s="104">
        <f t="shared" si="49"/>
        <v>1.023360843956044</v>
      </c>
      <c r="S108" s="137"/>
      <c r="T108" s="141">
        <f t="shared" si="50"/>
        <v>0.25584021098901089</v>
      </c>
      <c r="U108" s="199">
        <f t="shared" si="51"/>
        <v>11.377501002197802</v>
      </c>
      <c r="V108" s="37" t="str">
        <f t="shared" si="52"/>
        <v>ok</v>
      </c>
      <c r="W108" s="37" t="str">
        <f t="shared" si="53"/>
        <v>ok</v>
      </c>
    </row>
    <row r="109" spans="1:23" x14ac:dyDescent="0.25">
      <c r="A109" s="426"/>
      <c r="B109" s="178" t="s">
        <v>23</v>
      </c>
      <c r="C109" s="129">
        <v>25</v>
      </c>
      <c r="D109" s="130">
        <f>'2.4.5.4 Emplois ETP  base m'!D109/QTMGI</f>
        <v>10.153480153846152</v>
      </c>
      <c r="E109" s="131">
        <f>'2.4.5.4 Emplois ETP  base m'!E109/QTMGI</f>
        <v>1.7044536263736265</v>
      </c>
      <c r="F109" s="132">
        <f t="shared" si="32"/>
        <v>1.3635629010989012</v>
      </c>
      <c r="G109" s="133">
        <f t="shared" si="33"/>
        <v>0.34089072527472525</v>
      </c>
      <c r="H109" s="134">
        <f t="shared" si="44"/>
        <v>1.7044536263736265</v>
      </c>
      <c r="I109" s="135"/>
      <c r="J109" s="136">
        <f t="shared" si="45"/>
        <v>8.449026527472526</v>
      </c>
      <c r="K109" s="137"/>
      <c r="L109" s="138">
        <f t="shared" si="46"/>
        <v>0.34089072527472525</v>
      </c>
      <c r="M109" s="137"/>
      <c r="N109" s="139">
        <f t="shared" si="47"/>
        <v>0</v>
      </c>
      <c r="O109" s="137"/>
      <c r="P109" s="140">
        <f t="shared" si="48"/>
        <v>0</v>
      </c>
      <c r="Q109" s="135"/>
      <c r="R109" s="104">
        <f t="shared" si="49"/>
        <v>1.3635629010989012</v>
      </c>
      <c r="S109" s="137"/>
      <c r="T109" s="141">
        <f t="shared" si="50"/>
        <v>0.34089072527472525</v>
      </c>
      <c r="U109" s="199">
        <f t="shared" si="51"/>
        <v>8.7899172527472516</v>
      </c>
      <c r="V109" s="37" t="str">
        <f t="shared" si="52"/>
        <v>ok</v>
      </c>
      <c r="W109" s="37" t="str">
        <f t="shared" si="53"/>
        <v>ok</v>
      </c>
    </row>
    <row r="110" spans="1:23" x14ac:dyDescent="0.25">
      <c r="A110" s="426"/>
      <c r="B110" s="178" t="s">
        <v>19</v>
      </c>
      <c r="C110" s="129">
        <v>28</v>
      </c>
      <c r="D110" s="130">
        <f>'2.4.5.4 Emplois ETP  base m'!D110/QTMGI</f>
        <v>19.069802307692306</v>
      </c>
      <c r="E110" s="131">
        <f>'2.4.5.4 Emplois ETP  base m'!E110/QTMGI</f>
        <v>2.6995790769230767</v>
      </c>
      <c r="F110" s="132">
        <f t="shared" si="32"/>
        <v>2.1596632615384617</v>
      </c>
      <c r="G110" s="133">
        <f t="shared" si="33"/>
        <v>0.53991581538461519</v>
      </c>
      <c r="H110" s="134">
        <f t="shared" si="44"/>
        <v>2.6995790769230767</v>
      </c>
      <c r="I110" s="135"/>
      <c r="J110" s="136">
        <f t="shared" si="45"/>
        <v>16.370223230769231</v>
      </c>
      <c r="K110" s="137"/>
      <c r="L110" s="138">
        <f t="shared" si="46"/>
        <v>0.53991581538461519</v>
      </c>
      <c r="M110" s="137"/>
      <c r="N110" s="139">
        <f t="shared" si="47"/>
        <v>0</v>
      </c>
      <c r="O110" s="137"/>
      <c r="P110" s="140">
        <f t="shared" si="48"/>
        <v>0</v>
      </c>
      <c r="Q110" s="135"/>
      <c r="R110" s="104">
        <f t="shared" si="49"/>
        <v>2.1596632615384617</v>
      </c>
      <c r="S110" s="137"/>
      <c r="T110" s="141">
        <f t="shared" si="50"/>
        <v>0.53991581538461519</v>
      </c>
      <c r="U110" s="199">
        <f t="shared" si="51"/>
        <v>16.910139046153844</v>
      </c>
      <c r="V110" s="37" t="str">
        <f t="shared" si="52"/>
        <v>ok</v>
      </c>
      <c r="W110" s="37" t="str">
        <f t="shared" si="53"/>
        <v>ok</v>
      </c>
    </row>
    <row r="111" spans="1:23" x14ac:dyDescent="0.25">
      <c r="A111" s="426"/>
      <c r="B111" s="178" t="s">
        <v>20</v>
      </c>
      <c r="C111" s="129">
        <v>29</v>
      </c>
      <c r="D111" s="130">
        <f>'2.4.5.4 Emplois ETP  base m'!D111/QTMGI</f>
        <v>31.726880307692316</v>
      </c>
      <c r="E111" s="131">
        <f>'2.4.5.4 Emplois ETP  base m'!E111/QTMGI</f>
        <v>5.1650109890109892</v>
      </c>
      <c r="F111" s="132">
        <f t="shared" si="32"/>
        <v>4.1320087912087917</v>
      </c>
      <c r="G111" s="133">
        <f t="shared" si="33"/>
        <v>1.0330021978021977</v>
      </c>
      <c r="H111" s="134">
        <f t="shared" si="44"/>
        <v>5.1650109890109892</v>
      </c>
      <c r="I111" s="135"/>
      <c r="J111" s="136">
        <f t="shared" si="45"/>
        <v>26.561869318681325</v>
      </c>
      <c r="K111" s="137"/>
      <c r="L111" s="138">
        <f t="shared" si="46"/>
        <v>1.0330021978021977</v>
      </c>
      <c r="M111" s="137"/>
      <c r="N111" s="139">
        <f t="shared" si="47"/>
        <v>0</v>
      </c>
      <c r="O111" s="137"/>
      <c r="P111" s="140">
        <f t="shared" si="48"/>
        <v>0</v>
      </c>
      <c r="Q111" s="135"/>
      <c r="R111" s="104">
        <f t="shared" si="49"/>
        <v>4.1320087912087917</v>
      </c>
      <c r="S111" s="137"/>
      <c r="T111" s="141">
        <f t="shared" si="50"/>
        <v>1.0330021978021977</v>
      </c>
      <c r="U111" s="199">
        <f t="shared" si="51"/>
        <v>27.594871516483522</v>
      </c>
      <c r="V111" s="37" t="str">
        <f t="shared" si="52"/>
        <v>ok</v>
      </c>
      <c r="W111" s="37" t="str">
        <f t="shared" si="53"/>
        <v>ok</v>
      </c>
    </row>
    <row r="112" spans="1:23" x14ac:dyDescent="0.25">
      <c r="A112" s="426"/>
      <c r="B112" s="178" t="s">
        <v>21</v>
      </c>
      <c r="C112" s="129">
        <v>30</v>
      </c>
      <c r="D112" s="130">
        <f>'2.4.5.4 Emplois ETP  base m'!D112/QTMGI</f>
        <v>25.738742769230765</v>
      </c>
      <c r="E112" s="131">
        <f>'2.4.5.4 Emplois ETP  base m'!E112/QTMGI</f>
        <v>3.6155076923076925</v>
      </c>
      <c r="F112" s="132">
        <f t="shared" si="32"/>
        <v>2.8924061538461543</v>
      </c>
      <c r="G112" s="133">
        <f t="shared" si="33"/>
        <v>0.72310153846153835</v>
      </c>
      <c r="H112" s="134">
        <f t="shared" si="44"/>
        <v>3.6155076923076925</v>
      </c>
      <c r="I112" s="135"/>
      <c r="J112" s="136">
        <f t="shared" si="45"/>
        <v>22.123235076923073</v>
      </c>
      <c r="K112" s="137"/>
      <c r="L112" s="138">
        <f t="shared" si="46"/>
        <v>0.72310153846153835</v>
      </c>
      <c r="M112" s="137"/>
      <c r="N112" s="139">
        <f t="shared" si="47"/>
        <v>0</v>
      </c>
      <c r="O112" s="137"/>
      <c r="P112" s="140">
        <f t="shared" si="48"/>
        <v>0</v>
      </c>
      <c r="Q112" s="135"/>
      <c r="R112" s="104">
        <f t="shared" si="49"/>
        <v>2.8924061538461543</v>
      </c>
      <c r="S112" s="137"/>
      <c r="T112" s="141">
        <f t="shared" si="50"/>
        <v>0.72310153846153835</v>
      </c>
      <c r="U112" s="199">
        <f t="shared" si="51"/>
        <v>22.846336615384612</v>
      </c>
      <c r="V112" s="37" t="str">
        <f t="shared" si="52"/>
        <v>ok</v>
      </c>
      <c r="W112" s="37" t="str">
        <f t="shared" si="53"/>
        <v>ok</v>
      </c>
    </row>
    <row r="113" spans="1:23" ht="15.75" thickBot="1" x14ac:dyDescent="0.3">
      <c r="A113" s="427"/>
      <c r="B113" s="277" t="s">
        <v>22</v>
      </c>
      <c r="C113" s="165">
        <v>31</v>
      </c>
      <c r="D113" s="202">
        <f>'2.4.5.4 Emplois ETP  base m'!D113/QTMGI</f>
        <v>14.882498307692305</v>
      </c>
      <c r="E113" s="203">
        <f>'2.4.5.4 Emplois ETP  base m'!E113/QTMGI</f>
        <v>1.7216703296703297</v>
      </c>
      <c r="F113" s="204">
        <f t="shared" si="32"/>
        <v>1.3773362637362638</v>
      </c>
      <c r="G113" s="205">
        <f t="shared" si="33"/>
        <v>0.34433406593406585</v>
      </c>
      <c r="H113" s="206">
        <f t="shared" si="44"/>
        <v>1.7216703296703297</v>
      </c>
      <c r="I113" s="207"/>
      <c r="J113" s="208">
        <f t="shared" si="45"/>
        <v>13.160827978021976</v>
      </c>
      <c r="K113" s="209"/>
      <c r="L113" s="210">
        <f t="shared" si="46"/>
        <v>0.34433406593406585</v>
      </c>
      <c r="M113" s="209"/>
      <c r="N113" s="211">
        <f t="shared" si="47"/>
        <v>0</v>
      </c>
      <c r="O113" s="209"/>
      <c r="P113" s="212">
        <f t="shared" si="48"/>
        <v>0</v>
      </c>
      <c r="Q113" s="207"/>
      <c r="R113" s="213">
        <f t="shared" si="49"/>
        <v>1.3773362637362638</v>
      </c>
      <c r="S113" s="209"/>
      <c r="T113" s="214">
        <f t="shared" si="50"/>
        <v>0.34433406593406585</v>
      </c>
      <c r="U113" s="215">
        <f t="shared" si="51"/>
        <v>13.505162043956041</v>
      </c>
      <c r="V113" s="37" t="str">
        <f t="shared" si="52"/>
        <v>ok</v>
      </c>
      <c r="W113" s="37" t="str">
        <f t="shared" si="53"/>
        <v>ok</v>
      </c>
    </row>
    <row r="114" spans="1:23" x14ac:dyDescent="0.25">
      <c r="A114" s="425" t="s">
        <v>94</v>
      </c>
      <c r="B114" s="276" t="s">
        <v>23</v>
      </c>
      <c r="C114" s="247">
        <v>1</v>
      </c>
      <c r="D114" s="184">
        <f>'2.4.5.4 Emplois ETP  base m'!D114/QTMGI</f>
        <v>6.9666582857142831</v>
      </c>
      <c r="E114" s="185">
        <f>'2.4.5.4 Emplois ETP  base m'!E114/QTMGI</f>
        <v>11.86842857142857</v>
      </c>
      <c r="F114" s="186">
        <f t="shared" si="32"/>
        <v>9.4947428571428567</v>
      </c>
      <c r="G114" s="187">
        <f t="shared" si="33"/>
        <v>2.3736857142857133</v>
      </c>
      <c r="H114" s="188">
        <f>IF(E114&gt;D114,D114,E114)</f>
        <v>6.9666582857142831</v>
      </c>
      <c r="I114" s="189"/>
      <c r="J114" s="190">
        <f>IF(E114&gt;D114,0,D114-E114)</f>
        <v>0</v>
      </c>
      <c r="K114" s="191"/>
      <c r="L114" s="192">
        <f>IF(E114&gt;D114,IF(F114&gt;H114,0,H114-F114),G114)</f>
        <v>0</v>
      </c>
      <c r="M114" s="191"/>
      <c r="N114" s="193">
        <f>IF(E114&gt;D114,IF(F114&gt;H114,F114-H114,0),0)</f>
        <v>2.5280845714285736</v>
      </c>
      <c r="O114" s="191"/>
      <c r="P114" s="194">
        <f>IF(E114&gt;D114,IF(F114&gt;H114,G114,E114-H114),0)</f>
        <v>2.3736857142857133</v>
      </c>
      <c r="Q114" s="189"/>
      <c r="R114" s="195">
        <f>H114-L114</f>
        <v>6.9666582857142831</v>
      </c>
      <c r="S114" s="191"/>
      <c r="T114" s="196">
        <f>L114+N114+P114</f>
        <v>4.9017702857142869</v>
      </c>
      <c r="U114" s="197">
        <f>J114+L114</f>
        <v>0</v>
      </c>
      <c r="V114" s="37" t="str">
        <f>IF(R114+T114=E114,"ok","bad")</f>
        <v>ok</v>
      </c>
      <c r="W114" s="37" t="str">
        <f>IF(U114+R114=D114,"ok","bad")</f>
        <v>ok</v>
      </c>
    </row>
    <row r="115" spans="1:23" x14ac:dyDescent="0.25">
      <c r="A115" s="426"/>
      <c r="B115" s="178" t="s">
        <v>19</v>
      </c>
      <c r="C115" s="129">
        <v>4</v>
      </c>
      <c r="D115" s="130">
        <f>'2.4.5.4 Emplois ETP  base m'!D115/QTMGI</f>
        <v>5.4702308571428562</v>
      </c>
      <c r="E115" s="131">
        <f>'2.4.5.4 Emplois ETP  base m'!E115/QTMGI</f>
        <v>8.7035142857142844</v>
      </c>
      <c r="F115" s="132">
        <f t="shared" si="32"/>
        <v>6.9628114285714275</v>
      </c>
      <c r="G115" s="133">
        <f t="shared" si="33"/>
        <v>1.7407028571428564</v>
      </c>
      <c r="H115" s="134">
        <f t="shared" ref="H115:H134" si="54">IF(E115&gt;D115,D115,E115)</f>
        <v>5.4702308571428562</v>
      </c>
      <c r="I115" s="135"/>
      <c r="J115" s="136">
        <f t="shared" ref="J115:J134" si="55">IF(E115&gt;D115,0,D115-E115)</f>
        <v>0</v>
      </c>
      <c r="K115" s="137"/>
      <c r="L115" s="138">
        <f t="shared" ref="L115:L134" si="56">IF(E115&gt;D115,IF(F115&gt;H115,0,H115-F115),G115)</f>
        <v>0</v>
      </c>
      <c r="M115" s="137"/>
      <c r="N115" s="139">
        <f t="shared" ref="N115:N134" si="57">IF(E115&gt;D115,IF(F115&gt;H115,F115-H115,0),0)</f>
        <v>1.4925805714285714</v>
      </c>
      <c r="O115" s="137"/>
      <c r="P115" s="140">
        <f t="shared" ref="P115:P134" si="58">IF(E115&gt;D115,IF(F115&gt;H115,G115,E115-H115),0)</f>
        <v>1.7407028571428564</v>
      </c>
      <c r="Q115" s="135"/>
      <c r="R115" s="104">
        <f t="shared" ref="R115:R134" si="59">H115-L115</f>
        <v>5.4702308571428562</v>
      </c>
      <c r="S115" s="137"/>
      <c r="T115" s="141">
        <f t="shared" ref="T115:T134" si="60">L115+N115+P115</f>
        <v>3.2332834285714278</v>
      </c>
      <c r="U115" s="199">
        <f t="shared" ref="U115:U134" si="61">J115+L115</f>
        <v>0</v>
      </c>
      <c r="V115" s="37" t="str">
        <f t="shared" ref="V115:V134" si="62">IF(R115+T115=E115,"ok","bad")</f>
        <v>ok</v>
      </c>
      <c r="W115" s="37" t="str">
        <f t="shared" ref="W115:W134" si="63">IF(U115+R115=D115,"ok","bad")</f>
        <v>ok</v>
      </c>
    </row>
    <row r="116" spans="1:23" x14ac:dyDescent="0.25">
      <c r="A116" s="426"/>
      <c r="B116" s="178" t="s">
        <v>20</v>
      </c>
      <c r="C116" s="129">
        <v>5</v>
      </c>
      <c r="D116" s="130">
        <f>'2.4.5.4 Emplois ETP  base m'!D116/QTMGI</f>
        <v>2.3927451428571427</v>
      </c>
      <c r="E116" s="131">
        <f>'2.4.5.4 Emplois ETP  base m'!E116/QTMGI</f>
        <v>3.5605285714285713</v>
      </c>
      <c r="F116" s="132">
        <f t="shared" si="32"/>
        <v>2.8484228571428574</v>
      </c>
      <c r="G116" s="133">
        <f t="shared" si="33"/>
        <v>0.71210571428571412</v>
      </c>
      <c r="H116" s="134">
        <f t="shared" si="54"/>
        <v>2.3927451428571427</v>
      </c>
      <c r="I116" s="135"/>
      <c r="J116" s="136">
        <f t="shared" si="55"/>
        <v>0</v>
      </c>
      <c r="K116" s="137"/>
      <c r="L116" s="138">
        <f t="shared" si="56"/>
        <v>0</v>
      </c>
      <c r="M116" s="137"/>
      <c r="N116" s="139">
        <f t="shared" si="57"/>
        <v>0.45567771428571469</v>
      </c>
      <c r="O116" s="137"/>
      <c r="P116" s="140">
        <f t="shared" si="58"/>
        <v>0.71210571428571412</v>
      </c>
      <c r="Q116" s="135"/>
      <c r="R116" s="104">
        <f t="shared" si="59"/>
        <v>2.3927451428571427</v>
      </c>
      <c r="S116" s="137"/>
      <c r="T116" s="141">
        <f t="shared" si="60"/>
        <v>1.1677834285714288</v>
      </c>
      <c r="U116" s="199">
        <f t="shared" si="61"/>
        <v>0</v>
      </c>
      <c r="V116" s="37" t="str">
        <f t="shared" si="62"/>
        <v>ok</v>
      </c>
      <c r="W116" s="37" t="str">
        <f t="shared" si="63"/>
        <v>ok</v>
      </c>
    </row>
    <row r="117" spans="1:23" x14ac:dyDescent="0.25">
      <c r="A117" s="426"/>
      <c r="B117" s="178" t="s">
        <v>21</v>
      </c>
      <c r="C117" s="129">
        <v>6</v>
      </c>
      <c r="D117" s="130">
        <f>'2.4.5.4 Emplois ETP  base m'!D117/QTMGI</f>
        <v>1.6695359999999997</v>
      </c>
      <c r="E117" s="131">
        <f>'2.4.5.4 Emplois ETP  base m'!E117/QTMGI</f>
        <v>5.3407928571428567</v>
      </c>
      <c r="F117" s="132">
        <f t="shared" si="32"/>
        <v>4.2726342857142852</v>
      </c>
      <c r="G117" s="133">
        <f t="shared" si="33"/>
        <v>1.0681585714285711</v>
      </c>
      <c r="H117" s="134">
        <f t="shared" si="54"/>
        <v>1.6695359999999997</v>
      </c>
      <c r="I117" s="135"/>
      <c r="J117" s="136">
        <f t="shared" si="55"/>
        <v>0</v>
      </c>
      <c r="K117" s="137"/>
      <c r="L117" s="138">
        <f t="shared" si="56"/>
        <v>0</v>
      </c>
      <c r="M117" s="137"/>
      <c r="N117" s="139">
        <f t="shared" si="57"/>
        <v>2.6030982857142853</v>
      </c>
      <c r="O117" s="137"/>
      <c r="P117" s="140">
        <f t="shared" si="58"/>
        <v>1.0681585714285711</v>
      </c>
      <c r="Q117" s="135"/>
      <c r="R117" s="104">
        <f t="shared" si="59"/>
        <v>1.6695359999999997</v>
      </c>
      <c r="S117" s="137"/>
      <c r="T117" s="141">
        <f t="shared" si="60"/>
        <v>3.6712568571428563</v>
      </c>
      <c r="U117" s="199">
        <f t="shared" si="61"/>
        <v>0</v>
      </c>
      <c r="V117" s="37" t="str">
        <f t="shared" si="62"/>
        <v>ok</v>
      </c>
      <c r="W117" s="37" t="str">
        <f t="shared" si="63"/>
        <v>ok</v>
      </c>
    </row>
    <row r="118" spans="1:23" x14ac:dyDescent="0.25">
      <c r="A118" s="426"/>
      <c r="B118" s="178" t="s">
        <v>22</v>
      </c>
      <c r="C118" s="129">
        <v>7</v>
      </c>
      <c r="D118" s="130">
        <f>'2.4.5.4 Emplois ETP  base m'!D118/QTMGI</f>
        <v>3.4621714285714287</v>
      </c>
      <c r="E118" s="131">
        <f>'2.4.5.4 Emplois ETP  base m'!E118/QTMGI</f>
        <v>8.7035142857142844</v>
      </c>
      <c r="F118" s="132">
        <f t="shared" si="32"/>
        <v>6.9628114285714275</v>
      </c>
      <c r="G118" s="133">
        <f t="shared" si="33"/>
        <v>1.7407028571428564</v>
      </c>
      <c r="H118" s="134">
        <f t="shared" si="54"/>
        <v>3.4621714285714287</v>
      </c>
      <c r="I118" s="135"/>
      <c r="J118" s="136">
        <f t="shared" si="55"/>
        <v>0</v>
      </c>
      <c r="K118" s="137"/>
      <c r="L118" s="138">
        <f t="shared" si="56"/>
        <v>0</v>
      </c>
      <c r="M118" s="137"/>
      <c r="N118" s="139">
        <f t="shared" si="57"/>
        <v>3.5006399999999989</v>
      </c>
      <c r="O118" s="137"/>
      <c r="P118" s="140">
        <f t="shared" si="58"/>
        <v>1.7407028571428564</v>
      </c>
      <c r="Q118" s="135"/>
      <c r="R118" s="104">
        <f t="shared" si="59"/>
        <v>3.4621714285714287</v>
      </c>
      <c r="S118" s="137"/>
      <c r="T118" s="141">
        <f t="shared" si="60"/>
        <v>5.2413428571428557</v>
      </c>
      <c r="U118" s="199">
        <f t="shared" si="61"/>
        <v>0</v>
      </c>
      <c r="V118" s="37" t="str">
        <f t="shared" si="62"/>
        <v>ok</v>
      </c>
      <c r="W118" s="37" t="str">
        <f t="shared" si="63"/>
        <v>ok</v>
      </c>
    </row>
    <row r="119" spans="1:23" x14ac:dyDescent="0.25">
      <c r="A119" s="426"/>
      <c r="B119" s="178" t="s">
        <v>23</v>
      </c>
      <c r="C119" s="129">
        <v>8</v>
      </c>
      <c r="D119" s="130">
        <f>'2.4.5.4 Emplois ETP  base m'!D119/QTMGI</f>
        <v>11.117417142857141</v>
      </c>
      <c r="E119" s="131">
        <f>'2.4.5.4 Emplois ETP  base m'!E119/QTMGI</f>
        <v>6.0863736263736259</v>
      </c>
      <c r="F119" s="132">
        <f t="shared" si="32"/>
        <v>4.8690989010989014</v>
      </c>
      <c r="G119" s="133">
        <f t="shared" si="33"/>
        <v>1.2172747252747249</v>
      </c>
      <c r="H119" s="134">
        <f t="shared" si="54"/>
        <v>6.0863736263736259</v>
      </c>
      <c r="I119" s="135"/>
      <c r="J119" s="136">
        <f t="shared" si="55"/>
        <v>5.031043516483515</v>
      </c>
      <c r="K119" s="137"/>
      <c r="L119" s="138">
        <f t="shared" si="56"/>
        <v>1.2172747252747249</v>
      </c>
      <c r="M119" s="137"/>
      <c r="N119" s="139">
        <f t="shared" si="57"/>
        <v>0</v>
      </c>
      <c r="O119" s="137"/>
      <c r="P119" s="140">
        <f t="shared" si="58"/>
        <v>0</v>
      </c>
      <c r="Q119" s="135"/>
      <c r="R119" s="104">
        <f t="shared" si="59"/>
        <v>4.8690989010989014</v>
      </c>
      <c r="S119" s="137"/>
      <c r="T119" s="141">
        <f t="shared" si="60"/>
        <v>1.2172747252747249</v>
      </c>
      <c r="U119" s="199">
        <f t="shared" si="61"/>
        <v>6.2483182417582395</v>
      </c>
      <c r="V119" s="37" t="str">
        <f t="shared" si="62"/>
        <v>ok</v>
      </c>
      <c r="W119" s="37" t="str">
        <f t="shared" si="63"/>
        <v>ok</v>
      </c>
    </row>
    <row r="120" spans="1:23" x14ac:dyDescent="0.25">
      <c r="A120" s="426"/>
      <c r="B120" s="178" t="s">
        <v>19</v>
      </c>
      <c r="C120" s="129">
        <v>11</v>
      </c>
      <c r="D120" s="130">
        <f>'2.4.5.4 Emplois ETP  base m'!D120/QTMGI</f>
        <v>9.0170331428571426</v>
      </c>
      <c r="E120" s="131">
        <f>'2.4.5.4 Emplois ETP  base m'!E120/QTMGI</f>
        <v>6.2385329670329668</v>
      </c>
      <c r="F120" s="132">
        <f t="shared" si="32"/>
        <v>4.9908263736263736</v>
      </c>
      <c r="G120" s="133">
        <f t="shared" si="33"/>
        <v>1.2477065934065932</v>
      </c>
      <c r="H120" s="134">
        <f t="shared" si="54"/>
        <v>6.2385329670329668</v>
      </c>
      <c r="I120" s="135"/>
      <c r="J120" s="136">
        <f t="shared" si="55"/>
        <v>2.7785001758241759</v>
      </c>
      <c r="K120" s="137"/>
      <c r="L120" s="138">
        <f t="shared" si="56"/>
        <v>1.2477065934065932</v>
      </c>
      <c r="M120" s="137"/>
      <c r="N120" s="139">
        <f t="shared" si="57"/>
        <v>0</v>
      </c>
      <c r="O120" s="137"/>
      <c r="P120" s="140">
        <f t="shared" si="58"/>
        <v>0</v>
      </c>
      <c r="Q120" s="135"/>
      <c r="R120" s="104">
        <f t="shared" si="59"/>
        <v>4.9908263736263736</v>
      </c>
      <c r="S120" s="137"/>
      <c r="T120" s="141">
        <f t="shared" si="60"/>
        <v>1.2477065934065932</v>
      </c>
      <c r="U120" s="199">
        <f t="shared" si="61"/>
        <v>4.026206769230769</v>
      </c>
      <c r="V120" s="37" t="str">
        <f t="shared" si="62"/>
        <v>ok</v>
      </c>
      <c r="W120" s="37" t="str">
        <f t="shared" si="63"/>
        <v>ok</v>
      </c>
    </row>
    <row r="121" spans="1:23" x14ac:dyDescent="0.25">
      <c r="A121" s="426"/>
      <c r="B121" s="178" t="s">
        <v>20</v>
      </c>
      <c r="C121" s="129">
        <v>12</v>
      </c>
      <c r="D121" s="130">
        <f>'2.4.5.4 Emplois ETP  base m'!D121/QTMGI</f>
        <v>5.2124914285714272</v>
      </c>
      <c r="E121" s="131">
        <f>'2.4.5.4 Emplois ETP  base m'!E121/QTMGI</f>
        <v>3.3475054945054947</v>
      </c>
      <c r="F121" s="132">
        <f t="shared" si="32"/>
        <v>2.678004395604396</v>
      </c>
      <c r="G121" s="133">
        <f t="shared" si="33"/>
        <v>0.66950109890109877</v>
      </c>
      <c r="H121" s="134">
        <f t="shared" si="54"/>
        <v>3.3475054945054947</v>
      </c>
      <c r="I121" s="135"/>
      <c r="J121" s="136">
        <f t="shared" si="55"/>
        <v>1.8649859340659325</v>
      </c>
      <c r="K121" s="137"/>
      <c r="L121" s="138">
        <f t="shared" si="56"/>
        <v>0.66950109890109877</v>
      </c>
      <c r="M121" s="137"/>
      <c r="N121" s="139">
        <f t="shared" si="57"/>
        <v>0</v>
      </c>
      <c r="O121" s="137"/>
      <c r="P121" s="140">
        <f t="shared" si="58"/>
        <v>0</v>
      </c>
      <c r="Q121" s="135"/>
      <c r="R121" s="104">
        <f t="shared" si="59"/>
        <v>2.678004395604396</v>
      </c>
      <c r="S121" s="137"/>
      <c r="T121" s="141">
        <f t="shared" si="60"/>
        <v>0.66950109890109877</v>
      </c>
      <c r="U121" s="199">
        <f t="shared" si="61"/>
        <v>2.5344870329670313</v>
      </c>
      <c r="V121" s="37" t="str">
        <f t="shared" si="62"/>
        <v>ok</v>
      </c>
      <c r="W121" s="37" t="str">
        <f t="shared" si="63"/>
        <v>ok</v>
      </c>
    </row>
    <row r="122" spans="1:23" x14ac:dyDescent="0.25">
      <c r="A122" s="426"/>
      <c r="B122" s="178" t="s">
        <v>21</v>
      </c>
      <c r="C122" s="129">
        <v>13</v>
      </c>
      <c r="D122" s="130">
        <f>'2.4.5.4 Emplois ETP  base m'!D122/QTMGI</f>
        <v>4.208461714285713</v>
      </c>
      <c r="E122" s="131">
        <f>'2.4.5.4 Emplois ETP  base m'!E122/QTMGI</f>
        <v>4.2604615384615379</v>
      </c>
      <c r="F122" s="132">
        <f t="shared" si="32"/>
        <v>3.4083692307692304</v>
      </c>
      <c r="G122" s="133">
        <f t="shared" si="33"/>
        <v>0.85209230769230737</v>
      </c>
      <c r="H122" s="134">
        <f t="shared" si="54"/>
        <v>4.208461714285713</v>
      </c>
      <c r="I122" s="135"/>
      <c r="J122" s="136">
        <f t="shared" si="55"/>
        <v>0</v>
      </c>
      <c r="K122" s="137"/>
      <c r="L122" s="138">
        <f t="shared" si="56"/>
        <v>0.80009248351648266</v>
      </c>
      <c r="M122" s="137"/>
      <c r="N122" s="139">
        <f t="shared" si="57"/>
        <v>0</v>
      </c>
      <c r="O122" s="137"/>
      <c r="P122" s="140">
        <f t="shared" si="58"/>
        <v>5.1999824175824827E-2</v>
      </c>
      <c r="Q122" s="135"/>
      <c r="R122" s="104">
        <f t="shared" si="59"/>
        <v>3.4083692307692304</v>
      </c>
      <c r="S122" s="137"/>
      <c r="T122" s="141">
        <f t="shared" si="60"/>
        <v>0.85209230769230748</v>
      </c>
      <c r="U122" s="199">
        <f t="shared" si="61"/>
        <v>0.80009248351648266</v>
      </c>
      <c r="V122" s="37" t="str">
        <f t="shared" si="62"/>
        <v>ok</v>
      </c>
      <c r="W122" s="37" t="str">
        <f t="shared" si="63"/>
        <v>ok</v>
      </c>
    </row>
    <row r="123" spans="1:23" x14ac:dyDescent="0.25">
      <c r="A123" s="426"/>
      <c r="B123" s="178" t="s">
        <v>22</v>
      </c>
      <c r="C123" s="129">
        <v>14</v>
      </c>
      <c r="D123" s="130">
        <f>'2.4.5.4 Emplois ETP  base m'!D123/QTMGI</f>
        <v>8.0168502857142858</v>
      </c>
      <c r="E123" s="131">
        <f>'2.4.5.4 Emplois ETP  base m'!E123/QTMGI</f>
        <v>5.782054945054945</v>
      </c>
      <c r="F123" s="132">
        <f t="shared" si="32"/>
        <v>4.6256439560439562</v>
      </c>
      <c r="G123" s="133">
        <f t="shared" si="33"/>
        <v>1.1564109890109888</v>
      </c>
      <c r="H123" s="134">
        <f t="shared" si="54"/>
        <v>5.782054945054945</v>
      </c>
      <c r="I123" s="135"/>
      <c r="J123" s="136">
        <f t="shared" si="55"/>
        <v>2.2347953406593408</v>
      </c>
      <c r="K123" s="137"/>
      <c r="L123" s="138">
        <f t="shared" si="56"/>
        <v>1.1564109890109888</v>
      </c>
      <c r="M123" s="137"/>
      <c r="N123" s="139">
        <f t="shared" si="57"/>
        <v>0</v>
      </c>
      <c r="O123" s="137"/>
      <c r="P123" s="140">
        <f t="shared" si="58"/>
        <v>0</v>
      </c>
      <c r="Q123" s="135"/>
      <c r="R123" s="104">
        <f t="shared" si="59"/>
        <v>4.6256439560439562</v>
      </c>
      <c r="S123" s="137"/>
      <c r="T123" s="141">
        <f t="shared" si="60"/>
        <v>1.1564109890109888</v>
      </c>
      <c r="U123" s="199">
        <f t="shared" si="61"/>
        <v>3.3912063296703296</v>
      </c>
      <c r="V123" s="37" t="str">
        <f t="shared" si="62"/>
        <v>ok</v>
      </c>
      <c r="W123" s="37" t="str">
        <f t="shared" si="63"/>
        <v>ok</v>
      </c>
    </row>
    <row r="124" spans="1:23" x14ac:dyDescent="0.25">
      <c r="A124" s="426"/>
      <c r="B124" s="178" t="s">
        <v>23</v>
      </c>
      <c r="C124" s="129">
        <v>15</v>
      </c>
      <c r="D124" s="130">
        <f>'2.4.5.4 Emplois ETP  base m'!D124/QTMGI</f>
        <v>6.9666582857142831</v>
      </c>
      <c r="E124" s="131">
        <f>'2.4.5.4 Emplois ETP  base m'!E124/QTMGI</f>
        <v>9.1295604395604393</v>
      </c>
      <c r="F124" s="132">
        <f t="shared" si="32"/>
        <v>7.3036483516483521</v>
      </c>
      <c r="G124" s="133">
        <f t="shared" si="33"/>
        <v>1.8259120879120874</v>
      </c>
      <c r="H124" s="134">
        <f t="shared" si="54"/>
        <v>6.9666582857142831</v>
      </c>
      <c r="I124" s="135"/>
      <c r="J124" s="136">
        <f t="shared" si="55"/>
        <v>0</v>
      </c>
      <c r="K124" s="137"/>
      <c r="L124" s="138">
        <f t="shared" si="56"/>
        <v>0</v>
      </c>
      <c r="M124" s="137"/>
      <c r="N124" s="139">
        <f t="shared" si="57"/>
        <v>0.33699006593406899</v>
      </c>
      <c r="O124" s="137"/>
      <c r="P124" s="140">
        <f t="shared" si="58"/>
        <v>1.8259120879120874</v>
      </c>
      <c r="Q124" s="135"/>
      <c r="R124" s="104">
        <f t="shared" si="59"/>
        <v>6.9666582857142831</v>
      </c>
      <c r="S124" s="137"/>
      <c r="T124" s="141">
        <f t="shared" si="60"/>
        <v>2.1629021538461561</v>
      </c>
      <c r="U124" s="199">
        <f t="shared" si="61"/>
        <v>0</v>
      </c>
      <c r="V124" s="37" t="str">
        <f t="shared" si="62"/>
        <v>ok</v>
      </c>
      <c r="W124" s="37" t="str">
        <f t="shared" si="63"/>
        <v>ok</v>
      </c>
    </row>
    <row r="125" spans="1:23" x14ac:dyDescent="0.25">
      <c r="A125" s="426"/>
      <c r="B125" s="178" t="s">
        <v>19</v>
      </c>
      <c r="C125" s="129">
        <v>18</v>
      </c>
      <c r="D125" s="130">
        <f>'2.4.5.4 Emplois ETP  base m'!D125/QTMGI</f>
        <v>5.4702308571428562</v>
      </c>
      <c r="E125" s="131">
        <f>'2.4.5.4 Emplois ETP  base m'!E125/QTMGI</f>
        <v>6.9993296703296695</v>
      </c>
      <c r="F125" s="132">
        <f t="shared" si="32"/>
        <v>5.5994637362637363</v>
      </c>
      <c r="G125" s="133">
        <f t="shared" si="33"/>
        <v>1.3998659340659336</v>
      </c>
      <c r="H125" s="134">
        <f t="shared" si="54"/>
        <v>5.4702308571428562</v>
      </c>
      <c r="I125" s="135"/>
      <c r="J125" s="136">
        <f t="shared" si="55"/>
        <v>0</v>
      </c>
      <c r="K125" s="137"/>
      <c r="L125" s="138">
        <f t="shared" si="56"/>
        <v>0</v>
      </c>
      <c r="M125" s="137"/>
      <c r="N125" s="139">
        <f t="shared" si="57"/>
        <v>0.12923287912088011</v>
      </c>
      <c r="O125" s="137"/>
      <c r="P125" s="140">
        <f t="shared" si="58"/>
        <v>1.3998659340659336</v>
      </c>
      <c r="Q125" s="135"/>
      <c r="R125" s="104">
        <f t="shared" si="59"/>
        <v>5.4702308571428562</v>
      </c>
      <c r="S125" s="137"/>
      <c r="T125" s="141">
        <f t="shared" si="60"/>
        <v>1.5290988131868137</v>
      </c>
      <c r="U125" s="199">
        <f t="shared" si="61"/>
        <v>0</v>
      </c>
      <c r="V125" s="37" t="str">
        <f t="shared" si="62"/>
        <v>ok</v>
      </c>
      <c r="W125" s="37" t="str">
        <f t="shared" si="63"/>
        <v>ok</v>
      </c>
    </row>
    <row r="126" spans="1:23" x14ac:dyDescent="0.25">
      <c r="A126" s="426"/>
      <c r="B126" s="178" t="s">
        <v>20</v>
      </c>
      <c r="C126" s="129">
        <v>19</v>
      </c>
      <c r="D126" s="130">
        <f>'2.4.5.4 Emplois ETP  base m'!D126/QTMGI</f>
        <v>2.3927451428571427</v>
      </c>
      <c r="E126" s="131">
        <f>'2.4.5.4 Emplois ETP  base m'!E126/QTMGI</f>
        <v>3.3475054945054947</v>
      </c>
      <c r="F126" s="132">
        <f t="shared" si="32"/>
        <v>2.678004395604396</v>
      </c>
      <c r="G126" s="133">
        <f t="shared" si="33"/>
        <v>0.66950109890109877</v>
      </c>
      <c r="H126" s="134">
        <f t="shared" si="54"/>
        <v>2.3927451428571427</v>
      </c>
      <c r="I126" s="135"/>
      <c r="J126" s="136">
        <f t="shared" si="55"/>
        <v>0</v>
      </c>
      <c r="K126" s="137"/>
      <c r="L126" s="138">
        <f t="shared" si="56"/>
        <v>0</v>
      </c>
      <c r="M126" s="137"/>
      <c r="N126" s="139">
        <f t="shared" si="57"/>
        <v>0.28525925274725328</v>
      </c>
      <c r="O126" s="137"/>
      <c r="P126" s="140">
        <f t="shared" si="58"/>
        <v>0.66950109890109877</v>
      </c>
      <c r="Q126" s="135"/>
      <c r="R126" s="104">
        <f t="shared" si="59"/>
        <v>2.3927451428571427</v>
      </c>
      <c r="S126" s="137"/>
      <c r="T126" s="141">
        <f t="shared" si="60"/>
        <v>0.95476035164835205</v>
      </c>
      <c r="U126" s="199">
        <f t="shared" si="61"/>
        <v>0</v>
      </c>
      <c r="V126" s="37" t="str">
        <f t="shared" si="62"/>
        <v>ok</v>
      </c>
      <c r="W126" s="37" t="str">
        <f t="shared" si="63"/>
        <v>ok</v>
      </c>
    </row>
    <row r="127" spans="1:23" x14ac:dyDescent="0.25">
      <c r="A127" s="426"/>
      <c r="B127" s="178" t="s">
        <v>21</v>
      </c>
      <c r="C127" s="129">
        <v>20</v>
      </c>
      <c r="D127" s="130">
        <f>'2.4.5.4 Emplois ETP  base m'!D127/QTMGI</f>
        <v>1.6695359999999997</v>
      </c>
      <c r="E127" s="131">
        <f>'2.4.5.4 Emplois ETP  base m'!E127/QTMGI</f>
        <v>5.6298956043956041</v>
      </c>
      <c r="F127" s="132">
        <f t="shared" si="32"/>
        <v>4.5039164835164831</v>
      </c>
      <c r="G127" s="133">
        <f t="shared" si="33"/>
        <v>1.1259791208791206</v>
      </c>
      <c r="H127" s="134">
        <f t="shared" si="54"/>
        <v>1.6695359999999997</v>
      </c>
      <c r="I127" s="135"/>
      <c r="J127" s="136">
        <f t="shared" si="55"/>
        <v>0</v>
      </c>
      <c r="K127" s="137"/>
      <c r="L127" s="138">
        <f t="shared" si="56"/>
        <v>0</v>
      </c>
      <c r="M127" s="137"/>
      <c r="N127" s="139">
        <f t="shared" si="57"/>
        <v>2.8343804835164832</v>
      </c>
      <c r="O127" s="137"/>
      <c r="P127" s="140">
        <f t="shared" si="58"/>
        <v>1.1259791208791206</v>
      </c>
      <c r="Q127" s="135"/>
      <c r="R127" s="104">
        <f t="shared" si="59"/>
        <v>1.6695359999999997</v>
      </c>
      <c r="S127" s="137"/>
      <c r="T127" s="141">
        <f t="shared" si="60"/>
        <v>3.9603596043956037</v>
      </c>
      <c r="U127" s="199">
        <f t="shared" si="61"/>
        <v>0</v>
      </c>
      <c r="V127" s="37" t="str">
        <f t="shared" si="62"/>
        <v>ok</v>
      </c>
      <c r="W127" s="37" t="str">
        <f t="shared" si="63"/>
        <v>ok</v>
      </c>
    </row>
    <row r="128" spans="1:23" x14ac:dyDescent="0.25">
      <c r="A128" s="426"/>
      <c r="B128" s="178" t="s">
        <v>22</v>
      </c>
      <c r="C128" s="129">
        <v>21</v>
      </c>
      <c r="D128" s="130">
        <f>'2.4.5.4 Emplois ETP  base m'!D128/QTMGI</f>
        <v>3.4621714285714287</v>
      </c>
      <c r="E128" s="131">
        <f>'2.4.5.4 Emplois ETP  base m'!E128/QTMGI</f>
        <v>6.6950109890109895</v>
      </c>
      <c r="F128" s="132">
        <f t="shared" si="32"/>
        <v>5.3560087912087919</v>
      </c>
      <c r="G128" s="133">
        <f t="shared" si="33"/>
        <v>1.3390021978021975</v>
      </c>
      <c r="H128" s="134">
        <f t="shared" si="54"/>
        <v>3.4621714285714287</v>
      </c>
      <c r="I128" s="135"/>
      <c r="J128" s="136">
        <f t="shared" si="55"/>
        <v>0</v>
      </c>
      <c r="K128" s="137"/>
      <c r="L128" s="138">
        <f t="shared" si="56"/>
        <v>0</v>
      </c>
      <c r="M128" s="137"/>
      <c r="N128" s="139">
        <f t="shared" si="57"/>
        <v>1.8938373626373632</v>
      </c>
      <c r="O128" s="137"/>
      <c r="P128" s="140">
        <f t="shared" si="58"/>
        <v>1.3390021978021975</v>
      </c>
      <c r="Q128" s="135"/>
      <c r="R128" s="104">
        <f t="shared" si="59"/>
        <v>3.4621714285714287</v>
      </c>
      <c r="S128" s="137"/>
      <c r="T128" s="141">
        <f t="shared" si="60"/>
        <v>3.2328395604395608</v>
      </c>
      <c r="U128" s="199">
        <f t="shared" si="61"/>
        <v>0</v>
      </c>
      <c r="V128" s="37" t="str">
        <f t="shared" si="62"/>
        <v>ok</v>
      </c>
      <c r="W128" s="37" t="str">
        <f t="shared" si="63"/>
        <v>ok</v>
      </c>
    </row>
    <row r="129" spans="1:23" x14ac:dyDescent="0.25">
      <c r="A129" s="426"/>
      <c r="B129" s="178" t="s">
        <v>23</v>
      </c>
      <c r="C129" s="129">
        <v>22</v>
      </c>
      <c r="D129" s="130">
        <f>'2.4.5.4 Emplois ETP  base m'!D129/QTMGI</f>
        <v>13.894848</v>
      </c>
      <c r="E129" s="131">
        <f>'2.4.5.4 Emplois ETP  base m'!E129/QTMGI</f>
        <v>7.5318873626373621</v>
      </c>
      <c r="F129" s="132">
        <f t="shared" si="32"/>
        <v>6.0255098901098902</v>
      </c>
      <c r="G129" s="133">
        <f t="shared" si="33"/>
        <v>1.5063774725274721</v>
      </c>
      <c r="H129" s="134">
        <f t="shared" si="54"/>
        <v>7.5318873626373621</v>
      </c>
      <c r="I129" s="135"/>
      <c r="J129" s="136">
        <f t="shared" si="55"/>
        <v>6.3629606373626375</v>
      </c>
      <c r="K129" s="137"/>
      <c r="L129" s="138">
        <f t="shared" si="56"/>
        <v>1.5063774725274721</v>
      </c>
      <c r="M129" s="137"/>
      <c r="N129" s="139">
        <f t="shared" si="57"/>
        <v>0</v>
      </c>
      <c r="O129" s="137"/>
      <c r="P129" s="140">
        <f t="shared" si="58"/>
        <v>0</v>
      </c>
      <c r="Q129" s="135"/>
      <c r="R129" s="104">
        <f t="shared" si="59"/>
        <v>6.0255098901098902</v>
      </c>
      <c r="S129" s="137"/>
      <c r="T129" s="141">
        <f t="shared" si="60"/>
        <v>1.5063774725274721</v>
      </c>
      <c r="U129" s="199">
        <f t="shared" si="61"/>
        <v>7.8693381098901094</v>
      </c>
      <c r="V129" s="37" t="str">
        <f t="shared" si="62"/>
        <v>ok</v>
      </c>
      <c r="W129" s="37" t="str">
        <f t="shared" si="63"/>
        <v>ok</v>
      </c>
    </row>
    <row r="130" spans="1:23" x14ac:dyDescent="0.25">
      <c r="A130" s="426"/>
      <c r="B130" s="178" t="s">
        <v>19</v>
      </c>
      <c r="C130" s="129">
        <v>25</v>
      </c>
      <c r="D130" s="130">
        <f>'2.4.5.4 Emplois ETP  base m'!D130/QTMGI</f>
        <v>11.309759999999997</v>
      </c>
      <c r="E130" s="131">
        <f>'2.4.5.4 Emplois ETP  base m'!E130/QTMGI</f>
        <v>4.7717169230769221</v>
      </c>
      <c r="F130" s="132">
        <f t="shared" si="32"/>
        <v>3.8173735384615379</v>
      </c>
      <c r="G130" s="133">
        <f t="shared" si="33"/>
        <v>0.95434338461538415</v>
      </c>
      <c r="H130" s="134">
        <f t="shared" si="54"/>
        <v>4.7717169230769221</v>
      </c>
      <c r="I130" s="135"/>
      <c r="J130" s="136">
        <f t="shared" si="55"/>
        <v>6.5380430769230751</v>
      </c>
      <c r="K130" s="137"/>
      <c r="L130" s="138">
        <f t="shared" si="56"/>
        <v>0.95434338461538415</v>
      </c>
      <c r="M130" s="137"/>
      <c r="N130" s="139">
        <f t="shared" si="57"/>
        <v>0</v>
      </c>
      <c r="O130" s="137"/>
      <c r="P130" s="140">
        <f t="shared" si="58"/>
        <v>0</v>
      </c>
      <c r="Q130" s="135"/>
      <c r="R130" s="104">
        <f t="shared" si="59"/>
        <v>3.8173735384615379</v>
      </c>
      <c r="S130" s="137"/>
      <c r="T130" s="141">
        <f t="shared" si="60"/>
        <v>0.95434338461538415</v>
      </c>
      <c r="U130" s="199">
        <f t="shared" si="61"/>
        <v>7.4923864615384588</v>
      </c>
      <c r="V130" s="37" t="str">
        <f t="shared" si="62"/>
        <v>ok</v>
      </c>
      <c r="W130" s="37" t="str">
        <f t="shared" si="63"/>
        <v>ok</v>
      </c>
    </row>
    <row r="131" spans="1:23" x14ac:dyDescent="0.25">
      <c r="A131" s="426"/>
      <c r="B131" s="178" t="s">
        <v>20</v>
      </c>
      <c r="C131" s="129">
        <v>26</v>
      </c>
      <c r="D131" s="130">
        <f>'2.4.5.4 Emplois ETP  base m'!D131/QTMGI</f>
        <v>6.5165759999999979</v>
      </c>
      <c r="E131" s="131">
        <f>'2.4.5.4 Emplois ETP  base m'!E131/QTMGI</f>
        <v>2.2610878021978018</v>
      </c>
      <c r="F131" s="132">
        <f t="shared" si="32"/>
        <v>1.8088702417582416</v>
      </c>
      <c r="G131" s="133">
        <f t="shared" si="33"/>
        <v>0.45221756043956024</v>
      </c>
      <c r="H131" s="134">
        <f t="shared" si="54"/>
        <v>2.2610878021978018</v>
      </c>
      <c r="I131" s="135"/>
      <c r="J131" s="136">
        <f t="shared" si="55"/>
        <v>4.2554881978021957</v>
      </c>
      <c r="K131" s="137"/>
      <c r="L131" s="138">
        <f t="shared" si="56"/>
        <v>0.45221756043956024</v>
      </c>
      <c r="M131" s="137"/>
      <c r="N131" s="139">
        <f t="shared" si="57"/>
        <v>0</v>
      </c>
      <c r="O131" s="137"/>
      <c r="P131" s="140">
        <f t="shared" si="58"/>
        <v>0</v>
      </c>
      <c r="Q131" s="135"/>
      <c r="R131" s="104">
        <f t="shared" si="59"/>
        <v>1.8088702417582416</v>
      </c>
      <c r="S131" s="137"/>
      <c r="T131" s="141">
        <f t="shared" si="60"/>
        <v>0.45221756043956024</v>
      </c>
      <c r="U131" s="199">
        <f t="shared" si="61"/>
        <v>4.7077057582417563</v>
      </c>
      <c r="V131" s="37" t="str">
        <f t="shared" si="62"/>
        <v>ok</v>
      </c>
      <c r="W131" s="37" t="str">
        <f t="shared" si="63"/>
        <v>ok</v>
      </c>
    </row>
    <row r="132" spans="1:23" x14ac:dyDescent="0.25">
      <c r="A132" s="426"/>
      <c r="B132" s="178" t="s">
        <v>21</v>
      </c>
      <c r="C132" s="129">
        <v>27</v>
      </c>
      <c r="D132" s="130">
        <f>'2.4.5.4 Emplois ETP  base m'!D132/QTMGI</f>
        <v>5.3355908571428561</v>
      </c>
      <c r="E132" s="131">
        <f>'2.4.5.4 Emplois ETP  base m'!E132/QTMGI</f>
        <v>3.0127549450549442</v>
      </c>
      <c r="F132" s="132">
        <f t="shared" si="32"/>
        <v>2.4102039560439557</v>
      </c>
      <c r="G132" s="133">
        <f t="shared" si="33"/>
        <v>0.60255098901098869</v>
      </c>
      <c r="H132" s="134">
        <f t="shared" si="54"/>
        <v>3.0127549450549442</v>
      </c>
      <c r="I132" s="135"/>
      <c r="J132" s="136">
        <f t="shared" si="55"/>
        <v>2.3228359120879118</v>
      </c>
      <c r="K132" s="137"/>
      <c r="L132" s="138">
        <f t="shared" si="56"/>
        <v>0.60255098901098869</v>
      </c>
      <c r="M132" s="137"/>
      <c r="N132" s="139">
        <f t="shared" si="57"/>
        <v>0</v>
      </c>
      <c r="O132" s="137"/>
      <c r="P132" s="140">
        <f t="shared" si="58"/>
        <v>0</v>
      </c>
      <c r="Q132" s="135"/>
      <c r="R132" s="104">
        <f t="shared" si="59"/>
        <v>2.4102039560439557</v>
      </c>
      <c r="S132" s="137"/>
      <c r="T132" s="141">
        <f t="shared" si="60"/>
        <v>0.60255098901098869</v>
      </c>
      <c r="U132" s="199">
        <f t="shared" si="61"/>
        <v>2.9253869010989004</v>
      </c>
      <c r="V132" s="37" t="str">
        <f t="shared" si="62"/>
        <v>ok</v>
      </c>
      <c r="W132" s="37" t="str">
        <f t="shared" si="63"/>
        <v>ok</v>
      </c>
    </row>
    <row r="133" spans="1:23" x14ac:dyDescent="0.25">
      <c r="A133" s="426"/>
      <c r="B133" s="178" t="s">
        <v>22</v>
      </c>
      <c r="C133" s="129">
        <v>28</v>
      </c>
      <c r="D133" s="130">
        <f>'2.4.5.4 Emplois ETP  base m'!D133/QTMGI</f>
        <v>10.021062857142857</v>
      </c>
      <c r="E133" s="131">
        <f>'2.4.5.4 Emplois ETP  base m'!E133/QTMGI</f>
        <v>4.7717169230769221</v>
      </c>
      <c r="F133" s="132">
        <f t="shared" ref="F133:F196" si="64">E133*TC</f>
        <v>3.8173735384615379</v>
      </c>
      <c r="G133" s="133">
        <f t="shared" ref="G133:G196" si="65">E133*(1-TC)</f>
        <v>0.95434338461538415</v>
      </c>
      <c r="H133" s="134">
        <f t="shared" si="54"/>
        <v>4.7717169230769221</v>
      </c>
      <c r="I133" s="135"/>
      <c r="J133" s="136">
        <f t="shared" si="55"/>
        <v>5.2493459340659347</v>
      </c>
      <c r="K133" s="137"/>
      <c r="L133" s="138">
        <f t="shared" si="56"/>
        <v>0.95434338461538415</v>
      </c>
      <c r="M133" s="137"/>
      <c r="N133" s="139">
        <f t="shared" si="57"/>
        <v>0</v>
      </c>
      <c r="O133" s="137"/>
      <c r="P133" s="140">
        <f t="shared" si="58"/>
        <v>0</v>
      </c>
      <c r="Q133" s="135"/>
      <c r="R133" s="104">
        <f t="shared" si="59"/>
        <v>3.8173735384615379</v>
      </c>
      <c r="S133" s="137"/>
      <c r="T133" s="141">
        <f t="shared" si="60"/>
        <v>0.95434338461538415</v>
      </c>
      <c r="U133" s="199">
        <f t="shared" si="61"/>
        <v>6.2036893186813185</v>
      </c>
      <c r="V133" s="37" t="str">
        <f t="shared" si="62"/>
        <v>ok</v>
      </c>
      <c r="W133" s="37" t="str">
        <f t="shared" si="63"/>
        <v>ok</v>
      </c>
    </row>
    <row r="134" spans="1:23" ht="15.75" thickBot="1" x14ac:dyDescent="0.3">
      <c r="A134" s="427"/>
      <c r="B134" s="277" t="s">
        <v>23</v>
      </c>
      <c r="C134" s="165">
        <v>29</v>
      </c>
      <c r="D134" s="202">
        <f>'2.4.5.4 Emplois ETP  base m'!D134/QTMGI</f>
        <v>16.672278857142857</v>
      </c>
      <c r="E134" s="203">
        <f>'2.4.5.4 Emplois ETP  base m'!E134/QTMGI</f>
        <v>9.1295604395604393</v>
      </c>
      <c r="F134" s="204">
        <f t="shared" si="64"/>
        <v>7.3036483516483521</v>
      </c>
      <c r="G134" s="205">
        <f t="shared" si="65"/>
        <v>1.8259120879120874</v>
      </c>
      <c r="H134" s="206">
        <f t="shared" si="54"/>
        <v>9.1295604395604393</v>
      </c>
      <c r="I134" s="207"/>
      <c r="J134" s="208">
        <f t="shared" si="55"/>
        <v>7.5427184175824173</v>
      </c>
      <c r="K134" s="209"/>
      <c r="L134" s="210">
        <f t="shared" si="56"/>
        <v>1.8259120879120874</v>
      </c>
      <c r="M134" s="209"/>
      <c r="N134" s="211">
        <f t="shared" si="57"/>
        <v>0</v>
      </c>
      <c r="O134" s="209"/>
      <c r="P134" s="212">
        <f t="shared" si="58"/>
        <v>0</v>
      </c>
      <c r="Q134" s="207"/>
      <c r="R134" s="213">
        <f t="shared" si="59"/>
        <v>7.3036483516483521</v>
      </c>
      <c r="S134" s="209"/>
      <c r="T134" s="214">
        <f t="shared" si="60"/>
        <v>1.8259120879120874</v>
      </c>
      <c r="U134" s="215">
        <f t="shared" si="61"/>
        <v>9.3686305054945045</v>
      </c>
      <c r="V134" s="37" t="str">
        <f t="shared" si="62"/>
        <v>ok</v>
      </c>
      <c r="W134" s="37" t="str">
        <f t="shared" si="63"/>
        <v>ok</v>
      </c>
    </row>
    <row r="135" spans="1:23" x14ac:dyDescent="0.25">
      <c r="A135" s="425" t="s">
        <v>95</v>
      </c>
      <c r="B135" s="276" t="s">
        <v>19</v>
      </c>
      <c r="C135" s="247">
        <v>2</v>
      </c>
      <c r="D135" s="184">
        <f>'2.4.5.4 Emplois ETP  base m'!D135/QTMGI</f>
        <v>3.3274318945054939</v>
      </c>
      <c r="E135" s="185">
        <f>'2.4.5.4 Emplois ETP  base m'!E135/QTMGI</f>
        <v>13.15362857142857</v>
      </c>
      <c r="F135" s="186">
        <f t="shared" si="64"/>
        <v>10.522902857142856</v>
      </c>
      <c r="G135" s="187">
        <f t="shared" si="65"/>
        <v>2.6307257142857132</v>
      </c>
      <c r="H135" s="188">
        <f>IF(E135&gt;D135,D135,E135)</f>
        <v>3.3274318945054939</v>
      </c>
      <c r="I135" s="189"/>
      <c r="J135" s="190">
        <f>IF(E135&gt;D135,0,D135-E135)</f>
        <v>0</v>
      </c>
      <c r="K135" s="191"/>
      <c r="L135" s="192">
        <f>IF(E135&gt;D135,IF(F135&gt;H135,0,H135-F135),G135)</f>
        <v>0</v>
      </c>
      <c r="M135" s="191"/>
      <c r="N135" s="193">
        <f>IF(E135&gt;D135,IF(F135&gt;H135,F135-H135,0),0)</f>
        <v>7.1954709626373621</v>
      </c>
      <c r="O135" s="191"/>
      <c r="P135" s="194">
        <f>IF(E135&gt;D135,IF(F135&gt;H135,G135,E135-H135),0)</f>
        <v>2.6307257142857132</v>
      </c>
      <c r="Q135" s="189"/>
      <c r="R135" s="195">
        <f>H135-L135</f>
        <v>3.3274318945054939</v>
      </c>
      <c r="S135" s="191"/>
      <c r="T135" s="196">
        <f>L135+N135+P135</f>
        <v>9.8261966769230753</v>
      </c>
      <c r="U135" s="197">
        <f>J135+L135</f>
        <v>0</v>
      </c>
      <c r="V135" s="37" t="str">
        <f>IF(R135+T135=E135,"ok","bad")</f>
        <v>ok</v>
      </c>
      <c r="W135" s="37" t="str">
        <f>IF(U135+R135=D135,"ok","bad")</f>
        <v>ok</v>
      </c>
    </row>
    <row r="136" spans="1:23" x14ac:dyDescent="0.25">
      <c r="A136" s="426"/>
      <c r="B136" s="178" t="s">
        <v>20</v>
      </c>
      <c r="C136" s="129">
        <v>3</v>
      </c>
      <c r="D136" s="130">
        <f>'2.4.5.4 Emplois ETP  base m'!D136/QTMGI</f>
        <v>2.612704668131868</v>
      </c>
      <c r="E136" s="131">
        <f>'2.4.5.4 Emplois ETP  base m'!E136/QTMGI</f>
        <v>9.6459942857142842</v>
      </c>
      <c r="F136" s="132">
        <f t="shared" si="64"/>
        <v>7.7167954285714275</v>
      </c>
      <c r="G136" s="133">
        <f t="shared" si="65"/>
        <v>1.9291988571428564</v>
      </c>
      <c r="H136" s="134">
        <f t="shared" ref="H136:H156" si="66">IF(E136&gt;D136,D136,E136)</f>
        <v>2.612704668131868</v>
      </c>
      <c r="I136" s="135"/>
      <c r="J136" s="136">
        <f t="shared" ref="J136:J156" si="67">IF(E136&gt;D136,0,D136-E136)</f>
        <v>0</v>
      </c>
      <c r="K136" s="137"/>
      <c r="L136" s="138">
        <f t="shared" ref="L136:L156" si="68">IF(E136&gt;D136,IF(F136&gt;H136,0,H136-F136),G136)</f>
        <v>0</v>
      </c>
      <c r="M136" s="137"/>
      <c r="N136" s="139">
        <f t="shared" ref="N136:N156" si="69">IF(E136&gt;D136,IF(F136&gt;H136,F136-H136,0),0)</f>
        <v>5.1040907604395596</v>
      </c>
      <c r="O136" s="137"/>
      <c r="P136" s="140">
        <f t="shared" ref="P136:P156" si="70">IF(E136&gt;D136,IF(F136&gt;H136,G136,E136-H136),0)</f>
        <v>1.9291988571428564</v>
      </c>
      <c r="Q136" s="135"/>
      <c r="R136" s="104">
        <f t="shared" ref="R136:R156" si="71">H136-L136</f>
        <v>2.612704668131868</v>
      </c>
      <c r="S136" s="137"/>
      <c r="T136" s="141">
        <f t="shared" ref="T136:T156" si="72">L136+N136+P136</f>
        <v>7.0332896175824162</v>
      </c>
      <c r="U136" s="199">
        <f t="shared" ref="U136:U156" si="73">J136+L136</f>
        <v>0</v>
      </c>
      <c r="V136" s="37" t="str">
        <f t="shared" ref="V136:V156" si="74">IF(R136+T136=E136,"ok","bad")</f>
        <v>ok</v>
      </c>
      <c r="W136" s="37" t="str">
        <f t="shared" ref="W136:W156" si="75">IF(U136+R136=D136,"ok","bad")</f>
        <v>ok</v>
      </c>
    </row>
    <row r="137" spans="1:23" x14ac:dyDescent="0.25">
      <c r="A137" s="426"/>
      <c r="B137" s="178" t="s">
        <v>21</v>
      </c>
      <c r="C137" s="129">
        <v>4</v>
      </c>
      <c r="D137" s="130">
        <f>'2.4.5.4 Emplois ETP  base m'!D137/QTMGI</f>
        <v>1.1428286241758241</v>
      </c>
      <c r="E137" s="131">
        <f>'2.4.5.4 Emplois ETP  base m'!E137/QTMGI</f>
        <v>3.9460885714285694</v>
      </c>
      <c r="F137" s="132">
        <f t="shared" si="64"/>
        <v>3.1568708571428559</v>
      </c>
      <c r="G137" s="133">
        <f t="shared" si="65"/>
        <v>0.78921771428571375</v>
      </c>
      <c r="H137" s="134">
        <f t="shared" si="66"/>
        <v>1.1428286241758241</v>
      </c>
      <c r="I137" s="135"/>
      <c r="J137" s="136">
        <f t="shared" si="67"/>
        <v>0</v>
      </c>
      <c r="K137" s="137"/>
      <c r="L137" s="138">
        <f t="shared" si="68"/>
        <v>0</v>
      </c>
      <c r="M137" s="137"/>
      <c r="N137" s="139">
        <f t="shared" si="69"/>
        <v>2.0140422329670318</v>
      </c>
      <c r="O137" s="137"/>
      <c r="P137" s="140">
        <f t="shared" si="70"/>
        <v>0.78921771428571375</v>
      </c>
      <c r="Q137" s="135"/>
      <c r="R137" s="104">
        <f t="shared" si="71"/>
        <v>1.1428286241758241</v>
      </c>
      <c r="S137" s="137"/>
      <c r="T137" s="141">
        <f t="shared" si="72"/>
        <v>2.8032599472527453</v>
      </c>
      <c r="U137" s="199">
        <f t="shared" si="73"/>
        <v>0</v>
      </c>
      <c r="V137" s="37" t="str">
        <f t="shared" si="74"/>
        <v>ok</v>
      </c>
      <c r="W137" s="37" t="str">
        <f t="shared" si="75"/>
        <v>ok</v>
      </c>
    </row>
    <row r="138" spans="1:23" x14ac:dyDescent="0.25">
      <c r="A138" s="426"/>
      <c r="B138" s="178" t="s">
        <v>22</v>
      </c>
      <c r="C138" s="129">
        <v>5</v>
      </c>
      <c r="D138" s="130">
        <f>'2.4.5.4 Emplois ETP  base m'!D138/QTMGI</f>
        <v>0.79740775384615381</v>
      </c>
      <c r="E138" s="131">
        <f>'2.4.5.4 Emplois ETP  base m'!E138/QTMGI</f>
        <v>5.9191328571428565</v>
      </c>
      <c r="F138" s="132">
        <f t="shared" si="64"/>
        <v>4.7353062857142856</v>
      </c>
      <c r="G138" s="133">
        <f t="shared" si="65"/>
        <v>1.183826571428571</v>
      </c>
      <c r="H138" s="134">
        <f t="shared" si="66"/>
        <v>0.79740775384615381</v>
      </c>
      <c r="I138" s="135"/>
      <c r="J138" s="136">
        <f t="shared" si="67"/>
        <v>0</v>
      </c>
      <c r="K138" s="137"/>
      <c r="L138" s="138">
        <f t="shared" si="68"/>
        <v>0</v>
      </c>
      <c r="M138" s="137"/>
      <c r="N138" s="139">
        <f t="shared" si="69"/>
        <v>3.9378985318681319</v>
      </c>
      <c r="O138" s="137"/>
      <c r="P138" s="140">
        <f t="shared" si="70"/>
        <v>1.183826571428571</v>
      </c>
      <c r="Q138" s="135"/>
      <c r="R138" s="104">
        <f t="shared" si="71"/>
        <v>0.79740775384615381</v>
      </c>
      <c r="S138" s="137"/>
      <c r="T138" s="141">
        <f t="shared" si="72"/>
        <v>5.1217251032967024</v>
      </c>
      <c r="U138" s="199">
        <f t="shared" si="73"/>
        <v>0</v>
      </c>
      <c r="V138" s="37" t="str">
        <f t="shared" si="74"/>
        <v>ok</v>
      </c>
      <c r="W138" s="37" t="str">
        <f t="shared" si="75"/>
        <v>ok</v>
      </c>
    </row>
    <row r="139" spans="1:23" x14ac:dyDescent="0.25">
      <c r="A139" s="426"/>
      <c r="B139" s="178" t="s">
        <v>23</v>
      </c>
      <c r="C139" s="129">
        <v>6</v>
      </c>
      <c r="D139" s="130">
        <f>'2.4.5.4 Emplois ETP  base m'!D139/QTMGI</f>
        <v>1.6536105494505495</v>
      </c>
      <c r="E139" s="131">
        <f>'2.4.5.4 Emplois ETP  base m'!E139/QTMGI</f>
        <v>9.6459942857142842</v>
      </c>
      <c r="F139" s="132">
        <f t="shared" si="64"/>
        <v>7.7167954285714275</v>
      </c>
      <c r="G139" s="133">
        <f t="shared" si="65"/>
        <v>1.9291988571428564</v>
      </c>
      <c r="H139" s="134">
        <f t="shared" si="66"/>
        <v>1.6536105494505495</v>
      </c>
      <c r="I139" s="135"/>
      <c r="J139" s="136">
        <f t="shared" si="67"/>
        <v>0</v>
      </c>
      <c r="K139" s="137"/>
      <c r="L139" s="138">
        <f t="shared" si="68"/>
        <v>0</v>
      </c>
      <c r="M139" s="137"/>
      <c r="N139" s="139">
        <f t="shared" si="69"/>
        <v>6.063184879120878</v>
      </c>
      <c r="O139" s="137"/>
      <c r="P139" s="140">
        <f t="shared" si="70"/>
        <v>1.9291988571428564</v>
      </c>
      <c r="Q139" s="135"/>
      <c r="R139" s="104">
        <f t="shared" si="71"/>
        <v>1.6536105494505495</v>
      </c>
      <c r="S139" s="137"/>
      <c r="T139" s="141">
        <f t="shared" si="72"/>
        <v>7.9923837362637347</v>
      </c>
      <c r="U139" s="199">
        <f t="shared" si="73"/>
        <v>0</v>
      </c>
      <c r="V139" s="37" t="str">
        <f t="shared" si="74"/>
        <v>ok</v>
      </c>
      <c r="W139" s="37" t="str">
        <f t="shared" si="75"/>
        <v>ok</v>
      </c>
    </row>
    <row r="140" spans="1:23" x14ac:dyDescent="0.25">
      <c r="A140" s="426"/>
      <c r="B140" s="178" t="s">
        <v>19</v>
      </c>
      <c r="C140" s="129">
        <v>9</v>
      </c>
      <c r="D140" s="130">
        <f>'2.4.5.4 Emplois ETP  base m'!D140/QTMGI</f>
        <v>5.3099272087912075</v>
      </c>
      <c r="E140" s="131">
        <f>'2.4.5.4 Emplois ETP  base m'!E140/QTMGI</f>
        <v>6.7454505494505472</v>
      </c>
      <c r="F140" s="132">
        <f t="shared" si="64"/>
        <v>5.3963604395604383</v>
      </c>
      <c r="G140" s="133">
        <f t="shared" si="65"/>
        <v>1.3490901098901091</v>
      </c>
      <c r="H140" s="134">
        <f t="shared" si="66"/>
        <v>5.3099272087912075</v>
      </c>
      <c r="I140" s="135"/>
      <c r="J140" s="136">
        <f t="shared" si="67"/>
        <v>0</v>
      </c>
      <c r="K140" s="137"/>
      <c r="L140" s="138">
        <f t="shared" si="68"/>
        <v>0</v>
      </c>
      <c r="M140" s="137"/>
      <c r="N140" s="139">
        <f t="shared" si="69"/>
        <v>8.6433230769230818E-2</v>
      </c>
      <c r="O140" s="137"/>
      <c r="P140" s="140">
        <f t="shared" si="70"/>
        <v>1.3490901098901091</v>
      </c>
      <c r="Q140" s="135"/>
      <c r="R140" s="104">
        <f t="shared" si="71"/>
        <v>5.3099272087912075</v>
      </c>
      <c r="S140" s="137"/>
      <c r="T140" s="141">
        <f t="shared" si="72"/>
        <v>1.43552334065934</v>
      </c>
      <c r="U140" s="199">
        <f t="shared" si="73"/>
        <v>0</v>
      </c>
      <c r="V140" s="37" t="str">
        <f t="shared" si="74"/>
        <v>ok</v>
      </c>
      <c r="W140" s="37" t="str">
        <f t="shared" si="75"/>
        <v>ok</v>
      </c>
    </row>
    <row r="141" spans="1:23" x14ac:dyDescent="0.25">
      <c r="A141" s="426"/>
      <c r="B141" s="178" t="s">
        <v>20</v>
      </c>
      <c r="C141" s="129">
        <v>10</v>
      </c>
      <c r="D141" s="130">
        <f>'2.4.5.4 Emplois ETP  base m'!D141/QTMGI</f>
        <v>4.306736808791209</v>
      </c>
      <c r="E141" s="131">
        <f>'2.4.5.4 Emplois ETP  base m'!E141/QTMGI</f>
        <v>6.9140868131868132</v>
      </c>
      <c r="F141" s="132">
        <f t="shared" si="64"/>
        <v>5.5312694505494511</v>
      </c>
      <c r="G141" s="133">
        <f t="shared" si="65"/>
        <v>1.3828173626373623</v>
      </c>
      <c r="H141" s="134">
        <f t="shared" si="66"/>
        <v>4.306736808791209</v>
      </c>
      <c r="I141" s="135"/>
      <c r="J141" s="136">
        <f t="shared" si="67"/>
        <v>0</v>
      </c>
      <c r="K141" s="137"/>
      <c r="L141" s="138">
        <f t="shared" si="68"/>
        <v>0</v>
      </c>
      <c r="M141" s="137"/>
      <c r="N141" s="139">
        <f t="shared" si="69"/>
        <v>1.2245326417582421</v>
      </c>
      <c r="O141" s="137"/>
      <c r="P141" s="140">
        <f t="shared" si="70"/>
        <v>1.3828173626373623</v>
      </c>
      <c r="Q141" s="135"/>
      <c r="R141" s="104">
        <f t="shared" si="71"/>
        <v>4.306736808791209</v>
      </c>
      <c r="S141" s="137"/>
      <c r="T141" s="141">
        <f t="shared" si="72"/>
        <v>2.6073500043956042</v>
      </c>
      <c r="U141" s="199">
        <f t="shared" si="73"/>
        <v>0</v>
      </c>
      <c r="V141" s="37" t="str">
        <f t="shared" si="74"/>
        <v>ok</v>
      </c>
      <c r="W141" s="37" t="str">
        <f t="shared" si="75"/>
        <v>ok</v>
      </c>
    </row>
    <row r="142" spans="1:23" x14ac:dyDescent="0.25">
      <c r="A142" s="426"/>
      <c r="B142" s="178" t="s">
        <v>21</v>
      </c>
      <c r="C142" s="129">
        <v>11</v>
      </c>
      <c r="D142" s="130">
        <f>'2.4.5.4 Emplois ETP  base m'!D142/QTMGI</f>
        <v>2.4896025494505496</v>
      </c>
      <c r="E142" s="131">
        <f>'2.4.5.4 Emplois ETP  base m'!E142/QTMGI</f>
        <v>3.709997802197802</v>
      </c>
      <c r="F142" s="132">
        <f t="shared" si="64"/>
        <v>2.9679982417582416</v>
      </c>
      <c r="G142" s="133">
        <f t="shared" si="65"/>
        <v>0.74199956043956028</v>
      </c>
      <c r="H142" s="134">
        <f t="shared" si="66"/>
        <v>2.4896025494505496</v>
      </c>
      <c r="I142" s="135"/>
      <c r="J142" s="136">
        <f t="shared" si="67"/>
        <v>0</v>
      </c>
      <c r="K142" s="137"/>
      <c r="L142" s="138">
        <f t="shared" si="68"/>
        <v>0</v>
      </c>
      <c r="M142" s="137"/>
      <c r="N142" s="139">
        <f t="shared" si="69"/>
        <v>0.47839569230769197</v>
      </c>
      <c r="O142" s="137"/>
      <c r="P142" s="140">
        <f t="shared" si="70"/>
        <v>0.74199956043956028</v>
      </c>
      <c r="Q142" s="135"/>
      <c r="R142" s="104">
        <f t="shared" si="71"/>
        <v>2.4896025494505496</v>
      </c>
      <c r="S142" s="137"/>
      <c r="T142" s="141">
        <f t="shared" si="72"/>
        <v>1.2203952527472524</v>
      </c>
      <c r="U142" s="199">
        <f t="shared" si="73"/>
        <v>0</v>
      </c>
      <c r="V142" s="37" t="str">
        <f t="shared" si="74"/>
        <v>ok</v>
      </c>
      <c r="W142" s="37" t="str">
        <f t="shared" si="75"/>
        <v>ok</v>
      </c>
    </row>
    <row r="143" spans="1:23" x14ac:dyDescent="0.25">
      <c r="A143" s="426"/>
      <c r="B143" s="178" t="s">
        <v>22</v>
      </c>
      <c r="C143" s="129">
        <v>12</v>
      </c>
      <c r="D143" s="130">
        <f>'2.4.5.4 Emplois ETP  base m'!D143/QTMGI</f>
        <v>2.0100554901098895</v>
      </c>
      <c r="E143" s="131">
        <f>'2.4.5.4 Emplois ETP  base m'!E143/QTMGI</f>
        <v>4.7218153846153834</v>
      </c>
      <c r="F143" s="132">
        <f t="shared" si="64"/>
        <v>3.777452307692307</v>
      </c>
      <c r="G143" s="133">
        <f t="shared" si="65"/>
        <v>0.94436307692307653</v>
      </c>
      <c r="H143" s="134">
        <f t="shared" si="66"/>
        <v>2.0100554901098895</v>
      </c>
      <c r="I143" s="135"/>
      <c r="J143" s="136">
        <f t="shared" si="67"/>
        <v>0</v>
      </c>
      <c r="K143" s="137"/>
      <c r="L143" s="138">
        <f t="shared" si="68"/>
        <v>0</v>
      </c>
      <c r="M143" s="137"/>
      <c r="N143" s="139">
        <f t="shared" si="69"/>
        <v>1.7673968175824175</v>
      </c>
      <c r="O143" s="137"/>
      <c r="P143" s="140">
        <f t="shared" si="70"/>
        <v>0.94436307692307653</v>
      </c>
      <c r="Q143" s="135"/>
      <c r="R143" s="104">
        <f t="shared" si="71"/>
        <v>2.0100554901098895</v>
      </c>
      <c r="S143" s="137"/>
      <c r="T143" s="141">
        <f t="shared" si="72"/>
        <v>2.7117598945054939</v>
      </c>
      <c r="U143" s="199">
        <f t="shared" si="73"/>
        <v>0</v>
      </c>
      <c r="V143" s="37" t="str">
        <f t="shared" si="74"/>
        <v>ok</v>
      </c>
      <c r="W143" s="37" t="str">
        <f t="shared" si="75"/>
        <v>ok</v>
      </c>
    </row>
    <row r="144" spans="1:23" x14ac:dyDescent="0.25">
      <c r="A144" s="426"/>
      <c r="B144" s="178" t="s">
        <v>23</v>
      </c>
      <c r="C144" s="129">
        <v>13</v>
      </c>
      <c r="D144" s="130">
        <f>'2.4.5.4 Emplois ETP  base m'!D144/QTMGI</f>
        <v>3.8290270945054945</v>
      </c>
      <c r="E144" s="131">
        <f>'2.4.5.4 Emplois ETP  base m'!E144/QTMGI</f>
        <v>6.4081780219780207</v>
      </c>
      <c r="F144" s="132">
        <f t="shared" si="64"/>
        <v>5.1265424175824172</v>
      </c>
      <c r="G144" s="133">
        <f t="shared" si="65"/>
        <v>1.2816356043956039</v>
      </c>
      <c r="H144" s="134">
        <f t="shared" si="66"/>
        <v>3.8290270945054945</v>
      </c>
      <c r="I144" s="135"/>
      <c r="J144" s="136">
        <f t="shared" si="67"/>
        <v>0</v>
      </c>
      <c r="K144" s="137"/>
      <c r="L144" s="138">
        <f t="shared" si="68"/>
        <v>0</v>
      </c>
      <c r="M144" s="137"/>
      <c r="N144" s="139">
        <f t="shared" si="69"/>
        <v>1.2975153230769227</v>
      </c>
      <c r="O144" s="137"/>
      <c r="P144" s="140">
        <f t="shared" si="70"/>
        <v>1.2816356043956039</v>
      </c>
      <c r="Q144" s="135"/>
      <c r="R144" s="104">
        <f t="shared" si="71"/>
        <v>3.8290270945054945</v>
      </c>
      <c r="S144" s="137"/>
      <c r="T144" s="141">
        <f t="shared" si="72"/>
        <v>2.5791509274725266</v>
      </c>
      <c r="U144" s="199">
        <f t="shared" si="73"/>
        <v>0</v>
      </c>
      <c r="V144" s="37" t="str">
        <f t="shared" si="74"/>
        <v>ok</v>
      </c>
      <c r="W144" s="37" t="str">
        <f t="shared" si="75"/>
        <v>ok</v>
      </c>
    </row>
    <row r="145" spans="1:23" x14ac:dyDescent="0.25">
      <c r="A145" s="426"/>
      <c r="B145" s="178" t="s">
        <v>19</v>
      </c>
      <c r="C145" s="129">
        <v>16</v>
      </c>
      <c r="D145" s="130">
        <f>'2.4.5.4 Emplois ETP  base m'!D145/QTMGI</f>
        <v>3.3274318945054939</v>
      </c>
      <c r="E145" s="131">
        <f>'2.4.5.4 Emplois ETP  base m'!E145/QTMGI</f>
        <v>10.118175824175822</v>
      </c>
      <c r="F145" s="132">
        <f t="shared" si="64"/>
        <v>8.094540659340657</v>
      </c>
      <c r="G145" s="133">
        <f t="shared" si="65"/>
        <v>2.0236351648351638</v>
      </c>
      <c r="H145" s="134">
        <f t="shared" si="66"/>
        <v>3.3274318945054939</v>
      </c>
      <c r="I145" s="135"/>
      <c r="J145" s="136">
        <f t="shared" si="67"/>
        <v>0</v>
      </c>
      <c r="K145" s="137"/>
      <c r="L145" s="138">
        <f t="shared" si="68"/>
        <v>0</v>
      </c>
      <c r="M145" s="137"/>
      <c r="N145" s="139">
        <f t="shared" si="69"/>
        <v>4.7671087648351627</v>
      </c>
      <c r="O145" s="137"/>
      <c r="P145" s="140">
        <f t="shared" si="70"/>
        <v>2.0236351648351638</v>
      </c>
      <c r="Q145" s="135"/>
      <c r="R145" s="104">
        <f t="shared" si="71"/>
        <v>3.3274318945054939</v>
      </c>
      <c r="S145" s="137"/>
      <c r="T145" s="141">
        <f t="shared" si="72"/>
        <v>6.7907439296703265</v>
      </c>
      <c r="U145" s="199">
        <f t="shared" si="73"/>
        <v>0</v>
      </c>
      <c r="V145" s="37" t="str">
        <f t="shared" si="74"/>
        <v>ok</v>
      </c>
      <c r="W145" s="37" t="str">
        <f t="shared" si="75"/>
        <v>ok</v>
      </c>
    </row>
    <row r="146" spans="1:23" x14ac:dyDescent="0.25">
      <c r="A146" s="426"/>
      <c r="B146" s="178" t="s">
        <v>20</v>
      </c>
      <c r="C146" s="129">
        <v>17</v>
      </c>
      <c r="D146" s="130">
        <f>'2.4.5.4 Emplois ETP  base m'!D146/QTMGI</f>
        <v>2.612704668131868</v>
      </c>
      <c r="E146" s="131">
        <f>'2.4.5.4 Emplois ETP  base m'!E146/QTMGI</f>
        <v>7.7572681318681296</v>
      </c>
      <c r="F146" s="132">
        <f t="shared" si="64"/>
        <v>6.2058145054945042</v>
      </c>
      <c r="G146" s="133">
        <f t="shared" si="65"/>
        <v>1.5514536263736256</v>
      </c>
      <c r="H146" s="134">
        <f t="shared" si="66"/>
        <v>2.612704668131868</v>
      </c>
      <c r="I146" s="135"/>
      <c r="J146" s="136">
        <f t="shared" si="67"/>
        <v>0</v>
      </c>
      <c r="K146" s="137"/>
      <c r="L146" s="138">
        <f t="shared" si="68"/>
        <v>0</v>
      </c>
      <c r="M146" s="137"/>
      <c r="N146" s="139">
        <f t="shared" si="69"/>
        <v>3.5931098373626362</v>
      </c>
      <c r="O146" s="137"/>
      <c r="P146" s="140">
        <f t="shared" si="70"/>
        <v>1.5514536263736256</v>
      </c>
      <c r="Q146" s="135"/>
      <c r="R146" s="104">
        <f t="shared" si="71"/>
        <v>2.612704668131868</v>
      </c>
      <c r="S146" s="137"/>
      <c r="T146" s="141">
        <f t="shared" si="72"/>
        <v>5.1445634637362616</v>
      </c>
      <c r="U146" s="199">
        <f t="shared" si="73"/>
        <v>0</v>
      </c>
      <c r="V146" s="37" t="str">
        <f t="shared" si="74"/>
        <v>ok</v>
      </c>
      <c r="W146" s="37" t="str">
        <f t="shared" si="75"/>
        <v>ok</v>
      </c>
    </row>
    <row r="147" spans="1:23" x14ac:dyDescent="0.25">
      <c r="A147" s="426"/>
      <c r="B147" s="178" t="s">
        <v>21</v>
      </c>
      <c r="C147" s="129">
        <v>18</v>
      </c>
      <c r="D147" s="130">
        <f>'2.4.5.4 Emplois ETP  base m'!D147/QTMGI</f>
        <v>1.1428286241758241</v>
      </c>
      <c r="E147" s="131">
        <f>'2.4.5.4 Emplois ETP  base m'!E147/QTMGI</f>
        <v>3.709997802197802</v>
      </c>
      <c r="F147" s="132">
        <f t="shared" si="64"/>
        <v>2.9679982417582416</v>
      </c>
      <c r="G147" s="133">
        <f t="shared" si="65"/>
        <v>0.74199956043956028</v>
      </c>
      <c r="H147" s="134">
        <f t="shared" si="66"/>
        <v>1.1428286241758241</v>
      </c>
      <c r="I147" s="135"/>
      <c r="J147" s="136">
        <f t="shared" si="67"/>
        <v>0</v>
      </c>
      <c r="K147" s="137"/>
      <c r="L147" s="138">
        <f t="shared" si="68"/>
        <v>0</v>
      </c>
      <c r="M147" s="137"/>
      <c r="N147" s="139">
        <f t="shared" si="69"/>
        <v>1.8251696175824175</v>
      </c>
      <c r="O147" s="137"/>
      <c r="P147" s="140">
        <f t="shared" si="70"/>
        <v>0.74199956043956028</v>
      </c>
      <c r="Q147" s="135"/>
      <c r="R147" s="104">
        <f t="shared" si="71"/>
        <v>1.1428286241758241</v>
      </c>
      <c r="S147" s="137"/>
      <c r="T147" s="141">
        <f t="shared" si="72"/>
        <v>2.5671691780219779</v>
      </c>
      <c r="U147" s="199">
        <f t="shared" si="73"/>
        <v>0</v>
      </c>
      <c r="V147" s="37" t="str">
        <f t="shared" si="74"/>
        <v>ok</v>
      </c>
      <c r="W147" s="37" t="str">
        <f t="shared" si="75"/>
        <v>ok</v>
      </c>
    </row>
    <row r="148" spans="1:23" x14ac:dyDescent="0.25">
      <c r="A148" s="426"/>
      <c r="B148" s="178" t="s">
        <v>22</v>
      </c>
      <c r="C148" s="129">
        <v>19</v>
      </c>
      <c r="D148" s="130">
        <f>'2.4.5.4 Emplois ETP  base m'!D148/QTMGI</f>
        <v>0.79740775384615381</v>
      </c>
      <c r="E148" s="131">
        <f>'2.4.5.4 Emplois ETP  base m'!E148/QTMGI</f>
        <v>6.2395417582417565</v>
      </c>
      <c r="F148" s="132">
        <f t="shared" si="64"/>
        <v>4.9916334065934054</v>
      </c>
      <c r="G148" s="133">
        <f t="shared" si="65"/>
        <v>1.2479083516483511</v>
      </c>
      <c r="H148" s="134">
        <f t="shared" si="66"/>
        <v>0.79740775384615381</v>
      </c>
      <c r="I148" s="135"/>
      <c r="J148" s="136">
        <f t="shared" si="67"/>
        <v>0</v>
      </c>
      <c r="K148" s="137"/>
      <c r="L148" s="138">
        <f t="shared" si="68"/>
        <v>0</v>
      </c>
      <c r="M148" s="137"/>
      <c r="N148" s="139">
        <f t="shared" si="69"/>
        <v>4.1942256527472512</v>
      </c>
      <c r="O148" s="137"/>
      <c r="P148" s="140">
        <f t="shared" si="70"/>
        <v>1.2479083516483511</v>
      </c>
      <c r="Q148" s="135"/>
      <c r="R148" s="104">
        <f t="shared" si="71"/>
        <v>0.79740775384615381</v>
      </c>
      <c r="S148" s="137"/>
      <c r="T148" s="141">
        <f t="shared" si="72"/>
        <v>5.4421340043956024</v>
      </c>
      <c r="U148" s="199">
        <f t="shared" si="73"/>
        <v>0</v>
      </c>
      <c r="V148" s="37" t="str">
        <f t="shared" si="74"/>
        <v>ok</v>
      </c>
      <c r="W148" s="37" t="str">
        <f t="shared" si="75"/>
        <v>ok</v>
      </c>
    </row>
    <row r="149" spans="1:23" x14ac:dyDescent="0.25">
      <c r="A149" s="426"/>
      <c r="B149" s="178" t="s">
        <v>23</v>
      </c>
      <c r="C149" s="129">
        <v>20</v>
      </c>
      <c r="D149" s="130">
        <f>'2.4.5.4 Emplois ETP  base m'!D149/QTMGI</f>
        <v>1.6536105494505495</v>
      </c>
      <c r="E149" s="131">
        <f>'2.4.5.4 Emplois ETP  base m'!E149/QTMGI</f>
        <v>7.4199956043956039</v>
      </c>
      <c r="F149" s="132">
        <f t="shared" si="64"/>
        <v>5.9359964835164831</v>
      </c>
      <c r="G149" s="133">
        <f t="shared" si="65"/>
        <v>1.4839991208791206</v>
      </c>
      <c r="H149" s="134">
        <f t="shared" si="66"/>
        <v>1.6536105494505495</v>
      </c>
      <c r="I149" s="135"/>
      <c r="J149" s="136">
        <f t="shared" si="67"/>
        <v>0</v>
      </c>
      <c r="K149" s="137"/>
      <c r="L149" s="138">
        <f t="shared" si="68"/>
        <v>0</v>
      </c>
      <c r="M149" s="137"/>
      <c r="N149" s="139">
        <f t="shared" si="69"/>
        <v>4.2823859340659336</v>
      </c>
      <c r="O149" s="137"/>
      <c r="P149" s="140">
        <f t="shared" si="70"/>
        <v>1.4839991208791206</v>
      </c>
      <c r="Q149" s="135"/>
      <c r="R149" s="104">
        <f t="shared" si="71"/>
        <v>1.6536105494505495</v>
      </c>
      <c r="S149" s="137"/>
      <c r="T149" s="141">
        <f t="shared" si="72"/>
        <v>5.7663850549450544</v>
      </c>
      <c r="U149" s="199">
        <f t="shared" si="73"/>
        <v>0</v>
      </c>
      <c r="V149" s="37" t="str">
        <f t="shared" si="74"/>
        <v>ok</v>
      </c>
      <c r="W149" s="37" t="str">
        <f t="shared" si="75"/>
        <v>ok</v>
      </c>
    </row>
    <row r="150" spans="1:23" x14ac:dyDescent="0.25">
      <c r="A150" s="426"/>
      <c r="B150" s="178" t="s">
        <v>19</v>
      </c>
      <c r="C150" s="129">
        <v>23</v>
      </c>
      <c r="D150" s="130">
        <f>'2.4.5.4 Emplois ETP  base m'!D150/QTMGI</f>
        <v>6.6364903384615372</v>
      </c>
      <c r="E150" s="131">
        <f>'2.4.5.4 Emplois ETP  base m'!E150/QTMGI</f>
        <v>8.3474950549450515</v>
      </c>
      <c r="F150" s="132">
        <f t="shared" si="64"/>
        <v>6.6779960439560417</v>
      </c>
      <c r="G150" s="133">
        <f t="shared" si="65"/>
        <v>1.66949901098901</v>
      </c>
      <c r="H150" s="134">
        <f t="shared" si="66"/>
        <v>6.6364903384615372</v>
      </c>
      <c r="I150" s="135"/>
      <c r="J150" s="136">
        <f t="shared" si="67"/>
        <v>0</v>
      </c>
      <c r="K150" s="137"/>
      <c r="L150" s="138">
        <f t="shared" si="68"/>
        <v>0</v>
      </c>
      <c r="M150" s="137"/>
      <c r="N150" s="139">
        <f t="shared" si="69"/>
        <v>4.1505705494504497E-2</v>
      </c>
      <c r="O150" s="137"/>
      <c r="P150" s="140">
        <f t="shared" si="70"/>
        <v>1.66949901098901</v>
      </c>
      <c r="Q150" s="135"/>
      <c r="R150" s="104">
        <f t="shared" si="71"/>
        <v>6.6364903384615372</v>
      </c>
      <c r="S150" s="137"/>
      <c r="T150" s="141">
        <f t="shared" si="72"/>
        <v>1.7110047164835145</v>
      </c>
      <c r="U150" s="199">
        <f t="shared" si="73"/>
        <v>0</v>
      </c>
      <c r="V150" s="37" t="str">
        <f t="shared" si="74"/>
        <v>ok</v>
      </c>
      <c r="W150" s="37" t="str">
        <f t="shared" si="75"/>
        <v>ok</v>
      </c>
    </row>
    <row r="151" spans="1:23" x14ac:dyDescent="0.25">
      <c r="A151" s="426"/>
      <c r="B151" s="178" t="s">
        <v>20</v>
      </c>
      <c r="C151" s="129">
        <v>24</v>
      </c>
      <c r="D151" s="130">
        <f>'2.4.5.4 Emplois ETP  base m'!D151/QTMGI</f>
        <v>5.4017944615384588</v>
      </c>
      <c r="E151" s="131">
        <f>'2.4.5.4 Emplois ETP  base m'!E151/QTMGI</f>
        <v>5.2884332307692299</v>
      </c>
      <c r="F151" s="132">
        <f t="shared" si="64"/>
        <v>4.2307465846153844</v>
      </c>
      <c r="G151" s="133">
        <f t="shared" si="65"/>
        <v>1.0576866461538457</v>
      </c>
      <c r="H151" s="134">
        <f t="shared" si="66"/>
        <v>5.2884332307692299</v>
      </c>
      <c r="I151" s="135"/>
      <c r="J151" s="136">
        <f t="shared" si="67"/>
        <v>0.11336123076922888</v>
      </c>
      <c r="K151" s="137"/>
      <c r="L151" s="138">
        <f t="shared" si="68"/>
        <v>1.0576866461538457</v>
      </c>
      <c r="M151" s="137"/>
      <c r="N151" s="139">
        <f t="shared" si="69"/>
        <v>0</v>
      </c>
      <c r="O151" s="137"/>
      <c r="P151" s="140">
        <f t="shared" si="70"/>
        <v>0</v>
      </c>
      <c r="Q151" s="135"/>
      <c r="R151" s="104">
        <f t="shared" si="71"/>
        <v>4.2307465846153844</v>
      </c>
      <c r="S151" s="137"/>
      <c r="T151" s="141">
        <f t="shared" si="72"/>
        <v>1.0576866461538457</v>
      </c>
      <c r="U151" s="199">
        <f t="shared" si="73"/>
        <v>1.1710478769230745</v>
      </c>
      <c r="V151" s="37" t="str">
        <f t="shared" si="74"/>
        <v>ok</v>
      </c>
      <c r="W151" s="37" t="str">
        <f t="shared" si="75"/>
        <v>ok</v>
      </c>
    </row>
    <row r="152" spans="1:23" x14ac:dyDescent="0.25">
      <c r="A152" s="426"/>
      <c r="B152" s="178" t="s">
        <v>21</v>
      </c>
      <c r="C152" s="129">
        <v>25</v>
      </c>
      <c r="D152" s="130">
        <f>'2.4.5.4 Emplois ETP  base m'!D152/QTMGI</f>
        <v>3.1124625230769229</v>
      </c>
      <c r="E152" s="131">
        <f>'2.4.5.4 Emplois ETP  base m'!E152/QTMGI</f>
        <v>2.5059348791208782</v>
      </c>
      <c r="F152" s="132">
        <f t="shared" si="64"/>
        <v>2.0047479032967028</v>
      </c>
      <c r="G152" s="133">
        <f t="shared" si="65"/>
        <v>0.50118697582417548</v>
      </c>
      <c r="H152" s="134">
        <f t="shared" si="66"/>
        <v>2.5059348791208782</v>
      </c>
      <c r="I152" s="135"/>
      <c r="J152" s="136">
        <f t="shared" si="67"/>
        <v>0.60652764395604475</v>
      </c>
      <c r="K152" s="137"/>
      <c r="L152" s="138">
        <f t="shared" si="68"/>
        <v>0.50118697582417548</v>
      </c>
      <c r="M152" s="137"/>
      <c r="N152" s="139">
        <f t="shared" si="69"/>
        <v>0</v>
      </c>
      <c r="O152" s="137"/>
      <c r="P152" s="140">
        <f t="shared" si="70"/>
        <v>0</v>
      </c>
      <c r="Q152" s="135"/>
      <c r="R152" s="104">
        <f t="shared" si="71"/>
        <v>2.0047479032967028</v>
      </c>
      <c r="S152" s="137"/>
      <c r="T152" s="141">
        <f t="shared" si="72"/>
        <v>0.50118697582417548</v>
      </c>
      <c r="U152" s="199">
        <f t="shared" si="73"/>
        <v>1.1077146197802201</v>
      </c>
      <c r="V152" s="37" t="str">
        <f t="shared" si="74"/>
        <v>ok</v>
      </c>
      <c r="W152" s="37" t="str">
        <f t="shared" si="75"/>
        <v>ok</v>
      </c>
    </row>
    <row r="153" spans="1:23" x14ac:dyDescent="0.25">
      <c r="A153" s="426"/>
      <c r="B153" s="178" t="s">
        <v>22</v>
      </c>
      <c r="C153" s="129">
        <v>26</v>
      </c>
      <c r="D153" s="130">
        <f>'2.4.5.4 Emplois ETP  base m'!D153/QTMGI</f>
        <v>2.5483975912087908</v>
      </c>
      <c r="E153" s="131">
        <f>'2.4.5.4 Emplois ETP  base m'!E153/QTMGI</f>
        <v>3.3389980219780213</v>
      </c>
      <c r="F153" s="132">
        <f t="shared" si="64"/>
        <v>2.6711984175824171</v>
      </c>
      <c r="G153" s="133">
        <f t="shared" si="65"/>
        <v>0.66779960439560415</v>
      </c>
      <c r="H153" s="134">
        <f t="shared" si="66"/>
        <v>2.5483975912087908</v>
      </c>
      <c r="I153" s="135"/>
      <c r="J153" s="136">
        <f t="shared" si="67"/>
        <v>0</v>
      </c>
      <c r="K153" s="137"/>
      <c r="L153" s="138">
        <f t="shared" si="68"/>
        <v>0</v>
      </c>
      <c r="M153" s="137"/>
      <c r="N153" s="139">
        <f t="shared" si="69"/>
        <v>0.12280082637362622</v>
      </c>
      <c r="O153" s="137"/>
      <c r="P153" s="140">
        <f t="shared" si="70"/>
        <v>0.66779960439560415</v>
      </c>
      <c r="Q153" s="135"/>
      <c r="R153" s="104">
        <f t="shared" si="71"/>
        <v>2.5483975912087908</v>
      </c>
      <c r="S153" s="137"/>
      <c r="T153" s="141">
        <f t="shared" si="72"/>
        <v>0.79060043076923037</v>
      </c>
      <c r="U153" s="199">
        <f t="shared" si="73"/>
        <v>0</v>
      </c>
      <c r="V153" s="37" t="str">
        <f t="shared" si="74"/>
        <v>ok</v>
      </c>
      <c r="W153" s="37" t="str">
        <f t="shared" si="75"/>
        <v>ok</v>
      </c>
    </row>
    <row r="154" spans="1:23" x14ac:dyDescent="0.25">
      <c r="A154" s="426"/>
      <c r="B154" s="178" t="s">
        <v>23</v>
      </c>
      <c r="C154" s="129">
        <v>27</v>
      </c>
      <c r="D154" s="130">
        <f>'2.4.5.4 Emplois ETP  base m'!D154/QTMGI</f>
        <v>4.7862838681318678</v>
      </c>
      <c r="E154" s="131">
        <f>'2.4.5.4 Emplois ETP  base m'!E154/QTMGI</f>
        <v>5.2884332307692299</v>
      </c>
      <c r="F154" s="132">
        <f t="shared" si="64"/>
        <v>4.2307465846153844</v>
      </c>
      <c r="G154" s="133">
        <f t="shared" si="65"/>
        <v>1.0576866461538457</v>
      </c>
      <c r="H154" s="134">
        <f t="shared" si="66"/>
        <v>4.7862838681318678</v>
      </c>
      <c r="I154" s="135"/>
      <c r="J154" s="136">
        <f t="shared" si="67"/>
        <v>0</v>
      </c>
      <c r="K154" s="137"/>
      <c r="L154" s="138">
        <f t="shared" si="68"/>
        <v>0.55553728351648335</v>
      </c>
      <c r="M154" s="137"/>
      <c r="N154" s="139">
        <f t="shared" si="69"/>
        <v>0</v>
      </c>
      <c r="O154" s="137"/>
      <c r="P154" s="140">
        <f t="shared" si="70"/>
        <v>0.5021493626373621</v>
      </c>
      <c r="Q154" s="135"/>
      <c r="R154" s="104">
        <f t="shared" si="71"/>
        <v>4.2307465846153844</v>
      </c>
      <c r="S154" s="137"/>
      <c r="T154" s="141">
        <f t="shared" si="72"/>
        <v>1.0576866461538454</v>
      </c>
      <c r="U154" s="199">
        <f t="shared" si="73"/>
        <v>0.55553728351648335</v>
      </c>
      <c r="V154" s="37" t="str">
        <f t="shared" si="74"/>
        <v>ok</v>
      </c>
      <c r="W154" s="37" t="str">
        <f t="shared" si="75"/>
        <v>ok</v>
      </c>
    </row>
    <row r="155" spans="1:23" x14ac:dyDescent="0.25">
      <c r="A155" s="426"/>
      <c r="B155" s="178" t="s">
        <v>19</v>
      </c>
      <c r="C155" s="129">
        <v>30</v>
      </c>
      <c r="D155" s="130">
        <f>'2.4.5.4 Emplois ETP  base m'!D155/QTMGI</f>
        <v>7.9630534681318688</v>
      </c>
      <c r="E155" s="131">
        <f>'2.4.5.4 Emplois ETP  base m'!E155/QTMGI</f>
        <v>10.118175824175822</v>
      </c>
      <c r="F155" s="132">
        <f t="shared" si="64"/>
        <v>8.094540659340657</v>
      </c>
      <c r="G155" s="133">
        <f t="shared" si="65"/>
        <v>2.0236351648351638</v>
      </c>
      <c r="H155" s="134">
        <f t="shared" si="66"/>
        <v>7.9630534681318688</v>
      </c>
      <c r="I155" s="135"/>
      <c r="J155" s="136">
        <f t="shared" si="67"/>
        <v>0</v>
      </c>
      <c r="K155" s="137"/>
      <c r="L155" s="138">
        <f t="shared" si="68"/>
        <v>0</v>
      </c>
      <c r="M155" s="137"/>
      <c r="N155" s="139">
        <f t="shared" si="69"/>
        <v>0.13148719120878827</v>
      </c>
      <c r="O155" s="137"/>
      <c r="P155" s="140">
        <f t="shared" si="70"/>
        <v>2.0236351648351638</v>
      </c>
      <c r="Q155" s="135"/>
      <c r="R155" s="104">
        <f t="shared" si="71"/>
        <v>7.9630534681318688</v>
      </c>
      <c r="S155" s="137"/>
      <c r="T155" s="141">
        <f t="shared" si="72"/>
        <v>2.1551223560439521</v>
      </c>
      <c r="U155" s="199">
        <f t="shared" si="73"/>
        <v>0</v>
      </c>
      <c r="V155" s="37" t="str">
        <f t="shared" si="74"/>
        <v>ok</v>
      </c>
      <c r="W155" s="37" t="str">
        <f t="shared" si="75"/>
        <v>ok</v>
      </c>
    </row>
    <row r="156" spans="1:23" ht="15.75" thickBot="1" x14ac:dyDescent="0.3">
      <c r="A156" s="427"/>
      <c r="B156" s="277" t="s">
        <v>20</v>
      </c>
      <c r="C156" s="165">
        <v>31</v>
      </c>
      <c r="D156" s="202">
        <f>'2.4.5.4 Emplois ETP  base m'!D156/QTMGI</f>
        <v>6.4601052131868109</v>
      </c>
      <c r="E156" s="203">
        <f>'2.4.5.4 Emplois ETP  base m'!E156/QTMGI</f>
        <v>7.0827230769230765</v>
      </c>
      <c r="F156" s="204">
        <f t="shared" si="64"/>
        <v>5.6661784615384612</v>
      </c>
      <c r="G156" s="205">
        <f t="shared" si="65"/>
        <v>1.4165446153846151</v>
      </c>
      <c r="H156" s="206">
        <f t="shared" si="66"/>
        <v>6.4601052131868109</v>
      </c>
      <c r="I156" s="207"/>
      <c r="J156" s="208">
        <f t="shared" si="67"/>
        <v>0</v>
      </c>
      <c r="K156" s="209"/>
      <c r="L156" s="210">
        <f t="shared" si="68"/>
        <v>0.79392675164834969</v>
      </c>
      <c r="M156" s="209"/>
      <c r="N156" s="211">
        <f t="shared" si="69"/>
        <v>0</v>
      </c>
      <c r="O156" s="209"/>
      <c r="P156" s="212">
        <f t="shared" si="70"/>
        <v>0.6226178637362656</v>
      </c>
      <c r="Q156" s="207"/>
      <c r="R156" s="213">
        <f t="shared" si="71"/>
        <v>5.6661784615384612</v>
      </c>
      <c r="S156" s="209"/>
      <c r="T156" s="214">
        <f t="shared" si="72"/>
        <v>1.4165446153846153</v>
      </c>
      <c r="U156" s="215">
        <f t="shared" si="73"/>
        <v>0.79392675164834969</v>
      </c>
      <c r="V156" s="37" t="str">
        <f t="shared" si="74"/>
        <v>ok</v>
      </c>
      <c r="W156" s="37" t="str">
        <f t="shared" si="75"/>
        <v>ok</v>
      </c>
    </row>
    <row r="157" spans="1:23" x14ac:dyDescent="0.25">
      <c r="A157" s="425" t="s">
        <v>96</v>
      </c>
      <c r="B157" s="276" t="s">
        <v>21</v>
      </c>
      <c r="C157" s="247">
        <v>1</v>
      </c>
      <c r="D157" s="184">
        <f>'2.4.5.4 Emplois ETP  base m'!D157/QTMGI</f>
        <v>3.3128165274725276</v>
      </c>
      <c r="E157" s="185">
        <f>'2.4.5.4 Emplois ETP  base m'!E157/QTMGI</f>
        <v>18.137057142857138</v>
      </c>
      <c r="F157" s="186">
        <f t="shared" si="64"/>
        <v>14.50964571428571</v>
      </c>
      <c r="G157" s="187">
        <f t="shared" si="65"/>
        <v>3.6274114285714267</v>
      </c>
      <c r="H157" s="188">
        <f>IF(E157&gt;D157,D157,E157)</f>
        <v>3.3128165274725276</v>
      </c>
      <c r="I157" s="189"/>
      <c r="J157" s="190">
        <f>IF(E157&gt;D157,0,D157-E157)</f>
        <v>0</v>
      </c>
      <c r="K157" s="191"/>
      <c r="L157" s="192">
        <f>IF(E157&gt;D157,IF(F157&gt;H157,0,H157-F157),G157)</f>
        <v>0</v>
      </c>
      <c r="M157" s="191"/>
      <c r="N157" s="193">
        <f>IF(E157&gt;D157,IF(F157&gt;H157,F157-H157,0),0)</f>
        <v>11.196829186813183</v>
      </c>
      <c r="O157" s="191"/>
      <c r="P157" s="194">
        <f>IF(E157&gt;D157,IF(F157&gt;H157,G157,E157-H157),0)</f>
        <v>3.6274114285714267</v>
      </c>
      <c r="Q157" s="189"/>
      <c r="R157" s="195">
        <f>H157-L157</f>
        <v>3.3128165274725276</v>
      </c>
      <c r="S157" s="191"/>
      <c r="T157" s="196">
        <f>L157+N157+P157</f>
        <v>14.82424061538461</v>
      </c>
      <c r="U157" s="197">
        <f>J157+L157</f>
        <v>0</v>
      </c>
      <c r="V157" s="37" t="str">
        <f>IF(R157+T157=E157,"ok","bad")</f>
        <v>ok</v>
      </c>
      <c r="W157" s="37" t="str">
        <f>IF(U157+R157=D157,"ok","bad")</f>
        <v>ok</v>
      </c>
    </row>
    <row r="158" spans="1:23" x14ac:dyDescent="0.25">
      <c r="A158" s="426"/>
      <c r="B158" s="178" t="s">
        <v>22</v>
      </c>
      <c r="C158" s="129">
        <v>2</v>
      </c>
      <c r="D158" s="130">
        <f>'2.4.5.4 Emplois ETP  base m'!D158/QTMGI</f>
        <v>2.6012286593406597</v>
      </c>
      <c r="E158" s="131">
        <f>'2.4.5.4 Emplois ETP  base m'!E158/QTMGI</f>
        <v>13.300508571428573</v>
      </c>
      <c r="F158" s="132">
        <f t="shared" si="64"/>
        <v>10.640406857142858</v>
      </c>
      <c r="G158" s="133">
        <f t="shared" si="65"/>
        <v>2.6601017142857137</v>
      </c>
      <c r="H158" s="134">
        <f t="shared" ref="H158:H179" si="76">IF(E158&gt;D158,D158,E158)</f>
        <v>2.6012286593406597</v>
      </c>
      <c r="I158" s="135"/>
      <c r="J158" s="136">
        <f t="shared" ref="J158:J179" si="77">IF(E158&gt;D158,0,D158-E158)</f>
        <v>0</v>
      </c>
      <c r="K158" s="137"/>
      <c r="L158" s="138">
        <f t="shared" ref="L158:L179" si="78">IF(E158&gt;D158,IF(F158&gt;H158,0,H158-F158),G158)</f>
        <v>0</v>
      </c>
      <c r="M158" s="137"/>
      <c r="N158" s="139">
        <f t="shared" ref="N158:N179" si="79">IF(E158&gt;D158,IF(F158&gt;H158,F158-H158,0),0)</f>
        <v>8.0391781978021992</v>
      </c>
      <c r="O158" s="137"/>
      <c r="P158" s="140">
        <f t="shared" ref="P158:P179" si="80">IF(E158&gt;D158,IF(F158&gt;H158,G158,E158-H158),0)</f>
        <v>2.6601017142857137</v>
      </c>
      <c r="Q158" s="135"/>
      <c r="R158" s="104">
        <f t="shared" ref="R158:R179" si="81">H158-L158</f>
        <v>2.6012286593406597</v>
      </c>
      <c r="S158" s="137"/>
      <c r="T158" s="141">
        <f t="shared" ref="T158:T179" si="82">L158+N158+P158</f>
        <v>10.699279912087913</v>
      </c>
      <c r="U158" s="199">
        <f t="shared" ref="U158:U179" si="83">J158+L158</f>
        <v>0</v>
      </c>
      <c r="V158" s="37" t="str">
        <f t="shared" ref="V158:V179" si="84">IF(R158+T158=E158,"ok","bad")</f>
        <v>ok</v>
      </c>
      <c r="W158" s="37" t="str">
        <f t="shared" ref="W158:W179" si="85">IF(U158+R158=D158,"ok","bad")</f>
        <v>ok</v>
      </c>
    </row>
    <row r="159" spans="1:23" x14ac:dyDescent="0.25">
      <c r="A159" s="426"/>
      <c r="B159" s="178" t="s">
        <v>23</v>
      </c>
      <c r="C159" s="129">
        <v>3</v>
      </c>
      <c r="D159" s="130">
        <f>'2.4.5.4 Emplois ETP  base m'!D159/QTMGI</f>
        <v>1.1378088791208791</v>
      </c>
      <c r="E159" s="131">
        <f>'2.4.5.4 Emplois ETP  base m'!E159/QTMGI</f>
        <v>5.4411171428571423</v>
      </c>
      <c r="F159" s="132">
        <f t="shared" si="64"/>
        <v>4.352893714285714</v>
      </c>
      <c r="G159" s="133">
        <f t="shared" si="65"/>
        <v>1.0882234285714283</v>
      </c>
      <c r="H159" s="134">
        <f t="shared" si="76"/>
        <v>1.1378088791208791</v>
      </c>
      <c r="I159" s="135"/>
      <c r="J159" s="136">
        <f t="shared" si="77"/>
        <v>0</v>
      </c>
      <c r="K159" s="137"/>
      <c r="L159" s="138">
        <f t="shared" si="78"/>
        <v>0</v>
      </c>
      <c r="M159" s="137"/>
      <c r="N159" s="139">
        <f t="shared" si="79"/>
        <v>3.2150848351648351</v>
      </c>
      <c r="O159" s="137"/>
      <c r="P159" s="140">
        <f t="shared" si="80"/>
        <v>1.0882234285714283</v>
      </c>
      <c r="Q159" s="135"/>
      <c r="R159" s="104">
        <f t="shared" si="81"/>
        <v>1.1378088791208791</v>
      </c>
      <c r="S159" s="137"/>
      <c r="T159" s="141">
        <f t="shared" si="82"/>
        <v>4.3033082637362634</v>
      </c>
      <c r="U159" s="199">
        <f t="shared" si="83"/>
        <v>0</v>
      </c>
      <c r="V159" s="37" t="str">
        <f t="shared" si="84"/>
        <v>ok</v>
      </c>
      <c r="W159" s="37" t="str">
        <f t="shared" si="85"/>
        <v>ok</v>
      </c>
    </row>
    <row r="160" spans="1:23" x14ac:dyDescent="0.25">
      <c r="A160" s="426"/>
      <c r="B160" s="178" t="s">
        <v>19</v>
      </c>
      <c r="C160" s="129">
        <v>6</v>
      </c>
      <c r="D160" s="130">
        <f>'2.4.5.4 Emplois ETP  base m'!D160/QTMGI</f>
        <v>0.79390523076923059</v>
      </c>
      <c r="E160" s="131">
        <f>'2.4.5.4 Emplois ETP  base m'!E160/QTMGI</f>
        <v>8.1616757142857139</v>
      </c>
      <c r="F160" s="132">
        <f t="shared" si="64"/>
        <v>6.5293405714285715</v>
      </c>
      <c r="G160" s="133">
        <f t="shared" si="65"/>
        <v>1.6323351428571424</v>
      </c>
      <c r="H160" s="134">
        <f t="shared" si="76"/>
        <v>0.79390523076923059</v>
      </c>
      <c r="I160" s="135"/>
      <c r="J160" s="136">
        <f t="shared" si="77"/>
        <v>0</v>
      </c>
      <c r="K160" s="137"/>
      <c r="L160" s="138">
        <f t="shared" si="78"/>
        <v>0</v>
      </c>
      <c r="M160" s="137"/>
      <c r="N160" s="139">
        <f t="shared" si="79"/>
        <v>5.7354353406593406</v>
      </c>
      <c r="O160" s="137"/>
      <c r="P160" s="140">
        <f t="shared" si="80"/>
        <v>1.6323351428571424</v>
      </c>
      <c r="Q160" s="135"/>
      <c r="R160" s="104">
        <f t="shared" si="81"/>
        <v>0.79390523076923059</v>
      </c>
      <c r="S160" s="137"/>
      <c r="T160" s="141">
        <f t="shared" si="82"/>
        <v>7.367770483516483</v>
      </c>
      <c r="U160" s="199">
        <f t="shared" si="83"/>
        <v>0</v>
      </c>
      <c r="V160" s="37" t="str">
        <f t="shared" si="84"/>
        <v>ok</v>
      </c>
      <c r="W160" s="37" t="str">
        <f t="shared" si="85"/>
        <v>ok</v>
      </c>
    </row>
    <row r="161" spans="1:23" x14ac:dyDescent="0.25">
      <c r="A161" s="426"/>
      <c r="B161" s="178" t="s">
        <v>20</v>
      </c>
      <c r="C161" s="129">
        <v>7</v>
      </c>
      <c r="D161" s="130">
        <f>'2.4.5.4 Emplois ETP  base m'!D161/QTMGI</f>
        <v>1.6463472527472531</v>
      </c>
      <c r="E161" s="131">
        <f>'2.4.5.4 Emplois ETP  base m'!E161/QTMGI</f>
        <v>13.300508571428573</v>
      </c>
      <c r="F161" s="132">
        <f t="shared" si="64"/>
        <v>10.640406857142858</v>
      </c>
      <c r="G161" s="133">
        <f t="shared" si="65"/>
        <v>2.6601017142857137</v>
      </c>
      <c r="H161" s="134">
        <f t="shared" si="76"/>
        <v>1.6463472527472531</v>
      </c>
      <c r="I161" s="135"/>
      <c r="J161" s="136">
        <f t="shared" si="77"/>
        <v>0</v>
      </c>
      <c r="K161" s="137"/>
      <c r="L161" s="138">
        <f t="shared" si="78"/>
        <v>0</v>
      </c>
      <c r="M161" s="137"/>
      <c r="N161" s="139">
        <f t="shared" si="79"/>
        <v>8.9940596043956056</v>
      </c>
      <c r="O161" s="137"/>
      <c r="P161" s="140">
        <f t="shared" si="80"/>
        <v>2.6601017142857137</v>
      </c>
      <c r="Q161" s="135"/>
      <c r="R161" s="104">
        <f t="shared" si="81"/>
        <v>1.6463472527472531</v>
      </c>
      <c r="S161" s="137"/>
      <c r="T161" s="141">
        <f t="shared" si="82"/>
        <v>11.65416131868132</v>
      </c>
      <c r="U161" s="199">
        <f t="shared" si="83"/>
        <v>0</v>
      </c>
      <c r="V161" s="37" t="str">
        <f t="shared" si="84"/>
        <v>ok</v>
      </c>
      <c r="W161" s="37" t="str">
        <f t="shared" si="85"/>
        <v>ok</v>
      </c>
    </row>
    <row r="162" spans="1:23" x14ac:dyDescent="0.25">
      <c r="A162" s="426"/>
      <c r="B162" s="178" t="s">
        <v>21</v>
      </c>
      <c r="C162" s="129">
        <v>8</v>
      </c>
      <c r="D162" s="130">
        <f>'2.4.5.4 Emplois ETP  base m'!D162/QTMGI</f>
        <v>5.2866039560439555</v>
      </c>
      <c r="E162" s="131">
        <f>'2.4.5.4 Emplois ETP  base m'!E162/QTMGI</f>
        <v>9.3010549450549451</v>
      </c>
      <c r="F162" s="132">
        <f t="shared" si="64"/>
        <v>7.4408439560439561</v>
      </c>
      <c r="G162" s="133">
        <f t="shared" si="65"/>
        <v>1.8602109890109886</v>
      </c>
      <c r="H162" s="134">
        <f t="shared" si="76"/>
        <v>5.2866039560439555</v>
      </c>
      <c r="I162" s="135"/>
      <c r="J162" s="136">
        <f t="shared" si="77"/>
        <v>0</v>
      </c>
      <c r="K162" s="137"/>
      <c r="L162" s="138">
        <f t="shared" si="78"/>
        <v>0</v>
      </c>
      <c r="M162" s="137"/>
      <c r="N162" s="139">
        <f t="shared" si="79"/>
        <v>2.1542400000000006</v>
      </c>
      <c r="O162" s="137"/>
      <c r="P162" s="140">
        <f t="shared" si="80"/>
        <v>1.8602109890109886</v>
      </c>
      <c r="Q162" s="135"/>
      <c r="R162" s="104">
        <f t="shared" si="81"/>
        <v>5.2866039560439555</v>
      </c>
      <c r="S162" s="137"/>
      <c r="T162" s="141">
        <f t="shared" si="82"/>
        <v>4.0144509890109887</v>
      </c>
      <c r="U162" s="199">
        <f t="shared" si="83"/>
        <v>0</v>
      </c>
      <c r="V162" s="37" t="str">
        <f t="shared" si="84"/>
        <v>bad</v>
      </c>
      <c r="W162" s="37" t="str">
        <f t="shared" si="85"/>
        <v>ok</v>
      </c>
    </row>
    <row r="163" spans="1:23" x14ac:dyDescent="0.25">
      <c r="A163" s="426"/>
      <c r="B163" s="178" t="s">
        <v>22</v>
      </c>
      <c r="C163" s="129">
        <v>9</v>
      </c>
      <c r="D163" s="130">
        <f>'2.4.5.4 Emplois ETP  base m'!D163/QTMGI</f>
        <v>4.2878199560439567</v>
      </c>
      <c r="E163" s="131">
        <f>'2.4.5.4 Emplois ETP  base m'!E163/QTMGI</f>
        <v>9.5335813186813176</v>
      </c>
      <c r="F163" s="132">
        <f t="shared" si="64"/>
        <v>7.6268650549450543</v>
      </c>
      <c r="G163" s="133">
        <f t="shared" si="65"/>
        <v>1.9067162637362631</v>
      </c>
      <c r="H163" s="134">
        <f t="shared" si="76"/>
        <v>4.2878199560439567</v>
      </c>
      <c r="I163" s="135"/>
      <c r="J163" s="136">
        <f t="shared" si="77"/>
        <v>0</v>
      </c>
      <c r="K163" s="137"/>
      <c r="L163" s="138">
        <f t="shared" si="78"/>
        <v>0</v>
      </c>
      <c r="M163" s="137"/>
      <c r="N163" s="139">
        <f t="shared" si="79"/>
        <v>3.3390450989010976</v>
      </c>
      <c r="O163" s="137"/>
      <c r="P163" s="140">
        <f t="shared" si="80"/>
        <v>1.9067162637362631</v>
      </c>
      <c r="Q163" s="135"/>
      <c r="R163" s="104">
        <f t="shared" si="81"/>
        <v>4.2878199560439567</v>
      </c>
      <c r="S163" s="137"/>
      <c r="T163" s="141">
        <f t="shared" si="82"/>
        <v>5.2457613626373609</v>
      </c>
      <c r="U163" s="199">
        <f t="shared" si="83"/>
        <v>0</v>
      </c>
      <c r="V163" s="37" t="str">
        <f t="shared" si="84"/>
        <v>ok</v>
      </c>
      <c r="W163" s="37" t="str">
        <f t="shared" si="85"/>
        <v>ok</v>
      </c>
    </row>
    <row r="164" spans="1:23" x14ac:dyDescent="0.25">
      <c r="A164" s="426"/>
      <c r="B164" s="178" t="s">
        <v>23</v>
      </c>
      <c r="C164" s="129">
        <v>10</v>
      </c>
      <c r="D164" s="130">
        <f>'2.4.5.4 Emplois ETP  base m'!D164/QTMGI</f>
        <v>2.4786672527472526</v>
      </c>
      <c r="E164" s="131">
        <f>'2.4.5.4 Emplois ETP  base m'!E164/QTMGI</f>
        <v>5.1155802197802203</v>
      </c>
      <c r="F164" s="132">
        <f t="shared" si="64"/>
        <v>4.0924641758241762</v>
      </c>
      <c r="G164" s="133">
        <f t="shared" si="65"/>
        <v>1.0231160439560438</v>
      </c>
      <c r="H164" s="134">
        <f t="shared" si="76"/>
        <v>2.4786672527472526</v>
      </c>
      <c r="I164" s="135"/>
      <c r="J164" s="136">
        <f t="shared" si="77"/>
        <v>0</v>
      </c>
      <c r="K164" s="137"/>
      <c r="L164" s="138">
        <f t="shared" si="78"/>
        <v>0</v>
      </c>
      <c r="M164" s="137"/>
      <c r="N164" s="139">
        <f t="shared" si="79"/>
        <v>1.6137969230769236</v>
      </c>
      <c r="O164" s="137"/>
      <c r="P164" s="140">
        <f t="shared" si="80"/>
        <v>1.0231160439560438</v>
      </c>
      <c r="Q164" s="135"/>
      <c r="R164" s="104">
        <f t="shared" si="81"/>
        <v>2.4786672527472526</v>
      </c>
      <c r="S164" s="137"/>
      <c r="T164" s="141">
        <f t="shared" si="82"/>
        <v>2.6369129670329672</v>
      </c>
      <c r="U164" s="199">
        <f t="shared" si="83"/>
        <v>0</v>
      </c>
      <c r="V164" s="37" t="str">
        <f t="shared" si="84"/>
        <v>ok</v>
      </c>
      <c r="W164" s="37" t="str">
        <f t="shared" si="85"/>
        <v>ok</v>
      </c>
    </row>
    <row r="165" spans="1:23" x14ac:dyDescent="0.25">
      <c r="A165" s="426"/>
      <c r="B165" s="178" t="s">
        <v>19</v>
      </c>
      <c r="C165" s="129">
        <v>13</v>
      </c>
      <c r="D165" s="130">
        <f>'2.4.5.4 Emplois ETP  base m'!D165/QTMGI</f>
        <v>2.001226549450549</v>
      </c>
      <c r="E165" s="131">
        <f>'2.4.5.4 Emplois ETP  base m'!E165/QTMGI</f>
        <v>6.5107384615384625</v>
      </c>
      <c r="F165" s="132">
        <f t="shared" si="64"/>
        <v>5.2085907692307707</v>
      </c>
      <c r="G165" s="133">
        <f t="shared" si="65"/>
        <v>1.3021476923076922</v>
      </c>
      <c r="H165" s="134">
        <f t="shared" si="76"/>
        <v>2.001226549450549</v>
      </c>
      <c r="I165" s="135"/>
      <c r="J165" s="136">
        <f t="shared" si="77"/>
        <v>0</v>
      </c>
      <c r="K165" s="137"/>
      <c r="L165" s="138">
        <f t="shared" si="78"/>
        <v>0</v>
      </c>
      <c r="M165" s="137"/>
      <c r="N165" s="139">
        <f t="shared" si="79"/>
        <v>3.2073642197802217</v>
      </c>
      <c r="O165" s="137"/>
      <c r="P165" s="140">
        <f t="shared" si="80"/>
        <v>1.3021476923076922</v>
      </c>
      <c r="Q165" s="135"/>
      <c r="R165" s="104">
        <f t="shared" si="81"/>
        <v>2.001226549450549</v>
      </c>
      <c r="S165" s="137"/>
      <c r="T165" s="141">
        <f t="shared" si="82"/>
        <v>4.5095119120879144</v>
      </c>
      <c r="U165" s="199">
        <f t="shared" si="83"/>
        <v>0</v>
      </c>
      <c r="V165" s="37" t="str">
        <f t="shared" si="84"/>
        <v>ok</v>
      </c>
      <c r="W165" s="37" t="str">
        <f t="shared" si="85"/>
        <v>ok</v>
      </c>
    </row>
    <row r="166" spans="1:23" x14ac:dyDescent="0.25">
      <c r="A166" s="426"/>
      <c r="B166" s="178" t="s">
        <v>20</v>
      </c>
      <c r="C166" s="129">
        <v>14</v>
      </c>
      <c r="D166" s="130">
        <f>'2.4.5.4 Emplois ETP  base m'!D166/QTMGI</f>
        <v>3.8122085274725275</v>
      </c>
      <c r="E166" s="131">
        <f>'2.4.5.4 Emplois ETP  base m'!E166/QTMGI</f>
        <v>8.8360021978021983</v>
      </c>
      <c r="F166" s="132">
        <f t="shared" si="64"/>
        <v>7.0688017582417588</v>
      </c>
      <c r="G166" s="133">
        <f t="shared" si="65"/>
        <v>1.7672004395604393</v>
      </c>
      <c r="H166" s="134">
        <f t="shared" si="76"/>
        <v>3.8122085274725275</v>
      </c>
      <c r="I166" s="135"/>
      <c r="J166" s="136">
        <f t="shared" si="77"/>
        <v>0</v>
      </c>
      <c r="K166" s="137"/>
      <c r="L166" s="138">
        <f t="shared" si="78"/>
        <v>0</v>
      </c>
      <c r="M166" s="137"/>
      <c r="N166" s="139">
        <f t="shared" si="79"/>
        <v>3.2565932307692314</v>
      </c>
      <c r="O166" s="137"/>
      <c r="P166" s="140">
        <f t="shared" si="80"/>
        <v>1.7672004395604393</v>
      </c>
      <c r="Q166" s="135"/>
      <c r="R166" s="104">
        <f t="shared" si="81"/>
        <v>3.8122085274725275</v>
      </c>
      <c r="S166" s="137"/>
      <c r="T166" s="141">
        <f t="shared" si="82"/>
        <v>5.0237936703296704</v>
      </c>
      <c r="U166" s="199">
        <f t="shared" si="83"/>
        <v>0</v>
      </c>
      <c r="V166" s="37" t="str">
        <f t="shared" si="84"/>
        <v>ok</v>
      </c>
      <c r="W166" s="37" t="str">
        <f t="shared" si="85"/>
        <v>ok</v>
      </c>
    </row>
    <row r="167" spans="1:23" x14ac:dyDescent="0.25">
      <c r="A167" s="426"/>
      <c r="B167" s="178" t="s">
        <v>21</v>
      </c>
      <c r="C167" s="129">
        <v>15</v>
      </c>
      <c r="D167" s="130">
        <f>'2.4.5.4 Emplois ETP  base m'!D167/QTMGI</f>
        <v>3.3128165274725276</v>
      </c>
      <c r="E167" s="131">
        <f>'2.4.5.4 Emplois ETP  base m'!E167/QTMGI</f>
        <v>13.951582417582417</v>
      </c>
      <c r="F167" s="132">
        <f t="shared" si="64"/>
        <v>11.161265934065934</v>
      </c>
      <c r="G167" s="133">
        <f t="shared" si="65"/>
        <v>2.7903164835164826</v>
      </c>
      <c r="H167" s="134">
        <f t="shared" si="76"/>
        <v>3.3128165274725276</v>
      </c>
      <c r="I167" s="135"/>
      <c r="J167" s="136">
        <f t="shared" si="77"/>
        <v>0</v>
      </c>
      <c r="K167" s="137"/>
      <c r="L167" s="138">
        <f t="shared" si="78"/>
        <v>0</v>
      </c>
      <c r="M167" s="137"/>
      <c r="N167" s="139">
        <f t="shared" si="79"/>
        <v>7.8484494065934065</v>
      </c>
      <c r="O167" s="137"/>
      <c r="P167" s="140">
        <f t="shared" si="80"/>
        <v>2.7903164835164826</v>
      </c>
      <c r="Q167" s="135"/>
      <c r="R167" s="104">
        <f t="shared" si="81"/>
        <v>3.3128165274725276</v>
      </c>
      <c r="S167" s="137"/>
      <c r="T167" s="141">
        <f t="shared" si="82"/>
        <v>10.638765890109889</v>
      </c>
      <c r="U167" s="199">
        <f t="shared" si="83"/>
        <v>0</v>
      </c>
      <c r="V167" s="37" t="str">
        <f t="shared" si="84"/>
        <v>ok</v>
      </c>
      <c r="W167" s="37" t="str">
        <f t="shared" si="85"/>
        <v>ok</v>
      </c>
    </row>
    <row r="168" spans="1:23" x14ac:dyDescent="0.25">
      <c r="A168" s="426"/>
      <c r="B168" s="178" t="s">
        <v>22</v>
      </c>
      <c r="C168" s="129">
        <v>16</v>
      </c>
      <c r="D168" s="130">
        <f>'2.4.5.4 Emplois ETP  base m'!D168/QTMGI</f>
        <v>2.6012286593406597</v>
      </c>
      <c r="E168" s="131">
        <f>'2.4.5.4 Emplois ETP  base m'!E168/QTMGI</f>
        <v>10.696213186813187</v>
      </c>
      <c r="F168" s="132">
        <f t="shared" si="64"/>
        <v>8.5569705494505506</v>
      </c>
      <c r="G168" s="133">
        <f t="shared" si="65"/>
        <v>2.1392426373626372</v>
      </c>
      <c r="H168" s="134">
        <f t="shared" si="76"/>
        <v>2.6012286593406597</v>
      </c>
      <c r="I168" s="135"/>
      <c r="J168" s="136">
        <f t="shared" si="77"/>
        <v>0</v>
      </c>
      <c r="K168" s="137"/>
      <c r="L168" s="138">
        <f t="shared" si="78"/>
        <v>0</v>
      </c>
      <c r="M168" s="137"/>
      <c r="N168" s="139">
        <f t="shared" si="79"/>
        <v>5.9557418901098913</v>
      </c>
      <c r="O168" s="137"/>
      <c r="P168" s="140">
        <f t="shared" si="80"/>
        <v>2.1392426373626372</v>
      </c>
      <c r="Q168" s="135"/>
      <c r="R168" s="104">
        <f t="shared" si="81"/>
        <v>2.6012286593406597</v>
      </c>
      <c r="S168" s="137"/>
      <c r="T168" s="141">
        <f t="shared" si="82"/>
        <v>8.0949845274725281</v>
      </c>
      <c r="U168" s="199">
        <f t="shared" si="83"/>
        <v>0</v>
      </c>
      <c r="V168" s="37" t="str">
        <f t="shared" si="84"/>
        <v>ok</v>
      </c>
      <c r="W168" s="37" t="str">
        <f t="shared" si="85"/>
        <v>ok</v>
      </c>
    </row>
    <row r="169" spans="1:23" x14ac:dyDescent="0.25">
      <c r="A169" s="426"/>
      <c r="B169" s="178" t="s">
        <v>23</v>
      </c>
      <c r="C169" s="129">
        <v>17</v>
      </c>
      <c r="D169" s="130">
        <f>'2.4.5.4 Emplois ETP  base m'!D169/QTMGI</f>
        <v>1.1378088791208791</v>
      </c>
      <c r="E169" s="131">
        <f>'2.4.5.4 Emplois ETP  base m'!E169/QTMGI</f>
        <v>5.1155802197802203</v>
      </c>
      <c r="F169" s="132">
        <f t="shared" si="64"/>
        <v>4.0924641758241762</v>
      </c>
      <c r="G169" s="133">
        <f t="shared" si="65"/>
        <v>1.0231160439560438</v>
      </c>
      <c r="H169" s="134">
        <f t="shared" si="76"/>
        <v>1.1378088791208791</v>
      </c>
      <c r="I169" s="135"/>
      <c r="J169" s="136">
        <f t="shared" si="77"/>
        <v>0</v>
      </c>
      <c r="K169" s="137"/>
      <c r="L169" s="138">
        <f t="shared" si="78"/>
        <v>0</v>
      </c>
      <c r="M169" s="137"/>
      <c r="N169" s="139">
        <f t="shared" si="79"/>
        <v>2.9546552967032973</v>
      </c>
      <c r="O169" s="137"/>
      <c r="P169" s="140">
        <f t="shared" si="80"/>
        <v>1.0231160439560438</v>
      </c>
      <c r="Q169" s="135"/>
      <c r="R169" s="104">
        <f t="shared" si="81"/>
        <v>1.1378088791208791</v>
      </c>
      <c r="S169" s="137"/>
      <c r="T169" s="141">
        <f t="shared" si="82"/>
        <v>3.9777713406593413</v>
      </c>
      <c r="U169" s="199">
        <f t="shared" si="83"/>
        <v>0</v>
      </c>
      <c r="V169" s="37" t="str">
        <f t="shared" si="84"/>
        <v>ok</v>
      </c>
      <c r="W169" s="37" t="str">
        <f t="shared" si="85"/>
        <v>ok</v>
      </c>
    </row>
    <row r="170" spans="1:23" x14ac:dyDescent="0.25">
      <c r="A170" s="426"/>
      <c r="B170" s="178" t="s">
        <v>19</v>
      </c>
      <c r="C170" s="129">
        <v>20</v>
      </c>
      <c r="D170" s="130">
        <f>'2.4.5.4 Emplois ETP  base m'!D170/QTMGI</f>
        <v>0.79390523076923059</v>
      </c>
      <c r="E170" s="131">
        <f>'2.4.5.4 Emplois ETP  base m'!E170/QTMGI</f>
        <v>8.6034758241758222</v>
      </c>
      <c r="F170" s="132">
        <f t="shared" si="64"/>
        <v>6.882780659340658</v>
      </c>
      <c r="G170" s="133">
        <f t="shared" si="65"/>
        <v>1.720695164835164</v>
      </c>
      <c r="H170" s="134">
        <f t="shared" si="76"/>
        <v>0.79390523076923059</v>
      </c>
      <c r="I170" s="135"/>
      <c r="J170" s="136">
        <f t="shared" si="77"/>
        <v>0</v>
      </c>
      <c r="K170" s="137"/>
      <c r="L170" s="138">
        <f t="shared" si="78"/>
        <v>0</v>
      </c>
      <c r="M170" s="137"/>
      <c r="N170" s="139">
        <f t="shared" si="79"/>
        <v>6.0888754285714271</v>
      </c>
      <c r="O170" s="137"/>
      <c r="P170" s="140">
        <f t="shared" si="80"/>
        <v>1.720695164835164</v>
      </c>
      <c r="Q170" s="135"/>
      <c r="R170" s="104">
        <f t="shared" si="81"/>
        <v>0.79390523076923059</v>
      </c>
      <c r="S170" s="137"/>
      <c r="T170" s="141">
        <f t="shared" si="82"/>
        <v>7.8095705934065913</v>
      </c>
      <c r="U170" s="199">
        <f t="shared" si="83"/>
        <v>0</v>
      </c>
      <c r="V170" s="37" t="str">
        <f t="shared" si="84"/>
        <v>ok</v>
      </c>
      <c r="W170" s="37" t="str">
        <f t="shared" si="85"/>
        <v>ok</v>
      </c>
    </row>
    <row r="171" spans="1:23" x14ac:dyDescent="0.25">
      <c r="A171" s="426"/>
      <c r="B171" s="178" t="s">
        <v>20</v>
      </c>
      <c r="C171" s="129">
        <v>21</v>
      </c>
      <c r="D171" s="130">
        <f>'2.4.5.4 Emplois ETP  base m'!D171/QTMGI</f>
        <v>1.6463472527472531</v>
      </c>
      <c r="E171" s="131">
        <f>'2.4.5.4 Emplois ETP  base m'!E171/QTMGI</f>
        <v>10.231160439560441</v>
      </c>
      <c r="F171" s="132">
        <f t="shared" si="64"/>
        <v>8.1849283516483524</v>
      </c>
      <c r="G171" s="133">
        <f t="shared" si="65"/>
        <v>2.0462320879120877</v>
      </c>
      <c r="H171" s="134">
        <f t="shared" si="76"/>
        <v>1.6463472527472531</v>
      </c>
      <c r="I171" s="135"/>
      <c r="J171" s="136">
        <f t="shared" si="77"/>
        <v>0</v>
      </c>
      <c r="K171" s="137"/>
      <c r="L171" s="138">
        <f t="shared" si="78"/>
        <v>0</v>
      </c>
      <c r="M171" s="137"/>
      <c r="N171" s="139">
        <f t="shared" si="79"/>
        <v>6.5385810989010995</v>
      </c>
      <c r="O171" s="137"/>
      <c r="P171" s="140">
        <f t="shared" si="80"/>
        <v>2.0462320879120877</v>
      </c>
      <c r="Q171" s="135"/>
      <c r="R171" s="104">
        <f t="shared" si="81"/>
        <v>1.6463472527472531</v>
      </c>
      <c r="S171" s="137"/>
      <c r="T171" s="141">
        <f t="shared" si="82"/>
        <v>8.5848131868131876</v>
      </c>
      <c r="U171" s="199">
        <f t="shared" si="83"/>
        <v>0</v>
      </c>
      <c r="V171" s="37" t="str">
        <f t="shared" si="84"/>
        <v>ok</v>
      </c>
      <c r="W171" s="37" t="str">
        <f t="shared" si="85"/>
        <v>ok</v>
      </c>
    </row>
    <row r="172" spans="1:23" x14ac:dyDescent="0.25">
      <c r="A172" s="426"/>
      <c r="B172" s="178" t="s">
        <v>21</v>
      </c>
      <c r="C172" s="129">
        <v>22</v>
      </c>
      <c r="D172" s="130">
        <f>'2.4.5.4 Emplois ETP  base m'!D172/QTMGI</f>
        <v>6.607340307692307</v>
      </c>
      <c r="E172" s="131">
        <f>'2.4.5.4 Emplois ETP  base m'!E172/QTMGI</f>
        <v>11.510055494505492</v>
      </c>
      <c r="F172" s="132">
        <f t="shared" si="64"/>
        <v>9.2080443956043947</v>
      </c>
      <c r="G172" s="133">
        <f t="shared" si="65"/>
        <v>2.3020110989010978</v>
      </c>
      <c r="H172" s="134">
        <f t="shared" si="76"/>
        <v>6.607340307692307</v>
      </c>
      <c r="I172" s="135"/>
      <c r="J172" s="136">
        <f t="shared" si="77"/>
        <v>0</v>
      </c>
      <c r="K172" s="137"/>
      <c r="L172" s="138">
        <f t="shared" si="78"/>
        <v>0</v>
      </c>
      <c r="M172" s="137"/>
      <c r="N172" s="139">
        <f t="shared" si="79"/>
        <v>2.6007040879120877</v>
      </c>
      <c r="O172" s="137"/>
      <c r="P172" s="140">
        <f t="shared" si="80"/>
        <v>2.3020110989010978</v>
      </c>
      <c r="Q172" s="135"/>
      <c r="R172" s="104">
        <f t="shared" si="81"/>
        <v>6.607340307692307</v>
      </c>
      <c r="S172" s="137"/>
      <c r="T172" s="141">
        <f t="shared" si="82"/>
        <v>4.902715186813186</v>
      </c>
      <c r="U172" s="199">
        <f t="shared" si="83"/>
        <v>0</v>
      </c>
      <c r="V172" s="37" t="str">
        <f t="shared" si="84"/>
        <v>ok</v>
      </c>
      <c r="W172" s="37" t="str">
        <f t="shared" si="85"/>
        <v>ok</v>
      </c>
    </row>
    <row r="173" spans="1:23" x14ac:dyDescent="0.25">
      <c r="A173" s="426"/>
      <c r="B173" s="178" t="s">
        <v>22</v>
      </c>
      <c r="C173" s="129">
        <v>23</v>
      </c>
      <c r="D173" s="130">
        <f>'2.4.5.4 Emplois ETP  base m'!D173/QTMGI</f>
        <v>5.3780676923076918</v>
      </c>
      <c r="E173" s="131">
        <f>'2.4.5.4 Emplois ETP  base m'!E173/QTMGI</f>
        <v>7.2920270769230759</v>
      </c>
      <c r="F173" s="132">
        <f t="shared" si="64"/>
        <v>5.8336216615384613</v>
      </c>
      <c r="G173" s="133">
        <f t="shared" si="65"/>
        <v>1.4584054153846149</v>
      </c>
      <c r="H173" s="134">
        <f t="shared" si="76"/>
        <v>5.3780676923076918</v>
      </c>
      <c r="I173" s="135"/>
      <c r="J173" s="136">
        <f t="shared" si="77"/>
        <v>0</v>
      </c>
      <c r="K173" s="137"/>
      <c r="L173" s="138">
        <f t="shared" si="78"/>
        <v>0</v>
      </c>
      <c r="M173" s="137"/>
      <c r="N173" s="139">
        <f t="shared" si="79"/>
        <v>0.45555396923076952</v>
      </c>
      <c r="O173" s="137"/>
      <c r="P173" s="140">
        <f t="shared" si="80"/>
        <v>1.4584054153846149</v>
      </c>
      <c r="Q173" s="135"/>
      <c r="R173" s="104">
        <f t="shared" si="81"/>
        <v>5.3780676923076918</v>
      </c>
      <c r="S173" s="137"/>
      <c r="T173" s="141">
        <f t="shared" si="82"/>
        <v>1.9139593846153844</v>
      </c>
      <c r="U173" s="199">
        <f t="shared" si="83"/>
        <v>0</v>
      </c>
      <c r="V173" s="37" t="str">
        <f t="shared" si="84"/>
        <v>ok</v>
      </c>
      <c r="W173" s="37" t="str">
        <f t="shared" si="85"/>
        <v>ok</v>
      </c>
    </row>
    <row r="174" spans="1:23" x14ac:dyDescent="0.25">
      <c r="A174" s="426"/>
      <c r="B174" s="178" t="s">
        <v>23</v>
      </c>
      <c r="C174" s="129">
        <v>24</v>
      </c>
      <c r="D174" s="130">
        <f>'2.4.5.4 Emplois ETP  base m'!D174/QTMGI</f>
        <v>3.0987913846153847</v>
      </c>
      <c r="E174" s="131">
        <f>'2.4.5.4 Emplois ETP  base m'!E174/QTMGI</f>
        <v>3.4553419120879116</v>
      </c>
      <c r="F174" s="132">
        <f t="shared" si="64"/>
        <v>2.7642735296703296</v>
      </c>
      <c r="G174" s="133">
        <f t="shared" si="65"/>
        <v>0.69106838241758217</v>
      </c>
      <c r="H174" s="134">
        <f t="shared" si="76"/>
        <v>3.0987913846153847</v>
      </c>
      <c r="I174" s="135"/>
      <c r="J174" s="136">
        <f t="shared" si="77"/>
        <v>0</v>
      </c>
      <c r="K174" s="137"/>
      <c r="L174" s="138">
        <f t="shared" si="78"/>
        <v>0.33451785494505515</v>
      </c>
      <c r="M174" s="137"/>
      <c r="N174" s="139">
        <f t="shared" si="79"/>
        <v>0</v>
      </c>
      <c r="O174" s="137"/>
      <c r="P174" s="140">
        <f t="shared" si="80"/>
        <v>0.35655052747252691</v>
      </c>
      <c r="Q174" s="135"/>
      <c r="R174" s="104">
        <f t="shared" si="81"/>
        <v>2.7642735296703296</v>
      </c>
      <c r="S174" s="137"/>
      <c r="T174" s="141">
        <f t="shared" si="82"/>
        <v>0.69106838241758206</v>
      </c>
      <c r="U174" s="199">
        <f t="shared" si="83"/>
        <v>0.33451785494505515</v>
      </c>
      <c r="V174" s="37" t="str">
        <f t="shared" si="84"/>
        <v>ok</v>
      </c>
      <c r="W174" s="37" t="str">
        <f t="shared" si="85"/>
        <v>ok</v>
      </c>
    </row>
    <row r="175" spans="1:23" x14ac:dyDescent="0.25">
      <c r="A175" s="426"/>
      <c r="B175" s="178" t="s">
        <v>19</v>
      </c>
      <c r="C175" s="129">
        <v>27</v>
      </c>
      <c r="D175" s="130">
        <f>'2.4.5.4 Emplois ETP  base m'!D175/QTMGI</f>
        <v>2.5372040439560437</v>
      </c>
      <c r="E175" s="131">
        <f>'2.4.5.4 Emplois ETP  base m'!E175/QTMGI</f>
        <v>4.6040221978021973</v>
      </c>
      <c r="F175" s="132">
        <f t="shared" si="64"/>
        <v>3.6832177582417582</v>
      </c>
      <c r="G175" s="133">
        <f t="shared" si="65"/>
        <v>0.92080443956043923</v>
      </c>
      <c r="H175" s="134">
        <f t="shared" si="76"/>
        <v>2.5372040439560437</v>
      </c>
      <c r="I175" s="135"/>
      <c r="J175" s="136">
        <f t="shared" si="77"/>
        <v>0</v>
      </c>
      <c r="K175" s="137"/>
      <c r="L175" s="138">
        <f t="shared" si="78"/>
        <v>0</v>
      </c>
      <c r="M175" s="137"/>
      <c r="N175" s="139">
        <f t="shared" si="79"/>
        <v>1.1460137142857145</v>
      </c>
      <c r="O175" s="137"/>
      <c r="P175" s="140">
        <f t="shared" si="80"/>
        <v>0.92080443956043923</v>
      </c>
      <c r="Q175" s="135"/>
      <c r="R175" s="104">
        <f t="shared" si="81"/>
        <v>2.5372040439560437</v>
      </c>
      <c r="S175" s="137"/>
      <c r="T175" s="141">
        <f t="shared" si="82"/>
        <v>2.0668181538461536</v>
      </c>
      <c r="U175" s="199">
        <f t="shared" si="83"/>
        <v>0</v>
      </c>
      <c r="V175" s="37" t="str">
        <f t="shared" si="84"/>
        <v>ok</v>
      </c>
      <c r="W175" s="37" t="str">
        <f t="shared" si="85"/>
        <v>ok</v>
      </c>
    </row>
    <row r="176" spans="1:23" x14ac:dyDescent="0.25">
      <c r="A176" s="426"/>
      <c r="B176" s="178" t="s">
        <v>20</v>
      </c>
      <c r="C176" s="129">
        <v>28</v>
      </c>
      <c r="D176" s="130">
        <f>'2.4.5.4 Emplois ETP  base m'!D176/QTMGI</f>
        <v>4.765260659340659</v>
      </c>
      <c r="E176" s="131">
        <f>'2.4.5.4 Emplois ETP  base m'!E176/QTMGI</f>
        <v>7.2920270769230759</v>
      </c>
      <c r="F176" s="132">
        <f t="shared" si="64"/>
        <v>5.8336216615384613</v>
      </c>
      <c r="G176" s="133">
        <f t="shared" si="65"/>
        <v>1.4584054153846149</v>
      </c>
      <c r="H176" s="134">
        <f t="shared" si="76"/>
        <v>4.765260659340659</v>
      </c>
      <c r="I176" s="135"/>
      <c r="J176" s="136">
        <f t="shared" si="77"/>
        <v>0</v>
      </c>
      <c r="K176" s="137"/>
      <c r="L176" s="138">
        <f t="shared" si="78"/>
        <v>0</v>
      </c>
      <c r="M176" s="137"/>
      <c r="N176" s="139">
        <f t="shared" si="79"/>
        <v>1.0683610021978023</v>
      </c>
      <c r="O176" s="137"/>
      <c r="P176" s="140">
        <f t="shared" si="80"/>
        <v>1.4584054153846149</v>
      </c>
      <c r="Q176" s="135"/>
      <c r="R176" s="104">
        <f t="shared" si="81"/>
        <v>4.765260659340659</v>
      </c>
      <c r="S176" s="137"/>
      <c r="T176" s="141">
        <f t="shared" si="82"/>
        <v>2.5267664175824169</v>
      </c>
      <c r="U176" s="199">
        <f t="shared" si="83"/>
        <v>0</v>
      </c>
      <c r="V176" s="37" t="str">
        <f t="shared" si="84"/>
        <v>ok</v>
      </c>
      <c r="W176" s="37" t="str">
        <f t="shared" si="85"/>
        <v>ok</v>
      </c>
    </row>
    <row r="177" spans="1:23" x14ac:dyDescent="0.25">
      <c r="A177" s="426"/>
      <c r="B177" s="178" t="s">
        <v>21</v>
      </c>
      <c r="C177" s="129">
        <v>29</v>
      </c>
      <c r="D177" s="130">
        <f>'2.4.5.4 Emplois ETP  base m'!D177/QTMGI</f>
        <v>7.9280766593406602</v>
      </c>
      <c r="E177" s="131">
        <f>'2.4.5.4 Emplois ETP  base m'!E177/QTMGI</f>
        <v>13.951582417582417</v>
      </c>
      <c r="F177" s="132">
        <f t="shared" si="64"/>
        <v>11.161265934065934</v>
      </c>
      <c r="G177" s="133">
        <f t="shared" si="65"/>
        <v>2.7903164835164826</v>
      </c>
      <c r="H177" s="134">
        <f t="shared" si="76"/>
        <v>7.9280766593406602</v>
      </c>
      <c r="I177" s="135"/>
      <c r="J177" s="136">
        <f t="shared" si="77"/>
        <v>0</v>
      </c>
      <c r="K177" s="137"/>
      <c r="L177" s="138">
        <f t="shared" si="78"/>
        <v>0</v>
      </c>
      <c r="M177" s="137"/>
      <c r="N177" s="139">
        <f t="shared" si="79"/>
        <v>3.233189274725274</v>
      </c>
      <c r="O177" s="137"/>
      <c r="P177" s="140">
        <f t="shared" si="80"/>
        <v>2.7903164835164826</v>
      </c>
      <c r="Q177" s="135"/>
      <c r="R177" s="104">
        <f t="shared" si="81"/>
        <v>7.9280766593406602</v>
      </c>
      <c r="S177" s="137"/>
      <c r="T177" s="141">
        <f t="shared" si="82"/>
        <v>6.0235057582417566</v>
      </c>
      <c r="U177" s="199">
        <f t="shared" si="83"/>
        <v>0</v>
      </c>
      <c r="V177" s="37" t="str">
        <f t="shared" si="84"/>
        <v>ok</v>
      </c>
      <c r="W177" s="37" t="str">
        <f t="shared" si="85"/>
        <v>ok</v>
      </c>
    </row>
    <row r="178" spans="1:23" x14ac:dyDescent="0.25">
      <c r="A178" s="426"/>
      <c r="B178" s="178" t="s">
        <v>22</v>
      </c>
      <c r="C178" s="129">
        <v>30</v>
      </c>
      <c r="D178" s="130">
        <f>'2.4.5.4 Emplois ETP  base m'!D178/QTMGI</f>
        <v>6.4317299340659337</v>
      </c>
      <c r="E178" s="131">
        <f>'2.4.5.4 Emplois ETP  base m'!E178/QTMGI</f>
        <v>9.7661076923076919</v>
      </c>
      <c r="F178" s="132">
        <f t="shared" si="64"/>
        <v>7.8128861538461543</v>
      </c>
      <c r="G178" s="133">
        <f t="shared" si="65"/>
        <v>1.9532215384615379</v>
      </c>
      <c r="H178" s="134">
        <f t="shared" si="76"/>
        <v>6.4317299340659337</v>
      </c>
      <c r="I178" s="135"/>
      <c r="J178" s="136">
        <f t="shared" si="77"/>
        <v>0</v>
      </c>
      <c r="K178" s="137"/>
      <c r="L178" s="138">
        <f t="shared" si="78"/>
        <v>0</v>
      </c>
      <c r="M178" s="137"/>
      <c r="N178" s="139">
        <f t="shared" si="79"/>
        <v>1.3811562197802205</v>
      </c>
      <c r="O178" s="137"/>
      <c r="P178" s="140">
        <f t="shared" si="80"/>
        <v>1.9532215384615379</v>
      </c>
      <c r="Q178" s="135"/>
      <c r="R178" s="104">
        <f t="shared" si="81"/>
        <v>6.4317299340659337</v>
      </c>
      <c r="S178" s="137"/>
      <c r="T178" s="141">
        <f t="shared" si="82"/>
        <v>3.3343777582417582</v>
      </c>
      <c r="U178" s="199">
        <f t="shared" si="83"/>
        <v>0</v>
      </c>
      <c r="V178" s="37" t="str">
        <f t="shared" si="84"/>
        <v>ok</v>
      </c>
      <c r="W178" s="37" t="str">
        <f t="shared" si="85"/>
        <v>ok</v>
      </c>
    </row>
    <row r="179" spans="1:23" ht="15.75" thickBot="1" x14ac:dyDescent="0.3">
      <c r="A179" s="427"/>
      <c r="B179" s="277" t="s">
        <v>23</v>
      </c>
      <c r="C179" s="165">
        <v>31</v>
      </c>
      <c r="D179" s="202">
        <f>'2.4.5.4 Emplois ETP  base m'!D179/QTMGI</f>
        <v>3.7189155164835155</v>
      </c>
      <c r="E179" s="203">
        <f>'2.4.5.4 Emplois ETP  base m'!E179/QTMGI</f>
        <v>4.6505274725274726</v>
      </c>
      <c r="F179" s="204">
        <f t="shared" si="64"/>
        <v>3.720421978021978</v>
      </c>
      <c r="G179" s="205">
        <f t="shared" si="65"/>
        <v>0.93010549450549429</v>
      </c>
      <c r="H179" s="206">
        <f t="shared" si="76"/>
        <v>3.7189155164835155</v>
      </c>
      <c r="I179" s="207"/>
      <c r="J179" s="208">
        <f t="shared" si="77"/>
        <v>0</v>
      </c>
      <c r="K179" s="209"/>
      <c r="L179" s="210">
        <f t="shared" si="78"/>
        <v>0</v>
      </c>
      <c r="M179" s="209"/>
      <c r="N179" s="211">
        <f t="shared" si="79"/>
        <v>1.5064615384625668E-3</v>
      </c>
      <c r="O179" s="209"/>
      <c r="P179" s="212">
        <f t="shared" si="80"/>
        <v>0.93010549450549429</v>
      </c>
      <c r="Q179" s="207"/>
      <c r="R179" s="213">
        <f t="shared" si="81"/>
        <v>3.7189155164835155</v>
      </c>
      <c r="S179" s="209"/>
      <c r="T179" s="214">
        <f t="shared" si="82"/>
        <v>0.93161195604395686</v>
      </c>
      <c r="U179" s="215">
        <f t="shared" si="83"/>
        <v>0</v>
      </c>
      <c r="V179" s="37" t="str">
        <f t="shared" si="84"/>
        <v>ok</v>
      </c>
      <c r="W179" s="37" t="str">
        <f t="shared" si="85"/>
        <v>ok</v>
      </c>
    </row>
    <row r="180" spans="1:23" x14ac:dyDescent="0.25">
      <c r="A180" s="425" t="s">
        <v>97</v>
      </c>
      <c r="B180" s="276" t="s">
        <v>19</v>
      </c>
      <c r="C180" s="247">
        <v>3</v>
      </c>
      <c r="D180" s="184">
        <f>'2.4.5.4 Emplois ETP  base m'!D180/QTMGI</f>
        <v>7.5208242857142853</v>
      </c>
      <c r="E180" s="185">
        <f>'2.4.5.4 Emplois ETP  base m'!E180/QTMGI</f>
        <v>16.904314285714282</v>
      </c>
      <c r="F180" s="186">
        <f t="shared" si="64"/>
        <v>13.523451428571427</v>
      </c>
      <c r="G180" s="187">
        <f t="shared" si="65"/>
        <v>3.3808628571428558</v>
      </c>
      <c r="H180" s="188">
        <f>IF(E180&gt;D180,D180,E180)</f>
        <v>7.5208242857142853</v>
      </c>
      <c r="I180" s="189"/>
      <c r="J180" s="190">
        <f>IF(E180&gt;D180,0,D180-E180)</f>
        <v>0</v>
      </c>
      <c r="K180" s="191"/>
      <c r="L180" s="192">
        <f>IF(E180&gt;D180,IF(F180&gt;H180,0,H180-F180),G180)</f>
        <v>0</v>
      </c>
      <c r="M180" s="191"/>
      <c r="N180" s="193">
        <f>IF(E180&gt;D180,IF(F180&gt;H180,F180-H180,0),0)</f>
        <v>6.0026271428571416</v>
      </c>
      <c r="O180" s="191"/>
      <c r="P180" s="194">
        <f>IF(E180&gt;D180,IF(F180&gt;H180,G180,E180-H180),0)</f>
        <v>3.3808628571428558</v>
      </c>
      <c r="Q180" s="189"/>
      <c r="R180" s="195">
        <f>H180-L180</f>
        <v>7.5208242857142853</v>
      </c>
      <c r="S180" s="191"/>
      <c r="T180" s="196">
        <f>L180+N180+P180</f>
        <v>9.3834899999999983</v>
      </c>
      <c r="U180" s="197">
        <f>J180+L180</f>
        <v>0</v>
      </c>
      <c r="V180" s="37" t="str">
        <f>IF(R180+T180=E180,"ok","bad")</f>
        <v>ok</v>
      </c>
      <c r="W180" s="37" t="str">
        <f>IF(U180+R180=D180,"ok","bad")</f>
        <v>ok</v>
      </c>
    </row>
    <row r="181" spans="1:23" x14ac:dyDescent="0.25">
      <c r="A181" s="426"/>
      <c r="B181" s="178" t="s">
        <v>20</v>
      </c>
      <c r="C181" s="129">
        <v>4</v>
      </c>
      <c r="D181" s="130">
        <f>'2.4.5.4 Emplois ETP  base m'!D181/QTMGI</f>
        <v>5.9053628571428565</v>
      </c>
      <c r="E181" s="131">
        <f>'2.4.5.4 Emplois ETP  base m'!E181/QTMGI</f>
        <v>12.396497142857141</v>
      </c>
      <c r="F181" s="132">
        <f t="shared" si="64"/>
        <v>9.9171977142857131</v>
      </c>
      <c r="G181" s="133">
        <f t="shared" si="65"/>
        <v>2.4792994285714278</v>
      </c>
      <c r="H181" s="134">
        <f t="shared" ref="H181:H199" si="86">IF(E181&gt;D181,D181,E181)</f>
        <v>5.9053628571428565</v>
      </c>
      <c r="I181" s="135"/>
      <c r="J181" s="136">
        <f t="shared" ref="J181:J199" si="87">IF(E181&gt;D181,0,D181-E181)</f>
        <v>0</v>
      </c>
      <c r="K181" s="137"/>
      <c r="L181" s="138">
        <f t="shared" ref="L181:L199" si="88">IF(E181&gt;D181,IF(F181&gt;H181,0,H181-F181),G181)</f>
        <v>0</v>
      </c>
      <c r="M181" s="137"/>
      <c r="N181" s="139">
        <f t="shared" ref="N181:N199" si="89">IF(E181&gt;D181,IF(F181&gt;H181,F181-H181,0),0)</f>
        <v>4.0118348571428566</v>
      </c>
      <c r="O181" s="137"/>
      <c r="P181" s="140">
        <f t="shared" ref="P181:P199" si="90">IF(E181&gt;D181,IF(F181&gt;H181,G181,E181-H181),0)</f>
        <v>2.4792994285714278</v>
      </c>
      <c r="Q181" s="135"/>
      <c r="R181" s="104">
        <f t="shared" ref="R181:R199" si="91">H181-L181</f>
        <v>5.9053628571428565</v>
      </c>
      <c r="S181" s="137"/>
      <c r="T181" s="141">
        <f t="shared" ref="T181:T199" si="92">L181+N181+P181</f>
        <v>6.4911342857142849</v>
      </c>
      <c r="U181" s="199">
        <f t="shared" ref="U181:U199" si="93">J181+L181</f>
        <v>0</v>
      </c>
      <c r="V181" s="37" t="str">
        <f t="shared" ref="V181:V199" si="94">IF(R181+T181=E181,"ok","bad")</f>
        <v>ok</v>
      </c>
      <c r="W181" s="37" t="str">
        <f t="shared" ref="W181:W199" si="95">IF(U181+R181=D181,"ok","bad")</f>
        <v>ok</v>
      </c>
    </row>
    <row r="182" spans="1:23" x14ac:dyDescent="0.25">
      <c r="A182" s="426"/>
      <c r="B182" s="178" t="s">
        <v>21</v>
      </c>
      <c r="C182" s="129">
        <v>5</v>
      </c>
      <c r="D182" s="130">
        <f>'2.4.5.4 Emplois ETP  base m'!D182/QTMGI</f>
        <v>2.5830771428571424</v>
      </c>
      <c r="E182" s="131">
        <f>'2.4.5.4 Emplois ETP  base m'!E182/QTMGI</f>
        <v>5.0712942857142842</v>
      </c>
      <c r="F182" s="132">
        <f t="shared" si="64"/>
        <v>4.0570354285714272</v>
      </c>
      <c r="G182" s="133">
        <f t="shared" si="65"/>
        <v>1.0142588571428566</v>
      </c>
      <c r="H182" s="134">
        <f t="shared" si="86"/>
        <v>2.5830771428571424</v>
      </c>
      <c r="I182" s="135"/>
      <c r="J182" s="136">
        <f t="shared" si="87"/>
        <v>0</v>
      </c>
      <c r="K182" s="137"/>
      <c r="L182" s="138">
        <f t="shared" si="88"/>
        <v>0</v>
      </c>
      <c r="M182" s="137"/>
      <c r="N182" s="139">
        <f t="shared" si="89"/>
        <v>1.4739582857142848</v>
      </c>
      <c r="O182" s="137"/>
      <c r="P182" s="140">
        <f t="shared" si="90"/>
        <v>1.0142588571428566</v>
      </c>
      <c r="Q182" s="135"/>
      <c r="R182" s="104">
        <f t="shared" si="91"/>
        <v>2.5830771428571424</v>
      </c>
      <c r="S182" s="137"/>
      <c r="T182" s="141">
        <f t="shared" si="92"/>
        <v>2.4882171428571414</v>
      </c>
      <c r="U182" s="199">
        <f t="shared" si="93"/>
        <v>0</v>
      </c>
      <c r="V182" s="37" t="str">
        <f t="shared" si="94"/>
        <v>ok</v>
      </c>
      <c r="W182" s="37" t="str">
        <f t="shared" si="95"/>
        <v>ok</v>
      </c>
    </row>
    <row r="183" spans="1:23" x14ac:dyDescent="0.25">
      <c r="A183" s="426"/>
      <c r="B183" s="178" t="s">
        <v>22</v>
      </c>
      <c r="C183" s="129">
        <v>6</v>
      </c>
      <c r="D183" s="130">
        <f>'2.4.5.4 Emplois ETP  base m'!D183/QTMGI</f>
        <v>1.8023400000000001</v>
      </c>
      <c r="E183" s="131">
        <f>'2.4.5.4 Emplois ETP  base m'!E183/QTMGI</f>
        <v>7.6069414285714263</v>
      </c>
      <c r="F183" s="132">
        <f t="shared" si="64"/>
        <v>6.0855531428571412</v>
      </c>
      <c r="G183" s="133">
        <f t="shared" si="65"/>
        <v>1.5213882857142849</v>
      </c>
      <c r="H183" s="134">
        <f t="shared" si="86"/>
        <v>1.8023400000000001</v>
      </c>
      <c r="I183" s="135"/>
      <c r="J183" s="136">
        <f t="shared" si="87"/>
        <v>0</v>
      </c>
      <c r="K183" s="137"/>
      <c r="L183" s="138">
        <f t="shared" si="88"/>
        <v>0</v>
      </c>
      <c r="M183" s="137"/>
      <c r="N183" s="139">
        <f t="shared" si="89"/>
        <v>4.2832131428571412</v>
      </c>
      <c r="O183" s="137"/>
      <c r="P183" s="140">
        <f t="shared" si="90"/>
        <v>1.5213882857142849</v>
      </c>
      <c r="Q183" s="135"/>
      <c r="R183" s="104">
        <f t="shared" si="91"/>
        <v>1.8023400000000001</v>
      </c>
      <c r="S183" s="137"/>
      <c r="T183" s="141">
        <f t="shared" si="92"/>
        <v>5.8046014285714262</v>
      </c>
      <c r="U183" s="199">
        <f t="shared" si="93"/>
        <v>0</v>
      </c>
      <c r="V183" s="37" t="str">
        <f t="shared" si="94"/>
        <v>ok</v>
      </c>
      <c r="W183" s="37" t="str">
        <f t="shared" si="95"/>
        <v>ok</v>
      </c>
    </row>
    <row r="184" spans="1:23" x14ac:dyDescent="0.25">
      <c r="A184" s="426"/>
      <c r="B184" s="178" t="s">
        <v>23</v>
      </c>
      <c r="C184" s="129">
        <v>7</v>
      </c>
      <c r="D184" s="130">
        <f>'2.4.5.4 Emplois ETP  base m'!D184/QTMGI</f>
        <v>3.7375714285714277</v>
      </c>
      <c r="E184" s="131">
        <f>'2.4.5.4 Emplois ETP  base m'!E184/QTMGI</f>
        <v>12.396497142857141</v>
      </c>
      <c r="F184" s="132">
        <f t="shared" si="64"/>
        <v>9.9171977142857131</v>
      </c>
      <c r="G184" s="133">
        <f t="shared" si="65"/>
        <v>2.4792994285714278</v>
      </c>
      <c r="H184" s="134">
        <f t="shared" si="86"/>
        <v>3.7375714285714277</v>
      </c>
      <c r="I184" s="135"/>
      <c r="J184" s="136">
        <f t="shared" si="87"/>
        <v>0</v>
      </c>
      <c r="K184" s="137"/>
      <c r="L184" s="138">
        <f t="shared" si="88"/>
        <v>0</v>
      </c>
      <c r="M184" s="137"/>
      <c r="N184" s="139">
        <f t="shared" si="89"/>
        <v>6.179626285714285</v>
      </c>
      <c r="O184" s="137"/>
      <c r="P184" s="140">
        <f t="shared" si="90"/>
        <v>2.4792994285714278</v>
      </c>
      <c r="Q184" s="135"/>
      <c r="R184" s="104">
        <f t="shared" si="91"/>
        <v>3.7375714285714277</v>
      </c>
      <c r="S184" s="137"/>
      <c r="T184" s="141">
        <f t="shared" si="92"/>
        <v>8.6589257142857132</v>
      </c>
      <c r="U184" s="199">
        <f t="shared" si="93"/>
        <v>0</v>
      </c>
      <c r="V184" s="37" t="str">
        <f t="shared" si="94"/>
        <v>ok</v>
      </c>
      <c r="W184" s="37" t="str">
        <f t="shared" si="95"/>
        <v>ok</v>
      </c>
    </row>
    <row r="185" spans="1:23" x14ac:dyDescent="0.25">
      <c r="A185" s="426"/>
      <c r="B185" s="178" t="s">
        <v>19</v>
      </c>
      <c r="C185" s="129">
        <v>10</v>
      </c>
      <c r="D185" s="130">
        <f>'2.4.5.4 Emplois ETP  base m'!D185/QTMGI</f>
        <v>12.001757142857143</v>
      </c>
      <c r="E185" s="131">
        <f>'2.4.5.4 Emplois ETP  base m'!E185/QTMGI</f>
        <v>8.6688791208791187</v>
      </c>
      <c r="F185" s="132">
        <f t="shared" si="64"/>
        <v>6.9351032967032955</v>
      </c>
      <c r="G185" s="133">
        <f t="shared" si="65"/>
        <v>1.7337758241758234</v>
      </c>
      <c r="H185" s="134">
        <f t="shared" si="86"/>
        <v>8.6688791208791187</v>
      </c>
      <c r="I185" s="135"/>
      <c r="J185" s="136">
        <f t="shared" si="87"/>
        <v>3.3328780219780239</v>
      </c>
      <c r="K185" s="137"/>
      <c r="L185" s="138">
        <f t="shared" si="88"/>
        <v>1.7337758241758234</v>
      </c>
      <c r="M185" s="137"/>
      <c r="N185" s="139">
        <f t="shared" si="89"/>
        <v>0</v>
      </c>
      <c r="O185" s="137"/>
      <c r="P185" s="140">
        <f t="shared" si="90"/>
        <v>0</v>
      </c>
      <c r="Q185" s="135"/>
      <c r="R185" s="104">
        <f t="shared" si="91"/>
        <v>6.9351032967032955</v>
      </c>
      <c r="S185" s="137"/>
      <c r="T185" s="141">
        <f t="shared" si="92"/>
        <v>1.7337758241758234</v>
      </c>
      <c r="U185" s="199">
        <f t="shared" si="93"/>
        <v>5.0666538461538471</v>
      </c>
      <c r="V185" s="37" t="str">
        <f t="shared" si="94"/>
        <v>ok</v>
      </c>
      <c r="W185" s="37" t="str">
        <f t="shared" si="95"/>
        <v>ok</v>
      </c>
    </row>
    <row r="186" spans="1:23" x14ac:dyDescent="0.25">
      <c r="A186" s="426"/>
      <c r="B186" s="178" t="s">
        <v>20</v>
      </c>
      <c r="C186" s="129">
        <v>11</v>
      </c>
      <c r="D186" s="130">
        <f>'2.4.5.4 Emplois ETP  base m'!D186/QTMGI</f>
        <v>9.7342971428571445</v>
      </c>
      <c r="E186" s="131">
        <f>'2.4.5.4 Emplois ETP  base m'!E186/QTMGI</f>
        <v>8.8856010989010965</v>
      </c>
      <c r="F186" s="132">
        <f t="shared" si="64"/>
        <v>7.1084808791208776</v>
      </c>
      <c r="G186" s="133">
        <f t="shared" si="65"/>
        <v>1.7771202197802189</v>
      </c>
      <c r="H186" s="134">
        <f t="shared" si="86"/>
        <v>8.8856010989010965</v>
      </c>
      <c r="I186" s="135"/>
      <c r="J186" s="136">
        <f t="shared" si="87"/>
        <v>0.84869604395604803</v>
      </c>
      <c r="K186" s="137"/>
      <c r="L186" s="138">
        <f t="shared" si="88"/>
        <v>1.7771202197802189</v>
      </c>
      <c r="M186" s="137"/>
      <c r="N186" s="139">
        <f t="shared" si="89"/>
        <v>0</v>
      </c>
      <c r="O186" s="137"/>
      <c r="P186" s="140">
        <f t="shared" si="90"/>
        <v>0</v>
      </c>
      <c r="Q186" s="135"/>
      <c r="R186" s="104">
        <f t="shared" si="91"/>
        <v>7.1084808791208776</v>
      </c>
      <c r="S186" s="137"/>
      <c r="T186" s="141">
        <f t="shared" si="92"/>
        <v>1.7771202197802189</v>
      </c>
      <c r="U186" s="199">
        <f t="shared" si="93"/>
        <v>2.625816263736267</v>
      </c>
      <c r="V186" s="37" t="str">
        <f t="shared" si="94"/>
        <v>ok</v>
      </c>
      <c r="W186" s="37" t="str">
        <f t="shared" si="95"/>
        <v>ok</v>
      </c>
    </row>
    <row r="187" spans="1:23" x14ac:dyDescent="0.25">
      <c r="A187" s="426"/>
      <c r="B187" s="178" t="s">
        <v>21</v>
      </c>
      <c r="C187" s="129">
        <v>12</v>
      </c>
      <c r="D187" s="130">
        <f>'2.4.5.4 Emplois ETP  base m'!D187/QTMGI</f>
        <v>5.6271214285714288</v>
      </c>
      <c r="E187" s="131">
        <f>'2.4.5.4 Emplois ETP  base m'!E187/QTMGI</f>
        <v>4.7678835164835158</v>
      </c>
      <c r="F187" s="132">
        <f t="shared" si="64"/>
        <v>3.8143068131868128</v>
      </c>
      <c r="G187" s="133">
        <f t="shared" si="65"/>
        <v>0.95357670329670297</v>
      </c>
      <c r="H187" s="134">
        <f t="shared" si="86"/>
        <v>4.7678835164835158</v>
      </c>
      <c r="I187" s="135"/>
      <c r="J187" s="136">
        <f t="shared" si="87"/>
        <v>0.859237912087913</v>
      </c>
      <c r="K187" s="137"/>
      <c r="L187" s="138">
        <f t="shared" si="88"/>
        <v>0.95357670329670297</v>
      </c>
      <c r="M187" s="137"/>
      <c r="N187" s="139">
        <f t="shared" si="89"/>
        <v>0</v>
      </c>
      <c r="O187" s="137"/>
      <c r="P187" s="140">
        <f t="shared" si="90"/>
        <v>0</v>
      </c>
      <c r="Q187" s="135"/>
      <c r="R187" s="104">
        <f t="shared" si="91"/>
        <v>3.8143068131868128</v>
      </c>
      <c r="S187" s="137"/>
      <c r="T187" s="141">
        <f t="shared" si="92"/>
        <v>0.95357670329670297</v>
      </c>
      <c r="U187" s="199">
        <f t="shared" si="93"/>
        <v>1.8128146153846161</v>
      </c>
      <c r="V187" s="37" t="str">
        <f t="shared" si="94"/>
        <v>ok</v>
      </c>
      <c r="W187" s="37" t="str">
        <f t="shared" si="95"/>
        <v>ok</v>
      </c>
    </row>
    <row r="188" spans="1:23" x14ac:dyDescent="0.25">
      <c r="A188" s="426"/>
      <c r="B188" s="178" t="s">
        <v>22</v>
      </c>
      <c r="C188" s="129">
        <v>13</v>
      </c>
      <c r="D188" s="130">
        <f>'2.4.5.4 Emplois ETP  base m'!D188/QTMGI</f>
        <v>4.5432257142857146</v>
      </c>
      <c r="E188" s="131">
        <f>'2.4.5.4 Emplois ETP  base m'!E188/QTMGI</f>
        <v>6.0682153846153835</v>
      </c>
      <c r="F188" s="132">
        <f t="shared" si="64"/>
        <v>4.8545723076923073</v>
      </c>
      <c r="G188" s="133">
        <f t="shared" si="65"/>
        <v>1.2136430769230764</v>
      </c>
      <c r="H188" s="134">
        <f t="shared" si="86"/>
        <v>4.5432257142857146</v>
      </c>
      <c r="I188" s="135"/>
      <c r="J188" s="136">
        <f t="shared" si="87"/>
        <v>0</v>
      </c>
      <c r="K188" s="137"/>
      <c r="L188" s="138">
        <f t="shared" si="88"/>
        <v>0</v>
      </c>
      <c r="M188" s="137"/>
      <c r="N188" s="139">
        <f t="shared" si="89"/>
        <v>0.31134659340659265</v>
      </c>
      <c r="O188" s="137"/>
      <c r="P188" s="140">
        <f t="shared" si="90"/>
        <v>1.2136430769230764</v>
      </c>
      <c r="Q188" s="135"/>
      <c r="R188" s="104">
        <f t="shared" si="91"/>
        <v>4.5432257142857146</v>
      </c>
      <c r="S188" s="137"/>
      <c r="T188" s="141">
        <f t="shared" si="92"/>
        <v>1.524989670329669</v>
      </c>
      <c r="U188" s="199">
        <f t="shared" si="93"/>
        <v>0</v>
      </c>
      <c r="V188" s="37" t="str">
        <f t="shared" si="94"/>
        <v>ok</v>
      </c>
      <c r="W188" s="37" t="str">
        <f t="shared" si="95"/>
        <v>ok</v>
      </c>
    </row>
    <row r="189" spans="1:23" x14ac:dyDescent="0.25">
      <c r="A189" s="426"/>
      <c r="B189" s="178" t="s">
        <v>23</v>
      </c>
      <c r="C189" s="129">
        <v>14</v>
      </c>
      <c r="D189" s="130">
        <f>'2.4.5.4 Emplois ETP  base m'!D189/QTMGI</f>
        <v>8.6545542857142852</v>
      </c>
      <c r="E189" s="131">
        <f>'2.4.5.4 Emplois ETP  base m'!E189/QTMGI</f>
        <v>8.2354351648351631</v>
      </c>
      <c r="F189" s="132">
        <f t="shared" si="64"/>
        <v>6.5883481318681305</v>
      </c>
      <c r="G189" s="133">
        <f t="shared" si="65"/>
        <v>1.6470870329670322</v>
      </c>
      <c r="H189" s="134">
        <f t="shared" si="86"/>
        <v>8.2354351648351631</v>
      </c>
      <c r="I189" s="135"/>
      <c r="J189" s="136">
        <f t="shared" si="87"/>
        <v>0.41911912087912206</v>
      </c>
      <c r="K189" s="137"/>
      <c r="L189" s="138">
        <f t="shared" si="88"/>
        <v>1.6470870329670322</v>
      </c>
      <c r="M189" s="137"/>
      <c r="N189" s="139">
        <f t="shared" si="89"/>
        <v>0</v>
      </c>
      <c r="O189" s="137"/>
      <c r="P189" s="140">
        <f t="shared" si="90"/>
        <v>0</v>
      </c>
      <c r="Q189" s="135"/>
      <c r="R189" s="104">
        <f t="shared" si="91"/>
        <v>6.5883481318681305</v>
      </c>
      <c r="S189" s="137"/>
      <c r="T189" s="141">
        <f t="shared" si="92"/>
        <v>1.6470870329670322</v>
      </c>
      <c r="U189" s="199">
        <f t="shared" si="93"/>
        <v>2.0662061538461542</v>
      </c>
      <c r="V189" s="37" t="str">
        <f t="shared" si="94"/>
        <v>ok</v>
      </c>
      <c r="W189" s="37" t="str">
        <f t="shared" si="95"/>
        <v>ok</v>
      </c>
    </row>
    <row r="190" spans="1:23" x14ac:dyDescent="0.25">
      <c r="A190" s="426"/>
      <c r="B190" s="178" t="s">
        <v>19</v>
      </c>
      <c r="C190" s="129">
        <v>17</v>
      </c>
      <c r="D190" s="130">
        <f>'2.4.5.4 Emplois ETP  base m'!D190/QTMGI</f>
        <v>7.5208242857142853</v>
      </c>
      <c r="E190" s="131">
        <f>'2.4.5.4 Emplois ETP  base m'!E190/QTMGI</f>
        <v>13.003318681318678</v>
      </c>
      <c r="F190" s="132">
        <f t="shared" si="64"/>
        <v>10.402654945054943</v>
      </c>
      <c r="G190" s="133">
        <f t="shared" si="65"/>
        <v>2.6006637362637348</v>
      </c>
      <c r="H190" s="134">
        <f t="shared" si="86"/>
        <v>7.5208242857142853</v>
      </c>
      <c r="I190" s="135"/>
      <c r="J190" s="136">
        <f t="shared" si="87"/>
        <v>0</v>
      </c>
      <c r="K190" s="137"/>
      <c r="L190" s="138">
        <f t="shared" si="88"/>
        <v>0</v>
      </c>
      <c r="M190" s="137"/>
      <c r="N190" s="139">
        <f t="shared" si="89"/>
        <v>2.8818306593406575</v>
      </c>
      <c r="O190" s="137"/>
      <c r="P190" s="140">
        <f t="shared" si="90"/>
        <v>2.6006637362637348</v>
      </c>
      <c r="Q190" s="135"/>
      <c r="R190" s="104">
        <f t="shared" si="91"/>
        <v>7.5208242857142853</v>
      </c>
      <c r="S190" s="137"/>
      <c r="T190" s="141">
        <f t="shared" si="92"/>
        <v>5.4824943956043928</v>
      </c>
      <c r="U190" s="199">
        <f t="shared" si="93"/>
        <v>0</v>
      </c>
      <c r="V190" s="37" t="str">
        <f t="shared" si="94"/>
        <v>ok</v>
      </c>
      <c r="W190" s="37" t="str">
        <f t="shared" si="95"/>
        <v>ok</v>
      </c>
    </row>
    <row r="191" spans="1:23" x14ac:dyDescent="0.25">
      <c r="A191" s="426"/>
      <c r="B191" s="178" t="s">
        <v>20</v>
      </c>
      <c r="C191" s="129">
        <v>18</v>
      </c>
      <c r="D191" s="130">
        <f>'2.4.5.4 Emplois ETP  base m'!D191/QTMGI</f>
        <v>5.9053628571428565</v>
      </c>
      <c r="E191" s="131">
        <f>'2.4.5.4 Emplois ETP  base m'!E191/QTMGI</f>
        <v>9.969210989010989</v>
      </c>
      <c r="F191" s="132">
        <f t="shared" si="64"/>
        <v>7.9753687912087914</v>
      </c>
      <c r="G191" s="133">
        <f t="shared" si="65"/>
        <v>1.9938421978021974</v>
      </c>
      <c r="H191" s="134">
        <f t="shared" si="86"/>
        <v>5.9053628571428565</v>
      </c>
      <c r="I191" s="135"/>
      <c r="J191" s="136">
        <f t="shared" si="87"/>
        <v>0</v>
      </c>
      <c r="K191" s="137"/>
      <c r="L191" s="138">
        <f t="shared" si="88"/>
        <v>0</v>
      </c>
      <c r="M191" s="137"/>
      <c r="N191" s="139">
        <f t="shared" si="89"/>
        <v>2.0700059340659349</v>
      </c>
      <c r="O191" s="137"/>
      <c r="P191" s="140">
        <f t="shared" si="90"/>
        <v>1.9938421978021974</v>
      </c>
      <c r="Q191" s="135"/>
      <c r="R191" s="104">
        <f t="shared" si="91"/>
        <v>5.9053628571428565</v>
      </c>
      <c r="S191" s="137"/>
      <c r="T191" s="141">
        <f t="shared" si="92"/>
        <v>4.0638481318681325</v>
      </c>
      <c r="U191" s="199">
        <f t="shared" si="93"/>
        <v>0</v>
      </c>
      <c r="V191" s="37" t="str">
        <f t="shared" si="94"/>
        <v>ok</v>
      </c>
      <c r="W191" s="37" t="str">
        <f t="shared" si="95"/>
        <v>ok</v>
      </c>
    </row>
    <row r="192" spans="1:23" x14ac:dyDescent="0.25">
      <c r="A192" s="426"/>
      <c r="B192" s="178" t="s">
        <v>21</v>
      </c>
      <c r="C192" s="129">
        <v>19</v>
      </c>
      <c r="D192" s="130">
        <f>'2.4.5.4 Emplois ETP  base m'!D192/QTMGI</f>
        <v>2.5830771428571424</v>
      </c>
      <c r="E192" s="131">
        <f>'2.4.5.4 Emplois ETP  base m'!E192/QTMGI</f>
        <v>4.7678835164835158</v>
      </c>
      <c r="F192" s="132">
        <f t="shared" si="64"/>
        <v>3.8143068131868128</v>
      </c>
      <c r="G192" s="133">
        <f t="shared" si="65"/>
        <v>0.95357670329670297</v>
      </c>
      <c r="H192" s="134">
        <f t="shared" si="86"/>
        <v>2.5830771428571424</v>
      </c>
      <c r="I192" s="135"/>
      <c r="J192" s="136">
        <f t="shared" si="87"/>
        <v>0</v>
      </c>
      <c r="K192" s="137"/>
      <c r="L192" s="138">
        <f t="shared" si="88"/>
        <v>0</v>
      </c>
      <c r="M192" s="137"/>
      <c r="N192" s="139">
        <f t="shared" si="89"/>
        <v>1.2312296703296703</v>
      </c>
      <c r="O192" s="137"/>
      <c r="P192" s="140">
        <f t="shared" si="90"/>
        <v>0.95357670329670297</v>
      </c>
      <c r="Q192" s="135"/>
      <c r="R192" s="104">
        <f t="shared" si="91"/>
        <v>2.5830771428571424</v>
      </c>
      <c r="S192" s="137"/>
      <c r="T192" s="141">
        <f t="shared" si="92"/>
        <v>2.1848063736263734</v>
      </c>
      <c r="U192" s="199">
        <f t="shared" si="93"/>
        <v>0</v>
      </c>
      <c r="V192" s="37" t="str">
        <f t="shared" si="94"/>
        <v>ok</v>
      </c>
      <c r="W192" s="37" t="str">
        <f t="shared" si="95"/>
        <v>ok</v>
      </c>
    </row>
    <row r="193" spans="1:23" x14ac:dyDescent="0.25">
      <c r="A193" s="426"/>
      <c r="B193" s="178" t="s">
        <v>22</v>
      </c>
      <c r="C193" s="129">
        <v>20</v>
      </c>
      <c r="D193" s="130">
        <f>'2.4.5.4 Emplois ETP  base m'!D193/QTMGI</f>
        <v>1.8023400000000001</v>
      </c>
      <c r="E193" s="131">
        <f>'2.4.5.4 Emplois ETP  base m'!E193/QTMGI</f>
        <v>8.0187131868131853</v>
      </c>
      <c r="F193" s="132">
        <f t="shared" si="64"/>
        <v>6.4149705494505485</v>
      </c>
      <c r="G193" s="133">
        <f t="shared" si="65"/>
        <v>1.6037426373626367</v>
      </c>
      <c r="H193" s="134">
        <f t="shared" si="86"/>
        <v>1.8023400000000001</v>
      </c>
      <c r="I193" s="135"/>
      <c r="J193" s="136">
        <f t="shared" si="87"/>
        <v>0</v>
      </c>
      <c r="K193" s="137"/>
      <c r="L193" s="138">
        <f t="shared" si="88"/>
        <v>0</v>
      </c>
      <c r="M193" s="137"/>
      <c r="N193" s="139">
        <f t="shared" si="89"/>
        <v>4.6126305494505484</v>
      </c>
      <c r="O193" s="137"/>
      <c r="P193" s="140">
        <f t="shared" si="90"/>
        <v>1.6037426373626367</v>
      </c>
      <c r="Q193" s="135"/>
      <c r="R193" s="104">
        <f t="shared" si="91"/>
        <v>1.8023400000000001</v>
      </c>
      <c r="S193" s="137"/>
      <c r="T193" s="141">
        <f t="shared" si="92"/>
        <v>6.2163731868131853</v>
      </c>
      <c r="U193" s="199">
        <f t="shared" si="93"/>
        <v>0</v>
      </c>
      <c r="V193" s="37" t="str">
        <f t="shared" si="94"/>
        <v>ok</v>
      </c>
      <c r="W193" s="37" t="str">
        <f t="shared" si="95"/>
        <v>ok</v>
      </c>
    </row>
    <row r="194" spans="1:23" x14ac:dyDescent="0.25">
      <c r="A194" s="426"/>
      <c r="B194" s="178" t="s">
        <v>23</v>
      </c>
      <c r="C194" s="129">
        <v>21</v>
      </c>
      <c r="D194" s="130">
        <f>'2.4.5.4 Emplois ETP  base m'!D194/QTMGI</f>
        <v>3.7375714285714277</v>
      </c>
      <c r="E194" s="131">
        <f>'2.4.5.4 Emplois ETP  base m'!E194/QTMGI</f>
        <v>9.5357670329670317</v>
      </c>
      <c r="F194" s="132">
        <f t="shared" si="64"/>
        <v>7.6286136263736255</v>
      </c>
      <c r="G194" s="133">
        <f t="shared" si="65"/>
        <v>1.9071534065934059</v>
      </c>
      <c r="H194" s="134">
        <f t="shared" si="86"/>
        <v>3.7375714285714277</v>
      </c>
      <c r="I194" s="135"/>
      <c r="J194" s="136">
        <f t="shared" si="87"/>
        <v>0</v>
      </c>
      <c r="K194" s="137"/>
      <c r="L194" s="138">
        <f t="shared" si="88"/>
        <v>0</v>
      </c>
      <c r="M194" s="137"/>
      <c r="N194" s="139">
        <f t="shared" si="89"/>
        <v>3.8910421978021978</v>
      </c>
      <c r="O194" s="137"/>
      <c r="P194" s="140">
        <f t="shared" si="90"/>
        <v>1.9071534065934059</v>
      </c>
      <c r="Q194" s="135"/>
      <c r="R194" s="104">
        <f t="shared" si="91"/>
        <v>3.7375714285714277</v>
      </c>
      <c r="S194" s="137"/>
      <c r="T194" s="141">
        <f t="shared" si="92"/>
        <v>5.7981956043956036</v>
      </c>
      <c r="U194" s="199">
        <f t="shared" si="93"/>
        <v>0</v>
      </c>
      <c r="V194" s="37" t="str">
        <f t="shared" si="94"/>
        <v>ok</v>
      </c>
      <c r="W194" s="37" t="str">
        <f t="shared" si="95"/>
        <v>ok</v>
      </c>
    </row>
    <row r="195" spans="1:23" x14ac:dyDescent="0.25">
      <c r="A195" s="426"/>
      <c r="B195" s="178" t="s">
        <v>19</v>
      </c>
      <c r="C195" s="129">
        <v>24</v>
      </c>
      <c r="D195" s="130">
        <f>'2.4.5.4 Emplois ETP  base m'!D195/QTMGI</f>
        <v>15.000120000000001</v>
      </c>
      <c r="E195" s="131">
        <f>'2.4.5.4 Emplois ETP  base m'!E195/QTMGI</f>
        <v>10.72773791208791</v>
      </c>
      <c r="F195" s="132">
        <f t="shared" si="64"/>
        <v>8.582190329670329</v>
      </c>
      <c r="G195" s="133">
        <f t="shared" si="65"/>
        <v>2.1455475824175818</v>
      </c>
      <c r="H195" s="134">
        <f t="shared" si="86"/>
        <v>10.72773791208791</v>
      </c>
      <c r="I195" s="135"/>
      <c r="J195" s="136">
        <f t="shared" si="87"/>
        <v>4.2723820879120904</v>
      </c>
      <c r="K195" s="137"/>
      <c r="L195" s="138">
        <f t="shared" si="88"/>
        <v>2.1455475824175818</v>
      </c>
      <c r="M195" s="137"/>
      <c r="N195" s="139">
        <f t="shared" si="89"/>
        <v>0</v>
      </c>
      <c r="O195" s="137"/>
      <c r="P195" s="140">
        <f t="shared" si="90"/>
        <v>0</v>
      </c>
      <c r="Q195" s="135"/>
      <c r="R195" s="104">
        <f t="shared" si="91"/>
        <v>8.582190329670329</v>
      </c>
      <c r="S195" s="137"/>
      <c r="T195" s="141">
        <f t="shared" si="92"/>
        <v>2.1455475824175818</v>
      </c>
      <c r="U195" s="199">
        <f t="shared" si="93"/>
        <v>6.4179296703296718</v>
      </c>
      <c r="V195" s="37" t="str">
        <f t="shared" si="94"/>
        <v>ok</v>
      </c>
      <c r="W195" s="37" t="str">
        <f t="shared" si="95"/>
        <v>ok</v>
      </c>
    </row>
    <row r="196" spans="1:23" x14ac:dyDescent="0.25">
      <c r="A196" s="426"/>
      <c r="B196" s="178" t="s">
        <v>20</v>
      </c>
      <c r="C196" s="129">
        <v>25</v>
      </c>
      <c r="D196" s="130">
        <f>'2.4.5.4 Emplois ETP  base m'!D196/QTMGI</f>
        <v>12.209399999999999</v>
      </c>
      <c r="E196" s="131">
        <f>'2.4.5.4 Emplois ETP  base m'!E196/QTMGI</f>
        <v>6.7964012307692308</v>
      </c>
      <c r="F196" s="132">
        <f t="shared" si="64"/>
        <v>5.437120984615385</v>
      </c>
      <c r="G196" s="133">
        <f t="shared" si="65"/>
        <v>1.3592802461538458</v>
      </c>
      <c r="H196" s="134">
        <f t="shared" si="86"/>
        <v>6.7964012307692308</v>
      </c>
      <c r="I196" s="135"/>
      <c r="J196" s="136">
        <f t="shared" si="87"/>
        <v>5.4129987692307679</v>
      </c>
      <c r="K196" s="137"/>
      <c r="L196" s="138">
        <f t="shared" si="88"/>
        <v>1.3592802461538458</v>
      </c>
      <c r="M196" s="137"/>
      <c r="N196" s="139">
        <f t="shared" si="89"/>
        <v>0</v>
      </c>
      <c r="O196" s="137"/>
      <c r="P196" s="140">
        <f t="shared" si="90"/>
        <v>0</v>
      </c>
      <c r="Q196" s="135"/>
      <c r="R196" s="104">
        <f t="shared" si="91"/>
        <v>5.437120984615385</v>
      </c>
      <c r="S196" s="137"/>
      <c r="T196" s="141">
        <f t="shared" si="92"/>
        <v>1.3592802461538458</v>
      </c>
      <c r="U196" s="199">
        <f t="shared" si="93"/>
        <v>6.7722790153846137</v>
      </c>
      <c r="V196" s="37" t="str">
        <f t="shared" si="94"/>
        <v>ok</v>
      </c>
      <c r="W196" s="37" t="str">
        <f t="shared" si="95"/>
        <v>ok</v>
      </c>
    </row>
    <row r="197" spans="1:23" x14ac:dyDescent="0.25">
      <c r="A197" s="426"/>
      <c r="B197" s="178" t="s">
        <v>21</v>
      </c>
      <c r="C197" s="129">
        <v>26</v>
      </c>
      <c r="D197" s="130">
        <f>'2.4.5.4 Emplois ETP  base m'!D197/QTMGI</f>
        <v>7.0349399999999997</v>
      </c>
      <c r="E197" s="131">
        <f>'2.4.5.4 Emplois ETP  base m'!E197/QTMGI</f>
        <v>3.2204885934065928</v>
      </c>
      <c r="F197" s="132">
        <f t="shared" ref="F197:F260" si="96">E197*TC</f>
        <v>2.5763908747252744</v>
      </c>
      <c r="G197" s="133">
        <f t="shared" ref="G197:G260" si="97">E197*(1-TC)</f>
        <v>0.64409771868131838</v>
      </c>
      <c r="H197" s="134">
        <f t="shared" si="86"/>
        <v>3.2204885934065928</v>
      </c>
      <c r="I197" s="135"/>
      <c r="J197" s="136">
        <f t="shared" si="87"/>
        <v>3.814451406593407</v>
      </c>
      <c r="K197" s="137"/>
      <c r="L197" s="138">
        <f t="shared" si="88"/>
        <v>0.64409771868131838</v>
      </c>
      <c r="M197" s="137"/>
      <c r="N197" s="139">
        <f t="shared" si="89"/>
        <v>0</v>
      </c>
      <c r="O197" s="137"/>
      <c r="P197" s="140">
        <f t="shared" si="90"/>
        <v>0</v>
      </c>
      <c r="Q197" s="135"/>
      <c r="R197" s="104">
        <f t="shared" si="91"/>
        <v>2.5763908747252744</v>
      </c>
      <c r="S197" s="137"/>
      <c r="T197" s="141">
        <f t="shared" si="92"/>
        <v>0.64409771868131838</v>
      </c>
      <c r="U197" s="199">
        <f t="shared" si="93"/>
        <v>4.4585491252747254</v>
      </c>
      <c r="V197" s="37" t="str">
        <f t="shared" si="94"/>
        <v>ok</v>
      </c>
      <c r="W197" s="37" t="str">
        <f t="shared" si="95"/>
        <v>ok</v>
      </c>
    </row>
    <row r="198" spans="1:23" x14ac:dyDescent="0.25">
      <c r="A198" s="426"/>
      <c r="B198" s="178" t="s">
        <v>22</v>
      </c>
      <c r="C198" s="129">
        <v>27</v>
      </c>
      <c r="D198" s="130">
        <f>'2.4.5.4 Emplois ETP  base m'!D198/QTMGI</f>
        <v>5.7600128571428586</v>
      </c>
      <c r="E198" s="131">
        <f>'2.4.5.4 Emplois ETP  base m'!E198/QTMGI</f>
        <v>4.2910951648351636</v>
      </c>
      <c r="F198" s="132">
        <f t="shared" si="96"/>
        <v>3.4328761318681309</v>
      </c>
      <c r="G198" s="133">
        <f t="shared" si="97"/>
        <v>0.8582190329670325</v>
      </c>
      <c r="H198" s="134">
        <f t="shared" si="86"/>
        <v>4.2910951648351636</v>
      </c>
      <c r="I198" s="135"/>
      <c r="J198" s="136">
        <f t="shared" si="87"/>
        <v>1.468917692307695</v>
      </c>
      <c r="K198" s="137"/>
      <c r="L198" s="138">
        <f t="shared" si="88"/>
        <v>0.8582190329670325</v>
      </c>
      <c r="M198" s="137"/>
      <c r="N198" s="139">
        <f t="shared" si="89"/>
        <v>0</v>
      </c>
      <c r="O198" s="137"/>
      <c r="P198" s="140">
        <f t="shared" si="90"/>
        <v>0</v>
      </c>
      <c r="Q198" s="135"/>
      <c r="R198" s="104">
        <f t="shared" si="91"/>
        <v>3.4328761318681309</v>
      </c>
      <c r="S198" s="137"/>
      <c r="T198" s="141">
        <f t="shared" si="92"/>
        <v>0.8582190329670325</v>
      </c>
      <c r="U198" s="199">
        <f t="shared" si="93"/>
        <v>2.3271367252747277</v>
      </c>
      <c r="V198" s="37" t="str">
        <f t="shared" si="94"/>
        <v>ok</v>
      </c>
      <c r="W198" s="37" t="str">
        <f t="shared" si="95"/>
        <v>ok</v>
      </c>
    </row>
    <row r="199" spans="1:23" ht="15.75" thickBot="1" x14ac:dyDescent="0.3">
      <c r="A199" s="427"/>
      <c r="B199" s="277" t="s">
        <v>23</v>
      </c>
      <c r="C199" s="165">
        <v>28</v>
      </c>
      <c r="D199" s="202">
        <f>'2.4.5.4 Emplois ETP  base m'!D199/QTMGI</f>
        <v>10.818192857142858</v>
      </c>
      <c r="E199" s="203">
        <f>'2.4.5.4 Emplois ETP  base m'!E199/QTMGI</f>
        <v>6.7964012307692308</v>
      </c>
      <c r="F199" s="204">
        <f t="shared" si="96"/>
        <v>5.437120984615385</v>
      </c>
      <c r="G199" s="205">
        <f t="shared" si="97"/>
        <v>1.3592802461538458</v>
      </c>
      <c r="H199" s="206">
        <f t="shared" si="86"/>
        <v>6.7964012307692308</v>
      </c>
      <c r="I199" s="207"/>
      <c r="J199" s="208">
        <f t="shared" si="87"/>
        <v>4.0217916263736271</v>
      </c>
      <c r="K199" s="209"/>
      <c r="L199" s="210">
        <f t="shared" si="88"/>
        <v>1.3592802461538458</v>
      </c>
      <c r="M199" s="209"/>
      <c r="N199" s="211">
        <f t="shared" si="89"/>
        <v>0</v>
      </c>
      <c r="O199" s="209"/>
      <c r="P199" s="212">
        <f t="shared" si="90"/>
        <v>0</v>
      </c>
      <c r="Q199" s="207"/>
      <c r="R199" s="213">
        <f t="shared" si="91"/>
        <v>5.437120984615385</v>
      </c>
      <c r="S199" s="209"/>
      <c r="T199" s="214">
        <f t="shared" si="92"/>
        <v>1.3592802461538458</v>
      </c>
      <c r="U199" s="215">
        <f t="shared" si="93"/>
        <v>5.3810718725274729</v>
      </c>
      <c r="V199" s="37" t="str">
        <f t="shared" si="94"/>
        <v>ok</v>
      </c>
      <c r="W199" s="37" t="str">
        <f t="shared" si="95"/>
        <v>ok</v>
      </c>
    </row>
    <row r="200" spans="1:23" x14ac:dyDescent="0.25">
      <c r="A200" s="425" t="s">
        <v>98</v>
      </c>
      <c r="B200" s="276" t="s">
        <v>19</v>
      </c>
      <c r="C200" s="247">
        <v>1</v>
      </c>
      <c r="D200" s="184">
        <f>'2.4.5.4 Emplois ETP  base m'!D200/QTMGI</f>
        <v>5.6330060439560441</v>
      </c>
      <c r="E200" s="185">
        <f>'2.4.5.4 Emplois ETP  base m'!E200/QTMGI</f>
        <v>13.442142857142851</v>
      </c>
      <c r="F200" s="186">
        <f t="shared" si="96"/>
        <v>10.753714285714281</v>
      </c>
      <c r="G200" s="187">
        <f t="shared" si="97"/>
        <v>2.6884285714285698</v>
      </c>
      <c r="H200" s="188">
        <f>IF(E200&gt;D200,D200,E200)</f>
        <v>5.6330060439560441</v>
      </c>
      <c r="I200" s="189"/>
      <c r="J200" s="190">
        <f>IF(E200&gt;D200,0,D200-E200)</f>
        <v>0</v>
      </c>
      <c r="K200" s="191"/>
      <c r="L200" s="192">
        <f>IF(E200&gt;D200,IF(F200&gt;H200,0,H200-F200),G200)</f>
        <v>0</v>
      </c>
      <c r="M200" s="191"/>
      <c r="N200" s="193">
        <f>IF(E200&gt;D200,IF(F200&gt;H200,F200-H200,0),0)</f>
        <v>5.120708241758237</v>
      </c>
      <c r="O200" s="191"/>
      <c r="P200" s="194">
        <f>IF(E200&gt;D200,IF(F200&gt;H200,G200,E200-H200),0)</f>
        <v>2.6884285714285698</v>
      </c>
      <c r="Q200" s="189"/>
      <c r="R200" s="195">
        <f>H200-L200</f>
        <v>5.6330060439560441</v>
      </c>
      <c r="S200" s="191"/>
      <c r="T200" s="196">
        <f>L200+N200+P200</f>
        <v>7.8091368131868073</v>
      </c>
      <c r="U200" s="197">
        <f>J200+L200</f>
        <v>0</v>
      </c>
      <c r="V200" s="37" t="str">
        <f>IF(R200+T200=E200,"ok","bad")</f>
        <v>ok</v>
      </c>
      <c r="W200" s="37" t="str">
        <f>IF(U200+R200=D200,"ok","bad")</f>
        <v>ok</v>
      </c>
    </row>
    <row r="201" spans="1:23" x14ac:dyDescent="0.25">
      <c r="A201" s="426"/>
      <c r="B201" s="178" t="s">
        <v>20</v>
      </c>
      <c r="C201" s="129">
        <v>2</v>
      </c>
      <c r="D201" s="130">
        <f>'2.4.5.4 Emplois ETP  base m'!D201/QTMGI</f>
        <v>4.4230450549450557</v>
      </c>
      <c r="E201" s="131">
        <f>'2.4.5.4 Emplois ETP  base m'!E201/QTMGI</f>
        <v>9.8575714285714273</v>
      </c>
      <c r="F201" s="132">
        <f t="shared" si="96"/>
        <v>7.8860571428571422</v>
      </c>
      <c r="G201" s="133">
        <f t="shared" si="97"/>
        <v>1.9715142857142851</v>
      </c>
      <c r="H201" s="134">
        <f t="shared" ref="H201:H222" si="98">IF(E201&gt;D201,D201,E201)</f>
        <v>4.4230450549450557</v>
      </c>
      <c r="I201" s="135"/>
      <c r="J201" s="136">
        <f t="shared" ref="J201:J222" si="99">IF(E201&gt;D201,0,D201-E201)</f>
        <v>0</v>
      </c>
      <c r="K201" s="137"/>
      <c r="L201" s="138">
        <f t="shared" ref="L201:L222" si="100">IF(E201&gt;D201,IF(F201&gt;H201,0,H201-F201),G201)</f>
        <v>0</v>
      </c>
      <c r="M201" s="137"/>
      <c r="N201" s="139">
        <f t="shared" ref="N201:N222" si="101">IF(E201&gt;D201,IF(F201&gt;H201,F201-H201,0),0)</f>
        <v>3.4630120879120865</v>
      </c>
      <c r="O201" s="137"/>
      <c r="P201" s="140">
        <f t="shared" ref="P201:P222" si="102">IF(E201&gt;D201,IF(F201&gt;H201,G201,E201-H201),0)</f>
        <v>1.9715142857142851</v>
      </c>
      <c r="Q201" s="135"/>
      <c r="R201" s="104">
        <f t="shared" ref="R201:R222" si="103">H201-L201</f>
        <v>4.4230450549450557</v>
      </c>
      <c r="S201" s="137"/>
      <c r="T201" s="141">
        <f t="shared" ref="T201:T222" si="104">L201+N201+P201</f>
        <v>5.4345263736263716</v>
      </c>
      <c r="U201" s="199">
        <f t="shared" ref="U201:U222" si="105">J201+L201</f>
        <v>0</v>
      </c>
      <c r="V201" s="37" t="str">
        <f t="shared" ref="V201:V222" si="106">IF(R201+T201=E201,"ok","bad")</f>
        <v>ok</v>
      </c>
      <c r="W201" s="37" t="str">
        <f t="shared" ref="W201:W222" si="107">IF(U201+R201=D201,"ok","bad")</f>
        <v>ok</v>
      </c>
    </row>
    <row r="202" spans="1:23" x14ac:dyDescent="0.25">
      <c r="A202" s="426"/>
      <c r="B202" s="178" t="s">
        <v>21</v>
      </c>
      <c r="C202" s="129">
        <v>3</v>
      </c>
      <c r="D202" s="130">
        <f>'2.4.5.4 Emplois ETP  base m'!D202/QTMGI</f>
        <v>1.9346934065934061</v>
      </c>
      <c r="E202" s="131">
        <f>'2.4.5.4 Emplois ETP  base m'!E202/QTMGI</f>
        <v>4.0326428571428563</v>
      </c>
      <c r="F202" s="132">
        <f t="shared" si="96"/>
        <v>3.226114285714285</v>
      </c>
      <c r="G202" s="133">
        <f t="shared" si="97"/>
        <v>0.80652857142857104</v>
      </c>
      <c r="H202" s="134">
        <f t="shared" si="98"/>
        <v>1.9346934065934061</v>
      </c>
      <c r="I202" s="135"/>
      <c r="J202" s="136">
        <f t="shared" si="99"/>
        <v>0</v>
      </c>
      <c r="K202" s="137"/>
      <c r="L202" s="138">
        <f t="shared" si="100"/>
        <v>0</v>
      </c>
      <c r="M202" s="137"/>
      <c r="N202" s="139">
        <f t="shared" si="101"/>
        <v>1.291420879120879</v>
      </c>
      <c r="O202" s="137"/>
      <c r="P202" s="140">
        <f t="shared" si="102"/>
        <v>0.80652857142857104</v>
      </c>
      <c r="Q202" s="135"/>
      <c r="R202" s="104">
        <f t="shared" si="103"/>
        <v>1.9346934065934061</v>
      </c>
      <c r="S202" s="137"/>
      <c r="T202" s="141">
        <f t="shared" si="104"/>
        <v>2.09794945054945</v>
      </c>
      <c r="U202" s="199">
        <f t="shared" si="105"/>
        <v>0</v>
      </c>
      <c r="V202" s="37" t="str">
        <f t="shared" si="106"/>
        <v>ok</v>
      </c>
      <c r="W202" s="37" t="str">
        <f t="shared" si="107"/>
        <v>ok</v>
      </c>
    </row>
    <row r="203" spans="1:23" x14ac:dyDescent="0.25">
      <c r="A203" s="426"/>
      <c r="B203" s="178" t="s">
        <v>22</v>
      </c>
      <c r="C203" s="129">
        <v>4</v>
      </c>
      <c r="D203" s="130">
        <f>'2.4.5.4 Emplois ETP  base m'!D203/QTMGI</f>
        <v>1.3499307692307692</v>
      </c>
      <c r="E203" s="131">
        <f>'2.4.5.4 Emplois ETP  base m'!E203/QTMGI</f>
        <v>6.0489642857142849</v>
      </c>
      <c r="F203" s="132">
        <f t="shared" si="96"/>
        <v>4.8391714285714285</v>
      </c>
      <c r="G203" s="133">
        <f t="shared" si="97"/>
        <v>1.2097928571428567</v>
      </c>
      <c r="H203" s="134">
        <f t="shared" si="98"/>
        <v>1.3499307692307692</v>
      </c>
      <c r="I203" s="135"/>
      <c r="J203" s="136">
        <f t="shared" si="99"/>
        <v>0</v>
      </c>
      <c r="K203" s="137"/>
      <c r="L203" s="138">
        <f t="shared" si="100"/>
        <v>0</v>
      </c>
      <c r="M203" s="137"/>
      <c r="N203" s="139">
        <f t="shared" si="101"/>
        <v>3.4892406593406591</v>
      </c>
      <c r="O203" s="137"/>
      <c r="P203" s="140">
        <f t="shared" si="102"/>
        <v>1.2097928571428567</v>
      </c>
      <c r="Q203" s="135"/>
      <c r="R203" s="104">
        <f t="shared" si="103"/>
        <v>1.3499307692307692</v>
      </c>
      <c r="S203" s="137"/>
      <c r="T203" s="141">
        <f t="shared" si="104"/>
        <v>4.6990335164835155</v>
      </c>
      <c r="U203" s="199">
        <f t="shared" si="105"/>
        <v>0</v>
      </c>
      <c r="V203" s="37" t="str">
        <f t="shared" si="106"/>
        <v>ok</v>
      </c>
      <c r="W203" s="37" t="str">
        <f t="shared" si="107"/>
        <v>ok</v>
      </c>
    </row>
    <row r="204" spans="1:23" x14ac:dyDescent="0.25">
      <c r="A204" s="426"/>
      <c r="B204" s="178" t="s">
        <v>23</v>
      </c>
      <c r="C204" s="129">
        <v>5</v>
      </c>
      <c r="D204" s="130">
        <f>'2.4.5.4 Emplois ETP  base m'!D204/QTMGI</f>
        <v>2.7993956043956043</v>
      </c>
      <c r="E204" s="131">
        <f>'2.4.5.4 Emplois ETP  base m'!E204/QTMGI</f>
        <v>9.8575714285714273</v>
      </c>
      <c r="F204" s="132">
        <f t="shared" si="96"/>
        <v>7.8860571428571422</v>
      </c>
      <c r="G204" s="133">
        <f t="shared" si="97"/>
        <v>1.9715142857142851</v>
      </c>
      <c r="H204" s="134">
        <f t="shared" si="98"/>
        <v>2.7993956043956043</v>
      </c>
      <c r="I204" s="135"/>
      <c r="J204" s="136">
        <f t="shared" si="99"/>
        <v>0</v>
      </c>
      <c r="K204" s="137"/>
      <c r="L204" s="138">
        <f t="shared" si="100"/>
        <v>0</v>
      </c>
      <c r="M204" s="137"/>
      <c r="N204" s="139">
        <f t="shared" si="101"/>
        <v>5.0866615384615379</v>
      </c>
      <c r="O204" s="137"/>
      <c r="P204" s="140">
        <f t="shared" si="102"/>
        <v>1.9715142857142851</v>
      </c>
      <c r="Q204" s="135"/>
      <c r="R204" s="104">
        <f t="shared" si="103"/>
        <v>2.7993956043956043</v>
      </c>
      <c r="S204" s="137"/>
      <c r="T204" s="141">
        <f t="shared" si="104"/>
        <v>7.058175824175823</v>
      </c>
      <c r="U204" s="199">
        <f t="shared" si="105"/>
        <v>0</v>
      </c>
      <c r="V204" s="37" t="str">
        <f t="shared" si="106"/>
        <v>ok</v>
      </c>
      <c r="W204" s="37" t="str">
        <f t="shared" si="107"/>
        <v>ok</v>
      </c>
    </row>
    <row r="205" spans="1:23" x14ac:dyDescent="0.25">
      <c r="A205" s="426"/>
      <c r="B205" s="178" t="s">
        <v>19</v>
      </c>
      <c r="C205" s="129">
        <v>8</v>
      </c>
      <c r="D205" s="130">
        <f>'2.4.5.4 Emplois ETP  base m'!D205/QTMGI</f>
        <v>8.9891703296703298</v>
      </c>
      <c r="E205" s="131">
        <f>'2.4.5.4 Emplois ETP  base m'!E205/QTMGI</f>
        <v>6.8934065934065938</v>
      </c>
      <c r="F205" s="132">
        <f t="shared" si="96"/>
        <v>5.5147252747252757</v>
      </c>
      <c r="G205" s="133">
        <f t="shared" si="97"/>
        <v>1.3786813186813185</v>
      </c>
      <c r="H205" s="134">
        <f t="shared" si="98"/>
        <v>6.8934065934065938</v>
      </c>
      <c r="I205" s="135"/>
      <c r="J205" s="136">
        <f t="shared" si="99"/>
        <v>2.095763736263736</v>
      </c>
      <c r="K205" s="137"/>
      <c r="L205" s="138">
        <f t="shared" si="100"/>
        <v>1.3786813186813185</v>
      </c>
      <c r="M205" s="137"/>
      <c r="N205" s="139">
        <f t="shared" si="101"/>
        <v>0</v>
      </c>
      <c r="O205" s="137"/>
      <c r="P205" s="140">
        <f t="shared" si="102"/>
        <v>0</v>
      </c>
      <c r="Q205" s="135"/>
      <c r="R205" s="104">
        <f t="shared" si="103"/>
        <v>5.5147252747252757</v>
      </c>
      <c r="S205" s="137"/>
      <c r="T205" s="141">
        <f t="shared" si="104"/>
        <v>1.3786813186813185</v>
      </c>
      <c r="U205" s="199">
        <f t="shared" si="105"/>
        <v>3.4744450549450545</v>
      </c>
      <c r="V205" s="37" t="str">
        <f t="shared" si="106"/>
        <v>ok</v>
      </c>
      <c r="W205" s="37" t="str">
        <f t="shared" si="107"/>
        <v>ok</v>
      </c>
    </row>
    <row r="206" spans="1:23" x14ac:dyDescent="0.25">
      <c r="A206" s="426"/>
      <c r="B206" s="178" t="s">
        <v>20</v>
      </c>
      <c r="C206" s="129">
        <v>9</v>
      </c>
      <c r="D206" s="130">
        <f>'2.4.5.4 Emplois ETP  base m'!D206/QTMGI</f>
        <v>7.2908703296703292</v>
      </c>
      <c r="E206" s="131">
        <f>'2.4.5.4 Emplois ETP  base m'!E206/QTMGI</f>
        <v>7.0657417582417574</v>
      </c>
      <c r="F206" s="132">
        <f t="shared" si="96"/>
        <v>5.6525934065934065</v>
      </c>
      <c r="G206" s="133">
        <f t="shared" si="97"/>
        <v>1.4131483516483512</v>
      </c>
      <c r="H206" s="134">
        <f t="shared" si="98"/>
        <v>7.0657417582417574</v>
      </c>
      <c r="I206" s="135"/>
      <c r="J206" s="136">
        <f t="shared" si="99"/>
        <v>0.22512857142857179</v>
      </c>
      <c r="K206" s="137"/>
      <c r="L206" s="138">
        <f t="shared" si="100"/>
        <v>1.4131483516483512</v>
      </c>
      <c r="M206" s="137"/>
      <c r="N206" s="139">
        <f t="shared" si="101"/>
        <v>0</v>
      </c>
      <c r="O206" s="137"/>
      <c r="P206" s="140">
        <f t="shared" si="102"/>
        <v>0</v>
      </c>
      <c r="Q206" s="135"/>
      <c r="R206" s="104">
        <f t="shared" si="103"/>
        <v>5.6525934065934065</v>
      </c>
      <c r="S206" s="137"/>
      <c r="T206" s="141">
        <f t="shared" si="104"/>
        <v>1.4131483516483512</v>
      </c>
      <c r="U206" s="199">
        <f t="shared" si="105"/>
        <v>1.638276923076923</v>
      </c>
      <c r="V206" s="37" t="str">
        <f t="shared" si="106"/>
        <v>ok</v>
      </c>
      <c r="W206" s="37" t="str">
        <f t="shared" si="107"/>
        <v>ok</v>
      </c>
    </row>
    <row r="207" spans="1:23" x14ac:dyDescent="0.25">
      <c r="A207" s="426"/>
      <c r="B207" s="178" t="s">
        <v>21</v>
      </c>
      <c r="C207" s="129">
        <v>10</v>
      </c>
      <c r="D207" s="130">
        <f>'2.4.5.4 Emplois ETP  base m'!D207/QTMGI</f>
        <v>4.2146456043956046</v>
      </c>
      <c r="E207" s="131">
        <f>'2.4.5.4 Emplois ETP  base m'!E207/QTMGI</f>
        <v>3.7913736263736255</v>
      </c>
      <c r="F207" s="132">
        <f t="shared" si="96"/>
        <v>3.0330989010989007</v>
      </c>
      <c r="G207" s="133">
        <f t="shared" si="97"/>
        <v>0.75827472527472495</v>
      </c>
      <c r="H207" s="134">
        <f t="shared" si="98"/>
        <v>3.7913736263736255</v>
      </c>
      <c r="I207" s="135"/>
      <c r="J207" s="136">
        <f t="shared" si="99"/>
        <v>0.42327197802197913</v>
      </c>
      <c r="K207" s="137"/>
      <c r="L207" s="138">
        <f t="shared" si="100"/>
        <v>0.75827472527472495</v>
      </c>
      <c r="M207" s="137"/>
      <c r="N207" s="139">
        <f t="shared" si="101"/>
        <v>0</v>
      </c>
      <c r="O207" s="137"/>
      <c r="P207" s="140">
        <f t="shared" si="102"/>
        <v>0</v>
      </c>
      <c r="Q207" s="135"/>
      <c r="R207" s="104">
        <f t="shared" si="103"/>
        <v>3.0330989010989007</v>
      </c>
      <c r="S207" s="137"/>
      <c r="T207" s="141">
        <f t="shared" si="104"/>
        <v>0.75827472527472495</v>
      </c>
      <c r="U207" s="199">
        <f t="shared" si="105"/>
        <v>1.181546703296704</v>
      </c>
      <c r="V207" s="37" t="str">
        <f t="shared" si="106"/>
        <v>ok</v>
      </c>
      <c r="W207" s="37" t="str">
        <f t="shared" si="107"/>
        <v>ok</v>
      </c>
    </row>
    <row r="208" spans="1:23" x14ac:dyDescent="0.25">
      <c r="A208" s="426"/>
      <c r="B208" s="178" t="s">
        <v>22</v>
      </c>
      <c r="C208" s="129">
        <v>11</v>
      </c>
      <c r="D208" s="130">
        <f>'2.4.5.4 Emplois ETP  base m'!D208/QTMGI</f>
        <v>3.4028208791208785</v>
      </c>
      <c r="E208" s="131">
        <f>'2.4.5.4 Emplois ETP  base m'!E208/QTMGI</f>
        <v>4.8253846153846149</v>
      </c>
      <c r="F208" s="132">
        <f t="shared" si="96"/>
        <v>3.8603076923076922</v>
      </c>
      <c r="G208" s="133">
        <f t="shared" si="97"/>
        <v>0.96507692307692272</v>
      </c>
      <c r="H208" s="134">
        <f t="shared" si="98"/>
        <v>3.4028208791208785</v>
      </c>
      <c r="I208" s="135"/>
      <c r="J208" s="136">
        <f t="shared" si="99"/>
        <v>0</v>
      </c>
      <c r="K208" s="137"/>
      <c r="L208" s="138">
        <f t="shared" si="100"/>
        <v>0</v>
      </c>
      <c r="M208" s="137"/>
      <c r="N208" s="139">
        <f t="shared" si="101"/>
        <v>0.45748681318681372</v>
      </c>
      <c r="O208" s="137"/>
      <c r="P208" s="140">
        <f t="shared" si="102"/>
        <v>0.96507692307692272</v>
      </c>
      <c r="Q208" s="135"/>
      <c r="R208" s="104">
        <f t="shared" si="103"/>
        <v>3.4028208791208785</v>
      </c>
      <c r="S208" s="137"/>
      <c r="T208" s="141">
        <f t="shared" si="104"/>
        <v>1.4225637362637364</v>
      </c>
      <c r="U208" s="199">
        <f t="shared" si="105"/>
        <v>0</v>
      </c>
      <c r="V208" s="37" t="str">
        <f t="shared" si="106"/>
        <v>ok</v>
      </c>
      <c r="W208" s="37" t="str">
        <f t="shared" si="107"/>
        <v>ok</v>
      </c>
    </row>
    <row r="209" spans="1:23" x14ac:dyDescent="0.25">
      <c r="A209" s="426"/>
      <c r="B209" s="178" t="s">
        <v>23</v>
      </c>
      <c r="C209" s="129">
        <v>12</v>
      </c>
      <c r="D209" s="130">
        <f>'2.4.5.4 Emplois ETP  base m'!D209/QTMGI</f>
        <v>6.4821560439560422</v>
      </c>
      <c r="E209" s="131">
        <f>'2.4.5.4 Emplois ETP  base m'!E209/QTMGI</f>
        <v>6.5487362637362629</v>
      </c>
      <c r="F209" s="132">
        <f t="shared" si="96"/>
        <v>5.2389890109890107</v>
      </c>
      <c r="G209" s="133">
        <f t="shared" si="97"/>
        <v>1.3097472527472522</v>
      </c>
      <c r="H209" s="134">
        <f t="shared" si="98"/>
        <v>6.4821560439560422</v>
      </c>
      <c r="I209" s="135"/>
      <c r="J209" s="136">
        <f t="shared" si="99"/>
        <v>0</v>
      </c>
      <c r="K209" s="137"/>
      <c r="L209" s="138">
        <f t="shared" si="100"/>
        <v>1.2431670329670315</v>
      </c>
      <c r="M209" s="137"/>
      <c r="N209" s="139">
        <f t="shared" si="101"/>
        <v>0</v>
      </c>
      <c r="O209" s="137"/>
      <c r="P209" s="140">
        <f t="shared" si="102"/>
        <v>6.6580219780220773E-2</v>
      </c>
      <c r="Q209" s="135"/>
      <c r="R209" s="104">
        <f t="shared" si="103"/>
        <v>5.2389890109890107</v>
      </c>
      <c r="S209" s="137"/>
      <c r="T209" s="141">
        <f t="shared" si="104"/>
        <v>1.3097472527472522</v>
      </c>
      <c r="U209" s="199">
        <f t="shared" si="105"/>
        <v>1.2431670329670315</v>
      </c>
      <c r="V209" s="37" t="str">
        <f t="shared" si="106"/>
        <v>ok</v>
      </c>
      <c r="W209" s="37" t="str">
        <f t="shared" si="107"/>
        <v>ok</v>
      </c>
    </row>
    <row r="210" spans="1:23" x14ac:dyDescent="0.25">
      <c r="A210" s="426"/>
      <c r="B210" s="178" t="s">
        <v>19</v>
      </c>
      <c r="C210" s="129">
        <v>15</v>
      </c>
      <c r="D210" s="130">
        <f>'2.4.5.4 Emplois ETP  base m'!D210/QTMGI</f>
        <v>5.6330060439560441</v>
      </c>
      <c r="E210" s="131">
        <f>'2.4.5.4 Emplois ETP  base m'!E210/QTMGI</f>
        <v>10.340109890109888</v>
      </c>
      <c r="F210" s="132">
        <f t="shared" si="96"/>
        <v>8.2720879120879101</v>
      </c>
      <c r="G210" s="133">
        <f t="shared" si="97"/>
        <v>2.0680219780219771</v>
      </c>
      <c r="H210" s="134">
        <f t="shared" si="98"/>
        <v>5.6330060439560441</v>
      </c>
      <c r="I210" s="135"/>
      <c r="J210" s="136">
        <f t="shared" si="99"/>
        <v>0</v>
      </c>
      <c r="K210" s="137"/>
      <c r="L210" s="138">
        <f t="shared" si="100"/>
        <v>0</v>
      </c>
      <c r="M210" s="137"/>
      <c r="N210" s="139">
        <f t="shared" si="101"/>
        <v>2.639081868131866</v>
      </c>
      <c r="O210" s="137"/>
      <c r="P210" s="140">
        <f t="shared" si="102"/>
        <v>2.0680219780219771</v>
      </c>
      <c r="Q210" s="135"/>
      <c r="R210" s="104">
        <f t="shared" si="103"/>
        <v>5.6330060439560441</v>
      </c>
      <c r="S210" s="137"/>
      <c r="T210" s="141">
        <f t="shared" si="104"/>
        <v>4.707103846153843</v>
      </c>
      <c r="U210" s="199">
        <f t="shared" si="105"/>
        <v>0</v>
      </c>
      <c r="V210" s="37" t="str">
        <f t="shared" si="106"/>
        <v>ok</v>
      </c>
      <c r="W210" s="37" t="str">
        <f t="shared" si="107"/>
        <v>ok</v>
      </c>
    </row>
    <row r="211" spans="1:23" x14ac:dyDescent="0.25">
      <c r="A211" s="426"/>
      <c r="B211" s="178" t="s">
        <v>20</v>
      </c>
      <c r="C211" s="129">
        <v>16</v>
      </c>
      <c r="D211" s="130">
        <f>'2.4.5.4 Emplois ETP  base m'!D211/QTMGI</f>
        <v>4.4230450549450557</v>
      </c>
      <c r="E211" s="131">
        <f>'2.4.5.4 Emplois ETP  base m'!E211/QTMGI</f>
        <v>7.9274175824175819</v>
      </c>
      <c r="F211" s="132">
        <f t="shared" si="96"/>
        <v>6.3419340659340655</v>
      </c>
      <c r="G211" s="133">
        <f t="shared" si="97"/>
        <v>1.5854835164835159</v>
      </c>
      <c r="H211" s="134">
        <f t="shared" si="98"/>
        <v>4.4230450549450557</v>
      </c>
      <c r="I211" s="135"/>
      <c r="J211" s="136">
        <f t="shared" si="99"/>
        <v>0</v>
      </c>
      <c r="K211" s="137"/>
      <c r="L211" s="138">
        <f t="shared" si="100"/>
        <v>0</v>
      </c>
      <c r="M211" s="137"/>
      <c r="N211" s="139">
        <f t="shared" si="101"/>
        <v>1.9188890109890098</v>
      </c>
      <c r="O211" s="137"/>
      <c r="P211" s="140">
        <f t="shared" si="102"/>
        <v>1.5854835164835159</v>
      </c>
      <c r="Q211" s="135"/>
      <c r="R211" s="104">
        <f t="shared" si="103"/>
        <v>4.4230450549450557</v>
      </c>
      <c r="S211" s="137"/>
      <c r="T211" s="141">
        <f t="shared" si="104"/>
        <v>3.5043725274725257</v>
      </c>
      <c r="U211" s="199">
        <f t="shared" si="105"/>
        <v>0</v>
      </c>
      <c r="V211" s="37" t="str">
        <f t="shared" si="106"/>
        <v>ok</v>
      </c>
      <c r="W211" s="37" t="str">
        <f t="shared" si="107"/>
        <v>ok</v>
      </c>
    </row>
    <row r="212" spans="1:23" x14ac:dyDescent="0.25">
      <c r="A212" s="426"/>
      <c r="B212" s="178" t="s">
        <v>21</v>
      </c>
      <c r="C212" s="129">
        <v>17</v>
      </c>
      <c r="D212" s="130">
        <f>'2.4.5.4 Emplois ETP  base m'!D212/QTMGI</f>
        <v>1.9346934065934061</v>
      </c>
      <c r="E212" s="131">
        <f>'2.4.5.4 Emplois ETP  base m'!E212/QTMGI</f>
        <v>3.7913736263736255</v>
      </c>
      <c r="F212" s="132">
        <f t="shared" si="96"/>
        <v>3.0330989010989007</v>
      </c>
      <c r="G212" s="133">
        <f t="shared" si="97"/>
        <v>0.75827472527472495</v>
      </c>
      <c r="H212" s="134">
        <f t="shared" si="98"/>
        <v>1.9346934065934061</v>
      </c>
      <c r="I212" s="135"/>
      <c r="J212" s="136">
        <f t="shared" si="99"/>
        <v>0</v>
      </c>
      <c r="K212" s="137"/>
      <c r="L212" s="138">
        <f t="shared" si="100"/>
        <v>0</v>
      </c>
      <c r="M212" s="137"/>
      <c r="N212" s="139">
        <f t="shared" si="101"/>
        <v>1.0984054945054946</v>
      </c>
      <c r="O212" s="137"/>
      <c r="P212" s="140">
        <f t="shared" si="102"/>
        <v>0.75827472527472495</v>
      </c>
      <c r="Q212" s="135"/>
      <c r="R212" s="104">
        <f t="shared" si="103"/>
        <v>1.9346934065934061</v>
      </c>
      <c r="S212" s="137"/>
      <c r="T212" s="141">
        <f t="shared" si="104"/>
        <v>1.8566802197802197</v>
      </c>
      <c r="U212" s="199">
        <f t="shared" si="105"/>
        <v>0</v>
      </c>
      <c r="V212" s="37" t="str">
        <f t="shared" si="106"/>
        <v>ok</v>
      </c>
      <c r="W212" s="37" t="str">
        <f t="shared" si="107"/>
        <v>ok</v>
      </c>
    </row>
    <row r="213" spans="1:23" x14ac:dyDescent="0.25">
      <c r="A213" s="426"/>
      <c r="B213" s="178" t="s">
        <v>22</v>
      </c>
      <c r="C213" s="129">
        <v>18</v>
      </c>
      <c r="D213" s="130">
        <f>'2.4.5.4 Emplois ETP  base m'!D213/QTMGI</f>
        <v>1.3499307692307692</v>
      </c>
      <c r="E213" s="131">
        <f>'2.4.5.4 Emplois ETP  base m'!E213/QTMGI</f>
        <v>6.3764010989010984</v>
      </c>
      <c r="F213" s="132">
        <f t="shared" si="96"/>
        <v>5.1011208791208791</v>
      </c>
      <c r="G213" s="133">
        <f t="shared" si="97"/>
        <v>1.2752802197802193</v>
      </c>
      <c r="H213" s="134">
        <f t="shared" si="98"/>
        <v>1.3499307692307692</v>
      </c>
      <c r="I213" s="135"/>
      <c r="J213" s="136">
        <f t="shared" si="99"/>
        <v>0</v>
      </c>
      <c r="K213" s="137"/>
      <c r="L213" s="138">
        <f t="shared" si="100"/>
        <v>0</v>
      </c>
      <c r="M213" s="137"/>
      <c r="N213" s="139">
        <f t="shared" si="101"/>
        <v>3.7511901098901097</v>
      </c>
      <c r="O213" s="137"/>
      <c r="P213" s="140">
        <f t="shared" si="102"/>
        <v>1.2752802197802193</v>
      </c>
      <c r="Q213" s="135"/>
      <c r="R213" s="104">
        <f t="shared" si="103"/>
        <v>1.3499307692307692</v>
      </c>
      <c r="S213" s="137"/>
      <c r="T213" s="141">
        <f t="shared" si="104"/>
        <v>5.026470329670329</v>
      </c>
      <c r="U213" s="199">
        <f t="shared" si="105"/>
        <v>0</v>
      </c>
      <c r="V213" s="37" t="str">
        <f t="shared" si="106"/>
        <v>ok</v>
      </c>
      <c r="W213" s="37" t="str">
        <f t="shared" si="107"/>
        <v>ok</v>
      </c>
    </row>
    <row r="214" spans="1:23" x14ac:dyDescent="0.25">
      <c r="A214" s="426"/>
      <c r="B214" s="178" t="s">
        <v>23</v>
      </c>
      <c r="C214" s="129">
        <v>19</v>
      </c>
      <c r="D214" s="130">
        <f>'2.4.5.4 Emplois ETP  base m'!D214/QTMGI</f>
        <v>2.7993956043956043</v>
      </c>
      <c r="E214" s="131">
        <f>'2.4.5.4 Emplois ETP  base m'!E214/QTMGI</f>
        <v>7.582747252747251</v>
      </c>
      <c r="F214" s="132">
        <f t="shared" si="96"/>
        <v>6.0661978021978014</v>
      </c>
      <c r="G214" s="133">
        <f t="shared" si="97"/>
        <v>1.5165494505494499</v>
      </c>
      <c r="H214" s="134">
        <f t="shared" si="98"/>
        <v>2.7993956043956043</v>
      </c>
      <c r="I214" s="135"/>
      <c r="J214" s="136">
        <f t="shared" si="99"/>
        <v>0</v>
      </c>
      <c r="K214" s="137"/>
      <c r="L214" s="138">
        <f t="shared" si="100"/>
        <v>0</v>
      </c>
      <c r="M214" s="137"/>
      <c r="N214" s="139">
        <f t="shared" si="101"/>
        <v>3.266802197802197</v>
      </c>
      <c r="O214" s="137"/>
      <c r="P214" s="140">
        <f t="shared" si="102"/>
        <v>1.5165494505494499</v>
      </c>
      <c r="Q214" s="135"/>
      <c r="R214" s="104">
        <f t="shared" si="103"/>
        <v>2.7993956043956043</v>
      </c>
      <c r="S214" s="137"/>
      <c r="T214" s="141">
        <f t="shared" si="104"/>
        <v>4.7833516483516467</v>
      </c>
      <c r="U214" s="199">
        <f t="shared" si="105"/>
        <v>0</v>
      </c>
      <c r="V214" s="37" t="str">
        <f t="shared" si="106"/>
        <v>ok</v>
      </c>
      <c r="W214" s="37" t="str">
        <f t="shared" si="107"/>
        <v>ok</v>
      </c>
    </row>
    <row r="215" spans="1:23" x14ac:dyDescent="0.25">
      <c r="A215" s="426"/>
      <c r="B215" s="178" t="s">
        <v>19</v>
      </c>
      <c r="C215" s="129">
        <v>22</v>
      </c>
      <c r="D215" s="130">
        <f>'2.4.5.4 Emplois ETP  base m'!D215/QTMGI</f>
        <v>11.234907692307694</v>
      </c>
      <c r="E215" s="131">
        <f>'2.4.5.4 Emplois ETP  base m'!E215/QTMGI</f>
        <v>8.5305906593406586</v>
      </c>
      <c r="F215" s="132">
        <f t="shared" si="96"/>
        <v>6.8244725274725271</v>
      </c>
      <c r="G215" s="133">
        <f t="shared" si="97"/>
        <v>1.7061181318681313</v>
      </c>
      <c r="H215" s="134">
        <f t="shared" si="98"/>
        <v>8.5305906593406586</v>
      </c>
      <c r="I215" s="135"/>
      <c r="J215" s="136">
        <f t="shared" si="99"/>
        <v>2.704317032967035</v>
      </c>
      <c r="K215" s="137"/>
      <c r="L215" s="138">
        <f t="shared" si="100"/>
        <v>1.7061181318681313</v>
      </c>
      <c r="M215" s="137"/>
      <c r="N215" s="139">
        <f t="shared" si="101"/>
        <v>0</v>
      </c>
      <c r="O215" s="137"/>
      <c r="P215" s="140">
        <f t="shared" si="102"/>
        <v>0</v>
      </c>
      <c r="Q215" s="135"/>
      <c r="R215" s="104">
        <f t="shared" si="103"/>
        <v>6.8244725274725271</v>
      </c>
      <c r="S215" s="137"/>
      <c r="T215" s="141">
        <f t="shared" si="104"/>
        <v>1.7061181318681313</v>
      </c>
      <c r="U215" s="199">
        <f t="shared" si="105"/>
        <v>4.4104351648351665</v>
      </c>
      <c r="V215" s="37" t="str">
        <f t="shared" si="106"/>
        <v>ok</v>
      </c>
      <c r="W215" s="37" t="str">
        <f t="shared" si="107"/>
        <v>ok</v>
      </c>
    </row>
    <row r="216" spans="1:23" x14ac:dyDescent="0.25">
      <c r="A216" s="426"/>
      <c r="B216" s="178" t="s">
        <v>20</v>
      </c>
      <c r="C216" s="129">
        <v>23</v>
      </c>
      <c r="D216" s="130">
        <f>'2.4.5.4 Emplois ETP  base m'!D216/QTMGI</f>
        <v>9.1446923076923063</v>
      </c>
      <c r="E216" s="131">
        <f>'2.4.5.4 Emplois ETP  base m'!E216/QTMGI</f>
        <v>5.4044307692307676</v>
      </c>
      <c r="F216" s="132">
        <f t="shared" si="96"/>
        <v>4.3235446153846144</v>
      </c>
      <c r="G216" s="133">
        <f t="shared" si="97"/>
        <v>1.0808861538461534</v>
      </c>
      <c r="H216" s="134">
        <f t="shared" si="98"/>
        <v>5.4044307692307676</v>
      </c>
      <c r="I216" s="135"/>
      <c r="J216" s="136">
        <f t="shared" si="99"/>
        <v>3.7402615384615387</v>
      </c>
      <c r="K216" s="137"/>
      <c r="L216" s="138">
        <f t="shared" si="100"/>
        <v>1.0808861538461534</v>
      </c>
      <c r="M216" s="137"/>
      <c r="N216" s="139">
        <f t="shared" si="101"/>
        <v>0</v>
      </c>
      <c r="O216" s="137"/>
      <c r="P216" s="140">
        <f t="shared" si="102"/>
        <v>0</v>
      </c>
      <c r="Q216" s="135"/>
      <c r="R216" s="104">
        <f t="shared" si="103"/>
        <v>4.3235446153846144</v>
      </c>
      <c r="S216" s="137"/>
      <c r="T216" s="141">
        <f t="shared" si="104"/>
        <v>1.0808861538461534</v>
      </c>
      <c r="U216" s="199">
        <f t="shared" si="105"/>
        <v>4.8211476923076919</v>
      </c>
      <c r="V216" s="37" t="str">
        <f t="shared" si="106"/>
        <v>ok</v>
      </c>
      <c r="W216" s="37" t="str">
        <f t="shared" si="107"/>
        <v>ok</v>
      </c>
    </row>
    <row r="217" spans="1:23" x14ac:dyDescent="0.25">
      <c r="A217" s="426"/>
      <c r="B217" s="178" t="s">
        <v>21</v>
      </c>
      <c r="C217" s="129">
        <v>24</v>
      </c>
      <c r="D217" s="130">
        <f>'2.4.5.4 Emplois ETP  base m'!D217/QTMGI</f>
        <v>5.2690846153846147</v>
      </c>
      <c r="E217" s="131">
        <f>'2.4.5.4 Emplois ETP  base m'!E217/QTMGI</f>
        <v>2.5609005494505488</v>
      </c>
      <c r="F217" s="132">
        <f t="shared" si="96"/>
        <v>2.048720439560439</v>
      </c>
      <c r="G217" s="133">
        <f t="shared" si="97"/>
        <v>0.51218010989010965</v>
      </c>
      <c r="H217" s="134">
        <f t="shared" si="98"/>
        <v>2.5609005494505488</v>
      </c>
      <c r="I217" s="135"/>
      <c r="J217" s="136">
        <f t="shared" si="99"/>
        <v>2.7081840659340659</v>
      </c>
      <c r="K217" s="137"/>
      <c r="L217" s="138">
        <f t="shared" si="100"/>
        <v>0.51218010989010965</v>
      </c>
      <c r="M217" s="137"/>
      <c r="N217" s="139">
        <f t="shared" si="101"/>
        <v>0</v>
      </c>
      <c r="O217" s="137"/>
      <c r="P217" s="140">
        <f t="shared" si="102"/>
        <v>0</v>
      </c>
      <c r="Q217" s="135"/>
      <c r="R217" s="104">
        <f t="shared" si="103"/>
        <v>2.048720439560439</v>
      </c>
      <c r="S217" s="137"/>
      <c r="T217" s="141">
        <f t="shared" si="104"/>
        <v>0.51218010989010965</v>
      </c>
      <c r="U217" s="199">
        <f t="shared" si="105"/>
        <v>3.2203641758241757</v>
      </c>
      <c r="V217" s="37" t="str">
        <f t="shared" si="106"/>
        <v>ok</v>
      </c>
      <c r="W217" s="37" t="str">
        <f t="shared" si="107"/>
        <v>ok</v>
      </c>
    </row>
    <row r="218" spans="1:23" x14ac:dyDescent="0.25">
      <c r="A218" s="426"/>
      <c r="B218" s="178" t="s">
        <v>22</v>
      </c>
      <c r="C218" s="129">
        <v>25</v>
      </c>
      <c r="D218" s="130">
        <f>'2.4.5.4 Emplois ETP  base m'!D218/QTMGI</f>
        <v>4.3141796703296702</v>
      </c>
      <c r="E218" s="131">
        <f>'2.4.5.4 Emplois ETP  base m'!E218/QTMGI</f>
        <v>3.4122362637362631</v>
      </c>
      <c r="F218" s="132">
        <f t="shared" si="96"/>
        <v>2.7297890109890108</v>
      </c>
      <c r="G218" s="133">
        <f t="shared" si="97"/>
        <v>0.68244725274725249</v>
      </c>
      <c r="H218" s="134">
        <f t="shared" si="98"/>
        <v>3.4122362637362631</v>
      </c>
      <c r="I218" s="135"/>
      <c r="J218" s="136">
        <f t="shared" si="99"/>
        <v>0.9019434065934071</v>
      </c>
      <c r="K218" s="137"/>
      <c r="L218" s="138">
        <f t="shared" si="100"/>
        <v>0.68244725274725249</v>
      </c>
      <c r="M218" s="137"/>
      <c r="N218" s="139">
        <f t="shared" si="101"/>
        <v>0</v>
      </c>
      <c r="O218" s="137"/>
      <c r="P218" s="140">
        <f t="shared" si="102"/>
        <v>0</v>
      </c>
      <c r="Q218" s="135"/>
      <c r="R218" s="104">
        <f t="shared" si="103"/>
        <v>2.7297890109890108</v>
      </c>
      <c r="S218" s="137"/>
      <c r="T218" s="141">
        <f t="shared" si="104"/>
        <v>0.68244725274725249</v>
      </c>
      <c r="U218" s="199">
        <f t="shared" si="105"/>
        <v>1.5843906593406596</v>
      </c>
      <c r="V218" s="37" t="str">
        <f t="shared" si="106"/>
        <v>ok</v>
      </c>
      <c r="W218" s="37" t="str">
        <f t="shared" si="107"/>
        <v>ok</v>
      </c>
    </row>
    <row r="219" spans="1:23" x14ac:dyDescent="0.25">
      <c r="A219" s="426"/>
      <c r="B219" s="178" t="s">
        <v>23</v>
      </c>
      <c r="C219" s="129">
        <v>26</v>
      </c>
      <c r="D219" s="130">
        <f>'2.4.5.4 Emplois ETP  base m'!D219/QTMGI</f>
        <v>8.1026950549450554</v>
      </c>
      <c r="E219" s="131">
        <f>'2.4.5.4 Emplois ETP  base m'!E219/QTMGI</f>
        <v>5.4044307692307676</v>
      </c>
      <c r="F219" s="132">
        <f t="shared" si="96"/>
        <v>4.3235446153846144</v>
      </c>
      <c r="G219" s="133">
        <f t="shared" si="97"/>
        <v>1.0808861538461534</v>
      </c>
      <c r="H219" s="134">
        <f t="shared" si="98"/>
        <v>5.4044307692307676</v>
      </c>
      <c r="I219" s="135"/>
      <c r="J219" s="136">
        <f t="shared" si="99"/>
        <v>2.6982642857142878</v>
      </c>
      <c r="K219" s="137"/>
      <c r="L219" s="138">
        <f t="shared" si="100"/>
        <v>1.0808861538461534</v>
      </c>
      <c r="M219" s="137"/>
      <c r="N219" s="139">
        <f t="shared" si="101"/>
        <v>0</v>
      </c>
      <c r="O219" s="137"/>
      <c r="P219" s="140">
        <f t="shared" si="102"/>
        <v>0</v>
      </c>
      <c r="Q219" s="135"/>
      <c r="R219" s="104">
        <f t="shared" si="103"/>
        <v>4.3235446153846144</v>
      </c>
      <c r="S219" s="137"/>
      <c r="T219" s="141">
        <f t="shared" si="104"/>
        <v>1.0808861538461534</v>
      </c>
      <c r="U219" s="199">
        <f t="shared" si="105"/>
        <v>3.7791504395604409</v>
      </c>
      <c r="V219" s="37" t="str">
        <f t="shared" si="106"/>
        <v>ok</v>
      </c>
      <c r="W219" s="37" t="str">
        <f t="shared" si="107"/>
        <v>ok</v>
      </c>
    </row>
    <row r="220" spans="1:23" x14ac:dyDescent="0.25">
      <c r="A220" s="426"/>
      <c r="B220" s="178" t="s">
        <v>19</v>
      </c>
      <c r="C220" s="129">
        <v>29</v>
      </c>
      <c r="D220" s="130">
        <f>'2.4.5.4 Emplois ETP  base m'!D220/QTMGI</f>
        <v>13.480645054945056</v>
      </c>
      <c r="E220" s="131">
        <f>'2.4.5.4 Emplois ETP  base m'!E220/QTMGI</f>
        <v>10.340109890109888</v>
      </c>
      <c r="F220" s="132">
        <f t="shared" si="96"/>
        <v>8.2720879120879101</v>
      </c>
      <c r="G220" s="133">
        <f t="shared" si="97"/>
        <v>2.0680219780219771</v>
      </c>
      <c r="H220" s="134">
        <f t="shared" si="98"/>
        <v>10.340109890109888</v>
      </c>
      <c r="I220" s="135"/>
      <c r="J220" s="136">
        <f t="shared" si="99"/>
        <v>3.1405351648351676</v>
      </c>
      <c r="K220" s="137"/>
      <c r="L220" s="138">
        <f t="shared" si="100"/>
        <v>2.0680219780219771</v>
      </c>
      <c r="M220" s="137"/>
      <c r="N220" s="139">
        <f t="shared" si="101"/>
        <v>0</v>
      </c>
      <c r="O220" s="137"/>
      <c r="P220" s="140">
        <f t="shared" si="102"/>
        <v>0</v>
      </c>
      <c r="Q220" s="135"/>
      <c r="R220" s="104">
        <f t="shared" si="103"/>
        <v>8.2720879120879118</v>
      </c>
      <c r="S220" s="137"/>
      <c r="T220" s="141">
        <f t="shared" si="104"/>
        <v>2.0680219780219771</v>
      </c>
      <c r="U220" s="199">
        <f t="shared" si="105"/>
        <v>5.2085571428571447</v>
      </c>
      <c r="V220" s="37" t="str">
        <f t="shared" si="106"/>
        <v>ok</v>
      </c>
      <c r="W220" s="37" t="str">
        <f t="shared" si="107"/>
        <v>ok</v>
      </c>
    </row>
    <row r="221" spans="1:23" x14ac:dyDescent="0.25">
      <c r="A221" s="426"/>
      <c r="B221" s="178" t="s">
        <v>20</v>
      </c>
      <c r="C221" s="129">
        <v>30</v>
      </c>
      <c r="D221" s="130">
        <f>'2.4.5.4 Emplois ETP  base m'!D221/QTMGI</f>
        <v>10.936305494505492</v>
      </c>
      <c r="E221" s="131">
        <f>'2.4.5.4 Emplois ETP  base m'!E221/QTMGI</f>
        <v>7.2380769230769202</v>
      </c>
      <c r="F221" s="132">
        <f t="shared" si="96"/>
        <v>5.7904615384615363</v>
      </c>
      <c r="G221" s="133">
        <f t="shared" si="97"/>
        <v>1.4476153846153836</v>
      </c>
      <c r="H221" s="134">
        <f t="shared" si="98"/>
        <v>7.2380769230769202</v>
      </c>
      <c r="I221" s="135"/>
      <c r="J221" s="136">
        <f t="shared" si="99"/>
        <v>3.6982285714285714</v>
      </c>
      <c r="K221" s="137"/>
      <c r="L221" s="138">
        <f t="shared" si="100"/>
        <v>1.4476153846153836</v>
      </c>
      <c r="M221" s="137"/>
      <c r="N221" s="139">
        <f t="shared" si="101"/>
        <v>0</v>
      </c>
      <c r="O221" s="137"/>
      <c r="P221" s="140">
        <f t="shared" si="102"/>
        <v>0</v>
      </c>
      <c r="Q221" s="135"/>
      <c r="R221" s="104">
        <f t="shared" si="103"/>
        <v>5.7904615384615363</v>
      </c>
      <c r="S221" s="137"/>
      <c r="T221" s="141">
        <f t="shared" si="104"/>
        <v>1.4476153846153836</v>
      </c>
      <c r="U221" s="199">
        <f t="shared" si="105"/>
        <v>5.1458439560439553</v>
      </c>
      <c r="V221" s="37" t="str">
        <f t="shared" si="106"/>
        <v>ok</v>
      </c>
      <c r="W221" s="37" t="str">
        <f t="shared" si="107"/>
        <v>ok</v>
      </c>
    </row>
    <row r="222" spans="1:23" ht="15.75" thickBot="1" x14ac:dyDescent="0.3">
      <c r="A222" s="427"/>
      <c r="B222" s="277" t="s">
        <v>21</v>
      </c>
      <c r="C222" s="165">
        <v>31</v>
      </c>
      <c r="D222" s="202">
        <f>'2.4.5.4 Emplois ETP  base m'!D222/QTMGI</f>
        <v>6.3235236263736265</v>
      </c>
      <c r="E222" s="203">
        <f>'2.4.5.4 Emplois ETP  base m'!E222/QTMGI</f>
        <v>3.4467032967032969</v>
      </c>
      <c r="F222" s="204">
        <f t="shared" si="96"/>
        <v>2.7573626373626379</v>
      </c>
      <c r="G222" s="205">
        <f t="shared" si="97"/>
        <v>0.68934065934065925</v>
      </c>
      <c r="H222" s="206">
        <f t="shared" si="98"/>
        <v>3.4467032967032969</v>
      </c>
      <c r="I222" s="207"/>
      <c r="J222" s="208">
        <f t="shared" si="99"/>
        <v>2.8768203296703296</v>
      </c>
      <c r="K222" s="209"/>
      <c r="L222" s="210">
        <f t="shared" si="100"/>
        <v>0.68934065934065925</v>
      </c>
      <c r="M222" s="209"/>
      <c r="N222" s="211">
        <f t="shared" si="101"/>
        <v>0</v>
      </c>
      <c r="O222" s="209"/>
      <c r="P222" s="212">
        <f t="shared" si="102"/>
        <v>0</v>
      </c>
      <c r="Q222" s="207"/>
      <c r="R222" s="213">
        <f t="shared" si="103"/>
        <v>2.7573626373626379</v>
      </c>
      <c r="S222" s="209"/>
      <c r="T222" s="214">
        <f t="shared" si="104"/>
        <v>0.68934065934065925</v>
      </c>
      <c r="U222" s="215">
        <f t="shared" si="105"/>
        <v>3.5661609890109887</v>
      </c>
      <c r="V222" s="37" t="str">
        <f t="shared" si="106"/>
        <v>ok</v>
      </c>
      <c r="W222" s="37" t="str">
        <f t="shared" si="107"/>
        <v>ok</v>
      </c>
    </row>
    <row r="223" spans="1:23" x14ac:dyDescent="0.25">
      <c r="A223" s="425" t="s">
        <v>99</v>
      </c>
      <c r="B223" s="276" t="s">
        <v>22</v>
      </c>
      <c r="C223" s="247">
        <v>1</v>
      </c>
      <c r="D223" s="184">
        <f>'2.4.5.4 Emplois ETP  base m'!D223/QTMGI</f>
        <v>4.6647379780219778</v>
      </c>
      <c r="E223" s="185">
        <f>'2.4.5.4 Emplois ETP  base m'!E223/QTMGI</f>
        <v>19.723885714285711</v>
      </c>
      <c r="F223" s="186">
        <f t="shared" si="96"/>
        <v>15.779108571428569</v>
      </c>
      <c r="G223" s="187">
        <f t="shared" si="97"/>
        <v>3.9447771428571414</v>
      </c>
      <c r="H223" s="188">
        <f>IF(E223&gt;D223,D223,E223)</f>
        <v>4.6647379780219778</v>
      </c>
      <c r="I223" s="189"/>
      <c r="J223" s="190">
        <f>IF(E223&gt;D223,0,D223-E223)</f>
        <v>0</v>
      </c>
      <c r="K223" s="191"/>
      <c r="L223" s="192">
        <f>IF(E223&gt;D223,IF(F223&gt;H223,0,H223-F223),G223)</f>
        <v>0</v>
      </c>
      <c r="M223" s="191"/>
      <c r="N223" s="193">
        <f>IF(E223&gt;D223,IF(F223&gt;H223,F223-H223,0),0)</f>
        <v>11.114370593406591</v>
      </c>
      <c r="O223" s="191"/>
      <c r="P223" s="194">
        <f>IF(E223&gt;D223,IF(F223&gt;H223,G223,E223-H223),0)</f>
        <v>3.9447771428571414</v>
      </c>
      <c r="Q223" s="189"/>
      <c r="R223" s="195">
        <f>H223-L223</f>
        <v>4.6647379780219778</v>
      </c>
      <c r="S223" s="191"/>
      <c r="T223" s="196">
        <f>L223+N223+P223</f>
        <v>15.059147736263732</v>
      </c>
      <c r="U223" s="197">
        <f>J223+L223</f>
        <v>0</v>
      </c>
      <c r="V223" s="37" t="str">
        <f>IF(R223+T223=E223,"ok","bad")</f>
        <v>ok</v>
      </c>
      <c r="W223" s="37" t="str">
        <f>IF(U223+R223=D223,"ok","bad")</f>
        <v>ok</v>
      </c>
    </row>
    <row r="224" spans="1:23" x14ac:dyDescent="0.25">
      <c r="A224" s="426"/>
      <c r="B224" s="178" t="s">
        <v>23</v>
      </c>
      <c r="C224" s="129">
        <v>2</v>
      </c>
      <c r="D224" s="130">
        <f>'2.4.5.4 Emplois ETP  base m'!D224/QTMGI</f>
        <v>3.6627594725274717</v>
      </c>
      <c r="E224" s="131">
        <f>'2.4.5.4 Emplois ETP  base m'!E224/QTMGI</f>
        <v>14.464182857142857</v>
      </c>
      <c r="F224" s="132">
        <f t="shared" si="96"/>
        <v>11.571346285714286</v>
      </c>
      <c r="G224" s="133">
        <f t="shared" si="97"/>
        <v>2.8928365714285706</v>
      </c>
      <c r="H224" s="134">
        <f t="shared" ref="H224:H244" si="108">IF(E224&gt;D224,D224,E224)</f>
        <v>3.6627594725274717</v>
      </c>
      <c r="I224" s="135"/>
      <c r="J224" s="136">
        <f t="shared" ref="J224:J244" si="109">IF(E224&gt;D224,0,D224-E224)</f>
        <v>0</v>
      </c>
      <c r="K224" s="137"/>
      <c r="L224" s="138">
        <f t="shared" ref="L224:L244" si="110">IF(E224&gt;D224,IF(F224&gt;H224,0,H224-F224),G224)</f>
        <v>0</v>
      </c>
      <c r="M224" s="137"/>
      <c r="N224" s="139">
        <f t="shared" ref="N224:N244" si="111">IF(E224&gt;D224,IF(F224&gt;H224,F224-H224,0),0)</f>
        <v>7.9085868131868144</v>
      </c>
      <c r="O224" s="137"/>
      <c r="P224" s="140">
        <f t="shared" ref="P224:P244" si="112">IF(E224&gt;D224,IF(F224&gt;H224,G224,E224-H224),0)</f>
        <v>2.8928365714285706</v>
      </c>
      <c r="Q224" s="135"/>
      <c r="R224" s="104">
        <f t="shared" ref="R224:R244" si="113">H224-L224</f>
        <v>3.6627594725274717</v>
      </c>
      <c r="S224" s="137"/>
      <c r="T224" s="141">
        <f t="shared" ref="T224:T244" si="114">L224+N224+P224</f>
        <v>10.801423384615385</v>
      </c>
      <c r="U224" s="199">
        <f t="shared" ref="U224:U244" si="115">J224+L224</f>
        <v>0</v>
      </c>
      <c r="V224" s="37" t="str">
        <f t="shared" ref="V224:V244" si="116">IF(R224+T224=E224,"ok","bad")</f>
        <v>ok</v>
      </c>
      <c r="W224" s="37" t="str">
        <f t="shared" ref="W224:W244" si="117">IF(U224+R224=D224,"ok","bad")</f>
        <v>ok</v>
      </c>
    </row>
    <row r="225" spans="1:23" x14ac:dyDescent="0.25">
      <c r="A225" s="426"/>
      <c r="B225" s="178" t="s">
        <v>19</v>
      </c>
      <c r="C225" s="129">
        <v>5</v>
      </c>
      <c r="D225" s="130">
        <f>'2.4.5.4 Emplois ETP  base m'!D225/QTMGI</f>
        <v>1.6021352967032967</v>
      </c>
      <c r="E225" s="131">
        <f>'2.4.5.4 Emplois ETP  base m'!E225/QTMGI</f>
        <v>5.917165714285713</v>
      </c>
      <c r="F225" s="132">
        <f t="shared" si="96"/>
        <v>4.733732571428571</v>
      </c>
      <c r="G225" s="133">
        <f t="shared" si="97"/>
        <v>1.1834331428571423</v>
      </c>
      <c r="H225" s="134">
        <f t="shared" si="108"/>
        <v>1.6021352967032967</v>
      </c>
      <c r="I225" s="135"/>
      <c r="J225" s="136">
        <f t="shared" si="109"/>
        <v>0</v>
      </c>
      <c r="K225" s="137"/>
      <c r="L225" s="138">
        <f t="shared" si="110"/>
        <v>0</v>
      </c>
      <c r="M225" s="137"/>
      <c r="N225" s="139">
        <f t="shared" si="111"/>
        <v>3.1315972747252743</v>
      </c>
      <c r="O225" s="137"/>
      <c r="P225" s="140">
        <f t="shared" si="112"/>
        <v>1.1834331428571423</v>
      </c>
      <c r="Q225" s="135"/>
      <c r="R225" s="104">
        <f t="shared" si="113"/>
        <v>1.6021352967032967</v>
      </c>
      <c r="S225" s="137"/>
      <c r="T225" s="141">
        <f t="shared" si="114"/>
        <v>4.3150304175824168</v>
      </c>
      <c r="U225" s="199">
        <f t="shared" si="115"/>
        <v>0</v>
      </c>
      <c r="V225" s="37" t="str">
        <f t="shared" si="116"/>
        <v>ok</v>
      </c>
      <c r="W225" s="37" t="str">
        <f t="shared" si="117"/>
        <v>ok</v>
      </c>
    </row>
    <row r="226" spans="1:23" x14ac:dyDescent="0.25">
      <c r="A226" s="426"/>
      <c r="B226" s="178" t="s">
        <v>20</v>
      </c>
      <c r="C226" s="129">
        <v>6</v>
      </c>
      <c r="D226" s="130">
        <f>'2.4.5.4 Emplois ETP  base m'!D226/QTMGI</f>
        <v>1.1178886153846153</v>
      </c>
      <c r="E226" s="131">
        <f>'2.4.5.4 Emplois ETP  base m'!E226/QTMGI</f>
        <v>8.8757485714285735</v>
      </c>
      <c r="F226" s="132">
        <f t="shared" si="96"/>
        <v>7.1005988571428595</v>
      </c>
      <c r="G226" s="133">
        <f t="shared" si="97"/>
        <v>1.7751497142857142</v>
      </c>
      <c r="H226" s="134">
        <f t="shared" si="108"/>
        <v>1.1178886153846153</v>
      </c>
      <c r="I226" s="135"/>
      <c r="J226" s="136">
        <f t="shared" si="109"/>
        <v>0</v>
      </c>
      <c r="K226" s="137"/>
      <c r="L226" s="138">
        <f t="shared" si="110"/>
        <v>0</v>
      </c>
      <c r="M226" s="137"/>
      <c r="N226" s="139">
        <f t="shared" si="111"/>
        <v>5.9827102417582445</v>
      </c>
      <c r="O226" s="137"/>
      <c r="P226" s="140">
        <f t="shared" si="112"/>
        <v>1.7751497142857142</v>
      </c>
      <c r="Q226" s="135"/>
      <c r="R226" s="104">
        <f t="shared" si="113"/>
        <v>1.1178886153846153</v>
      </c>
      <c r="S226" s="137"/>
      <c r="T226" s="141">
        <f t="shared" si="114"/>
        <v>7.7578599560439585</v>
      </c>
      <c r="U226" s="199">
        <f t="shared" si="115"/>
        <v>0</v>
      </c>
      <c r="V226" s="37" t="str">
        <f t="shared" si="116"/>
        <v>ok</v>
      </c>
      <c r="W226" s="37" t="str">
        <f t="shared" si="117"/>
        <v>ok</v>
      </c>
    </row>
    <row r="227" spans="1:23" x14ac:dyDescent="0.25">
      <c r="A227" s="426"/>
      <c r="B227" s="178" t="s">
        <v>21</v>
      </c>
      <c r="C227" s="129">
        <v>7</v>
      </c>
      <c r="D227" s="130">
        <f>'2.4.5.4 Emplois ETP  base m'!D227/QTMGI</f>
        <v>2.3182021978021976</v>
      </c>
      <c r="E227" s="131">
        <f>'2.4.5.4 Emplois ETP  base m'!E227/QTMGI</f>
        <v>14.464182857142857</v>
      </c>
      <c r="F227" s="132">
        <f t="shared" si="96"/>
        <v>11.571346285714286</v>
      </c>
      <c r="G227" s="133">
        <f t="shared" si="97"/>
        <v>2.8928365714285706</v>
      </c>
      <c r="H227" s="134">
        <f t="shared" si="108"/>
        <v>2.3182021978021976</v>
      </c>
      <c r="I227" s="135"/>
      <c r="J227" s="136">
        <f t="shared" si="109"/>
        <v>0</v>
      </c>
      <c r="K227" s="137"/>
      <c r="L227" s="138">
        <f t="shared" si="110"/>
        <v>0</v>
      </c>
      <c r="M227" s="137"/>
      <c r="N227" s="139">
        <f t="shared" si="111"/>
        <v>9.253144087912089</v>
      </c>
      <c r="O227" s="137"/>
      <c r="P227" s="140">
        <f t="shared" si="112"/>
        <v>2.8928365714285706</v>
      </c>
      <c r="Q227" s="135"/>
      <c r="R227" s="104">
        <f t="shared" si="113"/>
        <v>2.3182021978021976</v>
      </c>
      <c r="S227" s="137"/>
      <c r="T227" s="141">
        <f t="shared" si="114"/>
        <v>12.14598065934066</v>
      </c>
      <c r="U227" s="199">
        <f t="shared" si="115"/>
        <v>0</v>
      </c>
      <c r="V227" s="37" t="str">
        <f t="shared" si="116"/>
        <v>ok</v>
      </c>
      <c r="W227" s="37" t="str">
        <f t="shared" si="117"/>
        <v>ok</v>
      </c>
    </row>
    <row r="228" spans="1:23" x14ac:dyDescent="0.25">
      <c r="A228" s="426"/>
      <c r="B228" s="178" t="s">
        <v>22</v>
      </c>
      <c r="C228" s="129">
        <v>8</v>
      </c>
      <c r="D228" s="130">
        <f>'2.4.5.4 Emplois ETP  base m'!D228/QTMGI</f>
        <v>7.4440048351648338</v>
      </c>
      <c r="E228" s="131">
        <f>'2.4.5.4 Emplois ETP  base m'!E228/QTMGI</f>
        <v>10.114813186813185</v>
      </c>
      <c r="F228" s="132">
        <f t="shared" si="96"/>
        <v>8.0918505494505482</v>
      </c>
      <c r="G228" s="133">
        <f t="shared" si="97"/>
        <v>2.0229626373626366</v>
      </c>
      <c r="H228" s="134">
        <f t="shared" si="108"/>
        <v>7.4440048351648338</v>
      </c>
      <c r="I228" s="135"/>
      <c r="J228" s="136">
        <f t="shared" si="109"/>
        <v>0</v>
      </c>
      <c r="K228" s="137"/>
      <c r="L228" s="138">
        <f t="shared" si="110"/>
        <v>0</v>
      </c>
      <c r="M228" s="137"/>
      <c r="N228" s="139">
        <f t="shared" si="111"/>
        <v>0.64784571428571436</v>
      </c>
      <c r="O228" s="137"/>
      <c r="P228" s="140">
        <f t="shared" si="112"/>
        <v>2.0229626373626366</v>
      </c>
      <c r="Q228" s="135"/>
      <c r="R228" s="104">
        <f t="shared" si="113"/>
        <v>7.4440048351648338</v>
      </c>
      <c r="S228" s="137"/>
      <c r="T228" s="141">
        <f t="shared" si="114"/>
        <v>2.670808351648351</v>
      </c>
      <c r="U228" s="199">
        <f t="shared" si="115"/>
        <v>0</v>
      </c>
      <c r="V228" s="37" t="str">
        <f t="shared" si="116"/>
        <v>ok</v>
      </c>
      <c r="W228" s="37" t="str">
        <f t="shared" si="117"/>
        <v>ok</v>
      </c>
    </row>
    <row r="229" spans="1:23" x14ac:dyDescent="0.25">
      <c r="A229" s="426"/>
      <c r="B229" s="178" t="s">
        <v>23</v>
      </c>
      <c r="C229" s="129">
        <v>9</v>
      </c>
      <c r="D229" s="130">
        <f>'2.4.5.4 Emplois ETP  base m'!D229/QTMGI</f>
        <v>6.0376288351648348</v>
      </c>
      <c r="E229" s="131">
        <f>'2.4.5.4 Emplois ETP  base m'!E229/QTMGI</f>
        <v>10.367683516483517</v>
      </c>
      <c r="F229" s="132">
        <f t="shared" si="96"/>
        <v>8.2941468131868135</v>
      </c>
      <c r="G229" s="133">
        <f t="shared" si="97"/>
        <v>2.0735367032967029</v>
      </c>
      <c r="H229" s="134">
        <f t="shared" si="108"/>
        <v>6.0376288351648348</v>
      </c>
      <c r="I229" s="135"/>
      <c r="J229" s="136">
        <f t="shared" si="109"/>
        <v>0</v>
      </c>
      <c r="K229" s="137"/>
      <c r="L229" s="138">
        <f t="shared" si="110"/>
        <v>0</v>
      </c>
      <c r="M229" s="137"/>
      <c r="N229" s="139">
        <f t="shared" si="111"/>
        <v>2.2565179780219786</v>
      </c>
      <c r="O229" s="137"/>
      <c r="P229" s="140">
        <f t="shared" si="112"/>
        <v>2.0735367032967029</v>
      </c>
      <c r="Q229" s="135"/>
      <c r="R229" s="104">
        <f t="shared" si="113"/>
        <v>6.0376288351648348</v>
      </c>
      <c r="S229" s="137"/>
      <c r="T229" s="141">
        <f t="shared" si="114"/>
        <v>4.330054681318682</v>
      </c>
      <c r="U229" s="199">
        <f t="shared" si="115"/>
        <v>0</v>
      </c>
      <c r="V229" s="37" t="str">
        <f t="shared" si="116"/>
        <v>ok</v>
      </c>
      <c r="W229" s="37" t="str">
        <f t="shared" si="117"/>
        <v>ok</v>
      </c>
    </row>
    <row r="230" spans="1:23" x14ac:dyDescent="0.25">
      <c r="A230" s="426"/>
      <c r="B230" s="178" t="s">
        <v>19</v>
      </c>
      <c r="C230" s="129">
        <v>12</v>
      </c>
      <c r="D230" s="130">
        <f>'2.4.5.4 Emplois ETP  base m'!D230/QTMGI</f>
        <v>3.4901821978021972</v>
      </c>
      <c r="E230" s="131">
        <f>'2.4.5.4 Emplois ETP  base m'!E230/QTMGI</f>
        <v>5.5631472527472532</v>
      </c>
      <c r="F230" s="132">
        <f t="shared" si="96"/>
        <v>4.4505178021978029</v>
      </c>
      <c r="G230" s="133">
        <f t="shared" si="97"/>
        <v>1.1126294505494503</v>
      </c>
      <c r="H230" s="134">
        <f t="shared" si="108"/>
        <v>3.4901821978021972</v>
      </c>
      <c r="I230" s="135"/>
      <c r="J230" s="136">
        <f t="shared" si="109"/>
        <v>0</v>
      </c>
      <c r="K230" s="137"/>
      <c r="L230" s="138">
        <f t="shared" si="110"/>
        <v>0</v>
      </c>
      <c r="M230" s="137"/>
      <c r="N230" s="139">
        <f t="shared" si="111"/>
        <v>0.96033560439560572</v>
      </c>
      <c r="O230" s="137"/>
      <c r="P230" s="140">
        <f t="shared" si="112"/>
        <v>1.1126294505494503</v>
      </c>
      <c r="Q230" s="135"/>
      <c r="R230" s="104">
        <f t="shared" si="113"/>
        <v>3.4901821978021972</v>
      </c>
      <c r="S230" s="137"/>
      <c r="T230" s="141">
        <f t="shared" si="114"/>
        <v>2.072965054945056</v>
      </c>
      <c r="U230" s="199">
        <f t="shared" si="115"/>
        <v>0</v>
      </c>
      <c r="V230" s="37" t="str">
        <f t="shared" si="116"/>
        <v>ok</v>
      </c>
      <c r="W230" s="37" t="str">
        <f t="shared" si="117"/>
        <v>ok</v>
      </c>
    </row>
    <row r="231" spans="1:23" x14ac:dyDescent="0.25">
      <c r="A231" s="426"/>
      <c r="B231" s="178" t="s">
        <v>20</v>
      </c>
      <c r="C231" s="129">
        <v>13</v>
      </c>
      <c r="D231" s="130">
        <f>'2.4.5.4 Emplois ETP  base m'!D231/QTMGI</f>
        <v>2.8179035604395595</v>
      </c>
      <c r="E231" s="131">
        <f>'2.4.5.4 Emplois ETP  base m'!E231/QTMGI</f>
        <v>7.0803692307692305</v>
      </c>
      <c r="F231" s="132">
        <f t="shared" si="96"/>
        <v>5.664295384615385</v>
      </c>
      <c r="G231" s="133">
        <f t="shared" si="97"/>
        <v>1.4160738461538458</v>
      </c>
      <c r="H231" s="134">
        <f t="shared" si="108"/>
        <v>2.8179035604395595</v>
      </c>
      <c r="I231" s="135"/>
      <c r="J231" s="136">
        <f t="shared" si="109"/>
        <v>0</v>
      </c>
      <c r="K231" s="137"/>
      <c r="L231" s="138">
        <f t="shared" si="110"/>
        <v>0</v>
      </c>
      <c r="M231" s="137"/>
      <c r="N231" s="139">
        <f t="shared" si="111"/>
        <v>2.8463918241758255</v>
      </c>
      <c r="O231" s="137"/>
      <c r="P231" s="140">
        <f t="shared" si="112"/>
        <v>1.4160738461538458</v>
      </c>
      <c r="Q231" s="135"/>
      <c r="R231" s="104">
        <f t="shared" si="113"/>
        <v>2.8179035604395595</v>
      </c>
      <c r="S231" s="137"/>
      <c r="T231" s="141">
        <f t="shared" si="114"/>
        <v>4.2624656703296715</v>
      </c>
      <c r="U231" s="199">
        <f t="shared" si="115"/>
        <v>0</v>
      </c>
      <c r="V231" s="37" t="str">
        <f t="shared" si="116"/>
        <v>ok</v>
      </c>
      <c r="W231" s="37" t="str">
        <f t="shared" si="117"/>
        <v>ok</v>
      </c>
    </row>
    <row r="232" spans="1:23" x14ac:dyDescent="0.25">
      <c r="A232" s="426"/>
      <c r="B232" s="178" t="s">
        <v>21</v>
      </c>
      <c r="C232" s="129">
        <v>14</v>
      </c>
      <c r="D232" s="130">
        <f>'2.4.5.4 Emplois ETP  base m'!D232/QTMGI</f>
        <v>5.3679259780219777</v>
      </c>
      <c r="E232" s="131">
        <f>'2.4.5.4 Emplois ETP  base m'!E232/QTMGI</f>
        <v>9.6090725274725273</v>
      </c>
      <c r="F232" s="132">
        <f t="shared" si="96"/>
        <v>7.687258021978022</v>
      </c>
      <c r="G232" s="133">
        <f t="shared" si="97"/>
        <v>1.9218145054945051</v>
      </c>
      <c r="H232" s="134">
        <f t="shared" si="108"/>
        <v>5.3679259780219777</v>
      </c>
      <c r="I232" s="135"/>
      <c r="J232" s="136">
        <f t="shared" si="109"/>
        <v>0</v>
      </c>
      <c r="K232" s="137"/>
      <c r="L232" s="138">
        <f t="shared" si="110"/>
        <v>0</v>
      </c>
      <c r="M232" s="137"/>
      <c r="N232" s="139">
        <f t="shared" si="111"/>
        <v>2.3193320439560443</v>
      </c>
      <c r="O232" s="137"/>
      <c r="P232" s="140">
        <f t="shared" si="112"/>
        <v>1.9218145054945051</v>
      </c>
      <c r="Q232" s="135"/>
      <c r="R232" s="104">
        <f t="shared" si="113"/>
        <v>5.3679259780219777</v>
      </c>
      <c r="S232" s="137"/>
      <c r="T232" s="141">
        <f t="shared" si="114"/>
        <v>4.2411465494505496</v>
      </c>
      <c r="U232" s="199">
        <f t="shared" si="115"/>
        <v>0</v>
      </c>
      <c r="V232" s="37" t="str">
        <f t="shared" si="116"/>
        <v>ok</v>
      </c>
      <c r="W232" s="37" t="str">
        <f t="shared" si="117"/>
        <v>ok</v>
      </c>
    </row>
    <row r="233" spans="1:23" x14ac:dyDescent="0.25">
      <c r="A233" s="426"/>
      <c r="B233" s="178" t="s">
        <v>22</v>
      </c>
      <c r="C233" s="129">
        <v>15</v>
      </c>
      <c r="D233" s="130">
        <f>'2.4.5.4 Emplois ETP  base m'!D233/QTMGI</f>
        <v>4.6647379780219778</v>
      </c>
      <c r="E233" s="131">
        <f>'2.4.5.4 Emplois ETP  base m'!E233/QTMGI</f>
        <v>15.172219780219779</v>
      </c>
      <c r="F233" s="132">
        <f t="shared" si="96"/>
        <v>12.137775824175824</v>
      </c>
      <c r="G233" s="133">
        <f t="shared" si="97"/>
        <v>3.0344439560439551</v>
      </c>
      <c r="H233" s="134">
        <f t="shared" si="108"/>
        <v>4.6647379780219778</v>
      </c>
      <c r="I233" s="135"/>
      <c r="J233" s="136">
        <f t="shared" si="109"/>
        <v>0</v>
      </c>
      <c r="K233" s="137"/>
      <c r="L233" s="138">
        <f t="shared" si="110"/>
        <v>0</v>
      </c>
      <c r="M233" s="137"/>
      <c r="N233" s="139">
        <f t="shared" si="111"/>
        <v>7.4730378461538463</v>
      </c>
      <c r="O233" s="137"/>
      <c r="P233" s="140">
        <f t="shared" si="112"/>
        <v>3.0344439560439551</v>
      </c>
      <c r="Q233" s="135"/>
      <c r="R233" s="104">
        <f t="shared" si="113"/>
        <v>4.6647379780219778</v>
      </c>
      <c r="S233" s="137"/>
      <c r="T233" s="141">
        <f t="shared" si="114"/>
        <v>10.507481802197802</v>
      </c>
      <c r="U233" s="199">
        <f t="shared" si="115"/>
        <v>0</v>
      </c>
      <c r="V233" s="37" t="str">
        <f t="shared" si="116"/>
        <v>ok</v>
      </c>
      <c r="W233" s="37" t="str">
        <f t="shared" si="117"/>
        <v>ok</v>
      </c>
    </row>
    <row r="234" spans="1:23" x14ac:dyDescent="0.25">
      <c r="A234" s="426"/>
      <c r="B234" s="178" t="s">
        <v>23</v>
      </c>
      <c r="C234" s="129">
        <v>16</v>
      </c>
      <c r="D234" s="130">
        <f>'2.4.5.4 Emplois ETP  base m'!D234/QTMGI</f>
        <v>3.6627594725274717</v>
      </c>
      <c r="E234" s="131">
        <f>'2.4.5.4 Emplois ETP  base m'!E234/QTMGI</f>
        <v>11.632035164835164</v>
      </c>
      <c r="F234" s="132">
        <f t="shared" si="96"/>
        <v>9.3056281318681311</v>
      </c>
      <c r="G234" s="133">
        <f t="shared" si="97"/>
        <v>2.3264070329670323</v>
      </c>
      <c r="H234" s="134">
        <f t="shared" si="108"/>
        <v>3.6627594725274717</v>
      </c>
      <c r="I234" s="135"/>
      <c r="J234" s="136">
        <f t="shared" si="109"/>
        <v>0</v>
      </c>
      <c r="K234" s="137"/>
      <c r="L234" s="138">
        <f t="shared" si="110"/>
        <v>0</v>
      </c>
      <c r="M234" s="137"/>
      <c r="N234" s="139">
        <f t="shared" si="111"/>
        <v>5.6428686593406594</v>
      </c>
      <c r="O234" s="137"/>
      <c r="P234" s="140">
        <f t="shared" si="112"/>
        <v>2.3264070329670323</v>
      </c>
      <c r="Q234" s="135"/>
      <c r="R234" s="104">
        <f t="shared" si="113"/>
        <v>3.6627594725274717</v>
      </c>
      <c r="S234" s="137"/>
      <c r="T234" s="141">
        <f t="shared" si="114"/>
        <v>7.9692756923076917</v>
      </c>
      <c r="U234" s="199">
        <f t="shared" si="115"/>
        <v>0</v>
      </c>
      <c r="V234" s="37" t="str">
        <f t="shared" si="116"/>
        <v>ok</v>
      </c>
      <c r="W234" s="37" t="str">
        <f t="shared" si="117"/>
        <v>ok</v>
      </c>
    </row>
    <row r="235" spans="1:23" x14ac:dyDescent="0.25">
      <c r="A235" s="426"/>
      <c r="B235" s="178" t="s">
        <v>19</v>
      </c>
      <c r="C235" s="129">
        <v>19</v>
      </c>
      <c r="D235" s="130">
        <f>'2.4.5.4 Emplois ETP  base m'!D235/QTMGI</f>
        <v>1.6021352967032967</v>
      </c>
      <c r="E235" s="131">
        <f>'2.4.5.4 Emplois ETP  base m'!E235/QTMGI</f>
        <v>5.5631472527472532</v>
      </c>
      <c r="F235" s="132">
        <f t="shared" si="96"/>
        <v>4.4505178021978029</v>
      </c>
      <c r="G235" s="133">
        <f t="shared" si="97"/>
        <v>1.1126294505494503</v>
      </c>
      <c r="H235" s="134">
        <f t="shared" si="108"/>
        <v>1.6021352967032967</v>
      </c>
      <c r="I235" s="135"/>
      <c r="J235" s="136">
        <f t="shared" si="109"/>
        <v>0</v>
      </c>
      <c r="K235" s="137"/>
      <c r="L235" s="138">
        <f t="shared" si="110"/>
        <v>0</v>
      </c>
      <c r="M235" s="137"/>
      <c r="N235" s="139">
        <f t="shared" si="111"/>
        <v>2.8483825054945062</v>
      </c>
      <c r="O235" s="137"/>
      <c r="P235" s="140">
        <f t="shared" si="112"/>
        <v>1.1126294505494503</v>
      </c>
      <c r="Q235" s="135"/>
      <c r="R235" s="104">
        <f t="shared" si="113"/>
        <v>1.6021352967032967</v>
      </c>
      <c r="S235" s="137"/>
      <c r="T235" s="141">
        <f t="shared" si="114"/>
        <v>3.9610119560439565</v>
      </c>
      <c r="U235" s="199">
        <f t="shared" si="115"/>
        <v>0</v>
      </c>
      <c r="V235" s="37" t="str">
        <f t="shared" si="116"/>
        <v>ok</v>
      </c>
      <c r="W235" s="37" t="str">
        <f t="shared" si="117"/>
        <v>ok</v>
      </c>
    </row>
    <row r="236" spans="1:23" x14ac:dyDescent="0.25">
      <c r="A236" s="426"/>
      <c r="B236" s="178" t="s">
        <v>20</v>
      </c>
      <c r="C236" s="129">
        <v>20</v>
      </c>
      <c r="D236" s="130">
        <f>'2.4.5.4 Emplois ETP  base m'!D236/QTMGI</f>
        <v>1.1178886153846153</v>
      </c>
      <c r="E236" s="131">
        <f>'2.4.5.4 Emplois ETP  base m'!E236/QTMGI</f>
        <v>9.3562021978021974</v>
      </c>
      <c r="F236" s="132">
        <f t="shared" si="96"/>
        <v>7.4849617582417585</v>
      </c>
      <c r="G236" s="133">
        <f t="shared" si="97"/>
        <v>1.8712404395604392</v>
      </c>
      <c r="H236" s="134">
        <f t="shared" si="108"/>
        <v>1.1178886153846153</v>
      </c>
      <c r="I236" s="135"/>
      <c r="J236" s="136">
        <f t="shared" si="109"/>
        <v>0</v>
      </c>
      <c r="K236" s="137"/>
      <c r="L236" s="138">
        <f t="shared" si="110"/>
        <v>0</v>
      </c>
      <c r="M236" s="137"/>
      <c r="N236" s="139">
        <f t="shared" si="111"/>
        <v>6.3670731428571434</v>
      </c>
      <c r="O236" s="137"/>
      <c r="P236" s="140">
        <f t="shared" si="112"/>
        <v>1.8712404395604392</v>
      </c>
      <c r="Q236" s="135"/>
      <c r="R236" s="104">
        <f t="shared" si="113"/>
        <v>1.1178886153846153</v>
      </c>
      <c r="S236" s="137"/>
      <c r="T236" s="141">
        <f t="shared" si="114"/>
        <v>8.2383135824175824</v>
      </c>
      <c r="U236" s="199">
        <f t="shared" si="115"/>
        <v>0</v>
      </c>
      <c r="V236" s="37" t="str">
        <f t="shared" si="116"/>
        <v>ok</v>
      </c>
      <c r="W236" s="37" t="str">
        <f t="shared" si="117"/>
        <v>ok</v>
      </c>
    </row>
    <row r="237" spans="1:23" x14ac:dyDescent="0.25">
      <c r="A237" s="426"/>
      <c r="B237" s="178" t="s">
        <v>21</v>
      </c>
      <c r="C237" s="129">
        <v>21</v>
      </c>
      <c r="D237" s="130">
        <f>'2.4.5.4 Emplois ETP  base m'!D237/QTMGI</f>
        <v>2.3182021978021976</v>
      </c>
      <c r="E237" s="131">
        <f>'2.4.5.4 Emplois ETP  base m'!E237/QTMGI</f>
        <v>11.126294505494506</v>
      </c>
      <c r="F237" s="132">
        <f t="shared" si="96"/>
        <v>8.9010356043956058</v>
      </c>
      <c r="G237" s="133">
        <f t="shared" si="97"/>
        <v>2.2252589010989006</v>
      </c>
      <c r="H237" s="134">
        <f t="shared" si="108"/>
        <v>2.3182021978021976</v>
      </c>
      <c r="I237" s="135"/>
      <c r="J237" s="136">
        <f t="shared" si="109"/>
        <v>0</v>
      </c>
      <c r="K237" s="137"/>
      <c r="L237" s="138">
        <f t="shared" si="110"/>
        <v>0</v>
      </c>
      <c r="M237" s="137"/>
      <c r="N237" s="139">
        <f t="shared" si="111"/>
        <v>6.5828334065934087</v>
      </c>
      <c r="O237" s="137"/>
      <c r="P237" s="140">
        <f t="shared" si="112"/>
        <v>2.2252589010989006</v>
      </c>
      <c r="Q237" s="135"/>
      <c r="R237" s="104">
        <f t="shared" si="113"/>
        <v>2.3182021978021976</v>
      </c>
      <c r="S237" s="137"/>
      <c r="T237" s="141">
        <f t="shared" si="114"/>
        <v>8.8080923076923092</v>
      </c>
      <c r="U237" s="199">
        <f t="shared" si="115"/>
        <v>0</v>
      </c>
      <c r="V237" s="37" t="str">
        <f t="shared" si="116"/>
        <v>ok</v>
      </c>
      <c r="W237" s="37" t="str">
        <f t="shared" si="117"/>
        <v>ok</v>
      </c>
    </row>
    <row r="238" spans="1:23" x14ac:dyDescent="0.25">
      <c r="A238" s="426"/>
      <c r="B238" s="178" t="s">
        <v>22</v>
      </c>
      <c r="C238" s="129">
        <v>22</v>
      </c>
      <c r="D238" s="130">
        <f>'2.4.5.4 Emplois ETP  base m'!D238/QTMGI</f>
        <v>9.3037181538461535</v>
      </c>
      <c r="E238" s="131">
        <f>'2.4.5.4 Emplois ETP  base m'!E238/QTMGI</f>
        <v>12.517081318681315</v>
      </c>
      <c r="F238" s="132">
        <f t="shared" si="96"/>
        <v>10.013665054945053</v>
      </c>
      <c r="G238" s="133">
        <f t="shared" si="97"/>
        <v>2.5034162637362627</v>
      </c>
      <c r="H238" s="134">
        <f t="shared" si="108"/>
        <v>9.3037181538461535</v>
      </c>
      <c r="I238" s="135"/>
      <c r="J238" s="136">
        <f t="shared" si="109"/>
        <v>0</v>
      </c>
      <c r="K238" s="137"/>
      <c r="L238" s="138">
        <f t="shared" si="110"/>
        <v>0</v>
      </c>
      <c r="M238" s="137"/>
      <c r="N238" s="139">
        <f t="shared" si="111"/>
        <v>0.70994690109889902</v>
      </c>
      <c r="O238" s="137"/>
      <c r="P238" s="140">
        <f t="shared" si="112"/>
        <v>2.5034162637362627</v>
      </c>
      <c r="Q238" s="135"/>
      <c r="R238" s="104">
        <f t="shared" si="113"/>
        <v>9.3037181538461535</v>
      </c>
      <c r="S238" s="137"/>
      <c r="T238" s="141">
        <f t="shared" si="114"/>
        <v>3.2133631648351617</v>
      </c>
      <c r="U238" s="199">
        <f t="shared" si="115"/>
        <v>0</v>
      </c>
      <c r="V238" s="37" t="str">
        <f t="shared" si="116"/>
        <v>ok</v>
      </c>
      <c r="W238" s="37" t="str">
        <f t="shared" si="117"/>
        <v>ok</v>
      </c>
    </row>
    <row r="239" spans="1:23" x14ac:dyDescent="0.25">
      <c r="A239" s="426"/>
      <c r="B239" s="178" t="s">
        <v>23</v>
      </c>
      <c r="C239" s="129">
        <v>23</v>
      </c>
      <c r="D239" s="130">
        <f>'2.4.5.4 Emplois ETP  base m'!D239/QTMGI</f>
        <v>7.5727938461538447</v>
      </c>
      <c r="E239" s="131">
        <f>'2.4.5.4 Emplois ETP  base m'!E239/QTMGI</f>
        <v>7.9300135384615382</v>
      </c>
      <c r="F239" s="132">
        <f t="shared" si="96"/>
        <v>6.3440108307692311</v>
      </c>
      <c r="G239" s="133">
        <f t="shared" si="97"/>
        <v>1.5860027076923073</v>
      </c>
      <c r="H239" s="134">
        <f t="shared" si="108"/>
        <v>7.5727938461538447</v>
      </c>
      <c r="I239" s="135"/>
      <c r="J239" s="136">
        <f t="shared" si="109"/>
        <v>0</v>
      </c>
      <c r="K239" s="137"/>
      <c r="L239" s="138">
        <f t="shared" si="110"/>
        <v>1.2287830153846135</v>
      </c>
      <c r="M239" s="137"/>
      <c r="N239" s="139">
        <f t="shared" si="111"/>
        <v>0</v>
      </c>
      <c r="O239" s="137"/>
      <c r="P239" s="140">
        <f t="shared" si="112"/>
        <v>0.35721969230769357</v>
      </c>
      <c r="Q239" s="135"/>
      <c r="R239" s="104">
        <f t="shared" si="113"/>
        <v>6.3440108307692311</v>
      </c>
      <c r="S239" s="137"/>
      <c r="T239" s="141">
        <f t="shared" si="114"/>
        <v>1.5860027076923071</v>
      </c>
      <c r="U239" s="199">
        <f t="shared" si="115"/>
        <v>1.2287830153846135</v>
      </c>
      <c r="V239" s="37" t="str">
        <f t="shared" si="116"/>
        <v>ok</v>
      </c>
      <c r="W239" s="37" t="str">
        <f t="shared" si="117"/>
        <v>ok</v>
      </c>
    </row>
    <row r="240" spans="1:23" x14ac:dyDescent="0.25">
      <c r="A240" s="426"/>
      <c r="B240" s="178" t="s">
        <v>19</v>
      </c>
      <c r="C240" s="129">
        <v>26</v>
      </c>
      <c r="D240" s="130">
        <f>'2.4.5.4 Emplois ETP  base m'!D240/QTMGI</f>
        <v>4.3633716923076928</v>
      </c>
      <c r="E240" s="131">
        <f>'2.4.5.4 Emplois ETP  base m'!E240/QTMGI</f>
        <v>3.7576530989010979</v>
      </c>
      <c r="F240" s="132">
        <f t="shared" si="96"/>
        <v>3.0061224791208785</v>
      </c>
      <c r="G240" s="133">
        <f t="shared" si="97"/>
        <v>0.7515306197802194</v>
      </c>
      <c r="H240" s="134">
        <f t="shared" si="108"/>
        <v>3.7576530989010979</v>
      </c>
      <c r="I240" s="135"/>
      <c r="J240" s="136">
        <f t="shared" si="109"/>
        <v>0.60571859340659495</v>
      </c>
      <c r="K240" s="137"/>
      <c r="L240" s="138">
        <f t="shared" si="110"/>
        <v>0.7515306197802194</v>
      </c>
      <c r="M240" s="137"/>
      <c r="N240" s="139">
        <f t="shared" si="111"/>
        <v>0</v>
      </c>
      <c r="O240" s="137"/>
      <c r="P240" s="140">
        <f t="shared" si="112"/>
        <v>0</v>
      </c>
      <c r="Q240" s="135"/>
      <c r="R240" s="104">
        <f t="shared" si="113"/>
        <v>3.0061224791208785</v>
      </c>
      <c r="S240" s="137"/>
      <c r="T240" s="141">
        <f t="shared" si="114"/>
        <v>0.7515306197802194</v>
      </c>
      <c r="U240" s="199">
        <f t="shared" si="115"/>
        <v>1.3572492131868144</v>
      </c>
      <c r="V240" s="37" t="str">
        <f t="shared" si="116"/>
        <v>ok</v>
      </c>
      <c r="W240" s="37" t="str">
        <f t="shared" si="117"/>
        <v>ok</v>
      </c>
    </row>
    <row r="241" spans="1:23" x14ac:dyDescent="0.25">
      <c r="A241" s="426"/>
      <c r="B241" s="178" t="s">
        <v>20</v>
      </c>
      <c r="C241" s="129">
        <v>27</v>
      </c>
      <c r="D241" s="130">
        <f>'2.4.5.4 Emplois ETP  base m'!D241/QTMGI</f>
        <v>3.5726071648351647</v>
      </c>
      <c r="E241" s="131">
        <f>'2.4.5.4 Emplois ETP  base m'!E241/QTMGI</f>
        <v>5.0068325274725272</v>
      </c>
      <c r="F241" s="132">
        <f t="shared" si="96"/>
        <v>4.0054660219780223</v>
      </c>
      <c r="G241" s="133">
        <f t="shared" si="97"/>
        <v>1.0013665054945051</v>
      </c>
      <c r="H241" s="134">
        <f t="shared" si="108"/>
        <v>3.5726071648351647</v>
      </c>
      <c r="I241" s="135"/>
      <c r="J241" s="136">
        <f t="shared" si="109"/>
        <v>0</v>
      </c>
      <c r="K241" s="137"/>
      <c r="L241" s="138">
        <f t="shared" si="110"/>
        <v>0</v>
      </c>
      <c r="M241" s="137"/>
      <c r="N241" s="139">
        <f t="shared" si="111"/>
        <v>0.43285885714285754</v>
      </c>
      <c r="O241" s="137"/>
      <c r="P241" s="140">
        <f t="shared" si="112"/>
        <v>1.0013665054945051</v>
      </c>
      <c r="Q241" s="135"/>
      <c r="R241" s="104">
        <f t="shared" si="113"/>
        <v>3.5726071648351647</v>
      </c>
      <c r="S241" s="137"/>
      <c r="T241" s="141">
        <f t="shared" si="114"/>
        <v>1.4342253626373627</v>
      </c>
      <c r="U241" s="199">
        <f t="shared" si="115"/>
        <v>0</v>
      </c>
      <c r="V241" s="37" t="str">
        <f t="shared" si="116"/>
        <v>ok</v>
      </c>
      <c r="W241" s="37" t="str">
        <f t="shared" si="117"/>
        <v>ok</v>
      </c>
    </row>
    <row r="242" spans="1:23" x14ac:dyDescent="0.25">
      <c r="A242" s="426"/>
      <c r="B242" s="178" t="s">
        <v>21</v>
      </c>
      <c r="C242" s="129">
        <v>28</v>
      </c>
      <c r="D242" s="130">
        <f>'2.4.5.4 Emplois ETP  base m'!D242/QTMGI</f>
        <v>6.7099074725274725</v>
      </c>
      <c r="E242" s="131">
        <f>'2.4.5.4 Emplois ETP  base m'!E242/QTMGI</f>
        <v>7.9300135384615382</v>
      </c>
      <c r="F242" s="132">
        <f t="shared" si="96"/>
        <v>6.3440108307692311</v>
      </c>
      <c r="G242" s="133">
        <f t="shared" si="97"/>
        <v>1.5860027076923073</v>
      </c>
      <c r="H242" s="134">
        <f t="shared" si="108"/>
        <v>6.7099074725274725</v>
      </c>
      <c r="I242" s="135"/>
      <c r="J242" s="136">
        <f t="shared" si="109"/>
        <v>0</v>
      </c>
      <c r="K242" s="137"/>
      <c r="L242" s="138">
        <f t="shared" si="110"/>
        <v>0.36589664175824144</v>
      </c>
      <c r="M242" s="137"/>
      <c r="N242" s="139">
        <f t="shared" si="111"/>
        <v>0</v>
      </c>
      <c r="O242" s="137"/>
      <c r="P242" s="140">
        <f t="shared" si="112"/>
        <v>1.2201060659340657</v>
      </c>
      <c r="Q242" s="135"/>
      <c r="R242" s="104">
        <f t="shared" si="113"/>
        <v>6.3440108307692311</v>
      </c>
      <c r="S242" s="137"/>
      <c r="T242" s="141">
        <f t="shared" si="114"/>
        <v>1.5860027076923071</v>
      </c>
      <c r="U242" s="199">
        <f t="shared" si="115"/>
        <v>0.36589664175824144</v>
      </c>
      <c r="V242" s="37" t="str">
        <f t="shared" si="116"/>
        <v>ok</v>
      </c>
      <c r="W242" s="37" t="str">
        <f t="shared" si="117"/>
        <v>ok</v>
      </c>
    </row>
    <row r="243" spans="1:23" x14ac:dyDescent="0.25">
      <c r="A243" s="426"/>
      <c r="B243" s="178" t="s">
        <v>22</v>
      </c>
      <c r="C243" s="129">
        <v>29</v>
      </c>
      <c r="D243" s="130">
        <f>'2.4.5.4 Emplois ETP  base m'!D243/QTMGI</f>
        <v>11.163431472527474</v>
      </c>
      <c r="E243" s="131">
        <f>'2.4.5.4 Emplois ETP  base m'!E243/QTMGI</f>
        <v>15.172219780219779</v>
      </c>
      <c r="F243" s="132">
        <f t="shared" si="96"/>
        <v>12.137775824175824</v>
      </c>
      <c r="G243" s="133">
        <f t="shared" si="97"/>
        <v>3.0344439560439551</v>
      </c>
      <c r="H243" s="134">
        <f t="shared" si="108"/>
        <v>11.163431472527474</v>
      </c>
      <c r="I243" s="135"/>
      <c r="J243" s="136">
        <f t="shared" si="109"/>
        <v>0</v>
      </c>
      <c r="K243" s="137"/>
      <c r="L243" s="138">
        <f t="shared" si="110"/>
        <v>0</v>
      </c>
      <c r="M243" s="137"/>
      <c r="N243" s="139">
        <f t="shared" si="111"/>
        <v>0.97434435164834987</v>
      </c>
      <c r="O243" s="137"/>
      <c r="P243" s="140">
        <f t="shared" si="112"/>
        <v>3.0344439560439551</v>
      </c>
      <c r="Q243" s="135"/>
      <c r="R243" s="104">
        <f t="shared" si="113"/>
        <v>11.163431472527474</v>
      </c>
      <c r="S243" s="137"/>
      <c r="T243" s="141">
        <f t="shared" si="114"/>
        <v>4.0087883076923045</v>
      </c>
      <c r="U243" s="199">
        <f t="shared" si="115"/>
        <v>0</v>
      </c>
      <c r="V243" s="37" t="str">
        <f t="shared" si="116"/>
        <v>ok</v>
      </c>
      <c r="W243" s="37" t="str">
        <f t="shared" si="117"/>
        <v>ok</v>
      </c>
    </row>
    <row r="244" spans="1:23" ht="15.75" thickBot="1" x14ac:dyDescent="0.3">
      <c r="A244" s="427"/>
      <c r="B244" s="277" t="s">
        <v>23</v>
      </c>
      <c r="C244" s="165">
        <v>30</v>
      </c>
      <c r="D244" s="202">
        <f>'2.4.5.4 Emplois ETP  base m'!D244/QTMGI</f>
        <v>9.0564432527472505</v>
      </c>
      <c r="E244" s="203">
        <f>'2.4.5.4 Emplois ETP  base m'!E244/QTMGI</f>
        <v>10.620553846153845</v>
      </c>
      <c r="F244" s="204">
        <f t="shared" si="96"/>
        <v>8.496443076923077</v>
      </c>
      <c r="G244" s="205">
        <f t="shared" si="97"/>
        <v>2.1241107692307684</v>
      </c>
      <c r="H244" s="206">
        <f t="shared" si="108"/>
        <v>9.0564432527472505</v>
      </c>
      <c r="I244" s="207"/>
      <c r="J244" s="208">
        <f t="shared" si="109"/>
        <v>0</v>
      </c>
      <c r="K244" s="209"/>
      <c r="L244" s="210">
        <f t="shared" si="110"/>
        <v>0.5600001758241735</v>
      </c>
      <c r="M244" s="209"/>
      <c r="N244" s="211">
        <f t="shared" si="111"/>
        <v>0</v>
      </c>
      <c r="O244" s="209"/>
      <c r="P244" s="212">
        <f t="shared" si="112"/>
        <v>1.5641105934065944</v>
      </c>
      <c r="Q244" s="207"/>
      <c r="R244" s="213">
        <f t="shared" si="113"/>
        <v>8.496443076923077</v>
      </c>
      <c r="S244" s="209"/>
      <c r="T244" s="214">
        <f t="shared" si="114"/>
        <v>2.1241107692307679</v>
      </c>
      <c r="U244" s="215">
        <f t="shared" si="115"/>
        <v>0.5600001758241735</v>
      </c>
      <c r="V244" s="37" t="str">
        <f t="shared" si="116"/>
        <v>ok</v>
      </c>
      <c r="W244" s="37" t="str">
        <f t="shared" si="117"/>
        <v>ok</v>
      </c>
    </row>
    <row r="245" spans="1:23" x14ac:dyDescent="0.25">
      <c r="A245" s="425" t="s">
        <v>100</v>
      </c>
      <c r="B245" s="276" t="s">
        <v>19</v>
      </c>
      <c r="C245" s="247">
        <v>3</v>
      </c>
      <c r="D245" s="184">
        <f>'2.4.5.4 Emplois ETP  base m'!D245/QTMGI</f>
        <v>3.4833291428571416</v>
      </c>
      <c r="E245" s="185">
        <f>'2.4.5.4 Emplois ETP  base m'!E245/QTMGI</f>
        <v>26.359714285714279</v>
      </c>
      <c r="F245" s="186">
        <f t="shared" si="96"/>
        <v>21.087771428571426</v>
      </c>
      <c r="G245" s="187">
        <f t="shared" si="97"/>
        <v>5.2719428571428546</v>
      </c>
      <c r="H245" s="188">
        <f>IF(E245&gt;D245,D245,E245)</f>
        <v>3.4833291428571416</v>
      </c>
      <c r="I245" s="189"/>
      <c r="J245" s="190">
        <f>IF(E245&gt;D245,0,D245-E245)</f>
        <v>0</v>
      </c>
      <c r="K245" s="191"/>
      <c r="L245" s="192">
        <f>IF(E245&gt;D245,IF(F245&gt;H245,0,H245-F245),G245)</f>
        <v>0</v>
      </c>
      <c r="M245" s="191"/>
      <c r="N245" s="193">
        <f>IF(E245&gt;D245,IF(F245&gt;H245,F245-H245,0),0)</f>
        <v>17.604442285714285</v>
      </c>
      <c r="O245" s="191"/>
      <c r="P245" s="194">
        <f>IF(E245&gt;D245,IF(F245&gt;H245,G245,E245-H245),0)</f>
        <v>5.2719428571428546</v>
      </c>
      <c r="Q245" s="189"/>
      <c r="R245" s="195">
        <f>H245-L245</f>
        <v>3.4833291428571416</v>
      </c>
      <c r="S245" s="191"/>
      <c r="T245" s="196">
        <f>L245+N245+P245</f>
        <v>22.876385142857139</v>
      </c>
      <c r="U245" s="197">
        <f>J245+L245</f>
        <v>0</v>
      </c>
      <c r="V245" s="37" t="str">
        <f>IF(R245+T245=E245,"ok","bad")</f>
        <v>ok</v>
      </c>
      <c r="W245" s="37" t="str">
        <f>IF(U245+R245=D245,"ok","bad")</f>
        <v>ok</v>
      </c>
    </row>
    <row r="246" spans="1:23" x14ac:dyDescent="0.25">
      <c r="A246" s="426"/>
      <c r="B246" s="178" t="s">
        <v>20</v>
      </c>
      <c r="C246" s="129">
        <v>4</v>
      </c>
      <c r="D246" s="130">
        <f>'2.4.5.4 Emplois ETP  base m'!D246/QTMGI</f>
        <v>2.7351154285714281</v>
      </c>
      <c r="E246" s="131">
        <f>'2.4.5.4 Emplois ETP  base m'!E246/QTMGI</f>
        <v>19.330457142857142</v>
      </c>
      <c r="F246" s="132">
        <f t="shared" si="96"/>
        <v>15.464365714285714</v>
      </c>
      <c r="G246" s="133">
        <f t="shared" si="97"/>
        <v>3.8660914285714276</v>
      </c>
      <c r="H246" s="134">
        <f t="shared" ref="H246:H265" si="118">IF(E246&gt;D246,D246,E246)</f>
        <v>2.7351154285714281</v>
      </c>
      <c r="I246" s="135"/>
      <c r="J246" s="136">
        <f t="shared" ref="J246:J265" si="119">IF(E246&gt;D246,0,D246-E246)</f>
        <v>0</v>
      </c>
      <c r="K246" s="137"/>
      <c r="L246" s="138">
        <f t="shared" ref="L246:L265" si="120">IF(E246&gt;D246,IF(F246&gt;H246,0,H246-F246),G246)</f>
        <v>0</v>
      </c>
      <c r="M246" s="137"/>
      <c r="N246" s="139">
        <f t="shared" ref="N246:N265" si="121">IF(E246&gt;D246,IF(F246&gt;H246,F246-H246,0),0)</f>
        <v>12.729250285714286</v>
      </c>
      <c r="O246" s="137"/>
      <c r="P246" s="140">
        <f t="shared" ref="P246:P265" si="122">IF(E246&gt;D246,IF(F246&gt;H246,G246,E246-H246),0)</f>
        <v>3.8660914285714276</v>
      </c>
      <c r="Q246" s="135"/>
      <c r="R246" s="104">
        <f t="shared" ref="R246:R265" si="123">H246-L246</f>
        <v>2.7351154285714281</v>
      </c>
      <c r="S246" s="137"/>
      <c r="T246" s="141">
        <f t="shared" ref="T246:T265" si="124">L246+N246+P246</f>
        <v>16.595341714285713</v>
      </c>
      <c r="U246" s="199">
        <f t="shared" ref="U246:U265" si="125">J246+L246</f>
        <v>0</v>
      </c>
      <c r="V246" s="37" t="str">
        <f t="shared" ref="V246:V265" si="126">IF(R246+T246=E246,"ok","bad")</f>
        <v>ok</v>
      </c>
      <c r="W246" s="37" t="str">
        <f t="shared" ref="W246:W265" si="127">IF(U246+R246=D246,"ok","bad")</f>
        <v>ok</v>
      </c>
    </row>
    <row r="247" spans="1:23" x14ac:dyDescent="0.25">
      <c r="A247" s="426"/>
      <c r="B247" s="178" t="s">
        <v>21</v>
      </c>
      <c r="C247" s="129">
        <v>5</v>
      </c>
      <c r="D247" s="130">
        <f>'2.4.5.4 Emplois ETP  base m'!D247/QTMGI</f>
        <v>1.1963725714285713</v>
      </c>
      <c r="E247" s="131">
        <f>'2.4.5.4 Emplois ETP  base m'!E247/QTMGI</f>
        <v>7.9079142857142832</v>
      </c>
      <c r="F247" s="132">
        <f t="shared" si="96"/>
        <v>6.3263314285714269</v>
      </c>
      <c r="G247" s="133">
        <f t="shared" si="97"/>
        <v>1.5815828571428563</v>
      </c>
      <c r="H247" s="134">
        <f t="shared" si="118"/>
        <v>1.1963725714285713</v>
      </c>
      <c r="I247" s="135"/>
      <c r="J247" s="136">
        <f t="shared" si="119"/>
        <v>0</v>
      </c>
      <c r="K247" s="137"/>
      <c r="L247" s="138">
        <f t="shared" si="120"/>
        <v>0</v>
      </c>
      <c r="M247" s="137"/>
      <c r="N247" s="139">
        <f t="shared" si="121"/>
        <v>5.1299588571428556</v>
      </c>
      <c r="O247" s="137"/>
      <c r="P247" s="140">
        <f t="shared" si="122"/>
        <v>1.5815828571428563</v>
      </c>
      <c r="Q247" s="135"/>
      <c r="R247" s="104">
        <f t="shared" si="123"/>
        <v>1.1963725714285713</v>
      </c>
      <c r="S247" s="137"/>
      <c r="T247" s="141">
        <f t="shared" si="124"/>
        <v>6.7115417142857119</v>
      </c>
      <c r="U247" s="199">
        <f t="shared" si="125"/>
        <v>0</v>
      </c>
      <c r="V247" s="37" t="str">
        <f t="shared" si="126"/>
        <v>ok</v>
      </c>
      <c r="W247" s="37" t="str">
        <f t="shared" si="127"/>
        <v>ok</v>
      </c>
    </row>
    <row r="248" spans="1:23" x14ac:dyDescent="0.25">
      <c r="A248" s="426"/>
      <c r="B248" s="178" t="s">
        <v>22</v>
      </c>
      <c r="C248" s="129">
        <v>6</v>
      </c>
      <c r="D248" s="130">
        <f>'2.4.5.4 Emplois ETP  base m'!D248/QTMGI</f>
        <v>0.83476799999999984</v>
      </c>
      <c r="E248" s="131">
        <f>'2.4.5.4 Emplois ETP  base m'!E248/QTMGI</f>
        <v>11.861871428571426</v>
      </c>
      <c r="F248" s="132">
        <f t="shared" si="96"/>
        <v>9.4894971428571413</v>
      </c>
      <c r="G248" s="133">
        <f t="shared" si="97"/>
        <v>2.3723742857142849</v>
      </c>
      <c r="H248" s="134">
        <f t="shared" si="118"/>
        <v>0.83476799999999984</v>
      </c>
      <c r="I248" s="135"/>
      <c r="J248" s="136">
        <f t="shared" si="119"/>
        <v>0</v>
      </c>
      <c r="K248" s="137"/>
      <c r="L248" s="138">
        <f t="shared" si="120"/>
        <v>0</v>
      </c>
      <c r="M248" s="137"/>
      <c r="N248" s="139">
        <f t="shared" si="121"/>
        <v>8.6547291428571409</v>
      </c>
      <c r="O248" s="137"/>
      <c r="P248" s="140">
        <f t="shared" si="122"/>
        <v>2.3723742857142849</v>
      </c>
      <c r="Q248" s="135"/>
      <c r="R248" s="104">
        <f t="shared" si="123"/>
        <v>0.83476799999999984</v>
      </c>
      <c r="S248" s="137"/>
      <c r="T248" s="141">
        <f t="shared" si="124"/>
        <v>11.027103428571426</v>
      </c>
      <c r="U248" s="199">
        <f t="shared" si="125"/>
        <v>0</v>
      </c>
      <c r="V248" s="37" t="str">
        <f t="shared" si="126"/>
        <v>ok</v>
      </c>
      <c r="W248" s="37" t="str">
        <f t="shared" si="127"/>
        <v>ok</v>
      </c>
    </row>
    <row r="249" spans="1:23" x14ac:dyDescent="0.25">
      <c r="A249" s="426"/>
      <c r="B249" s="178" t="s">
        <v>23</v>
      </c>
      <c r="C249" s="129">
        <v>7</v>
      </c>
      <c r="D249" s="130">
        <f>'2.4.5.4 Emplois ETP  base m'!D249/QTMGI</f>
        <v>1.7310857142857143</v>
      </c>
      <c r="E249" s="131">
        <f>'2.4.5.4 Emplois ETP  base m'!E249/QTMGI</f>
        <v>19.330457142857142</v>
      </c>
      <c r="F249" s="132">
        <f t="shared" si="96"/>
        <v>15.464365714285714</v>
      </c>
      <c r="G249" s="133">
        <f t="shared" si="97"/>
        <v>3.8660914285714276</v>
      </c>
      <c r="H249" s="134">
        <f t="shared" si="118"/>
        <v>1.7310857142857143</v>
      </c>
      <c r="I249" s="135"/>
      <c r="J249" s="136">
        <f t="shared" si="119"/>
        <v>0</v>
      </c>
      <c r="K249" s="137"/>
      <c r="L249" s="138">
        <f t="shared" si="120"/>
        <v>0</v>
      </c>
      <c r="M249" s="137"/>
      <c r="N249" s="139">
        <f t="shared" si="121"/>
        <v>13.733280000000001</v>
      </c>
      <c r="O249" s="137"/>
      <c r="P249" s="140">
        <f t="shared" si="122"/>
        <v>3.8660914285714276</v>
      </c>
      <c r="Q249" s="135"/>
      <c r="R249" s="104">
        <f t="shared" si="123"/>
        <v>1.7310857142857143</v>
      </c>
      <c r="S249" s="137"/>
      <c r="T249" s="141">
        <f t="shared" si="124"/>
        <v>17.599371428571427</v>
      </c>
      <c r="U249" s="199">
        <f t="shared" si="125"/>
        <v>0</v>
      </c>
      <c r="V249" s="37" t="str">
        <f t="shared" si="126"/>
        <v>ok</v>
      </c>
      <c r="W249" s="37" t="str">
        <f t="shared" si="127"/>
        <v>ok</v>
      </c>
    </row>
    <row r="250" spans="1:23" x14ac:dyDescent="0.25">
      <c r="A250" s="426"/>
      <c r="B250" s="178" t="s">
        <v>19</v>
      </c>
      <c r="C250" s="129">
        <v>10</v>
      </c>
      <c r="D250" s="130">
        <f>'2.4.5.4 Emplois ETP  base m'!D250/QTMGI</f>
        <v>5.5587085714285704</v>
      </c>
      <c r="E250" s="131">
        <f>'2.4.5.4 Emplois ETP  base m'!E250/QTMGI</f>
        <v>13.517802197802196</v>
      </c>
      <c r="F250" s="132">
        <f t="shared" si="96"/>
        <v>10.814241758241756</v>
      </c>
      <c r="G250" s="133">
        <f t="shared" si="97"/>
        <v>2.7035604395604387</v>
      </c>
      <c r="H250" s="134">
        <f t="shared" si="118"/>
        <v>5.5587085714285704</v>
      </c>
      <c r="I250" s="135"/>
      <c r="J250" s="136">
        <f t="shared" si="119"/>
        <v>0</v>
      </c>
      <c r="K250" s="137"/>
      <c r="L250" s="138">
        <f t="shared" si="120"/>
        <v>0</v>
      </c>
      <c r="M250" s="137"/>
      <c r="N250" s="139">
        <f t="shared" si="121"/>
        <v>5.255533186813186</v>
      </c>
      <c r="O250" s="137"/>
      <c r="P250" s="140">
        <f t="shared" si="122"/>
        <v>2.7035604395604387</v>
      </c>
      <c r="Q250" s="135"/>
      <c r="R250" s="104">
        <f t="shared" si="123"/>
        <v>5.5587085714285704</v>
      </c>
      <c r="S250" s="137"/>
      <c r="T250" s="141">
        <f t="shared" si="124"/>
        <v>7.9590936263736243</v>
      </c>
      <c r="U250" s="199">
        <f t="shared" si="125"/>
        <v>0</v>
      </c>
      <c r="V250" s="37" t="str">
        <f t="shared" si="126"/>
        <v>ok</v>
      </c>
      <c r="W250" s="37" t="str">
        <f t="shared" si="127"/>
        <v>ok</v>
      </c>
    </row>
    <row r="251" spans="1:23" x14ac:dyDescent="0.25">
      <c r="A251" s="426"/>
      <c r="B251" s="178" t="s">
        <v>20</v>
      </c>
      <c r="C251" s="129">
        <v>11</v>
      </c>
      <c r="D251" s="130">
        <f>'2.4.5.4 Emplois ETP  base m'!D251/QTMGI</f>
        <v>4.5085165714285713</v>
      </c>
      <c r="E251" s="131">
        <f>'2.4.5.4 Emplois ETP  base m'!E251/QTMGI</f>
        <v>13.85574725274725</v>
      </c>
      <c r="F251" s="132">
        <f t="shared" si="96"/>
        <v>11.0845978021978</v>
      </c>
      <c r="G251" s="133">
        <f t="shared" si="97"/>
        <v>2.7711494505494492</v>
      </c>
      <c r="H251" s="134">
        <f t="shared" si="118"/>
        <v>4.5085165714285713</v>
      </c>
      <c r="I251" s="135"/>
      <c r="J251" s="136">
        <f t="shared" si="119"/>
        <v>0</v>
      </c>
      <c r="K251" s="137"/>
      <c r="L251" s="138">
        <f t="shared" si="120"/>
        <v>0</v>
      </c>
      <c r="M251" s="137"/>
      <c r="N251" s="139">
        <f t="shared" si="121"/>
        <v>6.5760812307692289</v>
      </c>
      <c r="O251" s="137"/>
      <c r="P251" s="140">
        <f t="shared" si="122"/>
        <v>2.7711494505494492</v>
      </c>
      <c r="Q251" s="135"/>
      <c r="R251" s="104">
        <f t="shared" si="123"/>
        <v>4.5085165714285713</v>
      </c>
      <c r="S251" s="137"/>
      <c r="T251" s="141">
        <f t="shared" si="124"/>
        <v>9.3472306813186776</v>
      </c>
      <c r="U251" s="199">
        <f t="shared" si="125"/>
        <v>0</v>
      </c>
      <c r="V251" s="37" t="str">
        <f t="shared" si="126"/>
        <v>ok</v>
      </c>
      <c r="W251" s="37" t="str">
        <f t="shared" si="127"/>
        <v>ok</v>
      </c>
    </row>
    <row r="252" spans="1:23" x14ac:dyDescent="0.25">
      <c r="A252" s="426"/>
      <c r="B252" s="178" t="s">
        <v>21</v>
      </c>
      <c r="C252" s="129">
        <v>12</v>
      </c>
      <c r="D252" s="130">
        <f>'2.4.5.4 Emplois ETP  base m'!D252/QTMGI</f>
        <v>2.6062457142857136</v>
      </c>
      <c r="E252" s="131">
        <f>'2.4.5.4 Emplois ETP  base m'!E252/QTMGI</f>
        <v>7.434791208791208</v>
      </c>
      <c r="F252" s="132">
        <f t="shared" si="96"/>
        <v>5.9478329670329666</v>
      </c>
      <c r="G252" s="133">
        <f t="shared" si="97"/>
        <v>1.4869582417582412</v>
      </c>
      <c r="H252" s="134">
        <f t="shared" si="118"/>
        <v>2.6062457142857136</v>
      </c>
      <c r="I252" s="135"/>
      <c r="J252" s="136">
        <f t="shared" si="119"/>
        <v>0</v>
      </c>
      <c r="K252" s="137"/>
      <c r="L252" s="138">
        <f t="shared" si="120"/>
        <v>0</v>
      </c>
      <c r="M252" s="137"/>
      <c r="N252" s="139">
        <f t="shared" si="121"/>
        <v>3.341587252747253</v>
      </c>
      <c r="O252" s="137"/>
      <c r="P252" s="140">
        <f t="shared" si="122"/>
        <v>1.4869582417582412</v>
      </c>
      <c r="Q252" s="135"/>
      <c r="R252" s="104">
        <f t="shared" si="123"/>
        <v>2.6062457142857136</v>
      </c>
      <c r="S252" s="137"/>
      <c r="T252" s="141">
        <f t="shared" si="124"/>
        <v>4.8285454945054944</v>
      </c>
      <c r="U252" s="199">
        <f t="shared" si="125"/>
        <v>0</v>
      </c>
      <c r="V252" s="37" t="str">
        <f t="shared" si="126"/>
        <v>ok</v>
      </c>
      <c r="W252" s="37" t="str">
        <f t="shared" si="127"/>
        <v>ok</v>
      </c>
    </row>
    <row r="253" spans="1:23" x14ac:dyDescent="0.25">
      <c r="A253" s="426"/>
      <c r="B253" s="178" t="s">
        <v>22</v>
      </c>
      <c r="C253" s="129">
        <v>13</v>
      </c>
      <c r="D253" s="130">
        <f>'2.4.5.4 Emplois ETP  base m'!D253/QTMGI</f>
        <v>2.1042308571428565</v>
      </c>
      <c r="E253" s="131">
        <f>'2.4.5.4 Emplois ETP  base m'!E253/QTMGI</f>
        <v>9.4624615384615378</v>
      </c>
      <c r="F253" s="132">
        <f t="shared" si="96"/>
        <v>7.5699692307692308</v>
      </c>
      <c r="G253" s="133">
        <f t="shared" si="97"/>
        <v>1.8924923076923073</v>
      </c>
      <c r="H253" s="134">
        <f t="shared" si="118"/>
        <v>2.1042308571428565</v>
      </c>
      <c r="I253" s="135"/>
      <c r="J253" s="136">
        <f t="shared" si="119"/>
        <v>0</v>
      </c>
      <c r="K253" s="137"/>
      <c r="L253" s="138">
        <f t="shared" si="120"/>
        <v>0</v>
      </c>
      <c r="M253" s="137"/>
      <c r="N253" s="139">
        <f t="shared" si="121"/>
        <v>5.4657383736263743</v>
      </c>
      <c r="O253" s="137"/>
      <c r="P253" s="140">
        <f t="shared" si="122"/>
        <v>1.8924923076923073</v>
      </c>
      <c r="Q253" s="135"/>
      <c r="R253" s="104">
        <f t="shared" si="123"/>
        <v>2.1042308571428565</v>
      </c>
      <c r="S253" s="137"/>
      <c r="T253" s="141">
        <f t="shared" si="124"/>
        <v>7.3582306813186813</v>
      </c>
      <c r="U253" s="199">
        <f t="shared" si="125"/>
        <v>0</v>
      </c>
      <c r="V253" s="37" t="str">
        <f t="shared" si="126"/>
        <v>ok</v>
      </c>
      <c r="W253" s="37" t="str">
        <f t="shared" si="127"/>
        <v>ok</v>
      </c>
    </row>
    <row r="254" spans="1:23" x14ac:dyDescent="0.25">
      <c r="A254" s="426"/>
      <c r="B254" s="178" t="s">
        <v>23</v>
      </c>
      <c r="C254" s="129">
        <v>14</v>
      </c>
      <c r="D254" s="130">
        <f>'2.4.5.4 Emplois ETP  base m'!D254/QTMGI</f>
        <v>4.0084251428571429</v>
      </c>
      <c r="E254" s="131">
        <f>'2.4.5.4 Emplois ETP  base m'!E254/QTMGI</f>
        <v>12.841912087912085</v>
      </c>
      <c r="F254" s="132">
        <f t="shared" si="96"/>
        <v>10.273529670329669</v>
      </c>
      <c r="G254" s="133">
        <f t="shared" si="97"/>
        <v>2.5683824175824164</v>
      </c>
      <c r="H254" s="134">
        <f t="shared" si="118"/>
        <v>4.0084251428571429</v>
      </c>
      <c r="I254" s="135"/>
      <c r="J254" s="136">
        <f t="shared" si="119"/>
        <v>0</v>
      </c>
      <c r="K254" s="137"/>
      <c r="L254" s="138">
        <f t="shared" si="120"/>
        <v>0</v>
      </c>
      <c r="M254" s="137"/>
      <c r="N254" s="139">
        <f t="shared" si="121"/>
        <v>6.2651045274725261</v>
      </c>
      <c r="O254" s="137"/>
      <c r="P254" s="140">
        <f t="shared" si="122"/>
        <v>2.5683824175824164</v>
      </c>
      <c r="Q254" s="135"/>
      <c r="R254" s="104">
        <f t="shared" si="123"/>
        <v>4.0084251428571429</v>
      </c>
      <c r="S254" s="137"/>
      <c r="T254" s="141">
        <f t="shared" si="124"/>
        <v>8.8334869450549434</v>
      </c>
      <c r="U254" s="199">
        <f t="shared" si="125"/>
        <v>0</v>
      </c>
      <c r="V254" s="37" t="str">
        <f t="shared" si="126"/>
        <v>ok</v>
      </c>
      <c r="W254" s="37" t="str">
        <f t="shared" si="127"/>
        <v>ok</v>
      </c>
    </row>
    <row r="255" spans="1:23" x14ac:dyDescent="0.25">
      <c r="A255" s="426"/>
      <c r="B255" s="178" t="s">
        <v>19</v>
      </c>
      <c r="C255" s="129">
        <v>17</v>
      </c>
      <c r="D255" s="130">
        <f>'2.4.5.4 Emplois ETP  base m'!D255/QTMGI</f>
        <v>3.4833291428571416</v>
      </c>
      <c r="E255" s="131">
        <f>'2.4.5.4 Emplois ETP  base m'!E255/QTMGI</f>
        <v>20.276703296703293</v>
      </c>
      <c r="F255" s="132">
        <f t="shared" si="96"/>
        <v>16.221362637362635</v>
      </c>
      <c r="G255" s="133">
        <f t="shared" si="97"/>
        <v>4.0553406593406578</v>
      </c>
      <c r="H255" s="134">
        <f t="shared" si="118"/>
        <v>3.4833291428571416</v>
      </c>
      <c r="I255" s="135"/>
      <c r="J255" s="136">
        <f t="shared" si="119"/>
        <v>0</v>
      </c>
      <c r="K255" s="137"/>
      <c r="L255" s="138">
        <f t="shared" si="120"/>
        <v>0</v>
      </c>
      <c r="M255" s="137"/>
      <c r="N255" s="139">
        <f t="shared" si="121"/>
        <v>12.738033494505494</v>
      </c>
      <c r="O255" s="137"/>
      <c r="P255" s="140">
        <f t="shared" si="122"/>
        <v>4.0553406593406578</v>
      </c>
      <c r="Q255" s="135"/>
      <c r="R255" s="104">
        <f t="shared" si="123"/>
        <v>3.4833291428571416</v>
      </c>
      <c r="S255" s="137"/>
      <c r="T255" s="141">
        <f t="shared" si="124"/>
        <v>16.793374153846152</v>
      </c>
      <c r="U255" s="199">
        <f t="shared" si="125"/>
        <v>0</v>
      </c>
      <c r="V255" s="37" t="str">
        <f t="shared" si="126"/>
        <v>ok</v>
      </c>
      <c r="W255" s="37" t="str">
        <f t="shared" si="127"/>
        <v>ok</v>
      </c>
    </row>
    <row r="256" spans="1:23" x14ac:dyDescent="0.25">
      <c r="A256" s="426"/>
      <c r="B256" s="178" t="s">
        <v>20</v>
      </c>
      <c r="C256" s="129">
        <v>18</v>
      </c>
      <c r="D256" s="130">
        <f>'2.4.5.4 Emplois ETP  base m'!D256/QTMGI</f>
        <v>2.7351154285714281</v>
      </c>
      <c r="E256" s="131">
        <f>'2.4.5.4 Emplois ETP  base m'!E256/QTMGI</f>
        <v>15.545472527472525</v>
      </c>
      <c r="F256" s="132">
        <f t="shared" si="96"/>
        <v>12.436378021978021</v>
      </c>
      <c r="G256" s="133">
        <f t="shared" si="97"/>
        <v>3.1090945054945043</v>
      </c>
      <c r="H256" s="134">
        <f t="shared" si="118"/>
        <v>2.7351154285714281</v>
      </c>
      <c r="I256" s="135"/>
      <c r="J256" s="136">
        <f t="shared" si="119"/>
        <v>0</v>
      </c>
      <c r="K256" s="137"/>
      <c r="L256" s="138">
        <f t="shared" si="120"/>
        <v>0</v>
      </c>
      <c r="M256" s="137"/>
      <c r="N256" s="139">
        <f t="shared" si="121"/>
        <v>9.701262593406593</v>
      </c>
      <c r="O256" s="137"/>
      <c r="P256" s="140">
        <f t="shared" si="122"/>
        <v>3.1090945054945043</v>
      </c>
      <c r="Q256" s="135"/>
      <c r="R256" s="104">
        <f t="shared" si="123"/>
        <v>2.7351154285714281</v>
      </c>
      <c r="S256" s="137"/>
      <c r="T256" s="141">
        <f t="shared" si="124"/>
        <v>12.810357098901097</v>
      </c>
      <c r="U256" s="199">
        <f t="shared" si="125"/>
        <v>0</v>
      </c>
      <c r="V256" s="37" t="str">
        <f t="shared" si="126"/>
        <v>ok</v>
      </c>
      <c r="W256" s="37" t="str">
        <f t="shared" si="127"/>
        <v>ok</v>
      </c>
    </row>
    <row r="257" spans="1:23" x14ac:dyDescent="0.25">
      <c r="A257" s="426"/>
      <c r="B257" s="178" t="s">
        <v>21</v>
      </c>
      <c r="C257" s="129">
        <v>19</v>
      </c>
      <c r="D257" s="130">
        <f>'2.4.5.4 Emplois ETP  base m'!D257/QTMGI</f>
        <v>1.1963725714285713</v>
      </c>
      <c r="E257" s="131">
        <f>'2.4.5.4 Emplois ETP  base m'!E257/QTMGI</f>
        <v>7.434791208791208</v>
      </c>
      <c r="F257" s="132">
        <f t="shared" si="96"/>
        <v>5.9478329670329666</v>
      </c>
      <c r="G257" s="133">
        <f t="shared" si="97"/>
        <v>1.4869582417582412</v>
      </c>
      <c r="H257" s="134">
        <f t="shared" si="118"/>
        <v>1.1963725714285713</v>
      </c>
      <c r="I257" s="135"/>
      <c r="J257" s="136">
        <f t="shared" si="119"/>
        <v>0</v>
      </c>
      <c r="K257" s="137"/>
      <c r="L257" s="138">
        <f t="shared" si="120"/>
        <v>0</v>
      </c>
      <c r="M257" s="137"/>
      <c r="N257" s="139">
        <f t="shared" si="121"/>
        <v>4.7514603956043953</v>
      </c>
      <c r="O257" s="137"/>
      <c r="P257" s="140">
        <f t="shared" si="122"/>
        <v>1.4869582417582412</v>
      </c>
      <c r="Q257" s="135"/>
      <c r="R257" s="104">
        <f t="shared" si="123"/>
        <v>1.1963725714285713</v>
      </c>
      <c r="S257" s="137"/>
      <c r="T257" s="141">
        <f t="shared" si="124"/>
        <v>6.2384186373626367</v>
      </c>
      <c r="U257" s="199">
        <f t="shared" si="125"/>
        <v>0</v>
      </c>
      <c r="V257" s="37" t="str">
        <f t="shared" si="126"/>
        <v>ok</v>
      </c>
      <c r="W257" s="37" t="str">
        <f t="shared" si="127"/>
        <v>ok</v>
      </c>
    </row>
    <row r="258" spans="1:23" x14ac:dyDescent="0.25">
      <c r="A258" s="426"/>
      <c r="B258" s="178" t="s">
        <v>22</v>
      </c>
      <c r="C258" s="129">
        <v>20</v>
      </c>
      <c r="D258" s="130">
        <f>'2.4.5.4 Emplois ETP  base m'!D258/QTMGI</f>
        <v>0.83476799999999984</v>
      </c>
      <c r="E258" s="131">
        <f>'2.4.5.4 Emplois ETP  base m'!E258/QTMGI</f>
        <v>12.503967032967031</v>
      </c>
      <c r="F258" s="132">
        <f t="shared" si="96"/>
        <v>10.003173626373625</v>
      </c>
      <c r="G258" s="133">
        <f t="shared" si="97"/>
        <v>2.5007934065934059</v>
      </c>
      <c r="H258" s="134">
        <f t="shared" si="118"/>
        <v>0.83476799999999984</v>
      </c>
      <c r="I258" s="135"/>
      <c r="J258" s="136">
        <f t="shared" si="119"/>
        <v>0</v>
      </c>
      <c r="K258" s="137"/>
      <c r="L258" s="138">
        <f t="shared" si="120"/>
        <v>0</v>
      </c>
      <c r="M258" s="137"/>
      <c r="N258" s="139">
        <f t="shared" si="121"/>
        <v>9.1684056263736249</v>
      </c>
      <c r="O258" s="137"/>
      <c r="P258" s="140">
        <f t="shared" si="122"/>
        <v>2.5007934065934059</v>
      </c>
      <c r="Q258" s="135"/>
      <c r="R258" s="104">
        <f t="shared" si="123"/>
        <v>0.83476799999999984</v>
      </c>
      <c r="S258" s="137"/>
      <c r="T258" s="141">
        <f t="shared" si="124"/>
        <v>11.669199032967031</v>
      </c>
      <c r="U258" s="199">
        <f t="shared" si="125"/>
        <v>0</v>
      </c>
      <c r="V258" s="37" t="str">
        <f t="shared" si="126"/>
        <v>ok</v>
      </c>
      <c r="W258" s="37" t="str">
        <f t="shared" si="127"/>
        <v>ok</v>
      </c>
    </row>
    <row r="259" spans="1:23" x14ac:dyDescent="0.25">
      <c r="A259" s="426"/>
      <c r="B259" s="178" t="s">
        <v>23</v>
      </c>
      <c r="C259" s="129">
        <v>21</v>
      </c>
      <c r="D259" s="130">
        <f>'2.4.5.4 Emplois ETP  base m'!D259/QTMGI</f>
        <v>1.7310857142857143</v>
      </c>
      <c r="E259" s="131">
        <f>'2.4.5.4 Emplois ETP  base m'!E259/QTMGI</f>
        <v>14.869582417582416</v>
      </c>
      <c r="F259" s="132">
        <f t="shared" si="96"/>
        <v>11.895665934065933</v>
      </c>
      <c r="G259" s="133">
        <f t="shared" si="97"/>
        <v>2.9739164835164824</v>
      </c>
      <c r="H259" s="134">
        <f t="shared" si="118"/>
        <v>1.7310857142857143</v>
      </c>
      <c r="I259" s="135"/>
      <c r="J259" s="136">
        <f t="shared" si="119"/>
        <v>0</v>
      </c>
      <c r="K259" s="137"/>
      <c r="L259" s="138">
        <f t="shared" si="120"/>
        <v>0</v>
      </c>
      <c r="M259" s="137"/>
      <c r="N259" s="139">
        <f t="shared" si="121"/>
        <v>10.16458021978022</v>
      </c>
      <c r="O259" s="137"/>
      <c r="P259" s="140">
        <f t="shared" si="122"/>
        <v>2.9739164835164824</v>
      </c>
      <c r="Q259" s="135"/>
      <c r="R259" s="104">
        <f t="shared" si="123"/>
        <v>1.7310857142857143</v>
      </c>
      <c r="S259" s="137"/>
      <c r="T259" s="141">
        <f t="shared" si="124"/>
        <v>13.138496703296703</v>
      </c>
      <c r="U259" s="199">
        <f t="shared" si="125"/>
        <v>0</v>
      </c>
      <c r="V259" s="37" t="str">
        <f t="shared" si="126"/>
        <v>ok</v>
      </c>
      <c r="W259" s="37" t="str">
        <f t="shared" si="127"/>
        <v>ok</v>
      </c>
    </row>
    <row r="260" spans="1:23" x14ac:dyDescent="0.25">
      <c r="A260" s="426"/>
      <c r="B260" s="178" t="s">
        <v>19</v>
      </c>
      <c r="C260" s="129">
        <v>24</v>
      </c>
      <c r="D260" s="130">
        <f>'2.4.5.4 Emplois ETP  base m'!D260/QTMGI</f>
        <v>6.9474239999999998</v>
      </c>
      <c r="E260" s="131">
        <f>'2.4.5.4 Emplois ETP  base m'!E260/QTMGI</f>
        <v>16.728280219780217</v>
      </c>
      <c r="F260" s="132">
        <f t="shared" si="96"/>
        <v>13.382624175824175</v>
      </c>
      <c r="G260" s="133">
        <f t="shared" si="97"/>
        <v>3.3456560439560428</v>
      </c>
      <c r="H260" s="134">
        <f t="shared" si="118"/>
        <v>6.9474239999999998</v>
      </c>
      <c r="I260" s="135"/>
      <c r="J260" s="136">
        <f t="shared" si="119"/>
        <v>0</v>
      </c>
      <c r="K260" s="137"/>
      <c r="L260" s="138">
        <f t="shared" si="120"/>
        <v>0</v>
      </c>
      <c r="M260" s="137"/>
      <c r="N260" s="139">
        <f t="shared" si="121"/>
        <v>6.4352001758241748</v>
      </c>
      <c r="O260" s="137"/>
      <c r="P260" s="140">
        <f t="shared" si="122"/>
        <v>3.3456560439560428</v>
      </c>
      <c r="Q260" s="135"/>
      <c r="R260" s="104">
        <f t="shared" si="123"/>
        <v>6.9474239999999998</v>
      </c>
      <c r="S260" s="137"/>
      <c r="T260" s="141">
        <f t="shared" si="124"/>
        <v>9.7808562197802171</v>
      </c>
      <c r="U260" s="199">
        <f t="shared" si="125"/>
        <v>0</v>
      </c>
      <c r="V260" s="37" t="str">
        <f t="shared" si="126"/>
        <v>ok</v>
      </c>
      <c r="W260" s="37" t="str">
        <f t="shared" si="127"/>
        <v>ok</v>
      </c>
    </row>
    <row r="261" spans="1:23" x14ac:dyDescent="0.25">
      <c r="A261" s="426"/>
      <c r="B261" s="178" t="s">
        <v>20</v>
      </c>
      <c r="C261" s="129">
        <v>25</v>
      </c>
      <c r="D261" s="130">
        <f>'2.4.5.4 Emplois ETP  base m'!D261/QTMGI</f>
        <v>5.6548799999999986</v>
      </c>
      <c r="E261" s="131">
        <f>'2.4.5.4 Emplois ETP  base m'!E261/QTMGI</f>
        <v>10.597956923076921</v>
      </c>
      <c r="F261" s="132">
        <f t="shared" ref="F261:F265" si="128">E261*TC</f>
        <v>8.4783655384615368</v>
      </c>
      <c r="G261" s="133">
        <f t="shared" ref="G261:G265" si="129">E261*(1-TC)</f>
        <v>2.1195913846153838</v>
      </c>
      <c r="H261" s="134">
        <f t="shared" si="118"/>
        <v>5.6548799999999986</v>
      </c>
      <c r="I261" s="135"/>
      <c r="J261" s="136">
        <f t="shared" si="119"/>
        <v>0</v>
      </c>
      <c r="K261" s="137"/>
      <c r="L261" s="138">
        <f t="shared" si="120"/>
        <v>0</v>
      </c>
      <c r="M261" s="137"/>
      <c r="N261" s="139">
        <f t="shared" si="121"/>
        <v>2.8234855384615383</v>
      </c>
      <c r="O261" s="137"/>
      <c r="P261" s="140">
        <f t="shared" si="122"/>
        <v>2.1195913846153838</v>
      </c>
      <c r="Q261" s="135"/>
      <c r="R261" s="104">
        <f t="shared" si="123"/>
        <v>5.6548799999999986</v>
      </c>
      <c r="S261" s="137"/>
      <c r="T261" s="141">
        <f t="shared" si="124"/>
        <v>4.943076923076922</v>
      </c>
      <c r="U261" s="199">
        <f t="shared" si="125"/>
        <v>0</v>
      </c>
      <c r="V261" s="37" t="str">
        <f t="shared" si="126"/>
        <v>ok</v>
      </c>
      <c r="W261" s="37" t="str">
        <f t="shared" si="127"/>
        <v>ok</v>
      </c>
    </row>
    <row r="262" spans="1:23" x14ac:dyDescent="0.25">
      <c r="A262" s="426"/>
      <c r="B262" s="178" t="s">
        <v>21</v>
      </c>
      <c r="C262" s="129">
        <v>26</v>
      </c>
      <c r="D262" s="130">
        <f>'2.4.5.4 Emplois ETP  base m'!D262/QTMGI</f>
        <v>3.258287999999999</v>
      </c>
      <c r="E262" s="131">
        <f>'2.4.5.4 Emplois ETP  base m'!E262/QTMGI</f>
        <v>5.0218635164835153</v>
      </c>
      <c r="F262" s="132">
        <f t="shared" si="128"/>
        <v>4.0174908131868126</v>
      </c>
      <c r="G262" s="133">
        <f t="shared" si="129"/>
        <v>1.0043727032967029</v>
      </c>
      <c r="H262" s="134">
        <f t="shared" si="118"/>
        <v>3.258287999999999</v>
      </c>
      <c r="I262" s="135"/>
      <c r="J262" s="136">
        <f t="shared" si="119"/>
        <v>0</v>
      </c>
      <c r="K262" s="137"/>
      <c r="L262" s="138">
        <f t="shared" si="120"/>
        <v>0</v>
      </c>
      <c r="M262" s="137"/>
      <c r="N262" s="139">
        <f t="shared" si="121"/>
        <v>0.7592028131868136</v>
      </c>
      <c r="O262" s="137"/>
      <c r="P262" s="140">
        <f t="shared" si="122"/>
        <v>1.0043727032967029</v>
      </c>
      <c r="Q262" s="135"/>
      <c r="R262" s="104">
        <f t="shared" si="123"/>
        <v>3.258287999999999</v>
      </c>
      <c r="S262" s="137"/>
      <c r="T262" s="141">
        <f t="shared" si="124"/>
        <v>1.7635755164835165</v>
      </c>
      <c r="U262" s="199">
        <f t="shared" si="125"/>
        <v>0</v>
      </c>
      <c r="V262" s="37" t="str">
        <f t="shared" si="126"/>
        <v>ok</v>
      </c>
      <c r="W262" s="37" t="str">
        <f t="shared" si="127"/>
        <v>ok</v>
      </c>
    </row>
    <row r="263" spans="1:23" x14ac:dyDescent="0.25">
      <c r="A263" s="426"/>
      <c r="B263" s="178" t="s">
        <v>22</v>
      </c>
      <c r="C263" s="129">
        <v>27</v>
      </c>
      <c r="D263" s="130">
        <f>'2.4.5.4 Emplois ETP  base m'!D263/QTMGI</f>
        <v>2.667795428571428</v>
      </c>
      <c r="E263" s="131">
        <f>'2.4.5.4 Emplois ETP  base m'!E263/QTMGI</f>
        <v>6.6913120879120864</v>
      </c>
      <c r="F263" s="132">
        <f t="shared" si="128"/>
        <v>5.3530496703296695</v>
      </c>
      <c r="G263" s="133">
        <f t="shared" si="129"/>
        <v>1.3382624175824169</v>
      </c>
      <c r="H263" s="134">
        <f t="shared" si="118"/>
        <v>2.667795428571428</v>
      </c>
      <c r="I263" s="135"/>
      <c r="J263" s="136">
        <f t="shared" si="119"/>
        <v>0</v>
      </c>
      <c r="K263" s="137"/>
      <c r="L263" s="138">
        <f t="shared" si="120"/>
        <v>0</v>
      </c>
      <c r="M263" s="137"/>
      <c r="N263" s="139">
        <f t="shared" si="121"/>
        <v>2.6852542417582415</v>
      </c>
      <c r="O263" s="137"/>
      <c r="P263" s="140">
        <f t="shared" si="122"/>
        <v>1.3382624175824169</v>
      </c>
      <c r="Q263" s="135"/>
      <c r="R263" s="104">
        <f t="shared" si="123"/>
        <v>2.667795428571428</v>
      </c>
      <c r="S263" s="137"/>
      <c r="T263" s="141">
        <f t="shared" si="124"/>
        <v>4.0235166593406584</v>
      </c>
      <c r="U263" s="199">
        <f t="shared" si="125"/>
        <v>0</v>
      </c>
      <c r="V263" s="37" t="str">
        <f t="shared" si="126"/>
        <v>ok</v>
      </c>
      <c r="W263" s="37" t="str">
        <f t="shared" si="127"/>
        <v>ok</v>
      </c>
    </row>
    <row r="264" spans="1:23" x14ac:dyDescent="0.25">
      <c r="A264" s="426"/>
      <c r="B264" s="178" t="s">
        <v>23</v>
      </c>
      <c r="C264" s="129">
        <v>28</v>
      </c>
      <c r="D264" s="130">
        <f>'2.4.5.4 Emplois ETP  base m'!D264/QTMGI</f>
        <v>5.0105314285714284</v>
      </c>
      <c r="E264" s="131">
        <f>'2.4.5.4 Emplois ETP  base m'!E264/QTMGI</f>
        <v>10.597956923076921</v>
      </c>
      <c r="F264" s="132">
        <f t="shared" si="128"/>
        <v>8.4783655384615368</v>
      </c>
      <c r="G264" s="133">
        <f t="shared" si="129"/>
        <v>2.1195913846153838</v>
      </c>
      <c r="H264" s="134">
        <f t="shared" si="118"/>
        <v>5.0105314285714284</v>
      </c>
      <c r="I264" s="135"/>
      <c r="J264" s="136">
        <f t="shared" si="119"/>
        <v>0</v>
      </c>
      <c r="K264" s="137"/>
      <c r="L264" s="138">
        <f t="shared" si="120"/>
        <v>0</v>
      </c>
      <c r="M264" s="137"/>
      <c r="N264" s="139">
        <f t="shared" si="121"/>
        <v>3.4678341098901084</v>
      </c>
      <c r="O264" s="137"/>
      <c r="P264" s="140">
        <f t="shared" si="122"/>
        <v>2.1195913846153838</v>
      </c>
      <c r="Q264" s="135"/>
      <c r="R264" s="104">
        <f t="shared" si="123"/>
        <v>5.0105314285714284</v>
      </c>
      <c r="S264" s="137"/>
      <c r="T264" s="141">
        <f t="shared" si="124"/>
        <v>5.5874254945054922</v>
      </c>
      <c r="U264" s="199">
        <f t="shared" si="125"/>
        <v>0</v>
      </c>
      <c r="V264" s="37" t="str">
        <f t="shared" si="126"/>
        <v>ok</v>
      </c>
      <c r="W264" s="37" t="str">
        <f t="shared" si="127"/>
        <v>ok</v>
      </c>
    </row>
    <row r="265" spans="1:23" ht="15.75" thickBot="1" x14ac:dyDescent="0.3">
      <c r="A265" s="427"/>
      <c r="B265" s="277" t="s">
        <v>19</v>
      </c>
      <c r="C265" s="165">
        <v>31</v>
      </c>
      <c r="D265" s="202">
        <f>'2.4.5.4 Emplois ETP  base m'!D265/QTMGI</f>
        <v>8.3361394285714283</v>
      </c>
      <c r="E265" s="203">
        <f>'2.4.5.4 Emplois ETP  base m'!E265/QTMGI</f>
        <v>20.276703296703293</v>
      </c>
      <c r="F265" s="204">
        <f t="shared" si="128"/>
        <v>16.221362637362635</v>
      </c>
      <c r="G265" s="205">
        <f t="shared" si="129"/>
        <v>4.0553406593406578</v>
      </c>
      <c r="H265" s="206">
        <f t="shared" si="118"/>
        <v>8.3361394285714283</v>
      </c>
      <c r="I265" s="207"/>
      <c r="J265" s="208">
        <f t="shared" si="119"/>
        <v>0</v>
      </c>
      <c r="K265" s="209"/>
      <c r="L265" s="210">
        <f t="shared" si="120"/>
        <v>0</v>
      </c>
      <c r="M265" s="209"/>
      <c r="N265" s="211">
        <f t="shared" si="121"/>
        <v>7.8852232087912064</v>
      </c>
      <c r="O265" s="209"/>
      <c r="P265" s="212">
        <f t="shared" si="122"/>
        <v>4.0553406593406578</v>
      </c>
      <c r="Q265" s="207"/>
      <c r="R265" s="213">
        <f t="shared" si="123"/>
        <v>8.3361394285714283</v>
      </c>
      <c r="S265" s="209"/>
      <c r="T265" s="214">
        <f t="shared" si="124"/>
        <v>11.940563868131864</v>
      </c>
      <c r="U265" s="215">
        <f t="shared" si="125"/>
        <v>0</v>
      </c>
      <c r="V265" s="37" t="str">
        <f t="shared" si="126"/>
        <v>ok</v>
      </c>
      <c r="W265" s="37" t="str">
        <f t="shared" si="127"/>
        <v>ok</v>
      </c>
    </row>
    <row r="266" spans="1:23" x14ac:dyDescent="0.25"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</row>
    <row r="267" spans="1:23" ht="15.75" thickBot="1" x14ac:dyDescent="0.3"/>
    <row r="268" spans="1:23" ht="51.75" thickBot="1" x14ac:dyDescent="0.3">
      <c r="A268" s="175">
        <v>2018</v>
      </c>
      <c r="B268" s="216"/>
      <c r="C268" s="217"/>
      <c r="D268" s="218" t="s">
        <v>40</v>
      </c>
      <c r="E268" s="219" t="s">
        <v>41</v>
      </c>
      <c r="F268" s="220" t="s">
        <v>42</v>
      </c>
      <c r="G268" s="221" t="s">
        <v>43</v>
      </c>
      <c r="H268" s="222" t="s">
        <v>44</v>
      </c>
      <c r="I268" s="223"/>
      <c r="J268" s="224" t="s">
        <v>45</v>
      </c>
      <c r="K268" s="225"/>
      <c r="L268" s="226" t="s">
        <v>46</v>
      </c>
      <c r="M268" s="225"/>
      <c r="N268" s="227" t="s">
        <v>47</v>
      </c>
      <c r="O268" s="225"/>
      <c r="P268" s="228" t="s">
        <v>48</v>
      </c>
      <c r="Q268" s="223"/>
      <c r="R268" s="229" t="s">
        <v>49</v>
      </c>
      <c r="S268" s="225"/>
      <c r="T268" s="230" t="s">
        <v>50</v>
      </c>
      <c r="U268" s="231" t="s">
        <v>51</v>
      </c>
      <c r="V268" s="32" t="s">
        <v>52</v>
      </c>
    </row>
    <row r="269" spans="1:23" x14ac:dyDescent="0.25">
      <c r="B269" s="246" t="s">
        <v>74</v>
      </c>
      <c r="C269" s="247">
        <v>1</v>
      </c>
      <c r="D269" s="184">
        <f>SUM(D5:D27)</f>
        <v>77.316125538461549</v>
      </c>
      <c r="E269" s="185">
        <f>SUM(E5:E27)</f>
        <v>309.43812857142859</v>
      </c>
      <c r="F269" s="186">
        <f>SUM(F5:F27)</f>
        <v>247.55050285714285</v>
      </c>
      <c r="G269" s="187">
        <f>SUM(G5:G27)</f>
        <v>61.88762571428569</v>
      </c>
      <c r="H269" s="188">
        <f>SUM(H5:H27)</f>
        <v>77.316125538461549</v>
      </c>
      <c r="I269" s="189"/>
      <c r="J269" s="190">
        <f>SUM(J5:J27)</f>
        <v>0</v>
      </c>
      <c r="K269" s="191"/>
      <c r="L269" s="192">
        <f>SUM(L5:L27)</f>
        <v>0</v>
      </c>
      <c r="M269" s="191"/>
      <c r="N269" s="193">
        <f>SUM(N5:N27)</f>
        <v>170.23437731868131</v>
      </c>
      <c r="O269" s="191"/>
      <c r="P269" s="194">
        <f>SUM(P5:P27)</f>
        <v>61.88762571428569</v>
      </c>
      <c r="Q269" s="189"/>
      <c r="R269" s="195">
        <f>SUM(R5:R27)</f>
        <v>77.316125538461549</v>
      </c>
      <c r="S269" s="191"/>
      <c r="T269" s="196">
        <f>SUM(T5:T27)</f>
        <v>232.12200303296692</v>
      </c>
      <c r="U269" s="197">
        <f>SUM(U5:U27)</f>
        <v>0</v>
      </c>
      <c r="V269" s="37" t="str">
        <f t="shared" ref="V269:V280" si="130">IF(R269+T269=E269,"ok","bad")</f>
        <v>bad</v>
      </c>
      <c r="W269" s="37" t="str">
        <f t="shared" ref="W269:W280" si="131">IF(U269+R269=D269,"ok","bad")</f>
        <v>ok</v>
      </c>
    </row>
    <row r="270" spans="1:23" x14ac:dyDescent="0.25">
      <c r="B270" s="163" t="s">
        <v>75</v>
      </c>
      <c r="C270" s="129">
        <v>2</v>
      </c>
      <c r="D270" s="130">
        <f>SUM(D28:D47)</f>
        <v>100.83425657142857</v>
      </c>
      <c r="E270" s="131">
        <f>SUM(E28:E47)</f>
        <v>188.34574391208787</v>
      </c>
      <c r="F270" s="132">
        <f>SUM(F28:F47)</f>
        <v>150.67659512967032</v>
      </c>
      <c r="G270" s="133">
        <f>SUM(G28:G47)</f>
        <v>37.669148782417579</v>
      </c>
      <c r="H270" s="134">
        <f>SUM(H28:H47)</f>
        <v>97.128502417582411</v>
      </c>
      <c r="I270" s="135"/>
      <c r="J270" s="136">
        <f>SUM(J28:J47)</f>
        <v>3.70575415384616</v>
      </c>
      <c r="K270" s="137"/>
      <c r="L270" s="138">
        <f>SUM(L28:L47)</f>
        <v>7.1029029362637299</v>
      </c>
      <c r="M270" s="137"/>
      <c r="N270" s="139">
        <f>SUM(N28:N47)</f>
        <v>60.650995648351632</v>
      </c>
      <c r="O270" s="137"/>
      <c r="P270" s="140">
        <f>SUM(P28:P47)</f>
        <v>30.566245846153844</v>
      </c>
      <c r="Q270" s="135"/>
      <c r="R270" s="104">
        <f>SUM(R28:R47)</f>
        <v>90.025599481318679</v>
      </c>
      <c r="S270" s="137"/>
      <c r="T270" s="141">
        <f>SUM(T28:T47)</f>
        <v>98.32014443076919</v>
      </c>
      <c r="U270" s="199">
        <f>SUM(U28:U47)</f>
        <v>10.80865709010989</v>
      </c>
      <c r="V270" s="37" t="str">
        <f t="shared" si="130"/>
        <v>ok</v>
      </c>
      <c r="W270" s="37" t="str">
        <f t="shared" si="131"/>
        <v>ok</v>
      </c>
    </row>
    <row r="271" spans="1:23" x14ac:dyDescent="0.25">
      <c r="B271" s="163" t="s">
        <v>76</v>
      </c>
      <c r="C271" s="129">
        <v>3</v>
      </c>
      <c r="D271" s="130">
        <f>SUM(D48:D69)</f>
        <v>148.00615397802198</v>
      </c>
      <c r="E271" s="131">
        <f>SUM(E48:E69)</f>
        <v>125.74053810989011</v>
      </c>
      <c r="F271" s="132">
        <f>SUM(F48:F69)</f>
        <v>100.59243048791208</v>
      </c>
      <c r="G271" s="133">
        <f>SUM(G48:G69)</f>
        <v>25.14810762197801</v>
      </c>
      <c r="H271" s="134">
        <f>SUM(H48:H69)</f>
        <v>98.038432087912071</v>
      </c>
      <c r="I271" s="135"/>
      <c r="J271" s="136">
        <f>SUM(J48:J69)</f>
        <v>49.9677218901099</v>
      </c>
      <c r="K271" s="137"/>
      <c r="L271" s="138">
        <f>SUM(L48:L69)</f>
        <v>11.972124237362634</v>
      </c>
      <c r="M271" s="137"/>
      <c r="N271" s="139">
        <f>SUM(N48:N69)</f>
        <v>14.526122637362636</v>
      </c>
      <c r="O271" s="137"/>
      <c r="P271" s="140">
        <f>SUM(P48:P69)</f>
        <v>13.175983384615382</v>
      </c>
      <c r="Q271" s="135"/>
      <c r="R271" s="104">
        <f>SUM(R48:R69)</f>
        <v>86.06630785054945</v>
      </c>
      <c r="S271" s="137"/>
      <c r="T271" s="141">
        <f>SUM(T48:T69)</f>
        <v>39.674230259340654</v>
      </c>
      <c r="U271" s="199">
        <f>SUM(U48:U69)</f>
        <v>61.939846127472528</v>
      </c>
      <c r="V271" s="37" t="str">
        <f t="shared" si="130"/>
        <v>ok</v>
      </c>
      <c r="W271" s="37" t="str">
        <f t="shared" si="131"/>
        <v>ok</v>
      </c>
    </row>
    <row r="272" spans="1:23" x14ac:dyDescent="0.25">
      <c r="B272" s="163" t="s">
        <v>77</v>
      </c>
      <c r="C272" s="129">
        <v>4</v>
      </c>
      <c r="D272" s="130">
        <f>SUM(D70:D90)</f>
        <v>211.86758057142856</v>
      </c>
      <c r="E272" s="131">
        <f>SUM(E70:E90)</f>
        <v>98.926961934065929</v>
      </c>
      <c r="F272" s="132">
        <f>SUM(F70:F90)</f>
        <v>79.141569547252743</v>
      </c>
      <c r="G272" s="133">
        <f>SUM(G70:G90)</f>
        <v>19.785392386813182</v>
      </c>
      <c r="H272" s="134">
        <f>SUM(H70:H90)</f>
        <v>93.809458285714285</v>
      </c>
      <c r="I272" s="135"/>
      <c r="J272" s="136">
        <f>SUM(J70:J90)</f>
        <v>118.05812228571428</v>
      </c>
      <c r="K272" s="137"/>
      <c r="L272" s="138">
        <f>SUM(L70:L90)</f>
        <v>16.709682145054938</v>
      </c>
      <c r="M272" s="137"/>
      <c r="N272" s="139">
        <f>SUM(N70:N90)</f>
        <v>2.0417934065934076</v>
      </c>
      <c r="O272" s="137"/>
      <c r="P272" s="140">
        <f>SUM(P70:P90)</f>
        <v>3.0757102417582405</v>
      </c>
      <c r="Q272" s="135"/>
      <c r="R272" s="104">
        <f>SUM(R70:R90)</f>
        <v>77.09977614065933</v>
      </c>
      <c r="S272" s="137"/>
      <c r="T272" s="141">
        <f>SUM(T70:T90)</f>
        <v>21.827185793406588</v>
      </c>
      <c r="U272" s="199">
        <f>SUM(U70:U90)</f>
        <v>134.76780443076922</v>
      </c>
      <c r="V272" s="37" t="str">
        <f t="shared" si="130"/>
        <v>ok</v>
      </c>
      <c r="W272" s="37" t="str">
        <f t="shared" si="131"/>
        <v>ok</v>
      </c>
    </row>
    <row r="273" spans="2:23" x14ac:dyDescent="0.25">
      <c r="B273" s="163" t="s">
        <v>78</v>
      </c>
      <c r="C273" s="129">
        <v>5</v>
      </c>
      <c r="D273" s="130">
        <f>SUM(D91:D113)</f>
        <v>309.40662738461538</v>
      </c>
      <c r="E273" s="131">
        <f>SUM(E91:E113)</f>
        <v>77.284059428571425</v>
      </c>
      <c r="F273" s="132">
        <f>SUM(F91:F113)</f>
        <v>61.827247542857144</v>
      </c>
      <c r="G273" s="133">
        <f>SUM(G91:G113)</f>
        <v>15.456811885714282</v>
      </c>
      <c r="H273" s="134">
        <f>SUM(H91:H113)</f>
        <v>77.27604962637362</v>
      </c>
      <c r="I273" s="135"/>
      <c r="J273" s="136">
        <f>SUM(J91:J113)</f>
        <v>232.13057775824174</v>
      </c>
      <c r="K273" s="137"/>
      <c r="L273" s="138">
        <f>SUM(L91:L113)</f>
        <v>15.44880208351648</v>
      </c>
      <c r="M273" s="137"/>
      <c r="N273" s="139">
        <f>SUM(N91:N113)</f>
        <v>0</v>
      </c>
      <c r="O273" s="137"/>
      <c r="P273" s="140">
        <f>SUM(P91:P113)</f>
        <v>8.0098021978018963E-3</v>
      </c>
      <c r="Q273" s="135"/>
      <c r="R273" s="104">
        <f>SUM(R91:R113)</f>
        <v>61.827247542857144</v>
      </c>
      <c r="S273" s="137"/>
      <c r="T273" s="141">
        <f>SUM(T91:T113)</f>
        <v>15.456811885714281</v>
      </c>
      <c r="U273" s="199">
        <f>SUM(U91:U113)</f>
        <v>247.5793798417582</v>
      </c>
      <c r="V273" s="37" t="str">
        <f t="shared" si="130"/>
        <v>ok</v>
      </c>
      <c r="W273" s="37" t="str">
        <f t="shared" si="131"/>
        <v>ok</v>
      </c>
    </row>
    <row r="274" spans="2:23" x14ac:dyDescent="0.25">
      <c r="B274" s="163" t="s">
        <v>79</v>
      </c>
      <c r="C274" s="129">
        <v>6</v>
      </c>
      <c r="D274" s="130">
        <f>SUM(D114:D134)</f>
        <v>141.24505371428569</v>
      </c>
      <c r="E274" s="131">
        <f>SUM(E114:E134)</f>
        <v>127.17173373626375</v>
      </c>
      <c r="F274" s="132">
        <f>SUM(F114:F134)</f>
        <v>101.73738698901099</v>
      </c>
      <c r="G274" s="133">
        <f>SUM(G114:G134)</f>
        <v>25.434346747252739</v>
      </c>
      <c r="H274" s="134">
        <f>SUM(H114:H134)</f>
        <v>97.064336571428569</v>
      </c>
      <c r="I274" s="135"/>
      <c r="J274" s="136">
        <f>SUM(J114:J134)</f>
        <v>44.180717142857134</v>
      </c>
      <c r="K274" s="137"/>
      <c r="L274" s="138">
        <f>SUM(L114:L134)</f>
        <v>11.386730769230766</v>
      </c>
      <c r="M274" s="137"/>
      <c r="N274" s="139">
        <f>SUM(N114:N134)</f>
        <v>16.05978118681319</v>
      </c>
      <c r="O274" s="137"/>
      <c r="P274" s="140">
        <f>SUM(P114:P134)</f>
        <v>14.047615978021977</v>
      </c>
      <c r="Q274" s="135"/>
      <c r="R274" s="104">
        <f>SUM(R114:R134)</f>
        <v>85.677605802197803</v>
      </c>
      <c r="S274" s="137"/>
      <c r="T274" s="141">
        <f>SUM(T114:T134)</f>
        <v>41.494127934065929</v>
      </c>
      <c r="U274" s="199">
        <f>SUM(U114:U134)</f>
        <v>55.5674479120879</v>
      </c>
      <c r="V274" s="37" t="str">
        <f t="shared" si="130"/>
        <v>ok</v>
      </c>
      <c r="W274" s="37" t="str">
        <f t="shared" si="131"/>
        <v>ok</v>
      </c>
    </row>
    <row r="275" spans="2:23" x14ac:dyDescent="0.25">
      <c r="B275" s="163" t="s">
        <v>80</v>
      </c>
      <c r="C275" s="129">
        <v>7</v>
      </c>
      <c r="D275" s="130">
        <f>SUM(D135:D156)</f>
        <v>73.921903595604377</v>
      </c>
      <c r="E275" s="131">
        <f>SUM(E135:E156)</f>
        <v>148.02553958241757</v>
      </c>
      <c r="F275" s="132">
        <f>SUM(F135:F156)</f>
        <v>118.42043166593406</v>
      </c>
      <c r="G275" s="133">
        <f>SUM(G135:G156)</f>
        <v>29.605107916483508</v>
      </c>
      <c r="H275" s="134">
        <f>SUM(H135:H156)</f>
        <v>73.202014720879106</v>
      </c>
      <c r="I275" s="135"/>
      <c r="J275" s="136">
        <f>SUM(J135:J156)</f>
        <v>0.71988887472527363</v>
      </c>
      <c r="K275" s="137"/>
      <c r="L275" s="138">
        <f>SUM(L135:L156)</f>
        <v>2.9083376571428543</v>
      </c>
      <c r="M275" s="137"/>
      <c r="N275" s="139">
        <f>SUM(N135:N156)</f>
        <v>48.126754602197799</v>
      </c>
      <c r="O275" s="137"/>
      <c r="P275" s="140">
        <f>SUM(P135:P156)</f>
        <v>26.696770259340649</v>
      </c>
      <c r="Q275" s="135"/>
      <c r="R275" s="104">
        <f>SUM(R135:R156)</f>
        <v>70.293677063736254</v>
      </c>
      <c r="S275" s="137"/>
      <c r="T275" s="141">
        <f>SUM(T135:T156)</f>
        <v>77.731862518681254</v>
      </c>
      <c r="U275" s="199">
        <f>SUM(U135:U156)</f>
        <v>3.6282265318681279</v>
      </c>
      <c r="V275" s="37" t="str">
        <f t="shared" si="130"/>
        <v>ok</v>
      </c>
      <c r="W275" s="37" t="str">
        <f t="shared" si="131"/>
        <v>ok</v>
      </c>
    </row>
    <row r="276" spans="2:23" x14ac:dyDescent="0.25">
      <c r="B276" s="163" t="s">
        <v>81</v>
      </c>
      <c r="C276" s="129">
        <v>8</v>
      </c>
      <c r="D276" s="130">
        <f>SUM(D157:D179)</f>
        <v>77.316125538461549</v>
      </c>
      <c r="E276" s="131">
        <f>SUM(E157:E179)</f>
        <v>208.75752771428569</v>
      </c>
      <c r="F276" s="132">
        <f>SUM(F157:F179)</f>
        <v>167.00602217142861</v>
      </c>
      <c r="G276" s="133">
        <f>SUM(G157:G179)</f>
        <v>41.751505542857146</v>
      </c>
      <c r="H276" s="134">
        <f>SUM(H157:H179)</f>
        <v>77.316125538461549</v>
      </c>
      <c r="I276" s="135"/>
      <c r="J276" s="136">
        <f>SUM(J157:J179)</f>
        <v>0</v>
      </c>
      <c r="K276" s="137"/>
      <c r="L276" s="138">
        <f>SUM(L157:L179)</f>
        <v>0.33451785494505515</v>
      </c>
      <c r="M276" s="137"/>
      <c r="N276" s="139">
        <f>SUM(N157:N179)</f>
        <v>90.024414487912111</v>
      </c>
      <c r="O276" s="137"/>
      <c r="P276" s="140">
        <f>SUM(P157:P179)</f>
        <v>41.416987687912091</v>
      </c>
      <c r="Q276" s="135"/>
      <c r="R276" s="104">
        <f>SUM(R157:R179)</f>
        <v>76.981607683516486</v>
      </c>
      <c r="S276" s="137"/>
      <c r="T276" s="141">
        <f>SUM(T157:T179)</f>
        <v>131.77592003076924</v>
      </c>
      <c r="U276" s="199">
        <f>SUM(U157:U179)</f>
        <v>0.33451785494505515</v>
      </c>
      <c r="V276" s="37" t="str">
        <f t="shared" si="130"/>
        <v>ok</v>
      </c>
      <c r="W276" s="37" t="str">
        <f t="shared" si="131"/>
        <v>ok</v>
      </c>
    </row>
    <row r="277" spans="2:23" x14ac:dyDescent="0.25">
      <c r="B277" s="163" t="s">
        <v>82</v>
      </c>
      <c r="C277" s="129">
        <v>9</v>
      </c>
      <c r="D277" s="130">
        <f>SUM(D180:D199)</f>
        <v>134.48197285714284</v>
      </c>
      <c r="E277" s="131">
        <f>SUM(E180:E199)</f>
        <v>168.12857610989008</v>
      </c>
      <c r="F277" s="132">
        <f>SUM(F180:F199)</f>
        <v>134.50286088791208</v>
      </c>
      <c r="G277" s="133">
        <f>SUM(G180:G199)</f>
        <v>33.625715221978005</v>
      </c>
      <c r="H277" s="134">
        <f>SUM(H180:H199)</f>
        <v>110.03150017582419</v>
      </c>
      <c r="I277" s="135"/>
      <c r="J277" s="136">
        <f>SUM(J180:J199)</f>
        <v>24.450472681318693</v>
      </c>
      <c r="K277" s="137"/>
      <c r="L277" s="138">
        <f>SUM(L180:L199)</f>
        <v>12.477984606593401</v>
      </c>
      <c r="M277" s="137"/>
      <c r="N277" s="139">
        <f>SUM(N180:N199)</f>
        <v>36.949345318681317</v>
      </c>
      <c r="O277" s="137"/>
      <c r="P277" s="140">
        <f>SUM(P180:P199)</f>
        <v>21.147730615384607</v>
      </c>
      <c r="Q277" s="135"/>
      <c r="R277" s="104">
        <f>SUM(R180:R199)</f>
        <v>97.553515569230768</v>
      </c>
      <c r="S277" s="137"/>
      <c r="T277" s="141">
        <f>SUM(T180:T199)</f>
        <v>70.575060540659322</v>
      </c>
      <c r="U277" s="199">
        <f>SUM(U180:U199)</f>
        <v>36.928457287912096</v>
      </c>
      <c r="V277" s="37" t="str">
        <f t="shared" si="130"/>
        <v>ok</v>
      </c>
      <c r="W277" s="37" t="str">
        <f t="shared" si="131"/>
        <v>ok</v>
      </c>
    </row>
    <row r="278" spans="2:23" x14ac:dyDescent="0.25">
      <c r="B278" s="163" t="s">
        <v>83</v>
      </c>
      <c r="C278" s="129">
        <v>10</v>
      </c>
      <c r="D278" s="130">
        <f>SUM(D200:D222)</f>
        <v>131.46583846153845</v>
      </c>
      <c r="E278" s="131">
        <f>SUM(E200:E222)</f>
        <v>154.7190642857143</v>
      </c>
      <c r="F278" s="132">
        <f>SUM(F200:F222)</f>
        <v>123.77525142857142</v>
      </c>
      <c r="G278" s="133">
        <f>SUM(G200:G222)</f>
        <v>30.943812857142845</v>
      </c>
      <c r="H278" s="134">
        <f>SUM(H200:H222)</f>
        <v>106.25311978021976</v>
      </c>
      <c r="I278" s="135"/>
      <c r="J278" s="136">
        <f>SUM(J200:J222)</f>
        <v>25.212718681318691</v>
      </c>
      <c r="K278" s="137"/>
      <c r="L278" s="138">
        <f>SUM(L200:L222)</f>
        <v>14.060767252747247</v>
      </c>
      <c r="M278" s="137"/>
      <c r="N278" s="139">
        <f>SUM(N200:N222)</f>
        <v>31.58289890109889</v>
      </c>
      <c r="O278" s="137"/>
      <c r="P278" s="140">
        <f>SUM(P200:P222)</f>
        <v>16.883045604395598</v>
      </c>
      <c r="Q278" s="135"/>
      <c r="R278" s="104">
        <f>SUM(R200:R222)</f>
        <v>92.192352527472522</v>
      </c>
      <c r="S278" s="137"/>
      <c r="T278" s="141">
        <f>SUM(T200:T222)</f>
        <v>62.526711758241738</v>
      </c>
      <c r="U278" s="199">
        <f>SUM(U200:U222)</f>
        <v>39.273485934065938</v>
      </c>
      <c r="V278" s="37" t="str">
        <f t="shared" si="130"/>
        <v>ok</v>
      </c>
      <c r="W278" s="37" t="str">
        <f t="shared" si="131"/>
        <v>ok</v>
      </c>
    </row>
    <row r="279" spans="2:23" x14ac:dyDescent="0.25">
      <c r="B279" s="163" t="s">
        <v>84</v>
      </c>
      <c r="C279" s="129">
        <v>11</v>
      </c>
      <c r="D279" s="130">
        <f>SUM(D223:D244)</f>
        <v>103.63136558241757</v>
      </c>
      <c r="E279" s="131">
        <f>SUM(E223:E244)</f>
        <v>221.964517978022</v>
      </c>
      <c r="F279" s="132">
        <f>SUM(F223:F244)</f>
        <v>177.57161438241758</v>
      </c>
      <c r="G279" s="133">
        <f>SUM(G223:G244)</f>
        <v>44.392903595604388</v>
      </c>
      <c r="H279" s="134">
        <f>SUM(H223:H244)</f>
        <v>103.02564698901099</v>
      </c>
      <c r="I279" s="135"/>
      <c r="J279" s="136">
        <f>SUM(J223:J244)</f>
        <v>0.60571859340659495</v>
      </c>
      <c r="K279" s="137"/>
      <c r="L279" s="138">
        <f>SUM(L223:L244)</f>
        <v>2.9062104527472479</v>
      </c>
      <c r="M279" s="137"/>
      <c r="N279" s="139">
        <f>SUM(N223:N244)</f>
        <v>77.452177846153845</v>
      </c>
      <c r="O279" s="137"/>
      <c r="P279" s="140">
        <f>SUM(P223:P244)</f>
        <v>41.486693142857142</v>
      </c>
      <c r="Q279" s="135"/>
      <c r="R279" s="104">
        <f>SUM(R223:R244)</f>
        <v>100.11943653626373</v>
      </c>
      <c r="S279" s="137"/>
      <c r="T279" s="141">
        <f>SUM(T223:T244)</f>
        <v>121.84508144175824</v>
      </c>
      <c r="U279" s="199">
        <f>SUM(U223:U244)</f>
        <v>3.5119290461538428</v>
      </c>
      <c r="V279" s="37" t="str">
        <f t="shared" si="130"/>
        <v>ok</v>
      </c>
      <c r="W279" s="37" t="str">
        <f t="shared" si="131"/>
        <v>ok</v>
      </c>
    </row>
    <row r="280" spans="2:23" ht="15.75" thickBot="1" x14ac:dyDescent="0.3">
      <c r="B280" s="164" t="s">
        <v>85</v>
      </c>
      <c r="C280" s="165">
        <v>12</v>
      </c>
      <c r="D280" s="202">
        <f>SUM(D245:D265)</f>
        <v>70.622526857142844</v>
      </c>
      <c r="E280" s="203">
        <f>SUM(E245:E265)</f>
        <v>282.44771802197801</v>
      </c>
      <c r="F280" s="204">
        <f>SUM(F245:F265)</f>
        <v>225.9581744175824</v>
      </c>
      <c r="G280" s="205">
        <f>SUM(G245:G265)</f>
        <v>56.489543604395571</v>
      </c>
      <c r="H280" s="206">
        <f>SUM(H245:H265)</f>
        <v>70.622526857142844</v>
      </c>
      <c r="I280" s="207"/>
      <c r="J280" s="208">
        <f>SUM(J245:J265)</f>
        <v>0</v>
      </c>
      <c r="K280" s="209"/>
      <c r="L280" s="210">
        <f>SUM(L245:L265)</f>
        <v>0</v>
      </c>
      <c r="M280" s="209"/>
      <c r="N280" s="211">
        <f>SUM(N245:N265)</f>
        <v>155.33564756043955</v>
      </c>
      <c r="O280" s="209"/>
      <c r="P280" s="212">
        <f>SUM(P245:P265)</f>
        <v>56.489543604395571</v>
      </c>
      <c r="Q280" s="207"/>
      <c r="R280" s="213">
        <f>SUM(R245:R265)</f>
        <v>70.622526857142844</v>
      </c>
      <c r="S280" s="209"/>
      <c r="T280" s="214">
        <f>SUM(T245:T265)</f>
        <v>211.82519116483516</v>
      </c>
      <c r="U280" s="215">
        <f>SUM(U245:U265)</f>
        <v>0</v>
      </c>
      <c r="V280" s="37" t="str">
        <f t="shared" si="130"/>
        <v>ok</v>
      </c>
      <c r="W280" s="37" t="str">
        <f t="shared" si="131"/>
        <v>ok</v>
      </c>
    </row>
    <row r="281" spans="2:23" ht="15.75" thickBot="1" x14ac:dyDescent="0.3">
      <c r="B281" s="248" t="s">
        <v>103</v>
      </c>
      <c r="C281" s="165"/>
      <c r="D281" s="257">
        <f>SUM(D269:D280)</f>
        <v>1580.1155306505495</v>
      </c>
      <c r="E281" s="258">
        <f>SUM(E269:E280)</f>
        <v>2110.9501093846152</v>
      </c>
      <c r="F281" s="259">
        <f>SUM(F269:F280)</f>
        <v>1688.7600875076921</v>
      </c>
      <c r="G281" s="260">
        <f>SUM(G269:G280)</f>
        <v>422.19002187692291</v>
      </c>
      <c r="H281" s="261">
        <f>SUM(H269:H280)</f>
        <v>1081.0838385890111</v>
      </c>
      <c r="I281" s="262"/>
      <c r="J281" s="263">
        <f>SUM(J269:J280)</f>
        <v>499.03169206153842</v>
      </c>
      <c r="K281" s="264"/>
      <c r="L281" s="265">
        <f>SUM(L269:L280)</f>
        <v>95.308059995604339</v>
      </c>
      <c r="M281" s="264"/>
      <c r="N281" s="266">
        <f>SUM(N269:N280)</f>
        <v>702.98430891428575</v>
      </c>
      <c r="O281" s="264"/>
      <c r="P281" s="267">
        <f>SUM(P269:P280)</f>
        <v>326.8819618813186</v>
      </c>
      <c r="Q281" s="262"/>
      <c r="R281" s="268">
        <f>SUM(R269:R280)</f>
        <v>985.77577859340647</v>
      </c>
      <c r="S281" s="264"/>
      <c r="T281" s="269">
        <f>SUM(T269:T280)</f>
        <v>1125.1743307912086</v>
      </c>
      <c r="U281" s="270">
        <f>SUM(U269:U280)</f>
        <v>594.33975205714273</v>
      </c>
      <c r="V281" s="37"/>
      <c r="W281" s="37"/>
    </row>
    <row r="282" spans="2:23" x14ac:dyDescent="0.25">
      <c r="B282" s="431" t="s">
        <v>104</v>
      </c>
      <c r="C282" s="432"/>
      <c r="D282" s="250">
        <f>AVERAGE(D269:D280)</f>
        <v>131.67629422087913</v>
      </c>
      <c r="E282" s="250">
        <f>AVERAGE(E269:E280)</f>
        <v>175.91250911538461</v>
      </c>
      <c r="F282" s="250"/>
      <c r="G282" s="250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  <c r="R282" s="250">
        <f>AVERAGE(R269:R280)</f>
        <v>82.147981549450535</v>
      </c>
      <c r="S282" s="251"/>
      <c r="T282" s="251"/>
      <c r="U282" s="252"/>
      <c r="V282" s="37"/>
      <c r="W282" s="37"/>
    </row>
    <row r="283" spans="2:23" ht="15.75" thickBot="1" x14ac:dyDescent="0.3">
      <c r="B283" s="433" t="s">
        <v>105</v>
      </c>
      <c r="C283" s="434"/>
      <c r="D283" s="253">
        <f>D281/COUNT(C5:C265)</f>
        <v>6.0540824929139827</v>
      </c>
      <c r="E283" s="253">
        <f>E281/COUNT(C5:C265)</f>
        <v>8.0879314535809019</v>
      </c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>
        <f>R281/COUNT(C5:C265)</f>
        <v>3.7769186919287603</v>
      </c>
      <c r="S283" s="254"/>
      <c r="T283" s="254"/>
      <c r="U283" s="255"/>
    </row>
    <row r="284" spans="2:23" x14ac:dyDescent="0.25"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</row>
    <row r="315" spans="2:7" x14ac:dyDescent="0.25">
      <c r="B315" t="str">
        <f>L268</f>
        <v>(B) offres non satisfaisantes</v>
      </c>
      <c r="C315" s="75">
        <f>L281</f>
        <v>95.308059995604339</v>
      </c>
      <c r="F315" t="str">
        <f>R268</f>
        <v>Capacité à 80%</v>
      </c>
      <c r="G315" s="75">
        <f>R281</f>
        <v>985.77577859340647</v>
      </c>
    </row>
    <row r="316" spans="2:7" x14ac:dyDescent="0.25">
      <c r="B316" t="str">
        <f>P268</f>
        <v>(C) offres hors demandes</v>
      </c>
      <c r="C316" s="75">
        <f>P281</f>
        <v>326.8819618813186</v>
      </c>
      <c r="F316" t="str">
        <f>N268</f>
        <v>(D) offres hors demandes</v>
      </c>
      <c r="G316" s="75">
        <f>N281</f>
        <v>702.98430891428575</v>
      </c>
    </row>
    <row r="317" spans="2:7" x14ac:dyDescent="0.25">
      <c r="B317" t="str">
        <f>N268</f>
        <v>(D) offres hors demandes</v>
      </c>
      <c r="C317" s="75">
        <f>N281</f>
        <v>702.98430891428575</v>
      </c>
    </row>
    <row r="331" spans="2:7" x14ac:dyDescent="0.25">
      <c r="B331" t="str">
        <f>R268</f>
        <v>Capacité à 80%</v>
      </c>
      <c r="C331" s="75">
        <f>R281</f>
        <v>985.77577859340647</v>
      </c>
      <c r="F331" t="str">
        <f>F268</f>
        <v>offre à 80%</v>
      </c>
      <c r="G331" s="75">
        <f>F281</f>
        <v>1688.7600875076921</v>
      </c>
    </row>
    <row r="332" spans="2:7" x14ac:dyDescent="0.25">
      <c r="B332" t="str">
        <f>T268</f>
        <v>offres non placées</v>
      </c>
      <c r="C332" s="75">
        <f>T281</f>
        <v>1125.1743307912086</v>
      </c>
      <c r="F332" t="str">
        <f>P268</f>
        <v>(C) offres hors demandes</v>
      </c>
      <c r="G332" s="75">
        <f>P281</f>
        <v>326.8819618813186</v>
      </c>
    </row>
    <row r="333" spans="2:7" x14ac:dyDescent="0.25">
      <c r="F333" t="str">
        <f>L268</f>
        <v>(B) offres non satisfaisantes</v>
      </c>
      <c r="G333" s="75">
        <f>L281</f>
        <v>95.308059995604339</v>
      </c>
    </row>
    <row r="346" spans="2:7" x14ac:dyDescent="0.25">
      <c r="B346" t="str">
        <f>J268</f>
        <v>(A) demandes hors offres</v>
      </c>
      <c r="C346" s="75">
        <f>J281</f>
        <v>499.03169206153842</v>
      </c>
      <c r="F346" s="75" t="str">
        <f>R268</f>
        <v>Capacité à 80%</v>
      </c>
      <c r="G346" s="75">
        <f>R281</f>
        <v>985.77577859340647</v>
      </c>
    </row>
    <row r="347" spans="2:7" x14ac:dyDescent="0.25">
      <c r="B347" t="str">
        <f>L268</f>
        <v>(B) offres non satisfaisantes</v>
      </c>
      <c r="C347" s="75">
        <f>L281</f>
        <v>95.308059995604339</v>
      </c>
      <c r="F347" t="str">
        <f>U268</f>
        <v>demandes non satisfaites</v>
      </c>
      <c r="G347" s="75">
        <f>U281</f>
        <v>594.33975205714273</v>
      </c>
    </row>
  </sheetData>
  <mergeCells count="14">
    <mergeCell ref="B282:C282"/>
    <mergeCell ref="B283:C283"/>
    <mergeCell ref="A135:A156"/>
    <mergeCell ref="A157:A179"/>
    <mergeCell ref="A180:A199"/>
    <mergeCell ref="A200:A222"/>
    <mergeCell ref="A223:A244"/>
    <mergeCell ref="A245:A265"/>
    <mergeCell ref="A114:A134"/>
    <mergeCell ref="A5:A27"/>
    <mergeCell ref="A28:A47"/>
    <mergeCell ref="A48:A69"/>
    <mergeCell ref="A70:A90"/>
    <mergeCell ref="A91:A113"/>
  </mergeCells>
  <pageMargins left="0.7" right="0.7" top="0.75" bottom="0.75" header="0.3" footer="0.3"/>
  <pageSetup paperSize="9" orientation="portrait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opLeftCell="E1" zoomScale="86" zoomScaleNormal="86" workbookViewId="0">
      <selection activeCell="N94" sqref="N94"/>
    </sheetView>
  </sheetViews>
  <sheetFormatPr baseColWidth="10" defaultRowHeight="15" x14ac:dyDescent="0.25"/>
  <cols>
    <col min="1" max="1" width="11.42578125" style="280"/>
    <col min="2" max="2" width="12.5703125" style="280" customWidth="1"/>
    <col min="3" max="3" width="3.42578125" style="280" customWidth="1"/>
    <col min="4" max="15" width="10.7109375" style="280" customWidth="1"/>
    <col min="16" max="16384" width="11.42578125" style="280"/>
  </cols>
  <sheetData>
    <row r="1" spans="1:18" x14ac:dyDescent="0.25">
      <c r="A1" s="302" t="s">
        <v>117</v>
      </c>
      <c r="B1" s="303"/>
      <c r="C1" s="304"/>
      <c r="D1" s="304"/>
      <c r="E1" s="304"/>
      <c r="F1" s="303"/>
      <c r="G1" s="305" t="s">
        <v>119</v>
      </c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</row>
    <row r="2" spans="1:18" ht="15.75" thickBot="1" x14ac:dyDescent="0.3">
      <c r="F2" s="301"/>
    </row>
    <row r="3" spans="1:18" ht="15" customHeight="1" x14ac:dyDescent="0.25">
      <c r="F3" s="301"/>
      <c r="H3" s="445" t="s">
        <v>109</v>
      </c>
      <c r="I3" s="456"/>
      <c r="J3" s="459" t="s">
        <v>110</v>
      </c>
      <c r="K3" s="459"/>
      <c r="L3" s="461" t="s">
        <v>111</v>
      </c>
      <c r="M3" s="461"/>
      <c r="N3" s="463" t="s">
        <v>112</v>
      </c>
      <c r="O3" s="463"/>
      <c r="P3" s="465" t="s">
        <v>113</v>
      </c>
      <c r="Q3" s="454"/>
    </row>
    <row r="4" spans="1:18" ht="15.75" customHeight="1" x14ac:dyDescent="0.25">
      <c r="F4" s="301"/>
      <c r="H4" s="457"/>
      <c r="I4" s="458"/>
      <c r="J4" s="460"/>
      <c r="K4" s="460"/>
      <c r="L4" s="462"/>
      <c r="M4" s="462"/>
      <c r="N4" s="464"/>
      <c r="O4" s="464"/>
      <c r="P4" s="466"/>
      <c r="Q4" s="467"/>
    </row>
    <row r="5" spans="1:18" ht="15.75" customHeight="1" thickBot="1" x14ac:dyDescent="0.3">
      <c r="F5" s="301"/>
      <c r="H5" s="457"/>
      <c r="I5" s="458"/>
      <c r="J5" s="460"/>
      <c r="K5" s="460"/>
      <c r="L5" s="462"/>
      <c r="M5" s="462"/>
      <c r="N5" s="464"/>
      <c r="O5" s="464"/>
      <c r="P5" s="466"/>
      <c r="Q5" s="467"/>
    </row>
    <row r="6" spans="1:18" ht="15.75" thickBot="1" x14ac:dyDescent="0.3">
      <c r="B6" s="281"/>
      <c r="C6" s="282"/>
      <c r="D6" s="283" t="s">
        <v>118</v>
      </c>
      <c r="F6" s="301"/>
      <c r="H6" s="294" t="s">
        <v>115</v>
      </c>
      <c r="I6" s="306" t="s">
        <v>116</v>
      </c>
      <c r="J6" s="307" t="s">
        <v>115</v>
      </c>
      <c r="K6" s="295" t="s">
        <v>116</v>
      </c>
      <c r="L6" s="294" t="s">
        <v>115</v>
      </c>
      <c r="M6" s="295" t="s">
        <v>116</v>
      </c>
      <c r="N6" s="294" t="s">
        <v>115</v>
      </c>
      <c r="O6" s="308" t="s">
        <v>116</v>
      </c>
      <c r="P6" s="294" t="s">
        <v>115</v>
      </c>
      <c r="Q6" s="308" t="s">
        <v>116</v>
      </c>
    </row>
    <row r="7" spans="1:18" ht="15.75" thickBot="1" x14ac:dyDescent="0.3">
      <c r="B7" s="284" t="s">
        <v>74</v>
      </c>
      <c r="C7" s="285">
        <v>1</v>
      </c>
      <c r="D7" s="286">
        <f>'2.4.5.5 Emplois Mens. Intér Eq'!R269</f>
        <v>77.316125538461549</v>
      </c>
      <c r="F7" s="301"/>
      <c r="H7" s="296">
        <v>0.13200000000000001</v>
      </c>
      <c r="I7" s="309">
        <v>0.96</v>
      </c>
      <c r="J7" s="310">
        <v>0.42199999999999999</v>
      </c>
      <c r="K7" s="297">
        <v>0.3</v>
      </c>
      <c r="L7" s="296">
        <v>0.122</v>
      </c>
      <c r="M7" s="297">
        <v>0.59</v>
      </c>
      <c r="N7" s="296">
        <v>0.16200000000000001</v>
      </c>
      <c r="O7" s="298">
        <v>0.8</v>
      </c>
      <c r="P7" s="296">
        <v>0.16200000000000001</v>
      </c>
      <c r="Q7" s="298">
        <v>0.8</v>
      </c>
    </row>
    <row r="8" spans="1:18" x14ac:dyDescent="0.25">
      <c r="B8" s="284" t="s">
        <v>75</v>
      </c>
      <c r="C8" s="285">
        <v>2</v>
      </c>
      <c r="D8" s="287">
        <f>'2.4.5.5 Emplois Mens. Intér Eq'!R270</f>
        <v>90.025599481318679</v>
      </c>
      <c r="F8" s="301"/>
    </row>
    <row r="9" spans="1:18" x14ac:dyDescent="0.25">
      <c r="B9" s="284" t="s">
        <v>76</v>
      </c>
      <c r="C9" s="285">
        <v>3</v>
      </c>
      <c r="D9" s="287">
        <f>'2.4.5.5 Emplois Mens. Intér Eq'!R271</f>
        <v>86.06630785054945</v>
      </c>
      <c r="F9" s="301"/>
    </row>
    <row r="10" spans="1:18" x14ac:dyDescent="0.25">
      <c r="B10" s="284" t="s">
        <v>77</v>
      </c>
      <c r="C10" s="285">
        <v>4</v>
      </c>
      <c r="D10" s="287">
        <f>'2.4.5.5 Emplois Mens. Intér Eq'!R272</f>
        <v>77.09977614065933</v>
      </c>
      <c r="F10" s="301"/>
    </row>
    <row r="11" spans="1:18" x14ac:dyDescent="0.25">
      <c r="B11" s="284" t="s">
        <v>78</v>
      </c>
      <c r="C11" s="285">
        <v>5</v>
      </c>
      <c r="D11" s="287">
        <f>'2.4.5.5 Emplois Mens. Intér Eq'!R273</f>
        <v>61.827247542857144</v>
      </c>
      <c r="F11" s="301"/>
    </row>
    <row r="12" spans="1:18" x14ac:dyDescent="0.25">
      <c r="B12" s="284" t="s">
        <v>79</v>
      </c>
      <c r="C12" s="285">
        <v>6</v>
      </c>
      <c r="D12" s="287">
        <f>'2.4.5.5 Emplois Mens. Intér Eq'!R274</f>
        <v>85.677605802197803</v>
      </c>
      <c r="F12" s="301"/>
    </row>
    <row r="13" spans="1:18" x14ac:dyDescent="0.25">
      <c r="B13" s="284" t="s">
        <v>80</v>
      </c>
      <c r="C13" s="285">
        <v>7</v>
      </c>
      <c r="D13" s="287">
        <f>'2.4.5.5 Emplois Mens. Intér Eq'!R275</f>
        <v>70.293677063736254</v>
      </c>
      <c r="F13" s="301"/>
    </row>
    <row r="14" spans="1:18" x14ac:dyDescent="0.25">
      <c r="B14" s="284" t="s">
        <v>81</v>
      </c>
      <c r="C14" s="285">
        <v>8</v>
      </c>
      <c r="D14" s="287">
        <f>'2.4.5.5 Emplois Mens. Intér Eq'!R276</f>
        <v>76.981607683516486</v>
      </c>
      <c r="F14" s="301"/>
    </row>
    <row r="15" spans="1:18" x14ac:dyDescent="0.25">
      <c r="B15" s="284" t="s">
        <v>82</v>
      </c>
      <c r="C15" s="285">
        <v>9</v>
      </c>
      <c r="D15" s="287">
        <f>'2.4.5.5 Emplois Mens. Intér Eq'!R277</f>
        <v>97.553515569230768</v>
      </c>
      <c r="F15" s="301"/>
    </row>
    <row r="16" spans="1:18" x14ac:dyDescent="0.25">
      <c r="B16" s="284" t="s">
        <v>83</v>
      </c>
      <c r="C16" s="285">
        <v>10</v>
      </c>
      <c r="D16" s="287">
        <f>'2.4.5.5 Emplois Mens. Intér Eq'!R278</f>
        <v>92.192352527472522</v>
      </c>
      <c r="F16" s="301"/>
    </row>
    <row r="17" spans="2:11" x14ac:dyDescent="0.25">
      <c r="B17" s="284" t="s">
        <v>84</v>
      </c>
      <c r="C17" s="285">
        <v>11</v>
      </c>
      <c r="D17" s="287">
        <f>'2.4.5.5 Emplois Mens. Intér Eq'!R279</f>
        <v>100.11943653626373</v>
      </c>
      <c r="F17" s="301"/>
    </row>
    <row r="18" spans="2:11" ht="15.75" thickBot="1" x14ac:dyDescent="0.3">
      <c r="B18" s="288" t="s">
        <v>85</v>
      </c>
      <c r="C18" s="289">
        <v>12</v>
      </c>
      <c r="D18" s="290">
        <f>'2.4.5.5 Emplois Mens. Intér Eq'!R280</f>
        <v>70.622526857142844</v>
      </c>
      <c r="F18" s="301"/>
    </row>
    <row r="19" spans="2:11" x14ac:dyDescent="0.25">
      <c r="B19" s="291"/>
      <c r="C19" s="292"/>
      <c r="F19" s="301"/>
    </row>
    <row r="20" spans="2:11" x14ac:dyDescent="0.25">
      <c r="B20" s="291"/>
      <c r="C20" s="292"/>
      <c r="F20" s="301"/>
    </row>
    <row r="21" spans="2:11" x14ac:dyDescent="0.25">
      <c r="B21" s="291"/>
      <c r="C21" s="292"/>
      <c r="F21" s="301"/>
    </row>
    <row r="22" spans="2:11" x14ac:dyDescent="0.25">
      <c r="B22" s="291"/>
      <c r="C22" s="292"/>
      <c r="F22" s="301"/>
    </row>
    <row r="23" spans="2:11" x14ac:dyDescent="0.25">
      <c r="B23" s="291"/>
      <c r="C23" s="292"/>
      <c r="F23" s="301"/>
    </row>
    <row r="24" spans="2:11" x14ac:dyDescent="0.25">
      <c r="B24" s="291"/>
      <c r="C24" s="292"/>
      <c r="F24" s="301"/>
    </row>
    <row r="25" spans="2:11" x14ac:dyDescent="0.25">
      <c r="B25" s="291"/>
      <c r="C25" s="292"/>
      <c r="F25" s="301"/>
    </row>
    <row r="26" spans="2:11" x14ac:dyDescent="0.25">
      <c r="B26" s="291"/>
      <c r="C26" s="292"/>
      <c r="F26" s="301"/>
    </row>
    <row r="27" spans="2:11" ht="15.75" thickBot="1" x14ac:dyDescent="0.3">
      <c r="B27" s="291"/>
      <c r="C27" s="292"/>
      <c r="F27" s="301"/>
    </row>
    <row r="28" spans="2:11" ht="15" customHeight="1" x14ac:dyDescent="0.25">
      <c r="B28" s="291"/>
      <c r="C28" s="292"/>
      <c r="F28" s="301"/>
      <c r="J28" s="479" t="s">
        <v>120</v>
      </c>
      <c r="K28" s="480"/>
    </row>
    <row r="29" spans="2:11" x14ac:dyDescent="0.25">
      <c r="B29" s="291"/>
      <c r="C29" s="292"/>
      <c r="F29" s="301"/>
      <c r="J29" s="481"/>
      <c r="K29" s="482"/>
    </row>
    <row r="30" spans="2:11" x14ac:dyDescent="0.25">
      <c r="B30" s="291"/>
      <c r="C30" s="292"/>
      <c r="F30" s="301"/>
      <c r="J30" s="481"/>
      <c r="K30" s="482"/>
    </row>
    <row r="31" spans="2:11" ht="15.75" thickBot="1" x14ac:dyDescent="0.3">
      <c r="B31" s="291"/>
      <c r="C31" s="292"/>
      <c r="F31" s="301"/>
      <c r="J31" s="483"/>
      <c r="K31" s="484"/>
    </row>
    <row r="32" spans="2:11" x14ac:dyDescent="0.25">
      <c r="B32" s="291"/>
      <c r="C32" s="292"/>
      <c r="F32" s="301"/>
      <c r="J32" s="311" t="s">
        <v>115</v>
      </c>
      <c r="K32" s="312" t="s">
        <v>116</v>
      </c>
    </row>
    <row r="33" spans="1:18" ht="15.75" thickBot="1" x14ac:dyDescent="0.3">
      <c r="B33" s="291"/>
      <c r="C33" s="292"/>
      <c r="F33" s="301"/>
      <c r="J33" s="296">
        <f>TYPE_PART_IP+TYPE_PART_IO+TYPE_PART_II+TYPE_PART_IIP+TYPE_PART_IR</f>
        <v>1</v>
      </c>
      <c r="K33" s="298">
        <f>TYPE_PART_IP*TYPE_QUOTITE_IP+TYPE_PART_IO*TYPE_QUOTITE_IO+TYPE_PART_II*TYPE_QUOTITE_II+TYPE_PART_IIP*TYPE_QUOTITE_IIP+TYPE_PART_IR*TYPE_QUOTITE_IR</f>
        <v>0.58450000000000002</v>
      </c>
    </row>
    <row r="34" spans="1:18" x14ac:dyDescent="0.25">
      <c r="B34" s="291"/>
      <c r="C34" s="292"/>
      <c r="F34" s="301"/>
    </row>
    <row r="35" spans="1:18" x14ac:dyDescent="0.25">
      <c r="B35" s="291"/>
      <c r="C35" s="292"/>
      <c r="F35" s="301"/>
    </row>
    <row r="36" spans="1:18" x14ac:dyDescent="0.25">
      <c r="A36" s="301" t="s">
        <v>123</v>
      </c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301"/>
    </row>
    <row r="37" spans="1:18" x14ac:dyDescent="0.25">
      <c r="B37" s="291"/>
      <c r="C37" s="292"/>
    </row>
    <row r="38" spans="1:18" x14ac:dyDescent="0.25">
      <c r="B38" s="291"/>
      <c r="C38" s="292"/>
    </row>
    <row r="39" spans="1:18" ht="15.75" thickBot="1" x14ac:dyDescent="0.3">
      <c r="B39" s="291"/>
      <c r="C39" s="292"/>
    </row>
    <row r="40" spans="1:18" ht="49.5" customHeight="1" thickBot="1" x14ac:dyDescent="0.3">
      <c r="B40" s="293"/>
      <c r="C40" s="293"/>
      <c r="D40" s="470" t="s">
        <v>109</v>
      </c>
      <c r="E40" s="471"/>
      <c r="F40" s="473" t="s">
        <v>110</v>
      </c>
      <c r="G40" s="474"/>
      <c r="H40" s="468" t="s">
        <v>111</v>
      </c>
      <c r="I40" s="469"/>
      <c r="J40" s="475" t="s">
        <v>112</v>
      </c>
      <c r="K40" s="476"/>
      <c r="L40" s="477" t="s">
        <v>113</v>
      </c>
      <c r="M40" s="478"/>
      <c r="N40" s="316" t="s">
        <v>114</v>
      </c>
    </row>
    <row r="41" spans="1:18" x14ac:dyDescent="0.25">
      <c r="B41" s="299" t="s">
        <v>74</v>
      </c>
      <c r="C41" s="300">
        <v>1</v>
      </c>
      <c r="D41" s="441">
        <f t="shared" ref="D41:D52" si="0">D7*TYPE_PART_IP</f>
        <v>10.205728571076925</v>
      </c>
      <c r="E41" s="442"/>
      <c r="F41" s="486">
        <f t="shared" ref="F41:F52" si="1">D7*TYPE_PART_IO</f>
        <v>32.627404977230775</v>
      </c>
      <c r="G41" s="442"/>
      <c r="H41" s="441">
        <f t="shared" ref="H41:H52" si="2">D7*TYPE_PART_II</f>
        <v>9.4325673156923084</v>
      </c>
      <c r="I41" s="442"/>
      <c r="J41" s="441">
        <f t="shared" ref="J41:J52" si="3">D7*TYPE_PART_IIP</f>
        <v>12.525212337230771</v>
      </c>
      <c r="K41" s="442"/>
      <c r="L41" s="441">
        <f t="shared" ref="L41:L52" si="4">D7*TYPE_PART_IR</f>
        <v>12.525212337230771</v>
      </c>
      <c r="M41" s="442"/>
      <c r="N41" s="317">
        <f t="shared" ref="N41:N52" si="5">D41+F41+H41+J41+L41</f>
        <v>77.316125538461549</v>
      </c>
    </row>
    <row r="42" spans="1:18" x14ac:dyDescent="0.25">
      <c r="B42" s="284" t="s">
        <v>75</v>
      </c>
      <c r="C42" s="292">
        <v>2</v>
      </c>
      <c r="D42" s="437">
        <f t="shared" si="0"/>
        <v>11.883379131534067</v>
      </c>
      <c r="E42" s="438"/>
      <c r="F42" s="455">
        <f t="shared" si="1"/>
        <v>37.990802981116481</v>
      </c>
      <c r="G42" s="438"/>
      <c r="H42" s="437">
        <f t="shared" si="2"/>
        <v>10.983123136720879</v>
      </c>
      <c r="I42" s="438"/>
      <c r="J42" s="437">
        <f t="shared" si="3"/>
        <v>14.584147115973627</v>
      </c>
      <c r="K42" s="438"/>
      <c r="L42" s="437">
        <f t="shared" si="4"/>
        <v>14.584147115973627</v>
      </c>
      <c r="M42" s="438"/>
      <c r="N42" s="318">
        <f t="shared" si="5"/>
        <v>90.025599481318665</v>
      </c>
    </row>
    <row r="43" spans="1:18" x14ac:dyDescent="0.25">
      <c r="B43" s="284" t="s">
        <v>76</v>
      </c>
      <c r="C43" s="292">
        <v>3</v>
      </c>
      <c r="D43" s="437">
        <f t="shared" si="0"/>
        <v>11.360752636272528</v>
      </c>
      <c r="E43" s="438"/>
      <c r="F43" s="455">
        <f t="shared" si="1"/>
        <v>36.319981912931866</v>
      </c>
      <c r="G43" s="438"/>
      <c r="H43" s="437">
        <f t="shared" si="2"/>
        <v>10.500089557767033</v>
      </c>
      <c r="I43" s="438"/>
      <c r="J43" s="437">
        <f t="shared" si="3"/>
        <v>13.942741871789011</v>
      </c>
      <c r="K43" s="438"/>
      <c r="L43" s="437">
        <f t="shared" si="4"/>
        <v>13.942741871789011</v>
      </c>
      <c r="M43" s="438"/>
      <c r="N43" s="318">
        <f t="shared" si="5"/>
        <v>86.06630785054945</v>
      </c>
    </row>
    <row r="44" spans="1:18" x14ac:dyDescent="0.25">
      <c r="B44" s="284" t="s">
        <v>77</v>
      </c>
      <c r="C44" s="292">
        <v>4</v>
      </c>
      <c r="D44" s="437">
        <f t="shared" si="0"/>
        <v>10.177170450567033</v>
      </c>
      <c r="E44" s="438"/>
      <c r="F44" s="455">
        <f t="shared" si="1"/>
        <v>32.536105531358238</v>
      </c>
      <c r="G44" s="438"/>
      <c r="H44" s="437">
        <f t="shared" si="2"/>
        <v>9.4061726891604387</v>
      </c>
      <c r="I44" s="438"/>
      <c r="J44" s="437">
        <f t="shared" si="3"/>
        <v>12.490163734786812</v>
      </c>
      <c r="K44" s="438"/>
      <c r="L44" s="437">
        <f t="shared" si="4"/>
        <v>12.490163734786812</v>
      </c>
      <c r="M44" s="438"/>
      <c r="N44" s="318">
        <f t="shared" si="5"/>
        <v>77.099776140659344</v>
      </c>
    </row>
    <row r="45" spans="1:18" x14ac:dyDescent="0.25">
      <c r="B45" s="284" t="s">
        <v>78</v>
      </c>
      <c r="C45" s="292">
        <v>5</v>
      </c>
      <c r="D45" s="437">
        <f t="shared" si="0"/>
        <v>8.161196675657143</v>
      </c>
      <c r="E45" s="438"/>
      <c r="F45" s="455">
        <f t="shared" si="1"/>
        <v>26.091098463085714</v>
      </c>
      <c r="G45" s="438"/>
      <c r="H45" s="437">
        <f t="shared" si="2"/>
        <v>7.5429242002285717</v>
      </c>
      <c r="I45" s="438"/>
      <c r="J45" s="437">
        <f t="shared" si="3"/>
        <v>10.016014101942858</v>
      </c>
      <c r="K45" s="438"/>
      <c r="L45" s="437">
        <f t="shared" si="4"/>
        <v>10.016014101942858</v>
      </c>
      <c r="M45" s="438"/>
      <c r="N45" s="318">
        <f t="shared" si="5"/>
        <v>61.827247542857144</v>
      </c>
    </row>
    <row r="46" spans="1:18" x14ac:dyDescent="0.25">
      <c r="B46" s="284" t="s">
        <v>79</v>
      </c>
      <c r="C46" s="292">
        <v>6</v>
      </c>
      <c r="D46" s="437">
        <f t="shared" si="0"/>
        <v>11.309443965890111</v>
      </c>
      <c r="E46" s="438"/>
      <c r="F46" s="455">
        <f t="shared" si="1"/>
        <v>36.155949648527475</v>
      </c>
      <c r="G46" s="438"/>
      <c r="H46" s="437">
        <f t="shared" si="2"/>
        <v>10.452667907868133</v>
      </c>
      <c r="I46" s="438"/>
      <c r="J46" s="437">
        <f t="shared" si="3"/>
        <v>13.879772139956044</v>
      </c>
      <c r="K46" s="438"/>
      <c r="L46" s="437">
        <f t="shared" si="4"/>
        <v>13.879772139956044</v>
      </c>
      <c r="M46" s="438"/>
      <c r="N46" s="318">
        <f t="shared" si="5"/>
        <v>85.677605802197803</v>
      </c>
    </row>
    <row r="47" spans="1:18" x14ac:dyDescent="0.25">
      <c r="B47" s="284" t="s">
        <v>80</v>
      </c>
      <c r="C47" s="292">
        <v>7</v>
      </c>
      <c r="D47" s="437">
        <f t="shared" si="0"/>
        <v>9.2787653724131864</v>
      </c>
      <c r="E47" s="438"/>
      <c r="F47" s="455">
        <f t="shared" si="1"/>
        <v>29.663931720896699</v>
      </c>
      <c r="G47" s="438"/>
      <c r="H47" s="437">
        <f t="shared" si="2"/>
        <v>8.5758286017758234</v>
      </c>
      <c r="I47" s="438"/>
      <c r="J47" s="437">
        <f t="shared" si="3"/>
        <v>11.387575684325274</v>
      </c>
      <c r="K47" s="438"/>
      <c r="L47" s="437">
        <f t="shared" si="4"/>
        <v>11.387575684325274</v>
      </c>
      <c r="M47" s="438"/>
      <c r="N47" s="318">
        <f t="shared" si="5"/>
        <v>70.293677063736254</v>
      </c>
    </row>
    <row r="48" spans="1:18" x14ac:dyDescent="0.25">
      <c r="B48" s="284" t="s">
        <v>81</v>
      </c>
      <c r="C48" s="292">
        <v>8</v>
      </c>
      <c r="D48" s="437">
        <f t="shared" si="0"/>
        <v>10.161572214224178</v>
      </c>
      <c r="E48" s="438"/>
      <c r="F48" s="455">
        <f t="shared" si="1"/>
        <v>32.486238442443955</v>
      </c>
      <c r="G48" s="438"/>
      <c r="H48" s="437">
        <f t="shared" si="2"/>
        <v>9.3917561373890113</v>
      </c>
      <c r="I48" s="438"/>
      <c r="J48" s="437">
        <f t="shared" si="3"/>
        <v>12.471020444729671</v>
      </c>
      <c r="K48" s="438"/>
      <c r="L48" s="437">
        <f t="shared" si="4"/>
        <v>12.471020444729671</v>
      </c>
      <c r="M48" s="438"/>
      <c r="N48" s="318">
        <f t="shared" si="5"/>
        <v>76.981607683516486</v>
      </c>
    </row>
    <row r="49" spans="2:14" x14ac:dyDescent="0.25">
      <c r="B49" s="284" t="s">
        <v>82</v>
      </c>
      <c r="C49" s="292">
        <v>9</v>
      </c>
      <c r="D49" s="437">
        <f t="shared" si="0"/>
        <v>12.877064055138462</v>
      </c>
      <c r="E49" s="438"/>
      <c r="F49" s="455">
        <f t="shared" si="1"/>
        <v>41.167583570215385</v>
      </c>
      <c r="G49" s="438"/>
      <c r="H49" s="437">
        <f t="shared" si="2"/>
        <v>11.901528899446154</v>
      </c>
      <c r="I49" s="438"/>
      <c r="J49" s="437">
        <f t="shared" si="3"/>
        <v>15.803669522215385</v>
      </c>
      <c r="K49" s="438"/>
      <c r="L49" s="437">
        <f t="shared" si="4"/>
        <v>15.803669522215385</v>
      </c>
      <c r="M49" s="438"/>
      <c r="N49" s="318">
        <f t="shared" si="5"/>
        <v>97.553515569230768</v>
      </c>
    </row>
    <row r="50" spans="2:14" x14ac:dyDescent="0.25">
      <c r="B50" s="284" t="s">
        <v>83</v>
      </c>
      <c r="C50" s="292">
        <v>10</v>
      </c>
      <c r="D50" s="437">
        <f t="shared" si="0"/>
        <v>12.169390533626373</v>
      </c>
      <c r="E50" s="438"/>
      <c r="F50" s="455">
        <f t="shared" si="1"/>
        <v>38.905172766593402</v>
      </c>
      <c r="G50" s="438"/>
      <c r="H50" s="437">
        <f t="shared" si="2"/>
        <v>11.247467008351647</v>
      </c>
      <c r="I50" s="438"/>
      <c r="J50" s="437">
        <f t="shared" si="3"/>
        <v>14.935161109450549</v>
      </c>
      <c r="K50" s="438"/>
      <c r="L50" s="437">
        <f t="shared" si="4"/>
        <v>14.935161109450549</v>
      </c>
      <c r="M50" s="438"/>
      <c r="N50" s="318">
        <f t="shared" si="5"/>
        <v>92.192352527472522</v>
      </c>
    </row>
    <row r="51" spans="2:14" x14ac:dyDescent="0.25">
      <c r="B51" s="284" t="s">
        <v>84</v>
      </c>
      <c r="C51" s="292">
        <v>11</v>
      </c>
      <c r="D51" s="437">
        <f t="shared" si="0"/>
        <v>13.215765622786813</v>
      </c>
      <c r="E51" s="438"/>
      <c r="F51" s="455">
        <f t="shared" si="1"/>
        <v>42.250402218303293</v>
      </c>
      <c r="G51" s="438"/>
      <c r="H51" s="437">
        <f t="shared" si="2"/>
        <v>12.214571257424176</v>
      </c>
      <c r="I51" s="438"/>
      <c r="J51" s="437">
        <f t="shared" si="3"/>
        <v>16.219348718874727</v>
      </c>
      <c r="K51" s="438"/>
      <c r="L51" s="437">
        <f t="shared" si="4"/>
        <v>16.219348718874727</v>
      </c>
      <c r="M51" s="438"/>
      <c r="N51" s="318">
        <f t="shared" si="5"/>
        <v>100.11943653626373</v>
      </c>
    </row>
    <row r="52" spans="2:14" ht="15.75" thickBot="1" x14ac:dyDescent="0.3">
      <c r="B52" s="284" t="s">
        <v>85</v>
      </c>
      <c r="C52" s="292">
        <v>12</v>
      </c>
      <c r="D52" s="439">
        <f t="shared" si="0"/>
        <v>9.3221735451428565</v>
      </c>
      <c r="E52" s="440"/>
      <c r="F52" s="485">
        <f t="shared" si="1"/>
        <v>29.80270633371428</v>
      </c>
      <c r="G52" s="440"/>
      <c r="H52" s="439">
        <f t="shared" si="2"/>
        <v>8.6159482765714266</v>
      </c>
      <c r="I52" s="440"/>
      <c r="J52" s="439">
        <f t="shared" si="3"/>
        <v>11.440849350857141</v>
      </c>
      <c r="K52" s="440"/>
      <c r="L52" s="439">
        <f t="shared" si="4"/>
        <v>11.440849350857141</v>
      </c>
      <c r="M52" s="440"/>
      <c r="N52" s="320">
        <f t="shared" si="5"/>
        <v>70.622526857142844</v>
      </c>
    </row>
    <row r="53" spans="2:14" ht="15.75" thickBot="1" x14ac:dyDescent="0.3">
      <c r="B53" s="314" t="s">
        <v>103</v>
      </c>
      <c r="C53" s="315"/>
      <c r="D53" s="443">
        <f>SUM(D41:D52)</f>
        <v>130.12240277432969</v>
      </c>
      <c r="E53" s="444"/>
      <c r="F53" s="443">
        <f t="shared" ref="F53" si="6">SUM(F41:F52)</f>
        <v>415.99737856641758</v>
      </c>
      <c r="G53" s="444"/>
      <c r="H53" s="443">
        <f>SUM(H41:H52)</f>
        <v>120.26464498839559</v>
      </c>
      <c r="I53" s="444"/>
      <c r="J53" s="443">
        <f>SUM(J41:J52)</f>
        <v>159.69567613213189</v>
      </c>
      <c r="K53" s="444"/>
      <c r="L53" s="443">
        <f>SUM(L41:L52)</f>
        <v>159.69567613213189</v>
      </c>
      <c r="M53" s="444"/>
      <c r="N53" s="319">
        <f>SUM(N41:N52)</f>
        <v>985.77577859340647</v>
      </c>
    </row>
    <row r="54" spans="2:14" x14ac:dyDescent="0.25">
      <c r="B54" s="293"/>
      <c r="C54" s="293"/>
      <c r="D54" s="293"/>
      <c r="F54" s="293"/>
      <c r="H54" s="293"/>
      <c r="J54" s="293"/>
    </row>
    <row r="74" spans="1:18" x14ac:dyDescent="0.25">
      <c r="A74" s="301" t="s">
        <v>124</v>
      </c>
      <c r="B74" s="301"/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  <c r="N74" s="301"/>
      <c r="O74" s="301"/>
      <c r="P74" s="301"/>
      <c r="Q74" s="301"/>
      <c r="R74" s="301"/>
    </row>
    <row r="77" spans="1:18" x14ac:dyDescent="0.25">
      <c r="D77" s="472" t="s">
        <v>122</v>
      </c>
      <c r="E77" s="472"/>
      <c r="F77" s="313">
        <f>QTMGI</f>
        <v>0.58333333333333337</v>
      </c>
      <c r="G77" s="335" t="s">
        <v>121</v>
      </c>
      <c r="H77" s="336">
        <f>F77/K33</f>
        <v>0.99800399201596812</v>
      </c>
      <c r="J77" s="280" t="s">
        <v>131</v>
      </c>
    </row>
    <row r="78" spans="1:18" ht="15.75" thickBot="1" x14ac:dyDescent="0.3"/>
    <row r="79" spans="1:18" ht="50.25" customHeight="1" thickBot="1" x14ac:dyDescent="0.3">
      <c r="B79" s="293"/>
      <c r="C79" s="293"/>
      <c r="D79" s="445" t="s">
        <v>109</v>
      </c>
      <c r="E79" s="446"/>
      <c r="F79" s="447" t="s">
        <v>110</v>
      </c>
      <c r="G79" s="448"/>
      <c r="H79" s="449" t="s">
        <v>111</v>
      </c>
      <c r="I79" s="450"/>
      <c r="J79" s="451" t="s">
        <v>112</v>
      </c>
      <c r="K79" s="452"/>
      <c r="L79" s="453" t="s">
        <v>113</v>
      </c>
      <c r="M79" s="454"/>
      <c r="N79" s="316" t="s">
        <v>114</v>
      </c>
    </row>
    <row r="80" spans="1:18" x14ac:dyDescent="0.25">
      <c r="B80" s="299" t="s">
        <v>74</v>
      </c>
      <c r="C80" s="300">
        <v>1</v>
      </c>
      <c r="D80" s="441">
        <f t="shared" ref="D80:D91" si="7">D41*TYPE_QUOTITE_IP*TYPE_RST</f>
        <v>9.7779435411515436</v>
      </c>
      <c r="E80" s="442"/>
      <c r="F80" s="441">
        <f t="shared" ref="F80:F91" si="8">F41*TYPE_QUOTITE_IO*TYPE_RST</f>
        <v>9.7686841249193943</v>
      </c>
      <c r="G80" s="442"/>
      <c r="H80" s="441">
        <f t="shared" ref="H80:H91" si="9">H41*TYPE_QUOTITE_II*TYPE_RST</f>
        <v>5.5541065032519583</v>
      </c>
      <c r="I80" s="442"/>
      <c r="J80" s="441">
        <f t="shared" ref="J80:J91" si="10">J41*TYPE_QUOTITE_IIP*TYPE_RST</f>
        <v>10.000169530723172</v>
      </c>
      <c r="K80" s="442"/>
      <c r="L80" s="441">
        <f t="shared" ref="L80:L91" si="11">L41*TYPE_QUOTITE_IR*TYPE_RST</f>
        <v>10.000169530723172</v>
      </c>
      <c r="M80" s="442"/>
      <c r="N80" s="331">
        <f t="shared" ref="N80:N91" si="12">D80+F80+H80+J80+L80</f>
        <v>45.101073230769238</v>
      </c>
    </row>
    <row r="81" spans="2:14" x14ac:dyDescent="0.25">
      <c r="B81" s="284" t="s">
        <v>75</v>
      </c>
      <c r="C81" s="292">
        <v>2</v>
      </c>
      <c r="D81" s="437">
        <f t="shared" si="7"/>
        <v>11.385273419433837</v>
      </c>
      <c r="E81" s="438"/>
      <c r="F81" s="437">
        <f t="shared" si="8"/>
        <v>11.374491910513918</v>
      </c>
      <c r="G81" s="438"/>
      <c r="H81" s="437">
        <f t="shared" si="9"/>
        <v>6.4671084337977227</v>
      </c>
      <c r="I81" s="438"/>
      <c r="J81" s="437">
        <f t="shared" si="10"/>
        <v>11.644029633511879</v>
      </c>
      <c r="K81" s="438"/>
      <c r="L81" s="437">
        <f t="shared" si="11"/>
        <v>11.644029633511879</v>
      </c>
      <c r="M81" s="438"/>
      <c r="N81" s="332">
        <f t="shared" si="12"/>
        <v>52.514933030769235</v>
      </c>
    </row>
    <row r="82" spans="2:14" x14ac:dyDescent="0.25">
      <c r="B82" s="284" t="s">
        <v>76</v>
      </c>
      <c r="C82" s="292">
        <v>3</v>
      </c>
      <c r="D82" s="437">
        <f t="shared" si="7"/>
        <v>10.88455342397368</v>
      </c>
      <c r="E82" s="438"/>
      <c r="F82" s="437">
        <f t="shared" si="8"/>
        <v>10.874246081716127</v>
      </c>
      <c r="G82" s="438"/>
      <c r="H82" s="437">
        <f t="shared" si="9"/>
        <v>6.1826874641542418</v>
      </c>
      <c r="I82" s="438"/>
      <c r="J82" s="437">
        <f t="shared" si="10"/>
        <v>11.131929638154899</v>
      </c>
      <c r="K82" s="438"/>
      <c r="L82" s="437">
        <f t="shared" si="11"/>
        <v>11.131929638154899</v>
      </c>
      <c r="M82" s="438"/>
      <c r="N82" s="332">
        <f t="shared" si="12"/>
        <v>50.205346246153852</v>
      </c>
    </row>
    <row r="83" spans="2:14" x14ac:dyDescent="0.25">
      <c r="B83" s="284" t="s">
        <v>77</v>
      </c>
      <c r="C83" s="292">
        <v>4</v>
      </c>
      <c r="D83" s="437">
        <f t="shared" si="7"/>
        <v>9.7505824676091333</v>
      </c>
      <c r="E83" s="438"/>
      <c r="F83" s="437">
        <f t="shared" si="8"/>
        <v>9.7413489614845012</v>
      </c>
      <c r="G83" s="438"/>
      <c r="H83" s="437">
        <f t="shared" si="9"/>
        <v>5.5385647570904775</v>
      </c>
      <c r="I83" s="438"/>
      <c r="J83" s="437">
        <f t="shared" si="10"/>
        <v>9.9721866146002505</v>
      </c>
      <c r="K83" s="438"/>
      <c r="L83" s="437">
        <f t="shared" si="11"/>
        <v>9.9721866146002505</v>
      </c>
      <c r="M83" s="438"/>
      <c r="N83" s="332">
        <f t="shared" si="12"/>
        <v>44.974869415384603</v>
      </c>
    </row>
    <row r="84" spans="2:14" x14ac:dyDescent="0.25">
      <c r="B84" s="284" t="s">
        <v>78</v>
      </c>
      <c r="C84" s="292">
        <v>5</v>
      </c>
      <c r="D84" s="437">
        <f t="shared" si="7"/>
        <v>7.8191105874559454</v>
      </c>
      <c r="E84" s="438"/>
      <c r="F84" s="437">
        <f t="shared" si="8"/>
        <v>7.8117061266723695</v>
      </c>
      <c r="G84" s="438"/>
      <c r="H84" s="437">
        <f t="shared" si="9"/>
        <v>4.4414423933481606</v>
      </c>
      <c r="I84" s="438"/>
      <c r="J84" s="437">
        <f t="shared" si="10"/>
        <v>7.9968176462617633</v>
      </c>
      <c r="K84" s="438"/>
      <c r="L84" s="437">
        <f t="shared" si="11"/>
        <v>7.9968176462617633</v>
      </c>
      <c r="M84" s="438"/>
      <c r="N84" s="332">
        <f t="shared" si="12"/>
        <v>36.065894400000005</v>
      </c>
    </row>
    <row r="85" spans="2:14" x14ac:dyDescent="0.25">
      <c r="B85" s="284" t="s">
        <v>79</v>
      </c>
      <c r="C85" s="292">
        <v>6</v>
      </c>
      <c r="D85" s="437">
        <f t="shared" si="7"/>
        <v>10.835395416421663</v>
      </c>
      <c r="E85" s="438"/>
      <c r="F85" s="437">
        <f t="shared" si="8"/>
        <v>10.825134625307628</v>
      </c>
      <c r="G85" s="438"/>
      <c r="H85" s="437">
        <f t="shared" si="9"/>
        <v>6.1547645365690604</v>
      </c>
      <c r="I85" s="438"/>
      <c r="J85" s="437">
        <f t="shared" si="10"/>
        <v>11.08165440315852</v>
      </c>
      <c r="K85" s="438"/>
      <c r="L85" s="437">
        <f t="shared" si="11"/>
        <v>11.08165440315852</v>
      </c>
      <c r="M85" s="438"/>
      <c r="N85" s="332">
        <f t="shared" si="12"/>
        <v>49.978603384615397</v>
      </c>
    </row>
    <row r="86" spans="2:14" x14ac:dyDescent="0.25">
      <c r="B86" s="284" t="s">
        <v>80</v>
      </c>
      <c r="C86" s="292">
        <v>7</v>
      </c>
      <c r="D86" s="437">
        <f t="shared" si="7"/>
        <v>8.8898350873419751</v>
      </c>
      <c r="E86" s="438"/>
      <c r="F86" s="437">
        <f t="shared" si="8"/>
        <v>8.881416682903204</v>
      </c>
      <c r="G86" s="438"/>
      <c r="H86" s="437">
        <f t="shared" si="9"/>
        <v>5.0496395958560241</v>
      </c>
      <c r="I86" s="438"/>
      <c r="J86" s="437">
        <f t="shared" si="10"/>
        <v>9.0918767938724763</v>
      </c>
      <c r="K86" s="438"/>
      <c r="L86" s="437">
        <f t="shared" si="11"/>
        <v>9.0918767938724763</v>
      </c>
      <c r="M86" s="438"/>
      <c r="N86" s="332">
        <f t="shared" si="12"/>
        <v>41.004644953846153</v>
      </c>
    </row>
    <row r="87" spans="2:14" x14ac:dyDescent="0.25">
      <c r="B87" s="284" t="s">
        <v>81</v>
      </c>
      <c r="C87" s="292">
        <v>8</v>
      </c>
      <c r="D87" s="437">
        <f t="shared" si="7"/>
        <v>9.7356380495560995</v>
      </c>
      <c r="E87" s="438"/>
      <c r="F87" s="437">
        <f t="shared" si="8"/>
        <v>9.7264186953425025</v>
      </c>
      <c r="G87" s="438"/>
      <c r="H87" s="437">
        <f t="shared" si="9"/>
        <v>5.530075969121274</v>
      </c>
      <c r="I87" s="438"/>
      <c r="J87" s="437">
        <f t="shared" si="10"/>
        <v>9.9569025506823738</v>
      </c>
      <c r="K87" s="438"/>
      <c r="L87" s="437">
        <f t="shared" si="11"/>
        <v>9.9569025506823738</v>
      </c>
      <c r="M87" s="438"/>
      <c r="N87" s="332">
        <f t="shared" si="12"/>
        <v>44.905937815384625</v>
      </c>
    </row>
    <row r="88" spans="2:14" x14ac:dyDescent="0.25">
      <c r="B88" s="284" t="s">
        <v>82</v>
      </c>
      <c r="C88" s="292">
        <v>9</v>
      </c>
      <c r="D88" s="437">
        <f t="shared" si="7"/>
        <v>12.337306879174575</v>
      </c>
      <c r="E88" s="438"/>
      <c r="F88" s="437">
        <f t="shared" si="8"/>
        <v>12.32562382341778</v>
      </c>
      <c r="G88" s="438"/>
      <c r="H88" s="437">
        <f t="shared" si="9"/>
        <v>7.007886278116997</v>
      </c>
      <c r="I88" s="438"/>
      <c r="J88" s="437">
        <f t="shared" si="10"/>
        <v>12.617700217337635</v>
      </c>
      <c r="K88" s="438"/>
      <c r="L88" s="437">
        <f t="shared" si="11"/>
        <v>12.617700217337635</v>
      </c>
      <c r="M88" s="438"/>
      <c r="N88" s="332">
        <f t="shared" si="12"/>
        <v>56.906217415384624</v>
      </c>
    </row>
    <row r="89" spans="2:14" x14ac:dyDescent="0.25">
      <c r="B89" s="284" t="s">
        <v>83</v>
      </c>
      <c r="C89" s="292">
        <v>10</v>
      </c>
      <c r="D89" s="437">
        <f t="shared" si="7"/>
        <v>11.659296319642035</v>
      </c>
      <c r="E89" s="438"/>
      <c r="F89" s="437">
        <f t="shared" si="8"/>
        <v>11.648255319339341</v>
      </c>
      <c r="G89" s="438"/>
      <c r="H89" s="437">
        <f t="shared" si="9"/>
        <v>6.6227600148976764</v>
      </c>
      <c r="I89" s="438"/>
      <c r="J89" s="437">
        <f t="shared" si="10"/>
        <v>11.924280326906628</v>
      </c>
      <c r="K89" s="438"/>
      <c r="L89" s="437">
        <f t="shared" si="11"/>
        <v>11.924280326906628</v>
      </c>
      <c r="M89" s="438"/>
      <c r="N89" s="332">
        <f t="shared" si="12"/>
        <v>53.778872307692303</v>
      </c>
    </row>
    <row r="90" spans="2:14" x14ac:dyDescent="0.25">
      <c r="B90" s="284" t="s">
        <v>84</v>
      </c>
      <c r="C90" s="292">
        <v>11</v>
      </c>
      <c r="D90" s="437">
        <f t="shared" si="7"/>
        <v>12.66181137512509</v>
      </c>
      <c r="E90" s="438"/>
      <c r="F90" s="437">
        <f t="shared" si="8"/>
        <v>12.649821023444101</v>
      </c>
      <c r="G90" s="438"/>
      <c r="H90" s="437">
        <f t="shared" si="9"/>
        <v>7.1922126166469695</v>
      </c>
      <c r="I90" s="438"/>
      <c r="J90" s="437">
        <f t="shared" si="10"/>
        <v>12.949579815468846</v>
      </c>
      <c r="K90" s="438"/>
      <c r="L90" s="437">
        <f t="shared" si="11"/>
        <v>12.949579815468846</v>
      </c>
      <c r="M90" s="438"/>
      <c r="N90" s="332">
        <f t="shared" si="12"/>
        <v>58.403004646153846</v>
      </c>
    </row>
    <row r="91" spans="2:14" ht="15.75" thickBot="1" x14ac:dyDescent="0.3">
      <c r="B91" s="284" t="s">
        <v>85</v>
      </c>
      <c r="C91" s="292">
        <v>12</v>
      </c>
      <c r="D91" s="439">
        <f t="shared" si="7"/>
        <v>8.9314237558254899</v>
      </c>
      <c r="E91" s="440"/>
      <c r="F91" s="439">
        <f t="shared" si="8"/>
        <v>8.9229659681779285</v>
      </c>
      <c r="G91" s="440"/>
      <c r="H91" s="439">
        <f t="shared" si="9"/>
        <v>5.0732629572626164</v>
      </c>
      <c r="I91" s="440"/>
      <c r="J91" s="439">
        <f t="shared" si="10"/>
        <v>9.1344106593669796</v>
      </c>
      <c r="K91" s="440"/>
      <c r="L91" s="439">
        <f t="shared" si="11"/>
        <v>9.1344106593669796</v>
      </c>
      <c r="M91" s="440"/>
      <c r="N91" s="333">
        <f t="shared" si="12"/>
        <v>41.196473999999995</v>
      </c>
    </row>
    <row r="92" spans="2:14" ht="15.75" thickBot="1" x14ac:dyDescent="0.3">
      <c r="B92" s="314" t="s">
        <v>103</v>
      </c>
      <c r="C92" s="315"/>
      <c r="D92" s="435">
        <f>SUM(D80:D91)</f>
        <v>124.66817032271108</v>
      </c>
      <c r="E92" s="436"/>
      <c r="F92" s="435">
        <f t="shared" ref="F92" si="13">SUM(F80:F91)</f>
        <v>124.55011334323881</v>
      </c>
      <c r="G92" s="436"/>
      <c r="H92" s="435">
        <f>SUM(H80:H91)</f>
        <v>70.814511520113172</v>
      </c>
      <c r="I92" s="436"/>
      <c r="J92" s="435">
        <f>SUM(J80:J91)</f>
        <v>127.50153783004542</v>
      </c>
      <c r="K92" s="436"/>
      <c r="L92" s="435">
        <f>SUM(L80:L91)</f>
        <v>127.50153783004542</v>
      </c>
      <c r="M92" s="436"/>
      <c r="N92" s="319">
        <f>SUM(N80:N91)</f>
        <v>575.03587084615378</v>
      </c>
    </row>
  </sheetData>
  <mergeCells count="147">
    <mergeCell ref="H3:I5"/>
    <mergeCell ref="J3:K5"/>
    <mergeCell ref="L3:M5"/>
    <mergeCell ref="N3:O5"/>
    <mergeCell ref="P3:Q5"/>
    <mergeCell ref="H40:I40"/>
    <mergeCell ref="D40:E40"/>
    <mergeCell ref="D77:E77"/>
    <mergeCell ref="F40:G40"/>
    <mergeCell ref="J40:K40"/>
    <mergeCell ref="L40:M40"/>
    <mergeCell ref="D41:E41"/>
    <mergeCell ref="D42:E42"/>
    <mergeCell ref="D43:E43"/>
    <mergeCell ref="D44:E44"/>
    <mergeCell ref="J28:K31"/>
    <mergeCell ref="F52:G52"/>
    <mergeCell ref="F53:G53"/>
    <mergeCell ref="D51:E51"/>
    <mergeCell ref="D52:E52"/>
    <mergeCell ref="D53:E53"/>
    <mergeCell ref="F41:G41"/>
    <mergeCell ref="F42:G42"/>
    <mergeCell ref="F43:G43"/>
    <mergeCell ref="D50:E50"/>
    <mergeCell ref="H41:I41"/>
    <mergeCell ref="H42:I42"/>
    <mergeCell ref="H43:I43"/>
    <mergeCell ref="H44:I44"/>
    <mergeCell ref="H45:I45"/>
    <mergeCell ref="H46:I46"/>
    <mergeCell ref="F48:G48"/>
    <mergeCell ref="F49:G49"/>
    <mergeCell ref="F50:G50"/>
    <mergeCell ref="F44:G44"/>
    <mergeCell ref="F45:G45"/>
    <mergeCell ref="F46:G46"/>
    <mergeCell ref="F47:G47"/>
    <mergeCell ref="D45:E45"/>
    <mergeCell ref="D46:E46"/>
    <mergeCell ref="D47:E47"/>
    <mergeCell ref="D48:E48"/>
    <mergeCell ref="D49:E49"/>
    <mergeCell ref="L41:M41"/>
    <mergeCell ref="L42:M42"/>
    <mergeCell ref="L43:M43"/>
    <mergeCell ref="L44:M44"/>
    <mergeCell ref="L45:M45"/>
    <mergeCell ref="L46:M46"/>
    <mergeCell ref="J47:K47"/>
    <mergeCell ref="J48:K48"/>
    <mergeCell ref="J49:K49"/>
    <mergeCell ref="J41:K41"/>
    <mergeCell ref="J42:K42"/>
    <mergeCell ref="J43:K43"/>
    <mergeCell ref="J44:K44"/>
    <mergeCell ref="J45:K45"/>
    <mergeCell ref="J46:K46"/>
    <mergeCell ref="L53:M53"/>
    <mergeCell ref="J53:K53"/>
    <mergeCell ref="D79:E79"/>
    <mergeCell ref="F79:G79"/>
    <mergeCell ref="H79:I79"/>
    <mergeCell ref="J79:K79"/>
    <mergeCell ref="L79:M79"/>
    <mergeCell ref="L47:M47"/>
    <mergeCell ref="L48:M48"/>
    <mergeCell ref="L49:M49"/>
    <mergeCell ref="L50:M50"/>
    <mergeCell ref="L51:M51"/>
    <mergeCell ref="L52:M52"/>
    <mergeCell ref="J50:K50"/>
    <mergeCell ref="J51:K51"/>
    <mergeCell ref="J52:K52"/>
    <mergeCell ref="H47:I47"/>
    <mergeCell ref="H48:I48"/>
    <mergeCell ref="H49:I49"/>
    <mergeCell ref="H50:I50"/>
    <mergeCell ref="H51:I51"/>
    <mergeCell ref="H53:I53"/>
    <mergeCell ref="H52:I52"/>
    <mergeCell ref="F51:G51"/>
    <mergeCell ref="D80:E80"/>
    <mergeCell ref="F80:G80"/>
    <mergeCell ref="H80:I80"/>
    <mergeCell ref="J80:K80"/>
    <mergeCell ref="L80:M80"/>
    <mergeCell ref="D81:E81"/>
    <mergeCell ref="F81:G81"/>
    <mergeCell ref="H81:I81"/>
    <mergeCell ref="J81:K81"/>
    <mergeCell ref="L81:M81"/>
    <mergeCell ref="D82:E82"/>
    <mergeCell ref="F82:G82"/>
    <mergeCell ref="H82:I82"/>
    <mergeCell ref="J82:K82"/>
    <mergeCell ref="L82:M82"/>
    <mergeCell ref="D83:E83"/>
    <mergeCell ref="F83:G83"/>
    <mergeCell ref="H83:I83"/>
    <mergeCell ref="J83:K83"/>
    <mergeCell ref="L83:M83"/>
    <mergeCell ref="D84:E84"/>
    <mergeCell ref="F84:G84"/>
    <mergeCell ref="H84:I84"/>
    <mergeCell ref="J84:K84"/>
    <mergeCell ref="L84:M84"/>
    <mergeCell ref="D85:E85"/>
    <mergeCell ref="F85:G85"/>
    <mergeCell ref="H85:I85"/>
    <mergeCell ref="J85:K85"/>
    <mergeCell ref="L85:M85"/>
    <mergeCell ref="D86:E86"/>
    <mergeCell ref="F86:G86"/>
    <mergeCell ref="H86:I86"/>
    <mergeCell ref="J86:K86"/>
    <mergeCell ref="L86:M86"/>
    <mergeCell ref="D87:E87"/>
    <mergeCell ref="F87:G87"/>
    <mergeCell ref="H87:I87"/>
    <mergeCell ref="J87:K87"/>
    <mergeCell ref="L87:M87"/>
    <mergeCell ref="D88:E88"/>
    <mergeCell ref="F88:G88"/>
    <mergeCell ref="H88:I88"/>
    <mergeCell ref="J88:K88"/>
    <mergeCell ref="L88:M88"/>
    <mergeCell ref="D89:E89"/>
    <mergeCell ref="F89:G89"/>
    <mergeCell ref="H89:I89"/>
    <mergeCell ref="J89:K89"/>
    <mergeCell ref="L89:M89"/>
    <mergeCell ref="D92:E92"/>
    <mergeCell ref="F92:G92"/>
    <mergeCell ref="H92:I92"/>
    <mergeCell ref="J92:K92"/>
    <mergeCell ref="L92:M92"/>
    <mergeCell ref="D90:E90"/>
    <mergeCell ref="F90:G90"/>
    <mergeCell ref="H90:I90"/>
    <mergeCell ref="J90:K90"/>
    <mergeCell ref="L90:M90"/>
    <mergeCell ref="D91:E91"/>
    <mergeCell ref="F91:G91"/>
    <mergeCell ref="H91:I91"/>
    <mergeCell ref="J91:K91"/>
    <mergeCell ref="L91:M91"/>
  </mergeCells>
  <pageMargins left="0.7" right="0.7" top="0.75" bottom="0.75" header="0.3" footer="0.3"/>
  <pageSetup paperSize="9" orientation="portrait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25" zoomScale="80" zoomScaleNormal="80" workbookViewId="0">
      <selection activeCell="N50" sqref="N50"/>
    </sheetView>
  </sheetViews>
  <sheetFormatPr baseColWidth="10" defaultRowHeight="15" x14ac:dyDescent="0.25"/>
  <cols>
    <col min="3" max="3" width="3.42578125" bestFit="1" customWidth="1"/>
  </cols>
  <sheetData>
    <row r="1" spans="1:18" s="280" customFormat="1" x14ac:dyDescent="0.25">
      <c r="A1" s="302" t="s">
        <v>117</v>
      </c>
      <c r="B1" s="303"/>
      <c r="C1" s="304"/>
      <c r="D1" s="304"/>
      <c r="E1" s="304"/>
      <c r="F1" s="303"/>
      <c r="G1" s="305" t="s">
        <v>125</v>
      </c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</row>
    <row r="2" spans="1:18" s="280" customFormat="1" ht="15.75" thickBot="1" x14ac:dyDescent="0.3">
      <c r="F2" s="301"/>
    </row>
    <row r="3" spans="1:18" s="280" customFormat="1" ht="15" customHeight="1" x14ac:dyDescent="0.25">
      <c r="F3" s="301"/>
      <c r="H3" s="445" t="s">
        <v>126</v>
      </c>
      <c r="I3" s="487"/>
      <c r="J3" s="491" t="s">
        <v>127</v>
      </c>
      <c r="K3" s="492"/>
      <c r="L3" s="497" t="s">
        <v>128</v>
      </c>
      <c r="M3" s="450"/>
      <c r="N3" s="451" t="s">
        <v>129</v>
      </c>
      <c r="O3" s="452"/>
      <c r="P3" s="453" t="s">
        <v>130</v>
      </c>
      <c r="Q3" s="454"/>
    </row>
    <row r="4" spans="1:18" s="280" customFormat="1" ht="15.75" customHeight="1" x14ac:dyDescent="0.25">
      <c r="F4" s="301"/>
      <c r="H4" s="457"/>
      <c r="I4" s="488"/>
      <c r="J4" s="493"/>
      <c r="K4" s="494"/>
      <c r="L4" s="498"/>
      <c r="M4" s="499"/>
      <c r="N4" s="502"/>
      <c r="O4" s="503"/>
      <c r="P4" s="506"/>
      <c r="Q4" s="467"/>
    </row>
    <row r="5" spans="1:18" s="280" customFormat="1" ht="15.75" customHeight="1" thickBot="1" x14ac:dyDescent="0.3">
      <c r="F5" s="301"/>
      <c r="H5" s="489"/>
      <c r="I5" s="490"/>
      <c r="J5" s="495"/>
      <c r="K5" s="496"/>
      <c r="L5" s="500"/>
      <c r="M5" s="501"/>
      <c r="N5" s="504"/>
      <c r="O5" s="505"/>
      <c r="P5" s="507"/>
      <c r="Q5" s="508"/>
    </row>
    <row r="6" spans="1:18" s="280" customFormat="1" ht="15.75" thickBot="1" x14ac:dyDescent="0.3">
      <c r="B6" s="281"/>
      <c r="C6" s="282"/>
      <c r="D6" s="283" t="s">
        <v>118</v>
      </c>
      <c r="F6" s="301"/>
      <c r="H6" s="337">
        <v>1.9199999999999998E-2</v>
      </c>
      <c r="I6" s="338"/>
      <c r="J6" s="337">
        <v>7.9200000000000007E-2</v>
      </c>
      <c r="K6" s="338"/>
      <c r="L6" s="337">
        <v>0.12720000000000001</v>
      </c>
      <c r="M6" s="338"/>
      <c r="N6" s="337">
        <v>0.40720000000000001</v>
      </c>
      <c r="O6" s="338"/>
      <c r="P6" s="337">
        <v>0.36720000000000003</v>
      </c>
      <c r="Q6" s="338"/>
      <c r="R6" s="334">
        <f>H6+J6+L6+N6+P6</f>
        <v>1</v>
      </c>
    </row>
    <row r="7" spans="1:18" s="280" customFormat="1" x14ac:dyDescent="0.25">
      <c r="B7" s="284" t="s">
        <v>74</v>
      </c>
      <c r="C7" s="285">
        <v>1</v>
      </c>
      <c r="D7" s="286">
        <f>'2.4.5.5 Emplois Mens. Intér Eq'!R269</f>
        <v>77.316125538461549</v>
      </c>
      <c r="F7" s="301"/>
    </row>
    <row r="8" spans="1:18" s="280" customFormat="1" x14ac:dyDescent="0.25">
      <c r="B8" s="284" t="s">
        <v>75</v>
      </c>
      <c r="C8" s="285">
        <v>2</v>
      </c>
      <c r="D8" s="287">
        <f>'2.4.5.5 Emplois Mens. Intér Eq'!R270</f>
        <v>90.025599481318679</v>
      </c>
      <c r="F8" s="301"/>
    </row>
    <row r="9" spans="1:18" s="280" customFormat="1" x14ac:dyDescent="0.25">
      <c r="B9" s="284" t="s">
        <v>76</v>
      </c>
      <c r="C9" s="285">
        <v>3</v>
      </c>
      <c r="D9" s="287">
        <f>'2.4.5.5 Emplois Mens. Intér Eq'!R271</f>
        <v>86.06630785054945</v>
      </c>
      <c r="F9" s="301"/>
    </row>
    <row r="10" spans="1:18" s="280" customFormat="1" x14ac:dyDescent="0.25">
      <c r="B10" s="284" t="s">
        <v>77</v>
      </c>
      <c r="C10" s="285">
        <v>4</v>
      </c>
      <c r="D10" s="287">
        <f>'2.4.5.5 Emplois Mens. Intér Eq'!R272</f>
        <v>77.09977614065933</v>
      </c>
      <c r="F10" s="301"/>
    </row>
    <row r="11" spans="1:18" s="280" customFormat="1" x14ac:dyDescent="0.25">
      <c r="B11" s="284" t="s">
        <v>78</v>
      </c>
      <c r="C11" s="285">
        <v>5</v>
      </c>
      <c r="D11" s="287">
        <f>'2.4.5.5 Emplois Mens. Intér Eq'!R273</f>
        <v>61.827247542857144</v>
      </c>
      <c r="F11" s="301"/>
    </row>
    <row r="12" spans="1:18" s="280" customFormat="1" x14ac:dyDescent="0.25">
      <c r="B12" s="284" t="s">
        <v>79</v>
      </c>
      <c r="C12" s="285">
        <v>6</v>
      </c>
      <c r="D12" s="287">
        <f>'2.4.5.5 Emplois Mens. Intér Eq'!R274</f>
        <v>85.677605802197803</v>
      </c>
      <c r="F12" s="301"/>
    </row>
    <row r="13" spans="1:18" s="280" customFormat="1" x14ac:dyDescent="0.25">
      <c r="B13" s="284" t="s">
        <v>80</v>
      </c>
      <c r="C13" s="285">
        <v>7</v>
      </c>
      <c r="D13" s="287">
        <f>'2.4.5.5 Emplois Mens. Intér Eq'!R275</f>
        <v>70.293677063736254</v>
      </c>
      <c r="F13" s="301"/>
    </row>
    <row r="14" spans="1:18" s="280" customFormat="1" x14ac:dyDescent="0.25">
      <c r="B14" s="284" t="s">
        <v>81</v>
      </c>
      <c r="C14" s="285">
        <v>8</v>
      </c>
      <c r="D14" s="287">
        <f>'2.4.5.5 Emplois Mens. Intér Eq'!R276</f>
        <v>76.981607683516486</v>
      </c>
      <c r="F14" s="301"/>
    </row>
    <row r="15" spans="1:18" s="280" customFormat="1" x14ac:dyDescent="0.25">
      <c r="B15" s="284" t="s">
        <v>82</v>
      </c>
      <c r="C15" s="285">
        <v>9</v>
      </c>
      <c r="D15" s="287">
        <f>'2.4.5.5 Emplois Mens. Intér Eq'!R277</f>
        <v>97.553515569230768</v>
      </c>
      <c r="F15" s="301"/>
    </row>
    <row r="16" spans="1:18" s="280" customFormat="1" x14ac:dyDescent="0.25">
      <c r="B16" s="284" t="s">
        <v>83</v>
      </c>
      <c r="C16" s="285">
        <v>10</v>
      </c>
      <c r="D16" s="287">
        <f>'2.4.5.5 Emplois Mens. Intér Eq'!R278</f>
        <v>92.192352527472522</v>
      </c>
      <c r="F16" s="301"/>
    </row>
    <row r="17" spans="1:18" s="280" customFormat="1" x14ac:dyDescent="0.25">
      <c r="B17" s="284" t="s">
        <v>84</v>
      </c>
      <c r="C17" s="285">
        <v>11</v>
      </c>
      <c r="D17" s="287">
        <f>'2.4.5.5 Emplois Mens. Intér Eq'!R279</f>
        <v>100.11943653626373</v>
      </c>
      <c r="F17" s="301"/>
    </row>
    <row r="18" spans="1:18" s="280" customFormat="1" ht="15.75" thickBot="1" x14ac:dyDescent="0.3">
      <c r="B18" s="288" t="s">
        <v>85</v>
      </c>
      <c r="C18" s="289">
        <v>12</v>
      </c>
      <c r="D18" s="290">
        <f>'2.4.5.5 Emplois Mens. Intér Eq'!R280</f>
        <v>70.622526857142844</v>
      </c>
      <c r="F18" s="301"/>
    </row>
    <row r="19" spans="1:18" s="280" customFormat="1" x14ac:dyDescent="0.25">
      <c r="B19" s="291"/>
      <c r="C19" s="292"/>
      <c r="F19" s="301"/>
    </row>
    <row r="20" spans="1:18" s="280" customFormat="1" x14ac:dyDescent="0.25">
      <c r="B20" s="291"/>
      <c r="C20" s="292"/>
      <c r="F20" s="301"/>
    </row>
    <row r="21" spans="1:18" s="280" customFormat="1" x14ac:dyDescent="0.25">
      <c r="B21" s="291"/>
      <c r="C21" s="292"/>
      <c r="F21" s="301"/>
    </row>
    <row r="22" spans="1:18" s="280" customFormat="1" x14ac:dyDescent="0.25">
      <c r="B22" s="291"/>
      <c r="C22" s="292"/>
      <c r="F22" s="301"/>
    </row>
    <row r="23" spans="1:18" s="280" customFormat="1" x14ac:dyDescent="0.25">
      <c r="B23" s="291"/>
      <c r="C23" s="292"/>
      <c r="F23" s="301"/>
    </row>
    <row r="24" spans="1:18" s="280" customFormat="1" x14ac:dyDescent="0.25">
      <c r="B24" s="291"/>
      <c r="C24" s="292"/>
      <c r="F24" s="301"/>
    </row>
    <row r="25" spans="1:18" s="280" customFormat="1" x14ac:dyDescent="0.25">
      <c r="B25" s="291"/>
      <c r="C25" s="292"/>
      <c r="F25" s="301"/>
    </row>
    <row r="26" spans="1:18" s="280" customFormat="1" x14ac:dyDescent="0.25">
      <c r="B26" s="291"/>
      <c r="C26" s="292"/>
      <c r="F26" s="301"/>
    </row>
    <row r="27" spans="1:18" s="280" customFormat="1" x14ac:dyDescent="0.25">
      <c r="B27" s="291"/>
      <c r="C27" s="292"/>
      <c r="F27" s="301"/>
    </row>
    <row r="28" spans="1:18" s="280" customFormat="1" x14ac:dyDescent="0.25">
      <c r="A28" s="301" t="s">
        <v>123</v>
      </c>
      <c r="B28" s="301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</row>
    <row r="29" spans="1:18" s="280" customFormat="1" ht="15.75" thickBot="1" x14ac:dyDescent="0.3">
      <c r="B29" s="291"/>
      <c r="C29" s="292"/>
      <c r="F29"/>
    </row>
    <row r="30" spans="1:18" s="280" customFormat="1" ht="49.5" customHeight="1" thickBot="1" x14ac:dyDescent="0.3">
      <c r="B30" s="293"/>
      <c r="C30" s="293"/>
      <c r="D30" s="321" t="s">
        <v>126</v>
      </c>
      <c r="E30" s="322"/>
      <c r="F30" s="323" t="s">
        <v>127</v>
      </c>
      <c r="G30" s="324"/>
      <c r="H30" s="325" t="s">
        <v>128</v>
      </c>
      <c r="I30" s="326"/>
      <c r="J30" s="327" t="s">
        <v>129</v>
      </c>
      <c r="K30" s="328"/>
      <c r="L30" s="329" t="s">
        <v>130</v>
      </c>
      <c r="M30" s="330"/>
      <c r="N30" s="316" t="s">
        <v>114</v>
      </c>
    </row>
    <row r="31" spans="1:18" s="280" customFormat="1" x14ac:dyDescent="0.25">
      <c r="B31" s="299" t="s">
        <v>74</v>
      </c>
      <c r="C31" s="300">
        <v>1</v>
      </c>
      <c r="D31" s="441">
        <f t="shared" ref="D31:D42" si="0">D7*CSP_PART_C</f>
        <v>1.4844696103384616</v>
      </c>
      <c r="E31" s="442"/>
      <c r="F31" s="441">
        <f t="shared" ref="F31:F42" si="1">D7*CSP_PART_PI</f>
        <v>6.1234371426461554</v>
      </c>
      <c r="G31" s="442"/>
      <c r="H31" s="441">
        <f t="shared" ref="H31:H42" si="2">D7*CSP_PART_E</f>
        <v>9.8346111684923088</v>
      </c>
      <c r="I31" s="442"/>
      <c r="J31" s="441">
        <f t="shared" ref="J31:J42" si="3">D7*CSP_PART_OQ</f>
        <v>31.483126319261544</v>
      </c>
      <c r="K31" s="442"/>
      <c r="L31" s="441">
        <f t="shared" ref="L31:L42" si="4">D7*CSP_PART_ONQ</f>
        <v>28.390481297723081</v>
      </c>
      <c r="M31" s="442"/>
      <c r="N31" s="331">
        <f t="shared" ref="N31:N42" si="5">D31+F31+H31+J31+L31</f>
        <v>77.316125538461549</v>
      </c>
    </row>
    <row r="32" spans="1:18" s="280" customFormat="1" x14ac:dyDescent="0.25">
      <c r="B32" s="284" t="s">
        <v>75</v>
      </c>
      <c r="C32" s="292">
        <v>2</v>
      </c>
      <c r="D32" s="437">
        <f t="shared" si="0"/>
        <v>1.7284915100413185</v>
      </c>
      <c r="E32" s="438"/>
      <c r="F32" s="437">
        <f t="shared" si="1"/>
        <v>7.1300274789204403</v>
      </c>
      <c r="G32" s="438"/>
      <c r="H32" s="437">
        <f t="shared" si="2"/>
        <v>11.451256254023736</v>
      </c>
      <c r="I32" s="438"/>
      <c r="J32" s="437">
        <f t="shared" si="3"/>
        <v>36.658424108792964</v>
      </c>
      <c r="K32" s="438"/>
      <c r="L32" s="437">
        <f t="shared" si="4"/>
        <v>33.05740012954022</v>
      </c>
      <c r="M32" s="438"/>
      <c r="N32" s="332">
        <f t="shared" si="5"/>
        <v>90.025599481318679</v>
      </c>
    </row>
    <row r="33" spans="2:14" s="280" customFormat="1" x14ac:dyDescent="0.25">
      <c r="B33" s="284" t="s">
        <v>76</v>
      </c>
      <c r="C33" s="292">
        <v>3</v>
      </c>
      <c r="D33" s="437">
        <f t="shared" si="0"/>
        <v>1.6524731107305493</v>
      </c>
      <c r="E33" s="438"/>
      <c r="F33" s="437">
        <f t="shared" si="1"/>
        <v>6.8164515817635172</v>
      </c>
      <c r="G33" s="438"/>
      <c r="H33" s="437">
        <f t="shared" si="2"/>
        <v>10.947634358589891</v>
      </c>
      <c r="I33" s="438"/>
      <c r="J33" s="437">
        <f t="shared" si="3"/>
        <v>35.046200556743734</v>
      </c>
      <c r="K33" s="438"/>
      <c r="L33" s="437">
        <f t="shared" si="4"/>
        <v>31.603548242721761</v>
      </c>
      <c r="M33" s="438"/>
      <c r="N33" s="332">
        <f t="shared" si="5"/>
        <v>86.06630785054945</v>
      </c>
    </row>
    <row r="34" spans="2:14" s="280" customFormat="1" x14ac:dyDescent="0.25">
      <c r="B34" s="284" t="s">
        <v>77</v>
      </c>
      <c r="C34" s="292">
        <v>4</v>
      </c>
      <c r="D34" s="437">
        <f t="shared" si="0"/>
        <v>1.480315701900659</v>
      </c>
      <c r="E34" s="438"/>
      <c r="F34" s="437">
        <f t="shared" si="1"/>
        <v>6.106302270340219</v>
      </c>
      <c r="G34" s="438"/>
      <c r="H34" s="437">
        <f t="shared" si="2"/>
        <v>9.8070915250918667</v>
      </c>
      <c r="I34" s="438"/>
      <c r="J34" s="437">
        <f t="shared" si="3"/>
        <v>31.395028844476478</v>
      </c>
      <c r="K34" s="438"/>
      <c r="L34" s="437">
        <f t="shared" si="4"/>
        <v>28.311037798850109</v>
      </c>
      <c r="M34" s="438"/>
      <c r="N34" s="332">
        <f t="shared" si="5"/>
        <v>77.09977614065933</v>
      </c>
    </row>
    <row r="35" spans="2:14" s="280" customFormat="1" x14ac:dyDescent="0.25">
      <c r="B35" s="284" t="s">
        <v>78</v>
      </c>
      <c r="C35" s="292">
        <v>5</v>
      </c>
      <c r="D35" s="437">
        <f t="shared" si="0"/>
        <v>1.1870831528228571</v>
      </c>
      <c r="E35" s="438"/>
      <c r="F35" s="437">
        <f t="shared" si="1"/>
        <v>4.8967180053942858</v>
      </c>
      <c r="G35" s="438"/>
      <c r="H35" s="437">
        <f t="shared" si="2"/>
        <v>7.8644258874514295</v>
      </c>
      <c r="I35" s="438"/>
      <c r="J35" s="437">
        <f t="shared" si="3"/>
        <v>25.176055199451429</v>
      </c>
      <c r="K35" s="438"/>
      <c r="L35" s="437">
        <f t="shared" si="4"/>
        <v>22.702965297737144</v>
      </c>
      <c r="M35" s="438"/>
      <c r="N35" s="332">
        <f t="shared" si="5"/>
        <v>61.827247542857144</v>
      </c>
    </row>
    <row r="36" spans="2:14" s="280" customFormat="1" x14ac:dyDescent="0.25">
      <c r="B36" s="284" t="s">
        <v>79</v>
      </c>
      <c r="C36" s="292">
        <v>6</v>
      </c>
      <c r="D36" s="437">
        <f t="shared" si="0"/>
        <v>1.6450100314021976</v>
      </c>
      <c r="E36" s="438"/>
      <c r="F36" s="437">
        <f t="shared" si="1"/>
        <v>6.7856663795340664</v>
      </c>
      <c r="G36" s="438"/>
      <c r="H36" s="437">
        <f t="shared" si="2"/>
        <v>10.898191458039561</v>
      </c>
      <c r="I36" s="438"/>
      <c r="J36" s="437">
        <f t="shared" si="3"/>
        <v>34.887921082654948</v>
      </c>
      <c r="K36" s="438"/>
      <c r="L36" s="437">
        <f t="shared" si="4"/>
        <v>31.460816850567035</v>
      </c>
      <c r="M36" s="438"/>
      <c r="N36" s="332">
        <f t="shared" si="5"/>
        <v>85.677605802197803</v>
      </c>
    </row>
    <row r="37" spans="2:14" s="280" customFormat="1" x14ac:dyDescent="0.25">
      <c r="B37" s="284" t="s">
        <v>80</v>
      </c>
      <c r="C37" s="292">
        <v>7</v>
      </c>
      <c r="D37" s="437">
        <f t="shared" si="0"/>
        <v>1.3496385996237359</v>
      </c>
      <c r="E37" s="438"/>
      <c r="F37" s="437">
        <f t="shared" si="1"/>
        <v>5.5672592234479117</v>
      </c>
      <c r="G37" s="438"/>
      <c r="H37" s="437">
        <f t="shared" si="2"/>
        <v>8.941355722507252</v>
      </c>
      <c r="I37" s="438"/>
      <c r="J37" s="437">
        <f t="shared" si="3"/>
        <v>28.623585300353405</v>
      </c>
      <c r="K37" s="438"/>
      <c r="L37" s="437">
        <f t="shared" si="4"/>
        <v>25.811838217803956</v>
      </c>
      <c r="M37" s="438"/>
      <c r="N37" s="332">
        <f t="shared" si="5"/>
        <v>70.293677063736254</v>
      </c>
    </row>
    <row r="38" spans="2:14" s="280" customFormat="1" x14ac:dyDescent="0.25">
      <c r="B38" s="284" t="s">
        <v>81</v>
      </c>
      <c r="C38" s="292">
        <v>8</v>
      </c>
      <c r="D38" s="437">
        <f t="shared" si="0"/>
        <v>1.4780468675235163</v>
      </c>
      <c r="E38" s="438"/>
      <c r="F38" s="437">
        <f t="shared" si="1"/>
        <v>6.0969433285345058</v>
      </c>
      <c r="G38" s="438"/>
      <c r="H38" s="437">
        <f t="shared" si="2"/>
        <v>9.7920604973432983</v>
      </c>
      <c r="I38" s="438"/>
      <c r="J38" s="437">
        <f t="shared" si="3"/>
        <v>31.346910648727913</v>
      </c>
      <c r="K38" s="438"/>
      <c r="L38" s="437">
        <f t="shared" si="4"/>
        <v>28.267646341387255</v>
      </c>
      <c r="M38" s="438"/>
      <c r="N38" s="332">
        <f t="shared" si="5"/>
        <v>76.981607683516501</v>
      </c>
    </row>
    <row r="39" spans="2:14" s="280" customFormat="1" x14ac:dyDescent="0.25">
      <c r="B39" s="284" t="s">
        <v>82</v>
      </c>
      <c r="C39" s="292">
        <v>9</v>
      </c>
      <c r="D39" s="437">
        <f t="shared" si="0"/>
        <v>1.8730274989292306</v>
      </c>
      <c r="E39" s="438"/>
      <c r="F39" s="437">
        <f t="shared" si="1"/>
        <v>7.7262384330830773</v>
      </c>
      <c r="G39" s="438"/>
      <c r="H39" s="437">
        <f t="shared" si="2"/>
        <v>12.408807180406155</v>
      </c>
      <c r="I39" s="438"/>
      <c r="J39" s="437">
        <f t="shared" si="3"/>
        <v>39.723791539790767</v>
      </c>
      <c r="K39" s="438"/>
      <c r="L39" s="437">
        <f t="shared" si="4"/>
        <v>35.821650917021543</v>
      </c>
      <c r="M39" s="438"/>
      <c r="N39" s="332">
        <f t="shared" si="5"/>
        <v>97.553515569230768</v>
      </c>
    </row>
    <row r="40" spans="2:14" s="280" customFormat="1" x14ac:dyDescent="0.25">
      <c r="B40" s="284" t="s">
        <v>83</v>
      </c>
      <c r="C40" s="292">
        <v>10</v>
      </c>
      <c r="D40" s="437">
        <f t="shared" si="0"/>
        <v>1.7700931685274723</v>
      </c>
      <c r="E40" s="438"/>
      <c r="F40" s="437">
        <f t="shared" si="1"/>
        <v>7.3016343201758245</v>
      </c>
      <c r="G40" s="438"/>
      <c r="H40" s="437">
        <f t="shared" si="2"/>
        <v>11.726867241494505</v>
      </c>
      <c r="I40" s="438"/>
      <c r="J40" s="437">
        <f t="shared" si="3"/>
        <v>37.540725949186815</v>
      </c>
      <c r="K40" s="438"/>
      <c r="L40" s="437">
        <f t="shared" si="4"/>
        <v>33.853031848087916</v>
      </c>
      <c r="M40" s="438"/>
      <c r="N40" s="332">
        <f t="shared" si="5"/>
        <v>92.192352527472536</v>
      </c>
    </row>
    <row r="41" spans="2:14" s="280" customFormat="1" x14ac:dyDescent="0.25">
      <c r="B41" s="284" t="s">
        <v>84</v>
      </c>
      <c r="C41" s="292">
        <v>11</v>
      </c>
      <c r="D41" s="437">
        <f t="shared" si="0"/>
        <v>1.9222931814962636</v>
      </c>
      <c r="E41" s="438"/>
      <c r="F41" s="437">
        <f t="shared" si="1"/>
        <v>7.9294593736720884</v>
      </c>
      <c r="G41" s="438"/>
      <c r="H41" s="437">
        <f t="shared" si="2"/>
        <v>12.735192327412747</v>
      </c>
      <c r="I41" s="438"/>
      <c r="J41" s="437">
        <f t="shared" si="3"/>
        <v>40.768634557566592</v>
      </c>
      <c r="K41" s="438"/>
      <c r="L41" s="437">
        <f t="shared" si="4"/>
        <v>36.763857096116048</v>
      </c>
      <c r="M41" s="438"/>
      <c r="N41" s="332">
        <f t="shared" si="5"/>
        <v>100.11943653626375</v>
      </c>
    </row>
    <row r="42" spans="2:14" s="280" customFormat="1" ht="15.75" thickBot="1" x14ac:dyDescent="0.3">
      <c r="B42" s="284" t="s">
        <v>85</v>
      </c>
      <c r="C42" s="292">
        <v>12</v>
      </c>
      <c r="D42" s="439">
        <f t="shared" si="0"/>
        <v>1.3559525156571426</v>
      </c>
      <c r="E42" s="440"/>
      <c r="F42" s="439">
        <f t="shared" si="1"/>
        <v>5.5933041270857133</v>
      </c>
      <c r="G42" s="440"/>
      <c r="H42" s="439">
        <f t="shared" si="2"/>
        <v>8.9831854162285705</v>
      </c>
      <c r="I42" s="440"/>
      <c r="J42" s="439">
        <f t="shared" si="3"/>
        <v>28.757492936228566</v>
      </c>
      <c r="K42" s="440"/>
      <c r="L42" s="439">
        <f t="shared" si="4"/>
        <v>25.932591861942853</v>
      </c>
      <c r="M42" s="440"/>
      <c r="N42" s="333">
        <f t="shared" si="5"/>
        <v>70.622526857142844</v>
      </c>
    </row>
    <row r="43" spans="2:14" s="280" customFormat="1" ht="15.75" thickBot="1" x14ac:dyDescent="0.3">
      <c r="B43" s="314" t="s">
        <v>103</v>
      </c>
      <c r="C43" s="315"/>
      <c r="D43" s="339">
        <f>SUM(D31:D42)</f>
        <v>18.926894948993407</v>
      </c>
      <c r="E43" s="340"/>
      <c r="F43" s="339">
        <f t="shared" ref="F43" si="6">SUM(F31:F42)</f>
        <v>78.073441664597809</v>
      </c>
      <c r="G43" s="340"/>
      <c r="H43" s="339">
        <f>SUM(H31:H42)</f>
        <v>125.39067903708133</v>
      </c>
      <c r="I43" s="340"/>
      <c r="J43" s="339">
        <f>SUM(J31:J42)</f>
        <v>401.40789704323521</v>
      </c>
      <c r="K43" s="340"/>
      <c r="L43" s="339">
        <f>SUM(L31:L42)</f>
        <v>361.97686589949893</v>
      </c>
      <c r="M43" s="340"/>
      <c r="N43" s="319">
        <f>SUM(N31:N42)</f>
        <v>985.77577859340647</v>
      </c>
    </row>
    <row r="44" spans="2:14" s="280" customFormat="1" x14ac:dyDescent="0.25">
      <c r="B44" s="291"/>
      <c r="C44" s="292"/>
      <c r="F44"/>
    </row>
    <row r="45" spans="2:14" s="280" customFormat="1" x14ac:dyDescent="0.25">
      <c r="B45" s="291"/>
      <c r="C45" s="292"/>
      <c r="F45"/>
    </row>
    <row r="46" spans="2:14" s="280" customFormat="1" x14ac:dyDescent="0.25">
      <c r="B46" s="291"/>
      <c r="C46" s="292"/>
      <c r="F46"/>
    </row>
    <row r="47" spans="2:14" s="280" customFormat="1" x14ac:dyDescent="0.25">
      <c r="B47" s="291"/>
      <c r="C47" s="292"/>
      <c r="F47"/>
    </row>
  </sheetData>
  <mergeCells count="65">
    <mergeCell ref="H3:I5"/>
    <mergeCell ref="J3:K5"/>
    <mergeCell ref="L3:M5"/>
    <mergeCell ref="N3:O5"/>
    <mergeCell ref="P3:Q5"/>
    <mergeCell ref="D32:E32"/>
    <mergeCell ref="F32:G32"/>
    <mergeCell ref="H32:I32"/>
    <mergeCell ref="J32:K32"/>
    <mergeCell ref="L32:M32"/>
    <mergeCell ref="D31:E31"/>
    <mergeCell ref="F31:G31"/>
    <mergeCell ref="H31:I31"/>
    <mergeCell ref="J31:K31"/>
    <mergeCell ref="L31:M31"/>
    <mergeCell ref="D34:E34"/>
    <mergeCell ref="F34:G34"/>
    <mergeCell ref="H34:I34"/>
    <mergeCell ref="J34:K34"/>
    <mergeCell ref="L34:M34"/>
    <mergeCell ref="D33:E33"/>
    <mergeCell ref="F33:G33"/>
    <mergeCell ref="H33:I33"/>
    <mergeCell ref="J33:K33"/>
    <mergeCell ref="L33:M33"/>
    <mergeCell ref="D36:E36"/>
    <mergeCell ref="F36:G36"/>
    <mergeCell ref="H36:I36"/>
    <mergeCell ref="J36:K36"/>
    <mergeCell ref="L36:M36"/>
    <mergeCell ref="D35:E35"/>
    <mergeCell ref="F35:G35"/>
    <mergeCell ref="H35:I35"/>
    <mergeCell ref="J35:K35"/>
    <mergeCell ref="L35:M35"/>
    <mergeCell ref="D38:E38"/>
    <mergeCell ref="F38:G38"/>
    <mergeCell ref="H38:I38"/>
    <mergeCell ref="J38:K38"/>
    <mergeCell ref="L38:M38"/>
    <mergeCell ref="D37:E37"/>
    <mergeCell ref="F37:G37"/>
    <mergeCell ref="H37:I37"/>
    <mergeCell ref="J37:K37"/>
    <mergeCell ref="L37:M37"/>
    <mergeCell ref="D40:E40"/>
    <mergeCell ref="F40:G40"/>
    <mergeCell ref="H40:I40"/>
    <mergeCell ref="J40:K40"/>
    <mergeCell ref="L40:M40"/>
    <mergeCell ref="D39:E39"/>
    <mergeCell ref="F39:G39"/>
    <mergeCell ref="H39:I39"/>
    <mergeCell ref="J39:K39"/>
    <mergeCell ref="L39:M39"/>
    <mergeCell ref="D42:E42"/>
    <mergeCell ref="F42:G42"/>
    <mergeCell ref="H42:I42"/>
    <mergeCell ref="J42:K42"/>
    <mergeCell ref="L42:M42"/>
    <mergeCell ref="D41:E41"/>
    <mergeCell ref="F41:G41"/>
    <mergeCell ref="H41:I41"/>
    <mergeCell ref="J41:K41"/>
    <mergeCell ref="L41:M4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8"/>
  <sheetViews>
    <sheetView topLeftCell="A28" workbookViewId="0">
      <selection activeCell="V44" sqref="V44"/>
    </sheetView>
  </sheetViews>
  <sheetFormatPr baseColWidth="10" defaultRowHeight="15" x14ac:dyDescent="0.25"/>
  <cols>
    <col min="3" max="3" width="2.7109375" customWidth="1"/>
    <col min="6" max="6" width="12.85546875" bestFit="1" customWidth="1"/>
    <col min="9" max="9" width="0.5703125" customWidth="1"/>
    <col min="11" max="11" width="0.5703125" customWidth="1"/>
    <col min="12" max="12" width="12.85546875" bestFit="1" customWidth="1"/>
    <col min="13" max="13" width="0.5703125" customWidth="1"/>
    <col min="15" max="15" width="0.5703125" customWidth="1"/>
    <col min="16" max="16" width="12.85546875" bestFit="1" customWidth="1"/>
    <col min="17" max="17" width="0.42578125" customWidth="1"/>
    <col min="19" max="19" width="0.42578125" customWidth="1"/>
  </cols>
  <sheetData>
    <row r="1" spans="1:18" s="280" customFormat="1" x14ac:dyDescent="0.25">
      <c r="A1" s="302" t="s">
        <v>138</v>
      </c>
      <c r="B1" s="303"/>
      <c r="C1" s="304"/>
      <c r="D1" s="304"/>
      <c r="E1" s="304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</row>
    <row r="2" spans="1:18" x14ac:dyDescent="0.25">
      <c r="A2" t="s">
        <v>132</v>
      </c>
    </row>
    <row r="27" spans="1:23" ht="15.75" thickBot="1" x14ac:dyDescent="0.3"/>
    <row r="28" spans="1:23" ht="51.75" thickBot="1" x14ac:dyDescent="0.3">
      <c r="A28" s="175">
        <v>2018</v>
      </c>
      <c r="B28" s="216"/>
      <c r="C28" s="217"/>
      <c r="D28" s="218" t="s">
        <v>40</v>
      </c>
      <c r="E28" s="219" t="s">
        <v>41</v>
      </c>
      <c r="F28" s="220" t="s">
        <v>42</v>
      </c>
      <c r="G28" s="221" t="s">
        <v>43</v>
      </c>
      <c r="H28" s="222" t="s">
        <v>44</v>
      </c>
      <c r="I28" s="223"/>
      <c r="J28" s="224" t="s">
        <v>45</v>
      </c>
      <c r="K28" s="225"/>
      <c r="L28" s="226" t="s">
        <v>46</v>
      </c>
      <c r="M28" s="225"/>
      <c r="N28" s="227" t="s">
        <v>47</v>
      </c>
      <c r="O28" s="225"/>
      <c r="P28" s="228" t="s">
        <v>48</v>
      </c>
      <c r="Q28" s="223"/>
      <c r="R28" s="229" t="s">
        <v>49</v>
      </c>
      <c r="S28" s="225"/>
      <c r="T28" s="230" t="s">
        <v>50</v>
      </c>
      <c r="U28" s="231" t="s">
        <v>51</v>
      </c>
      <c r="V28" s="32"/>
    </row>
    <row r="29" spans="1:23" x14ac:dyDescent="0.25">
      <c r="B29" s="246" t="s">
        <v>74</v>
      </c>
      <c r="C29" s="247">
        <v>1</v>
      </c>
      <c r="D29" s="184">
        <f>'2.4.5.5 Emplois Mens. Intér Eq'!D269</f>
        <v>77.316125538461549</v>
      </c>
      <c r="E29" s="185">
        <f>'2.4.5.5 Emplois Mens. Intér Eq'!E269</f>
        <v>309.43812857142859</v>
      </c>
      <c r="F29" s="186">
        <f>'2.4.5.5 Emplois Mens. Intér Eq'!F269</f>
        <v>247.55050285714285</v>
      </c>
      <c r="G29" s="187">
        <f>'2.4.5.5 Emplois Mens. Intér Eq'!G269</f>
        <v>61.88762571428569</v>
      </c>
      <c r="H29" s="188">
        <f>'2.4.5.5 Emplois Mens. Intér Eq'!H269</f>
        <v>77.316125538461549</v>
      </c>
      <c r="I29" s="189"/>
      <c r="J29" s="190">
        <f>'2.4.5.5 Emplois Mens. Intér Eq'!J269</f>
        <v>0</v>
      </c>
      <c r="K29" s="191"/>
      <c r="L29" s="192">
        <f>'2.4.5.5 Emplois Mens. Intér Eq'!L269</f>
        <v>0</v>
      </c>
      <c r="M29" s="191"/>
      <c r="N29" s="193">
        <f>'2.4.5.5 Emplois Mens. Intér Eq'!N269</f>
        <v>170.23437731868131</v>
      </c>
      <c r="O29" s="191"/>
      <c r="P29" s="194">
        <f>'2.4.5.5 Emplois Mens. Intér Eq'!P269</f>
        <v>61.88762571428569</v>
      </c>
      <c r="Q29" s="189"/>
      <c r="R29" s="358">
        <f>'2.4.5.5 Emplois Mens. Intér Eq'!R269</f>
        <v>77.316125538461549</v>
      </c>
      <c r="S29" s="191"/>
      <c r="T29" s="196">
        <f>'2.4.5.5 Emplois Mens. Intér Eq'!T269</f>
        <v>232.12200303296692</v>
      </c>
      <c r="U29" s="197">
        <f>'2.4.5.5 Emplois Mens. Intér Eq'!U269</f>
        <v>0</v>
      </c>
      <c r="V29" s="37"/>
      <c r="W29" s="37"/>
    </row>
    <row r="30" spans="1:23" x14ac:dyDescent="0.25">
      <c r="B30" s="163" t="s">
        <v>75</v>
      </c>
      <c r="C30" s="129">
        <v>2</v>
      </c>
      <c r="D30" s="130">
        <f>'2.4.5.5 Emplois Mens. Intér Eq'!D270</f>
        <v>100.83425657142857</v>
      </c>
      <c r="E30" s="131">
        <f>'2.4.5.5 Emplois Mens. Intér Eq'!E270</f>
        <v>188.34574391208787</v>
      </c>
      <c r="F30" s="132">
        <f>'2.4.5.5 Emplois Mens. Intér Eq'!F270</f>
        <v>150.67659512967032</v>
      </c>
      <c r="G30" s="133">
        <f>'2.4.5.5 Emplois Mens. Intér Eq'!G270</f>
        <v>37.669148782417579</v>
      </c>
      <c r="H30" s="134">
        <f>'2.4.5.5 Emplois Mens. Intér Eq'!H270</f>
        <v>97.128502417582411</v>
      </c>
      <c r="I30" s="135"/>
      <c r="J30" s="136">
        <f>'2.4.5.5 Emplois Mens. Intér Eq'!J270</f>
        <v>3.70575415384616</v>
      </c>
      <c r="K30" s="137"/>
      <c r="L30" s="138">
        <f>'2.4.5.5 Emplois Mens. Intér Eq'!L270</f>
        <v>7.1029029362637299</v>
      </c>
      <c r="M30" s="137"/>
      <c r="N30" s="139">
        <f>'2.4.5.5 Emplois Mens. Intér Eq'!N270</f>
        <v>60.650995648351632</v>
      </c>
      <c r="O30" s="137"/>
      <c r="P30" s="140">
        <f>'2.4.5.5 Emplois Mens. Intér Eq'!P270</f>
        <v>30.566245846153844</v>
      </c>
      <c r="Q30" s="135"/>
      <c r="R30" s="341">
        <f>'2.4.5.5 Emplois Mens. Intér Eq'!R270</f>
        <v>90.025599481318679</v>
      </c>
      <c r="S30" s="137"/>
      <c r="T30" s="141">
        <f>'2.4.5.5 Emplois Mens. Intér Eq'!T270</f>
        <v>98.32014443076919</v>
      </c>
      <c r="U30" s="199">
        <f>'2.4.5.5 Emplois Mens. Intér Eq'!U270</f>
        <v>10.80865709010989</v>
      </c>
      <c r="V30" s="37"/>
      <c r="W30" s="37"/>
    </row>
    <row r="31" spans="1:23" x14ac:dyDescent="0.25">
      <c r="B31" s="163" t="s">
        <v>76</v>
      </c>
      <c r="C31" s="129">
        <v>3</v>
      </c>
      <c r="D31" s="130">
        <f>'2.4.5.5 Emplois Mens. Intér Eq'!D271</f>
        <v>148.00615397802198</v>
      </c>
      <c r="E31" s="131">
        <f>'2.4.5.5 Emplois Mens. Intér Eq'!E271</f>
        <v>125.74053810989011</v>
      </c>
      <c r="F31" s="132">
        <f>'2.4.5.5 Emplois Mens. Intér Eq'!F271</f>
        <v>100.59243048791208</v>
      </c>
      <c r="G31" s="133">
        <f>'2.4.5.5 Emplois Mens. Intér Eq'!G271</f>
        <v>25.14810762197801</v>
      </c>
      <c r="H31" s="134">
        <f>'2.4.5.5 Emplois Mens. Intér Eq'!H271</f>
        <v>98.038432087912071</v>
      </c>
      <c r="I31" s="135"/>
      <c r="J31" s="136">
        <f>'2.4.5.5 Emplois Mens. Intér Eq'!J271</f>
        <v>49.9677218901099</v>
      </c>
      <c r="K31" s="137"/>
      <c r="L31" s="138">
        <f>'2.4.5.5 Emplois Mens. Intér Eq'!L271</f>
        <v>11.972124237362634</v>
      </c>
      <c r="M31" s="137"/>
      <c r="N31" s="139">
        <f>'2.4.5.5 Emplois Mens. Intér Eq'!N271</f>
        <v>14.526122637362636</v>
      </c>
      <c r="O31" s="137"/>
      <c r="P31" s="140">
        <f>'2.4.5.5 Emplois Mens. Intér Eq'!P271</f>
        <v>13.175983384615382</v>
      </c>
      <c r="Q31" s="135"/>
      <c r="R31" s="341">
        <f>'2.4.5.5 Emplois Mens. Intér Eq'!R271</f>
        <v>86.06630785054945</v>
      </c>
      <c r="S31" s="137"/>
      <c r="T31" s="141">
        <f>'2.4.5.5 Emplois Mens. Intér Eq'!T271</f>
        <v>39.674230259340654</v>
      </c>
      <c r="U31" s="199">
        <f>'2.4.5.5 Emplois Mens. Intér Eq'!U271</f>
        <v>61.939846127472528</v>
      </c>
      <c r="V31" s="37"/>
      <c r="W31" s="37"/>
    </row>
    <row r="32" spans="1:23" x14ac:dyDescent="0.25">
      <c r="B32" s="163" t="s">
        <v>77</v>
      </c>
      <c r="C32" s="129">
        <v>4</v>
      </c>
      <c r="D32" s="130">
        <f>'2.4.5.5 Emplois Mens. Intér Eq'!D272</f>
        <v>211.86758057142856</v>
      </c>
      <c r="E32" s="131">
        <f>'2.4.5.5 Emplois Mens. Intér Eq'!E272</f>
        <v>98.926961934065929</v>
      </c>
      <c r="F32" s="132">
        <f>'2.4.5.5 Emplois Mens. Intér Eq'!F272</f>
        <v>79.141569547252743</v>
      </c>
      <c r="G32" s="133">
        <f>'2.4.5.5 Emplois Mens. Intér Eq'!G272</f>
        <v>19.785392386813182</v>
      </c>
      <c r="H32" s="134">
        <f>'2.4.5.5 Emplois Mens. Intér Eq'!H272</f>
        <v>93.809458285714285</v>
      </c>
      <c r="I32" s="135"/>
      <c r="J32" s="136">
        <f>'2.4.5.5 Emplois Mens. Intér Eq'!J272</f>
        <v>118.05812228571428</v>
      </c>
      <c r="K32" s="137"/>
      <c r="L32" s="138">
        <f>'2.4.5.5 Emplois Mens. Intér Eq'!L272</f>
        <v>16.709682145054938</v>
      </c>
      <c r="M32" s="137"/>
      <c r="N32" s="139">
        <f>'2.4.5.5 Emplois Mens. Intér Eq'!N272</f>
        <v>2.0417934065934076</v>
      </c>
      <c r="O32" s="137"/>
      <c r="P32" s="140">
        <f>'2.4.5.5 Emplois Mens. Intér Eq'!P272</f>
        <v>3.0757102417582405</v>
      </c>
      <c r="Q32" s="135"/>
      <c r="R32" s="341">
        <f>'2.4.5.5 Emplois Mens. Intér Eq'!R272</f>
        <v>77.09977614065933</v>
      </c>
      <c r="S32" s="137"/>
      <c r="T32" s="141">
        <f>'2.4.5.5 Emplois Mens. Intér Eq'!T272</f>
        <v>21.827185793406588</v>
      </c>
      <c r="U32" s="199">
        <f>'2.4.5.5 Emplois Mens. Intér Eq'!U272</f>
        <v>134.76780443076922</v>
      </c>
      <c r="V32" s="37"/>
      <c r="W32" s="37"/>
    </row>
    <row r="33" spans="1:23" x14ac:dyDescent="0.25">
      <c r="B33" s="163" t="s">
        <v>78</v>
      </c>
      <c r="C33" s="129">
        <v>5</v>
      </c>
      <c r="D33" s="130">
        <f>'2.4.5.5 Emplois Mens. Intér Eq'!D273</f>
        <v>309.40662738461538</v>
      </c>
      <c r="E33" s="131">
        <f>'2.4.5.5 Emplois Mens. Intér Eq'!E273</f>
        <v>77.284059428571425</v>
      </c>
      <c r="F33" s="132">
        <f>'2.4.5.5 Emplois Mens. Intér Eq'!F273</f>
        <v>61.827247542857144</v>
      </c>
      <c r="G33" s="133">
        <f>'2.4.5.5 Emplois Mens. Intér Eq'!G273</f>
        <v>15.456811885714282</v>
      </c>
      <c r="H33" s="134">
        <f>'2.4.5.5 Emplois Mens. Intér Eq'!H273</f>
        <v>77.27604962637362</v>
      </c>
      <c r="I33" s="135"/>
      <c r="J33" s="136">
        <f>'2.4.5.5 Emplois Mens. Intér Eq'!J273</f>
        <v>232.13057775824174</v>
      </c>
      <c r="K33" s="137"/>
      <c r="L33" s="138">
        <f>'2.4.5.5 Emplois Mens. Intér Eq'!L273</f>
        <v>15.44880208351648</v>
      </c>
      <c r="M33" s="137"/>
      <c r="N33" s="139">
        <f>'2.4.5.5 Emplois Mens. Intér Eq'!N273</f>
        <v>0</v>
      </c>
      <c r="O33" s="137"/>
      <c r="P33" s="140">
        <f>'2.4.5.5 Emplois Mens. Intér Eq'!P273</f>
        <v>8.0098021978018963E-3</v>
      </c>
      <c r="Q33" s="135"/>
      <c r="R33" s="341">
        <f>'2.4.5.5 Emplois Mens. Intér Eq'!R273</f>
        <v>61.827247542857144</v>
      </c>
      <c r="S33" s="137"/>
      <c r="T33" s="141">
        <f>'2.4.5.5 Emplois Mens. Intér Eq'!T273</f>
        <v>15.456811885714281</v>
      </c>
      <c r="U33" s="199">
        <f>'2.4.5.5 Emplois Mens. Intér Eq'!U273</f>
        <v>247.5793798417582</v>
      </c>
      <c r="V33" s="37"/>
      <c r="W33" s="37"/>
    </row>
    <row r="34" spans="1:23" x14ac:dyDescent="0.25">
      <c r="B34" s="163" t="s">
        <v>79</v>
      </c>
      <c r="C34" s="129">
        <v>6</v>
      </c>
      <c r="D34" s="130">
        <f>'2.4.5.5 Emplois Mens. Intér Eq'!D274</f>
        <v>141.24505371428569</v>
      </c>
      <c r="E34" s="131">
        <f>'2.4.5.5 Emplois Mens. Intér Eq'!E274</f>
        <v>127.17173373626375</v>
      </c>
      <c r="F34" s="132">
        <f>'2.4.5.5 Emplois Mens. Intér Eq'!F274</f>
        <v>101.73738698901099</v>
      </c>
      <c r="G34" s="133">
        <f>'2.4.5.5 Emplois Mens. Intér Eq'!G274</f>
        <v>25.434346747252739</v>
      </c>
      <c r="H34" s="134">
        <f>'2.4.5.5 Emplois Mens. Intér Eq'!H274</f>
        <v>97.064336571428569</v>
      </c>
      <c r="I34" s="135"/>
      <c r="J34" s="136">
        <f>'2.4.5.5 Emplois Mens. Intér Eq'!J274</f>
        <v>44.180717142857134</v>
      </c>
      <c r="K34" s="137"/>
      <c r="L34" s="138">
        <f>'2.4.5.5 Emplois Mens. Intér Eq'!L274</f>
        <v>11.386730769230766</v>
      </c>
      <c r="M34" s="137"/>
      <c r="N34" s="139">
        <f>'2.4.5.5 Emplois Mens. Intér Eq'!N274</f>
        <v>16.05978118681319</v>
      </c>
      <c r="O34" s="137"/>
      <c r="P34" s="140">
        <f>'2.4.5.5 Emplois Mens. Intér Eq'!P274</f>
        <v>14.047615978021977</v>
      </c>
      <c r="Q34" s="135"/>
      <c r="R34" s="341">
        <f>'2.4.5.5 Emplois Mens. Intér Eq'!R274</f>
        <v>85.677605802197803</v>
      </c>
      <c r="S34" s="137"/>
      <c r="T34" s="141">
        <f>'2.4.5.5 Emplois Mens. Intér Eq'!T274</f>
        <v>41.494127934065929</v>
      </c>
      <c r="U34" s="199">
        <f>'2.4.5.5 Emplois Mens. Intér Eq'!U274</f>
        <v>55.5674479120879</v>
      </c>
      <c r="V34" s="37"/>
      <c r="W34" s="37"/>
    </row>
    <row r="35" spans="1:23" x14ac:dyDescent="0.25">
      <c r="B35" s="163" t="s">
        <v>80</v>
      </c>
      <c r="C35" s="129">
        <v>7</v>
      </c>
      <c r="D35" s="130">
        <f>'2.4.5.5 Emplois Mens. Intér Eq'!D275</f>
        <v>73.921903595604377</v>
      </c>
      <c r="E35" s="131">
        <f>'2.4.5.5 Emplois Mens. Intér Eq'!E275</f>
        <v>148.02553958241757</v>
      </c>
      <c r="F35" s="132">
        <f>'2.4.5.5 Emplois Mens. Intér Eq'!F275</f>
        <v>118.42043166593406</v>
      </c>
      <c r="G35" s="133">
        <f>'2.4.5.5 Emplois Mens. Intér Eq'!G275</f>
        <v>29.605107916483508</v>
      </c>
      <c r="H35" s="134">
        <f>'2.4.5.5 Emplois Mens. Intér Eq'!H275</f>
        <v>73.202014720879106</v>
      </c>
      <c r="I35" s="135"/>
      <c r="J35" s="136">
        <f>'2.4.5.5 Emplois Mens. Intér Eq'!J275</f>
        <v>0.71988887472527363</v>
      </c>
      <c r="K35" s="137"/>
      <c r="L35" s="138">
        <f>'2.4.5.5 Emplois Mens. Intér Eq'!L275</f>
        <v>2.9083376571428543</v>
      </c>
      <c r="M35" s="137"/>
      <c r="N35" s="139">
        <f>'2.4.5.5 Emplois Mens. Intér Eq'!N275</f>
        <v>48.126754602197799</v>
      </c>
      <c r="O35" s="137"/>
      <c r="P35" s="140">
        <f>'2.4.5.5 Emplois Mens. Intér Eq'!P275</f>
        <v>26.696770259340649</v>
      </c>
      <c r="Q35" s="135"/>
      <c r="R35" s="341">
        <f>'2.4.5.5 Emplois Mens. Intér Eq'!R275</f>
        <v>70.293677063736254</v>
      </c>
      <c r="S35" s="137"/>
      <c r="T35" s="141">
        <f>'2.4.5.5 Emplois Mens. Intér Eq'!T275</f>
        <v>77.731862518681254</v>
      </c>
      <c r="U35" s="199">
        <f>'2.4.5.5 Emplois Mens. Intér Eq'!U275</f>
        <v>3.6282265318681279</v>
      </c>
      <c r="V35" s="37"/>
      <c r="W35" s="37"/>
    </row>
    <row r="36" spans="1:23" x14ac:dyDescent="0.25">
      <c r="B36" s="163" t="s">
        <v>81</v>
      </c>
      <c r="C36" s="129">
        <v>8</v>
      </c>
      <c r="D36" s="130">
        <f>'2.4.5.5 Emplois Mens. Intér Eq'!D276</f>
        <v>77.316125538461549</v>
      </c>
      <c r="E36" s="131">
        <f>'2.4.5.5 Emplois Mens. Intér Eq'!E276</f>
        <v>208.75752771428569</v>
      </c>
      <c r="F36" s="132">
        <f>'2.4.5.5 Emplois Mens. Intér Eq'!F276</f>
        <v>167.00602217142861</v>
      </c>
      <c r="G36" s="133">
        <f>'2.4.5.5 Emplois Mens. Intér Eq'!G276</f>
        <v>41.751505542857146</v>
      </c>
      <c r="H36" s="134">
        <f>'2.4.5.5 Emplois Mens. Intér Eq'!H276</f>
        <v>77.316125538461549</v>
      </c>
      <c r="I36" s="135"/>
      <c r="J36" s="136">
        <f>'2.4.5.5 Emplois Mens. Intér Eq'!J276</f>
        <v>0</v>
      </c>
      <c r="K36" s="137"/>
      <c r="L36" s="138">
        <f>'2.4.5.5 Emplois Mens. Intér Eq'!L276</f>
        <v>0.33451785494505515</v>
      </c>
      <c r="M36" s="137"/>
      <c r="N36" s="139">
        <f>'2.4.5.5 Emplois Mens. Intér Eq'!N276</f>
        <v>90.024414487912111</v>
      </c>
      <c r="O36" s="137"/>
      <c r="P36" s="140">
        <f>'2.4.5.5 Emplois Mens. Intér Eq'!P276</f>
        <v>41.416987687912091</v>
      </c>
      <c r="Q36" s="135"/>
      <c r="R36" s="341">
        <f>'2.4.5.5 Emplois Mens. Intér Eq'!R276</f>
        <v>76.981607683516486</v>
      </c>
      <c r="S36" s="137"/>
      <c r="T36" s="141">
        <f>'2.4.5.5 Emplois Mens. Intér Eq'!T276</f>
        <v>131.77592003076924</v>
      </c>
      <c r="U36" s="199">
        <f>'2.4.5.5 Emplois Mens. Intér Eq'!U276</f>
        <v>0.33451785494505515</v>
      </c>
      <c r="V36" s="37"/>
      <c r="W36" s="37"/>
    </row>
    <row r="37" spans="1:23" x14ac:dyDescent="0.25">
      <c r="B37" s="163" t="s">
        <v>82</v>
      </c>
      <c r="C37" s="129">
        <v>9</v>
      </c>
      <c r="D37" s="130">
        <f>'2.4.5.5 Emplois Mens. Intér Eq'!D277</f>
        <v>134.48197285714284</v>
      </c>
      <c r="E37" s="131">
        <f>'2.4.5.5 Emplois Mens. Intér Eq'!E277</f>
        <v>168.12857610989008</v>
      </c>
      <c r="F37" s="132">
        <f>'2.4.5.5 Emplois Mens. Intér Eq'!F277</f>
        <v>134.50286088791208</v>
      </c>
      <c r="G37" s="133">
        <f>'2.4.5.5 Emplois Mens. Intér Eq'!G277</f>
        <v>33.625715221978005</v>
      </c>
      <c r="H37" s="134">
        <f>'2.4.5.5 Emplois Mens. Intér Eq'!H277</f>
        <v>110.03150017582419</v>
      </c>
      <c r="I37" s="135"/>
      <c r="J37" s="136">
        <f>'2.4.5.5 Emplois Mens. Intér Eq'!J277</f>
        <v>24.450472681318693</v>
      </c>
      <c r="K37" s="137"/>
      <c r="L37" s="138">
        <f>'2.4.5.5 Emplois Mens. Intér Eq'!L277</f>
        <v>12.477984606593401</v>
      </c>
      <c r="M37" s="137"/>
      <c r="N37" s="139">
        <f>'2.4.5.5 Emplois Mens. Intér Eq'!N277</f>
        <v>36.949345318681317</v>
      </c>
      <c r="O37" s="137"/>
      <c r="P37" s="140">
        <f>'2.4.5.5 Emplois Mens. Intér Eq'!P277</f>
        <v>21.147730615384607</v>
      </c>
      <c r="Q37" s="135"/>
      <c r="R37" s="341">
        <f>'2.4.5.5 Emplois Mens. Intér Eq'!R277</f>
        <v>97.553515569230768</v>
      </c>
      <c r="S37" s="137"/>
      <c r="T37" s="141">
        <f>'2.4.5.5 Emplois Mens. Intér Eq'!T277</f>
        <v>70.575060540659322</v>
      </c>
      <c r="U37" s="199">
        <f>'2.4.5.5 Emplois Mens. Intér Eq'!U277</f>
        <v>36.928457287912096</v>
      </c>
      <c r="V37" s="37"/>
      <c r="W37" s="37"/>
    </row>
    <row r="38" spans="1:23" x14ac:dyDescent="0.25">
      <c r="B38" s="163" t="s">
        <v>83</v>
      </c>
      <c r="C38" s="129">
        <v>10</v>
      </c>
      <c r="D38" s="130">
        <f>'2.4.5.5 Emplois Mens. Intér Eq'!D278</f>
        <v>131.46583846153845</v>
      </c>
      <c r="E38" s="131">
        <f>'2.4.5.5 Emplois Mens. Intér Eq'!E278</f>
        <v>154.7190642857143</v>
      </c>
      <c r="F38" s="132">
        <f>'2.4.5.5 Emplois Mens. Intér Eq'!F278</f>
        <v>123.77525142857142</v>
      </c>
      <c r="G38" s="133">
        <f>'2.4.5.5 Emplois Mens. Intér Eq'!G278</f>
        <v>30.943812857142845</v>
      </c>
      <c r="H38" s="134">
        <f>'2.4.5.5 Emplois Mens. Intér Eq'!H278</f>
        <v>106.25311978021976</v>
      </c>
      <c r="I38" s="135"/>
      <c r="J38" s="136">
        <f>'2.4.5.5 Emplois Mens. Intér Eq'!J278</f>
        <v>25.212718681318691</v>
      </c>
      <c r="K38" s="137"/>
      <c r="L38" s="138">
        <f>'2.4.5.5 Emplois Mens. Intér Eq'!L278</f>
        <v>14.060767252747247</v>
      </c>
      <c r="M38" s="137"/>
      <c r="N38" s="139">
        <f>'2.4.5.5 Emplois Mens. Intér Eq'!N278</f>
        <v>31.58289890109889</v>
      </c>
      <c r="O38" s="137"/>
      <c r="P38" s="140">
        <f>'2.4.5.5 Emplois Mens. Intér Eq'!P278</f>
        <v>16.883045604395598</v>
      </c>
      <c r="Q38" s="135"/>
      <c r="R38" s="341">
        <f>'2.4.5.5 Emplois Mens. Intér Eq'!R278</f>
        <v>92.192352527472522</v>
      </c>
      <c r="S38" s="137"/>
      <c r="T38" s="141">
        <f>'2.4.5.5 Emplois Mens. Intér Eq'!T278</f>
        <v>62.526711758241738</v>
      </c>
      <c r="U38" s="199">
        <f>'2.4.5.5 Emplois Mens. Intér Eq'!U278</f>
        <v>39.273485934065938</v>
      </c>
      <c r="V38" s="37"/>
      <c r="W38" s="37"/>
    </row>
    <row r="39" spans="1:23" x14ac:dyDescent="0.25">
      <c r="B39" s="163" t="s">
        <v>84</v>
      </c>
      <c r="C39" s="129">
        <v>11</v>
      </c>
      <c r="D39" s="130">
        <f>'2.4.5.5 Emplois Mens. Intér Eq'!D279</f>
        <v>103.63136558241757</v>
      </c>
      <c r="E39" s="131">
        <f>'2.4.5.5 Emplois Mens. Intér Eq'!E279</f>
        <v>221.964517978022</v>
      </c>
      <c r="F39" s="132">
        <f>'2.4.5.5 Emplois Mens. Intér Eq'!F279</f>
        <v>177.57161438241758</v>
      </c>
      <c r="G39" s="133">
        <f>'2.4.5.5 Emplois Mens. Intér Eq'!G279</f>
        <v>44.392903595604388</v>
      </c>
      <c r="H39" s="134">
        <f>'2.4.5.5 Emplois Mens. Intér Eq'!H279</f>
        <v>103.02564698901099</v>
      </c>
      <c r="I39" s="135"/>
      <c r="J39" s="136">
        <f>'2.4.5.5 Emplois Mens. Intér Eq'!J279</f>
        <v>0.60571859340659495</v>
      </c>
      <c r="K39" s="137"/>
      <c r="L39" s="138">
        <f>'2.4.5.5 Emplois Mens. Intér Eq'!L279</f>
        <v>2.9062104527472479</v>
      </c>
      <c r="M39" s="137"/>
      <c r="N39" s="139">
        <f>'2.4.5.5 Emplois Mens. Intér Eq'!N279</f>
        <v>77.452177846153845</v>
      </c>
      <c r="O39" s="137"/>
      <c r="P39" s="140">
        <f>'2.4.5.5 Emplois Mens. Intér Eq'!P279</f>
        <v>41.486693142857142</v>
      </c>
      <c r="Q39" s="135"/>
      <c r="R39" s="341">
        <f>'2.4.5.5 Emplois Mens. Intér Eq'!R279</f>
        <v>100.11943653626373</v>
      </c>
      <c r="S39" s="137"/>
      <c r="T39" s="141">
        <f>'2.4.5.5 Emplois Mens. Intér Eq'!T279</f>
        <v>121.84508144175824</v>
      </c>
      <c r="U39" s="199">
        <f>'2.4.5.5 Emplois Mens. Intér Eq'!U279</f>
        <v>3.5119290461538428</v>
      </c>
      <c r="V39" s="37"/>
      <c r="W39" s="37"/>
    </row>
    <row r="40" spans="1:23" ht="15.75" thickBot="1" x14ac:dyDescent="0.3">
      <c r="B40" s="164" t="s">
        <v>85</v>
      </c>
      <c r="C40" s="165">
        <v>12</v>
      </c>
      <c r="D40" s="202">
        <f>'2.4.5.5 Emplois Mens. Intér Eq'!D280</f>
        <v>70.622526857142844</v>
      </c>
      <c r="E40" s="203">
        <f>'2.4.5.5 Emplois Mens. Intér Eq'!E280</f>
        <v>282.44771802197801</v>
      </c>
      <c r="F40" s="204">
        <f>'2.4.5.5 Emplois Mens. Intér Eq'!F280</f>
        <v>225.9581744175824</v>
      </c>
      <c r="G40" s="205">
        <f>'2.4.5.5 Emplois Mens. Intér Eq'!G280</f>
        <v>56.489543604395571</v>
      </c>
      <c r="H40" s="206">
        <f>'2.4.5.5 Emplois Mens. Intér Eq'!H280</f>
        <v>70.622526857142844</v>
      </c>
      <c r="I40" s="207"/>
      <c r="J40" s="208">
        <f>'2.4.5.5 Emplois Mens. Intér Eq'!J280</f>
        <v>0</v>
      </c>
      <c r="K40" s="209"/>
      <c r="L40" s="210">
        <f>'2.4.5.5 Emplois Mens. Intér Eq'!L280</f>
        <v>0</v>
      </c>
      <c r="M40" s="209"/>
      <c r="N40" s="211">
        <f>'2.4.5.5 Emplois Mens. Intér Eq'!N280</f>
        <v>155.33564756043955</v>
      </c>
      <c r="O40" s="209"/>
      <c r="P40" s="212">
        <f>'2.4.5.5 Emplois Mens. Intér Eq'!P280</f>
        <v>56.489543604395571</v>
      </c>
      <c r="Q40" s="207"/>
      <c r="R40" s="359">
        <f>'2.4.5.5 Emplois Mens. Intér Eq'!R280</f>
        <v>70.622526857142844</v>
      </c>
      <c r="S40" s="209"/>
      <c r="T40" s="214">
        <f>'2.4.5.5 Emplois Mens. Intér Eq'!T280</f>
        <v>211.82519116483516</v>
      </c>
      <c r="U40" s="215">
        <f>'2.4.5.5 Emplois Mens. Intér Eq'!U280</f>
        <v>0</v>
      </c>
      <c r="V40" s="37"/>
      <c r="W40" s="37"/>
    </row>
    <row r="41" spans="1:23" ht="15.75" thickBot="1" x14ac:dyDescent="0.3">
      <c r="B41" s="342" t="s">
        <v>103</v>
      </c>
      <c r="C41" s="343"/>
      <c r="D41" s="344">
        <f>SUM(D29:D40)</f>
        <v>1580.1155306505495</v>
      </c>
      <c r="E41" s="345">
        <f>SUM(E29:E40)</f>
        <v>2110.9501093846152</v>
      </c>
      <c r="F41" s="346">
        <f>SUM(F29:F40)</f>
        <v>1688.7600875076921</v>
      </c>
      <c r="G41" s="347">
        <f>SUM(G29:G40)</f>
        <v>422.19002187692291</v>
      </c>
      <c r="H41" s="348">
        <f>SUM(H29:H40)</f>
        <v>1081.0838385890111</v>
      </c>
      <c r="I41" s="349"/>
      <c r="J41" s="350">
        <f>SUM(J29:J40)</f>
        <v>499.03169206153842</v>
      </c>
      <c r="K41" s="351"/>
      <c r="L41" s="352">
        <f>SUM(L29:L40)</f>
        <v>95.308059995604339</v>
      </c>
      <c r="M41" s="351"/>
      <c r="N41" s="353">
        <f>SUM(N29:N40)</f>
        <v>702.98430891428575</v>
      </c>
      <c r="O41" s="351"/>
      <c r="P41" s="354">
        <f>SUM(P29:P40)</f>
        <v>326.8819618813186</v>
      </c>
      <c r="Q41" s="349"/>
      <c r="R41" s="355">
        <f>SUM(R29:R40)</f>
        <v>985.77577859340647</v>
      </c>
      <c r="S41" s="351"/>
      <c r="T41" s="356">
        <f>SUM(T29:T40)</f>
        <v>1125.1743307912086</v>
      </c>
      <c r="U41" s="357">
        <f>SUM(U29:U40)</f>
        <v>594.33975205714273</v>
      </c>
      <c r="V41" s="37"/>
      <c r="W41" s="37"/>
    </row>
    <row r="43" spans="1:23" s="280" customFormat="1" x14ac:dyDescent="0.25">
      <c r="A43" s="302" t="s">
        <v>133</v>
      </c>
      <c r="B43" s="303"/>
      <c r="C43" s="304"/>
      <c r="D43" s="304"/>
      <c r="E43" s="304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</row>
    <row r="44" spans="1:23" ht="15.75" thickBot="1" x14ac:dyDescent="0.3"/>
    <row r="45" spans="1:23" ht="51.75" thickBot="1" x14ac:dyDescent="0.3">
      <c r="B45" s="216"/>
      <c r="C45" s="217"/>
      <c r="D45" s="279" t="s">
        <v>49</v>
      </c>
      <c r="E45" s="362" t="s">
        <v>46</v>
      </c>
      <c r="F45" s="365" t="s">
        <v>45</v>
      </c>
    </row>
    <row r="46" spans="1:23" x14ac:dyDescent="0.25">
      <c r="B46" s="163" t="s">
        <v>74</v>
      </c>
      <c r="C46" s="129">
        <v>1</v>
      </c>
      <c r="D46" s="360">
        <f>R29</f>
        <v>77.316125538461549</v>
      </c>
      <c r="E46" s="363">
        <f>L29</f>
        <v>0</v>
      </c>
      <c r="F46" s="366">
        <f>J29</f>
        <v>0</v>
      </c>
      <c r="H46" t="s">
        <v>134</v>
      </c>
    </row>
    <row r="47" spans="1:23" x14ac:dyDescent="0.25">
      <c r="B47" s="163" t="s">
        <v>75</v>
      </c>
      <c r="C47" s="129">
        <v>2</v>
      </c>
      <c r="D47" s="360">
        <f t="shared" ref="D47:D57" si="0">R30</f>
        <v>90.025599481318679</v>
      </c>
      <c r="E47" s="363">
        <f t="shared" ref="E47:E57" si="1">L30</f>
        <v>7.1029029362637299</v>
      </c>
      <c r="F47" s="366">
        <f t="shared" ref="F47:F57" si="2">J30</f>
        <v>3.70575415384616</v>
      </c>
    </row>
    <row r="48" spans="1:23" x14ac:dyDescent="0.25">
      <c r="B48" s="163" t="s">
        <v>76</v>
      </c>
      <c r="C48" s="129">
        <v>3</v>
      </c>
      <c r="D48" s="360">
        <f t="shared" si="0"/>
        <v>86.06630785054945</v>
      </c>
      <c r="E48" s="363">
        <f t="shared" si="1"/>
        <v>11.972124237362634</v>
      </c>
      <c r="F48" s="366">
        <f t="shared" si="2"/>
        <v>49.9677218901099</v>
      </c>
    </row>
    <row r="49" spans="2:16" x14ac:dyDescent="0.25">
      <c r="B49" s="163" t="s">
        <v>77</v>
      </c>
      <c r="C49" s="129">
        <v>4</v>
      </c>
      <c r="D49" s="360">
        <f t="shared" si="0"/>
        <v>77.09977614065933</v>
      </c>
      <c r="E49" s="363">
        <f t="shared" si="1"/>
        <v>16.709682145054938</v>
      </c>
      <c r="F49" s="366">
        <f t="shared" si="2"/>
        <v>118.05812228571428</v>
      </c>
    </row>
    <row r="50" spans="2:16" x14ac:dyDescent="0.25">
      <c r="B50" s="163" t="s">
        <v>78</v>
      </c>
      <c r="C50" s="129">
        <v>5</v>
      </c>
      <c r="D50" s="360">
        <f t="shared" si="0"/>
        <v>61.827247542857144</v>
      </c>
      <c r="E50" s="363">
        <f t="shared" si="1"/>
        <v>15.44880208351648</v>
      </c>
      <c r="F50" s="366">
        <f t="shared" si="2"/>
        <v>232.13057775824174</v>
      </c>
    </row>
    <row r="51" spans="2:16" x14ac:dyDescent="0.25">
      <c r="B51" s="163" t="s">
        <v>79</v>
      </c>
      <c r="C51" s="129">
        <v>6</v>
      </c>
      <c r="D51" s="360">
        <f t="shared" si="0"/>
        <v>85.677605802197803</v>
      </c>
      <c r="E51" s="363">
        <f t="shared" si="1"/>
        <v>11.386730769230766</v>
      </c>
      <c r="F51" s="366">
        <f t="shared" si="2"/>
        <v>44.180717142857134</v>
      </c>
    </row>
    <row r="52" spans="2:16" x14ac:dyDescent="0.25">
      <c r="B52" s="163" t="s">
        <v>80</v>
      </c>
      <c r="C52" s="129">
        <v>7</v>
      </c>
      <c r="D52" s="360">
        <f t="shared" si="0"/>
        <v>70.293677063736254</v>
      </c>
      <c r="E52" s="363">
        <f t="shared" si="1"/>
        <v>2.9083376571428543</v>
      </c>
      <c r="F52" s="366">
        <f t="shared" si="2"/>
        <v>0.71988887472527363</v>
      </c>
    </row>
    <row r="53" spans="2:16" x14ac:dyDescent="0.25">
      <c r="B53" s="163" t="s">
        <v>81</v>
      </c>
      <c r="C53" s="129">
        <v>8</v>
      </c>
      <c r="D53" s="360">
        <f t="shared" si="0"/>
        <v>76.981607683516486</v>
      </c>
      <c r="E53" s="363">
        <f t="shared" si="1"/>
        <v>0.33451785494505515</v>
      </c>
      <c r="F53" s="366">
        <f t="shared" si="2"/>
        <v>0</v>
      </c>
    </row>
    <row r="54" spans="2:16" x14ac:dyDescent="0.25">
      <c r="B54" s="163" t="s">
        <v>82</v>
      </c>
      <c r="C54" s="129">
        <v>9</v>
      </c>
      <c r="D54" s="360">
        <f t="shared" si="0"/>
        <v>97.553515569230768</v>
      </c>
      <c r="E54" s="363">
        <f t="shared" si="1"/>
        <v>12.477984606593401</v>
      </c>
      <c r="F54" s="366">
        <f t="shared" si="2"/>
        <v>24.450472681318693</v>
      </c>
    </row>
    <row r="55" spans="2:16" x14ac:dyDescent="0.25">
      <c r="B55" s="163" t="s">
        <v>83</v>
      </c>
      <c r="C55" s="129">
        <v>10</v>
      </c>
      <c r="D55" s="360">
        <f t="shared" si="0"/>
        <v>92.192352527472522</v>
      </c>
      <c r="E55" s="363">
        <f t="shared" si="1"/>
        <v>14.060767252747247</v>
      </c>
      <c r="F55" s="366">
        <f t="shared" si="2"/>
        <v>25.212718681318691</v>
      </c>
    </row>
    <row r="56" spans="2:16" x14ac:dyDescent="0.25">
      <c r="B56" s="163" t="s">
        <v>84</v>
      </c>
      <c r="C56" s="129">
        <v>11</v>
      </c>
      <c r="D56" s="360">
        <f t="shared" si="0"/>
        <v>100.11943653626373</v>
      </c>
      <c r="E56" s="363">
        <f t="shared" si="1"/>
        <v>2.9062104527472479</v>
      </c>
      <c r="F56" s="366">
        <f t="shared" si="2"/>
        <v>0.60571859340659495</v>
      </c>
    </row>
    <row r="57" spans="2:16" ht="15.75" thickBot="1" x14ac:dyDescent="0.3">
      <c r="B57" s="163" t="s">
        <v>85</v>
      </c>
      <c r="C57" s="129">
        <v>12</v>
      </c>
      <c r="D57" s="360">
        <f t="shared" si="0"/>
        <v>70.622526857142844</v>
      </c>
      <c r="E57" s="363">
        <f t="shared" si="1"/>
        <v>0</v>
      </c>
      <c r="F57" s="366">
        <f t="shared" si="2"/>
        <v>0</v>
      </c>
    </row>
    <row r="58" spans="2:16" ht="15.75" thickBot="1" x14ac:dyDescent="0.3">
      <c r="B58" s="342" t="s">
        <v>103</v>
      </c>
      <c r="C58" s="343"/>
      <c r="D58" s="361">
        <f>SUM(D46:D57)</f>
        <v>985.77577859340647</v>
      </c>
      <c r="E58" s="364">
        <f>SUM(E46:E57)</f>
        <v>95.308059995604339</v>
      </c>
      <c r="F58" s="367">
        <f>SUM(F46:F57)</f>
        <v>499.03169206153842</v>
      </c>
    </row>
    <row r="60" spans="2:16" x14ac:dyDescent="0.25">
      <c r="B60" t="s">
        <v>136</v>
      </c>
      <c r="F60">
        <v>40</v>
      </c>
      <c r="G60" t="s">
        <v>137</v>
      </c>
    </row>
    <row r="61" spans="2:16" x14ac:dyDescent="0.25">
      <c r="B61" t="s">
        <v>142</v>
      </c>
      <c r="F61" s="368">
        <v>14.5</v>
      </c>
      <c r="G61" t="s">
        <v>141</v>
      </c>
    </row>
    <row r="62" spans="2:16" x14ac:dyDescent="0.25">
      <c r="B62" t="s">
        <v>143</v>
      </c>
      <c r="F62" s="370">
        <v>1.5</v>
      </c>
    </row>
    <row r="63" spans="2:16" x14ac:dyDescent="0.25">
      <c r="B63" t="s">
        <v>145</v>
      </c>
      <c r="F63" s="370">
        <v>1.35</v>
      </c>
      <c r="L63" t="s">
        <v>150</v>
      </c>
      <c r="P63" t="s">
        <v>156</v>
      </c>
    </row>
    <row r="64" spans="2:16" x14ac:dyDescent="0.25">
      <c r="F64" s="370"/>
    </row>
    <row r="65" spans="1:18" x14ac:dyDescent="0.25">
      <c r="A65" s="374"/>
      <c r="B65" t="s">
        <v>148</v>
      </c>
      <c r="F65" s="75">
        <f>'2.4.5.2 Durée de missions'!R281</f>
        <v>2491.822107</v>
      </c>
      <c r="G65" t="s">
        <v>63</v>
      </c>
    </row>
    <row r="66" spans="1:18" x14ac:dyDescent="0.25">
      <c r="B66" s="1" t="s">
        <v>139</v>
      </c>
      <c r="C66" s="1"/>
      <c r="D66" s="1"/>
      <c r="E66" s="1"/>
      <c r="F66" s="372">
        <f>F65*F60</f>
        <v>99672.884279999998</v>
      </c>
      <c r="G66" s="1" t="s">
        <v>135</v>
      </c>
      <c r="L66" s="278">
        <v>0.2</v>
      </c>
    </row>
    <row r="67" spans="1:18" x14ac:dyDescent="0.25">
      <c r="B67" s="1" t="s">
        <v>144</v>
      </c>
      <c r="C67" s="1"/>
      <c r="D67" s="1"/>
      <c r="F67" s="369">
        <f>F66*F61*F62</f>
        <v>2167885.2330899998</v>
      </c>
      <c r="L67" s="369">
        <f>F67*L66</f>
        <v>433577.04661799996</v>
      </c>
      <c r="P67" s="368"/>
    </row>
    <row r="68" spans="1:18" x14ac:dyDescent="0.25">
      <c r="B68" s="1" t="s">
        <v>146</v>
      </c>
      <c r="C68" s="1"/>
      <c r="D68" s="1"/>
      <c r="E68" s="1"/>
      <c r="F68" s="369">
        <f>F66*F61*F63</f>
        <v>1951096.7097809999</v>
      </c>
      <c r="L68" s="369">
        <f>F68*L66</f>
        <v>390219.34195620002</v>
      </c>
      <c r="P68" s="75">
        <f>'2.4.5.3 Emplois ETP  base a'!R281*L66</f>
        <v>9.5839311807692322</v>
      </c>
      <c r="R68" t="s">
        <v>154</v>
      </c>
    </row>
    <row r="70" spans="1:18" x14ac:dyDescent="0.25">
      <c r="B70" s="1" t="s">
        <v>168</v>
      </c>
      <c r="C70" s="1"/>
      <c r="D70" s="1"/>
      <c r="E70" s="1"/>
      <c r="F70" s="369">
        <f>F67-F68</f>
        <v>216788.52330899984</v>
      </c>
      <c r="L70" s="368">
        <f>L67-L68</f>
        <v>43357.704661799944</v>
      </c>
    </row>
    <row r="71" spans="1:18" x14ac:dyDescent="0.25">
      <c r="B71" s="1"/>
      <c r="C71" s="1"/>
      <c r="D71" s="1"/>
      <c r="E71" s="1"/>
      <c r="F71" s="369"/>
    </row>
    <row r="72" spans="1:18" x14ac:dyDescent="0.25">
      <c r="A72" s="371"/>
      <c r="B72" t="s">
        <v>140</v>
      </c>
      <c r="F72" s="75">
        <f>'2.4.5.2 Durée de missions'!L281</f>
        <v>240.91759609999997</v>
      </c>
      <c r="G72" t="s">
        <v>63</v>
      </c>
      <c r="P72" s="280"/>
    </row>
    <row r="73" spans="1:18" x14ac:dyDescent="0.25">
      <c r="B73" s="1" t="s">
        <v>139</v>
      </c>
      <c r="C73" s="1"/>
      <c r="D73" s="1"/>
      <c r="E73" s="1"/>
      <c r="F73" s="372">
        <f>F72*F60</f>
        <v>9636.7038439999997</v>
      </c>
      <c r="G73" s="1" t="s">
        <v>135</v>
      </c>
      <c r="L73" s="278">
        <v>0.76</v>
      </c>
      <c r="P73" s="375">
        <f>L73*E58</f>
        <v>72.4341255966593</v>
      </c>
      <c r="R73" t="s">
        <v>152</v>
      </c>
    </row>
    <row r="74" spans="1:18" x14ac:dyDescent="0.25">
      <c r="B74" s="1" t="s">
        <v>144</v>
      </c>
      <c r="C74" s="1"/>
      <c r="D74" s="1"/>
      <c r="F74" s="369">
        <f>F73*F61*F62</f>
        <v>209598.30860699998</v>
      </c>
      <c r="L74" s="369">
        <f>F74*L73</f>
        <v>159294.71454131999</v>
      </c>
      <c r="P74" s="375">
        <f>'2.4.5.4 Emplois ETP  base m'!L281*L73</f>
        <v>42.253239931384591</v>
      </c>
      <c r="R74" t="s">
        <v>153</v>
      </c>
    </row>
    <row r="75" spans="1:18" x14ac:dyDescent="0.25">
      <c r="B75" s="1" t="s">
        <v>146</v>
      </c>
      <c r="C75" s="1"/>
      <c r="D75" s="1"/>
      <c r="E75" s="1"/>
      <c r="F75" s="369">
        <f>F73*F61*F63</f>
        <v>188638.47774629999</v>
      </c>
      <c r="L75" s="369">
        <f>F75*L73</f>
        <v>143365.24308718799</v>
      </c>
      <c r="P75" s="375">
        <f>'2.4.5.3 Emplois ETP  base a'!L281*L73</f>
        <v>3.5211033276153834</v>
      </c>
      <c r="R75" t="s">
        <v>154</v>
      </c>
    </row>
    <row r="76" spans="1:18" x14ac:dyDescent="0.25">
      <c r="P76" s="280"/>
    </row>
    <row r="77" spans="1:18" x14ac:dyDescent="0.25">
      <c r="B77" s="1" t="s">
        <v>168</v>
      </c>
      <c r="C77" s="1"/>
      <c r="D77" s="1"/>
      <c r="E77" s="1"/>
      <c r="F77" s="369">
        <f>F74-F75</f>
        <v>20959.830860699993</v>
      </c>
      <c r="L77" s="368">
        <f>L74-L75</f>
        <v>15929.471454131999</v>
      </c>
      <c r="P77" s="280"/>
    </row>
    <row r="78" spans="1:18" x14ac:dyDescent="0.25">
      <c r="P78" s="280"/>
    </row>
    <row r="79" spans="1:18" x14ac:dyDescent="0.25">
      <c r="A79" s="373"/>
      <c r="B79" t="s">
        <v>149</v>
      </c>
      <c r="F79" s="75">
        <f>'2.4.5.2 Durée de missions'!J281</f>
        <v>1261.4412216000001</v>
      </c>
      <c r="G79" t="s">
        <v>63</v>
      </c>
      <c r="P79" s="280"/>
    </row>
    <row r="80" spans="1:18" x14ac:dyDescent="0.25">
      <c r="B80" s="1" t="s">
        <v>139</v>
      </c>
      <c r="C80" s="1"/>
      <c r="D80" s="1"/>
      <c r="E80" s="1"/>
      <c r="F80" s="372">
        <f>F79*F60</f>
        <v>50457.648864000003</v>
      </c>
      <c r="G80" s="1" t="s">
        <v>135</v>
      </c>
      <c r="L80" s="278">
        <v>0.25</v>
      </c>
      <c r="P80" s="375">
        <f>F58*L80</f>
        <v>124.75792301538461</v>
      </c>
      <c r="R80" t="s">
        <v>118</v>
      </c>
    </row>
    <row r="81" spans="1:18" x14ac:dyDescent="0.25">
      <c r="B81" s="1" t="s">
        <v>144</v>
      </c>
      <c r="C81" s="1"/>
      <c r="D81" s="1"/>
      <c r="F81" s="369">
        <f>F80*F61*F62</f>
        <v>1097453.8627919999</v>
      </c>
      <c r="L81" s="369">
        <f>F81*L80</f>
        <v>274363.46569799999</v>
      </c>
      <c r="P81" s="375">
        <f>'2.4.5.4 Emplois ETP  base m'!J281*L80</f>
        <v>72.775455092307709</v>
      </c>
      <c r="R81" t="s">
        <v>153</v>
      </c>
    </row>
    <row r="82" spans="1:18" x14ac:dyDescent="0.25">
      <c r="B82" s="1" t="s">
        <v>146</v>
      </c>
      <c r="C82" s="1"/>
      <c r="D82" s="1"/>
      <c r="E82" s="1"/>
      <c r="F82" s="369">
        <f>F80*F61*F63</f>
        <v>987708.47651280009</v>
      </c>
      <c r="L82" s="369">
        <f>F82*L80</f>
        <v>246927.11912820002</v>
      </c>
      <c r="P82" s="375">
        <f>'2.4.5.3 Emplois ETP  base a'!J281*L80</f>
        <v>6.0646212576923073</v>
      </c>
      <c r="R82" t="s">
        <v>154</v>
      </c>
    </row>
    <row r="84" spans="1:18" x14ac:dyDescent="0.25">
      <c r="B84" s="1" t="s">
        <v>168</v>
      </c>
      <c r="C84" s="1"/>
      <c r="D84" s="1"/>
      <c r="E84" s="1"/>
      <c r="F84" s="369">
        <f>F81-F82</f>
        <v>109745.38627919985</v>
      </c>
      <c r="L84" s="368">
        <f>L81-L82</f>
        <v>27436.346569799964</v>
      </c>
    </row>
    <row r="86" spans="1:18" x14ac:dyDescent="0.25">
      <c r="B86" s="388">
        <v>846.51</v>
      </c>
    </row>
    <row r="88" spans="1:18" x14ac:dyDescent="0.25">
      <c r="L88" s="368">
        <f>L77+L84-L70</f>
        <v>8.1133621320186649</v>
      </c>
      <c r="P88" s="75"/>
    </row>
    <row r="89" spans="1:18" s="280" customFormat="1" x14ac:dyDescent="0.25">
      <c r="A89" s="302"/>
      <c r="B89" s="303"/>
      <c r="C89" s="304"/>
      <c r="D89" s="304"/>
      <c r="E89" s="304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</row>
    <row r="91" spans="1:18" x14ac:dyDescent="0.25">
      <c r="A91" t="s">
        <v>157</v>
      </c>
      <c r="D91">
        <v>70</v>
      </c>
      <c r="F91">
        <v>7000</v>
      </c>
    </row>
    <row r="92" spans="1:18" x14ac:dyDescent="0.25">
      <c r="A92" t="s">
        <v>166</v>
      </c>
    </row>
    <row r="93" spans="1:18" x14ac:dyDescent="0.25">
      <c r="A93" s="280" t="s">
        <v>162</v>
      </c>
      <c r="D93" s="75">
        <f>'2.4.5.3 Emplois ETP  base a'!E281</f>
        <v>102.6156303173077</v>
      </c>
      <c r="E93" s="384" t="s">
        <v>158</v>
      </c>
      <c r="F93" s="383">
        <f>D93*F91/D91</f>
        <v>10261.563031730771</v>
      </c>
      <c r="G93" t="s">
        <v>159</v>
      </c>
    </row>
    <row r="94" spans="1:18" x14ac:dyDescent="0.25">
      <c r="A94" s="280" t="s">
        <v>160</v>
      </c>
      <c r="B94" s="280"/>
      <c r="C94" s="280"/>
      <c r="D94" s="375">
        <f>'2.4.5.3 Emplois ETP  base a'!R281</f>
        <v>47.919655903846156</v>
      </c>
      <c r="E94" s="386" t="s">
        <v>158</v>
      </c>
      <c r="F94" s="387">
        <f>D94*F91/D91</f>
        <v>4791.965590384616</v>
      </c>
      <c r="G94" s="280" t="s">
        <v>159</v>
      </c>
    </row>
    <row r="95" spans="1:18" x14ac:dyDescent="0.25">
      <c r="A95" s="1" t="s">
        <v>161</v>
      </c>
      <c r="B95" s="1"/>
      <c r="C95" s="1"/>
      <c r="D95" s="372">
        <f>P75+P82</f>
        <v>9.5857245853076911</v>
      </c>
      <c r="E95" s="384" t="s">
        <v>158</v>
      </c>
      <c r="F95" s="387">
        <f>D95*F91/D91</f>
        <v>958.57245853076915</v>
      </c>
      <c r="G95" s="280" t="s">
        <v>159</v>
      </c>
    </row>
    <row r="97" spans="1:18" s="280" customFormat="1" x14ac:dyDescent="0.25">
      <c r="A97" s="302" t="s">
        <v>151</v>
      </c>
      <c r="B97" s="303"/>
      <c r="C97" s="304"/>
      <c r="D97" s="304"/>
      <c r="E97" s="304"/>
      <c r="F97" s="303"/>
      <c r="G97" s="303"/>
      <c r="H97" s="303"/>
      <c r="I97" s="303"/>
      <c r="J97" s="303"/>
      <c r="K97" s="303"/>
      <c r="L97" s="303"/>
      <c r="M97" s="303"/>
      <c r="N97" s="303"/>
      <c r="O97" s="303"/>
      <c r="P97" s="303"/>
      <c r="Q97" s="303"/>
      <c r="R97" s="303"/>
    </row>
    <row r="98" spans="1:18" ht="15.75" thickBot="1" x14ac:dyDescent="0.3"/>
    <row r="99" spans="1:18" ht="39" thickBot="1" x14ac:dyDescent="0.3">
      <c r="B99" s="216"/>
      <c r="C99" s="217"/>
      <c r="D99" s="279" t="s">
        <v>49</v>
      </c>
      <c r="E99" s="380" t="s">
        <v>47</v>
      </c>
    </row>
    <row r="100" spans="1:18" x14ac:dyDescent="0.25">
      <c r="B100" s="163" t="s">
        <v>74</v>
      </c>
      <c r="C100" s="129">
        <v>1</v>
      </c>
      <c r="D100" s="376">
        <f>R29</f>
        <v>77.316125538461549</v>
      </c>
      <c r="E100" s="377">
        <f>N29</f>
        <v>170.23437731868131</v>
      </c>
    </row>
    <row r="101" spans="1:18" x14ac:dyDescent="0.25">
      <c r="B101" s="163" t="s">
        <v>75</v>
      </c>
      <c r="C101" s="129">
        <v>2</v>
      </c>
      <c r="D101" s="376">
        <f t="shared" ref="D101:D111" si="3">R30</f>
        <v>90.025599481318679</v>
      </c>
      <c r="E101" s="378">
        <f t="shared" ref="E101:E111" si="4">N30</f>
        <v>60.650995648351632</v>
      </c>
    </row>
    <row r="102" spans="1:18" x14ac:dyDescent="0.25">
      <c r="B102" s="163" t="s">
        <v>76</v>
      </c>
      <c r="C102" s="129">
        <v>3</v>
      </c>
      <c r="D102" s="376">
        <f t="shared" si="3"/>
        <v>86.06630785054945</v>
      </c>
      <c r="E102" s="378">
        <f t="shared" si="4"/>
        <v>14.526122637362636</v>
      </c>
    </row>
    <row r="103" spans="1:18" x14ac:dyDescent="0.25">
      <c r="B103" s="163" t="s">
        <v>77</v>
      </c>
      <c r="C103" s="129">
        <v>4</v>
      </c>
      <c r="D103" s="376">
        <f t="shared" si="3"/>
        <v>77.09977614065933</v>
      </c>
      <c r="E103" s="378">
        <f t="shared" si="4"/>
        <v>2.0417934065934076</v>
      </c>
    </row>
    <row r="104" spans="1:18" x14ac:dyDescent="0.25">
      <c r="B104" s="163" t="s">
        <v>78</v>
      </c>
      <c r="C104" s="129">
        <v>5</v>
      </c>
      <c r="D104" s="376">
        <f t="shared" si="3"/>
        <v>61.827247542857144</v>
      </c>
      <c r="E104" s="378">
        <f t="shared" si="4"/>
        <v>0</v>
      </c>
    </row>
    <row r="105" spans="1:18" x14ac:dyDescent="0.25">
      <c r="B105" s="163" t="s">
        <v>79</v>
      </c>
      <c r="C105" s="129">
        <v>6</v>
      </c>
      <c r="D105" s="376">
        <f t="shared" si="3"/>
        <v>85.677605802197803</v>
      </c>
      <c r="E105" s="378">
        <f t="shared" si="4"/>
        <v>16.05978118681319</v>
      </c>
    </row>
    <row r="106" spans="1:18" x14ac:dyDescent="0.25">
      <c r="B106" s="163" t="s">
        <v>80</v>
      </c>
      <c r="C106" s="129">
        <v>7</v>
      </c>
      <c r="D106" s="376">
        <f t="shared" si="3"/>
        <v>70.293677063736254</v>
      </c>
      <c r="E106" s="378">
        <f t="shared" si="4"/>
        <v>48.126754602197799</v>
      </c>
    </row>
    <row r="107" spans="1:18" x14ac:dyDescent="0.25">
      <c r="B107" s="163" t="s">
        <v>81</v>
      </c>
      <c r="C107" s="129">
        <v>8</v>
      </c>
      <c r="D107" s="376">
        <f t="shared" si="3"/>
        <v>76.981607683516486</v>
      </c>
      <c r="E107" s="378">
        <f t="shared" si="4"/>
        <v>90.024414487912111</v>
      </c>
    </row>
    <row r="108" spans="1:18" x14ac:dyDescent="0.25">
      <c r="B108" s="163" t="s">
        <v>82</v>
      </c>
      <c r="C108" s="129">
        <v>9</v>
      </c>
      <c r="D108" s="376">
        <f t="shared" si="3"/>
        <v>97.553515569230768</v>
      </c>
      <c r="E108" s="378">
        <f t="shared" si="4"/>
        <v>36.949345318681317</v>
      </c>
    </row>
    <row r="109" spans="1:18" x14ac:dyDescent="0.25">
      <c r="B109" s="163" t="s">
        <v>83</v>
      </c>
      <c r="C109" s="129">
        <v>10</v>
      </c>
      <c r="D109" s="376">
        <f t="shared" si="3"/>
        <v>92.192352527472522</v>
      </c>
      <c r="E109" s="378">
        <f t="shared" si="4"/>
        <v>31.58289890109889</v>
      </c>
    </row>
    <row r="110" spans="1:18" x14ac:dyDescent="0.25">
      <c r="B110" s="163" t="s">
        <v>84</v>
      </c>
      <c r="C110" s="129">
        <v>11</v>
      </c>
      <c r="D110" s="376">
        <f t="shared" si="3"/>
        <v>100.11943653626373</v>
      </c>
      <c r="E110" s="378">
        <f t="shared" si="4"/>
        <v>77.452177846153845</v>
      </c>
    </row>
    <row r="111" spans="1:18" ht="15.75" thickBot="1" x14ac:dyDescent="0.3">
      <c r="B111" s="163" t="s">
        <v>85</v>
      </c>
      <c r="C111" s="129">
        <v>12</v>
      </c>
      <c r="D111" s="376">
        <f t="shared" si="3"/>
        <v>70.622526857142844</v>
      </c>
      <c r="E111" s="379">
        <f t="shared" si="4"/>
        <v>155.33564756043955</v>
      </c>
    </row>
    <row r="112" spans="1:18" ht="15.75" thickBot="1" x14ac:dyDescent="0.3">
      <c r="B112" s="342" t="s">
        <v>103</v>
      </c>
      <c r="C112" s="343"/>
      <c r="D112" s="361">
        <f>SUM(D100:D111)</f>
        <v>985.77577859340647</v>
      </c>
      <c r="E112" s="381">
        <f>SUM(E100:E111)</f>
        <v>702.98430891428575</v>
      </c>
    </row>
    <row r="114" spans="1:18" x14ac:dyDescent="0.25">
      <c r="B114" t="s">
        <v>136</v>
      </c>
      <c r="F114">
        <v>40</v>
      </c>
      <c r="G114" t="s">
        <v>137</v>
      </c>
    </row>
    <row r="115" spans="1:18" x14ac:dyDescent="0.25">
      <c r="B115" t="s">
        <v>142</v>
      </c>
      <c r="F115" s="368">
        <v>14.5</v>
      </c>
      <c r="G115" t="s">
        <v>141</v>
      </c>
    </row>
    <row r="116" spans="1:18" x14ac:dyDescent="0.25">
      <c r="B116" t="s">
        <v>143</v>
      </c>
      <c r="F116" s="370">
        <v>1.5</v>
      </c>
    </row>
    <row r="117" spans="1:18" x14ac:dyDescent="0.25">
      <c r="B117" t="s">
        <v>145</v>
      </c>
      <c r="F117" s="370">
        <v>1.35</v>
      </c>
      <c r="L117" t="s">
        <v>150</v>
      </c>
    </row>
    <row r="118" spans="1:18" x14ac:dyDescent="0.25">
      <c r="F118" s="370"/>
    </row>
    <row r="119" spans="1:18" x14ac:dyDescent="0.25">
      <c r="A119" s="374"/>
      <c r="B119" t="s">
        <v>148</v>
      </c>
      <c r="F119" s="75">
        <f>'2.4.5.2 Durée de missions'!R281</f>
        <v>2491.822107</v>
      </c>
      <c r="G119" t="s">
        <v>63</v>
      </c>
    </row>
    <row r="120" spans="1:18" x14ac:dyDescent="0.25">
      <c r="B120" s="1" t="s">
        <v>139</v>
      </c>
      <c r="C120" s="1"/>
      <c r="D120" s="1"/>
      <c r="E120" s="1"/>
      <c r="F120" s="372">
        <f>F119*F114</f>
        <v>99672.884279999998</v>
      </c>
      <c r="G120" s="1" t="s">
        <v>135</v>
      </c>
      <c r="L120" s="278">
        <v>0.1</v>
      </c>
    </row>
    <row r="121" spans="1:18" x14ac:dyDescent="0.25">
      <c r="B121" s="1" t="s">
        <v>144</v>
      </c>
      <c r="C121" s="1"/>
      <c r="D121" s="1"/>
      <c r="F121" s="369">
        <f>F120*F115*F116</f>
        <v>2167885.2330899998</v>
      </c>
      <c r="L121" s="369">
        <f>F121*L120</f>
        <v>216788.52330899998</v>
      </c>
      <c r="P121" s="368"/>
    </row>
    <row r="122" spans="1:18" x14ac:dyDescent="0.25">
      <c r="B122" s="1" t="s">
        <v>146</v>
      </c>
      <c r="C122" s="1"/>
      <c r="D122" s="1"/>
      <c r="E122" s="1"/>
      <c r="F122" s="369">
        <f>F120*F115*F117</f>
        <v>1951096.7097809999</v>
      </c>
      <c r="L122" s="369">
        <f>F122*L120</f>
        <v>195109.67097810001</v>
      </c>
    </row>
    <row r="124" spans="1:18" x14ac:dyDescent="0.25">
      <c r="B124" s="1" t="s">
        <v>147</v>
      </c>
      <c r="C124" s="1"/>
      <c r="D124" s="1"/>
      <c r="E124" s="1"/>
      <c r="F124" s="369">
        <f>F121-F122</f>
        <v>216788.52330899984</v>
      </c>
      <c r="L124" s="368">
        <f>L121-L122</f>
        <v>21678.852330899972</v>
      </c>
    </row>
    <row r="125" spans="1:18" x14ac:dyDescent="0.25">
      <c r="B125" s="1"/>
      <c r="C125" s="1"/>
      <c r="D125" s="1"/>
      <c r="E125" s="1"/>
      <c r="F125" s="369"/>
    </row>
    <row r="126" spans="1:18" x14ac:dyDescent="0.25">
      <c r="A126" s="382"/>
      <c r="B126" t="s">
        <v>155</v>
      </c>
      <c r="F126" s="75">
        <f>'2.4.5.2 Durée de missions'!N281</f>
        <v>1776.9881141999999</v>
      </c>
      <c r="G126" t="s">
        <v>63</v>
      </c>
      <c r="P126" s="280"/>
    </row>
    <row r="127" spans="1:18" x14ac:dyDescent="0.25">
      <c r="B127" s="1" t="s">
        <v>139</v>
      </c>
      <c r="C127" s="1"/>
      <c r="D127" s="1"/>
      <c r="E127" s="1"/>
      <c r="F127" s="372">
        <f>F126*F114</f>
        <v>71079.524567999993</v>
      </c>
      <c r="G127" s="1" t="s">
        <v>135</v>
      </c>
      <c r="L127" s="278">
        <v>0.15</v>
      </c>
      <c r="P127" s="375">
        <f>L127*E112</f>
        <v>105.44764633714286</v>
      </c>
      <c r="R127" t="s">
        <v>152</v>
      </c>
    </row>
    <row r="128" spans="1:18" x14ac:dyDescent="0.25">
      <c r="B128" s="1" t="s">
        <v>144</v>
      </c>
      <c r="C128" s="1"/>
      <c r="D128" s="1"/>
      <c r="F128" s="369">
        <f>F127*F115*F116</f>
        <v>1545979.6593539999</v>
      </c>
      <c r="L128" s="369">
        <f>F128*L127</f>
        <v>231896.94890309998</v>
      </c>
      <c r="P128" s="375">
        <f>'2.4.5.4 Emplois ETP  base m'!N281*L127</f>
        <v>61.511127029999997</v>
      </c>
      <c r="R128" t="s">
        <v>153</v>
      </c>
    </row>
    <row r="129" spans="1:18" x14ac:dyDescent="0.25">
      <c r="B129" s="1" t="s">
        <v>146</v>
      </c>
      <c r="C129" s="1"/>
      <c r="D129" s="1"/>
      <c r="E129" s="1"/>
      <c r="F129" s="369">
        <f>F127*F115*F117</f>
        <v>1391381.6934185999</v>
      </c>
      <c r="L129" s="369">
        <f>F129*L127</f>
        <v>208707.25401278998</v>
      </c>
      <c r="P129" s="375">
        <f>'2.4.5.3 Emplois ETP  base a'!N281*L127</f>
        <v>5.1259272525000004</v>
      </c>
      <c r="R129" t="s">
        <v>154</v>
      </c>
    </row>
    <row r="130" spans="1:18" x14ac:dyDescent="0.25">
      <c r="P130" s="280"/>
    </row>
    <row r="131" spans="1:18" x14ac:dyDescent="0.25">
      <c r="B131" s="1" t="s">
        <v>147</v>
      </c>
      <c r="C131" s="1"/>
      <c r="D131" s="1"/>
      <c r="E131" s="1"/>
      <c r="F131" s="369">
        <f>F128-F129</f>
        <v>154597.96593539999</v>
      </c>
      <c r="L131" s="368">
        <f>L128-L129</f>
        <v>23189.694890309998</v>
      </c>
      <c r="P131" s="280"/>
    </row>
    <row r="134" spans="1:18" x14ac:dyDescent="0.25">
      <c r="L134" s="368">
        <f>L131-L124</f>
        <v>1510.8425594100263</v>
      </c>
      <c r="P134" s="75"/>
    </row>
    <row r="135" spans="1:18" x14ac:dyDescent="0.25">
      <c r="P135" s="75"/>
    </row>
    <row r="138" spans="1:18" x14ac:dyDescent="0.25">
      <c r="A138" s="1"/>
      <c r="B138" s="1"/>
      <c r="C138" s="1"/>
      <c r="D138" s="372"/>
      <c r="E138" s="384"/>
      <c r="F138" s="385"/>
      <c r="G138" s="1"/>
    </row>
    <row r="144" spans="1:18" x14ac:dyDescent="0.25">
      <c r="A144" t="s">
        <v>163</v>
      </c>
      <c r="D144" s="75">
        <f>D93/D94</f>
        <v>2.1414099993374851</v>
      </c>
    </row>
    <row r="145" spans="1:7" x14ac:dyDescent="0.25">
      <c r="A145" s="1" t="s">
        <v>164</v>
      </c>
      <c r="B145" s="1"/>
      <c r="C145" s="1"/>
      <c r="D145" s="372">
        <f>D95*D144</f>
        <v>20.526966477873057</v>
      </c>
      <c r="E145" s="384" t="s">
        <v>158</v>
      </c>
      <c r="F145" s="385">
        <f>D145*F91/D91</f>
        <v>2052.6966477873057</v>
      </c>
      <c r="G145" s="1" t="s">
        <v>165</v>
      </c>
    </row>
    <row r="148" spans="1:7" x14ac:dyDescent="0.25">
      <c r="A148" s="1" t="s">
        <v>167</v>
      </c>
      <c r="B148" s="1"/>
      <c r="C148" s="1"/>
      <c r="D148" s="372">
        <f>D93+D145</f>
        <v>123.14259679518076</v>
      </c>
      <c r="E148" s="384" t="s">
        <v>158</v>
      </c>
      <c r="F148" s="385">
        <f>D148*F91/D91</f>
        <v>12314.259679518076</v>
      </c>
      <c r="G148" s="1" t="s">
        <v>159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>
      <selection activeCell="I9" sqref="I9"/>
    </sheetView>
  </sheetViews>
  <sheetFormatPr baseColWidth="10" defaultRowHeight="15" x14ac:dyDescent="0.25"/>
  <cols>
    <col min="2" max="2" width="13.28515625" bestFit="1" customWidth="1"/>
    <col min="3" max="3" width="12.85546875" bestFit="1" customWidth="1"/>
    <col min="4" max="5" width="13.28515625" bestFit="1" customWidth="1"/>
    <col min="8" max="8" width="12.85546875" bestFit="1" customWidth="1"/>
  </cols>
  <sheetData>
    <row r="1" spans="1:9" ht="15.75" thickBot="1" x14ac:dyDescent="0.3"/>
    <row r="2" spans="1:9" ht="51.75" thickBot="1" x14ac:dyDescent="0.3">
      <c r="B2" s="396" t="s">
        <v>45</v>
      </c>
      <c r="C2" s="397" t="s">
        <v>46</v>
      </c>
      <c r="D2" s="398" t="s">
        <v>49</v>
      </c>
    </row>
    <row r="3" spans="1:9" x14ac:dyDescent="0.25">
      <c r="A3" t="s">
        <v>169</v>
      </c>
      <c r="B3" s="399">
        <f>'2.4.5.3 Emplois ETP  base a'!J281</f>
        <v>24.258485030769229</v>
      </c>
      <c r="C3" s="400">
        <f>'2.4.5.3 Emplois ETP  base a'!L281</f>
        <v>4.6330306942307677</v>
      </c>
      <c r="D3" s="401">
        <f>'2.4.5.3 Emplois ETP  base a'!R281</f>
        <v>47.919655903846156</v>
      </c>
    </row>
    <row r="4" spans="1:9" x14ac:dyDescent="0.25">
      <c r="A4" t="s">
        <v>170</v>
      </c>
      <c r="B4" s="402">
        <f>'2.4.5.2 Durée de missions'!J281</f>
        <v>1261.4412216000001</v>
      </c>
      <c r="C4" s="403">
        <f>'2.4.5.2 Durée de missions'!L281</f>
        <v>240.91759609999997</v>
      </c>
      <c r="D4" s="404">
        <f>'2.4.5.2 Durée de missions'!R281</f>
        <v>2491.822107</v>
      </c>
      <c r="H4" t="s">
        <v>171</v>
      </c>
    </row>
    <row r="5" spans="1:9" x14ac:dyDescent="0.25">
      <c r="A5" t="s">
        <v>172</v>
      </c>
      <c r="B5" s="405">
        <f>B4*'2.6'!F60*'2.6'!F61*'2.6'!F62</f>
        <v>1097453.8627919999</v>
      </c>
      <c r="C5" s="406">
        <f>C4*'2.6'!F60*'2.6'!F61*'2.6'!F62</f>
        <v>209598.30860699998</v>
      </c>
      <c r="D5" s="407">
        <f>D4*'2.6'!F60*'2.6'!F61*'2.6'!F62</f>
        <v>2167885.2330899998</v>
      </c>
      <c r="E5" s="368">
        <f>SUM(B5:D5)</f>
        <v>3474937.4044889994</v>
      </c>
    </row>
    <row r="6" spans="1:9" ht="13.5" customHeight="1" x14ac:dyDescent="0.25">
      <c r="B6" s="408">
        <f>-1+ B7/B5</f>
        <v>-0.25</v>
      </c>
      <c r="C6" s="408">
        <v>-0.76</v>
      </c>
      <c r="D6" s="408">
        <f>-1+ D7/D5</f>
        <v>0.19999999999999996</v>
      </c>
      <c r="E6" s="368"/>
    </row>
    <row r="7" spans="1:9" x14ac:dyDescent="0.25">
      <c r="A7" t="s">
        <v>173</v>
      </c>
      <c r="B7" s="405">
        <f>B5*(1-'2.6'!L80)</f>
        <v>823090.3970939999</v>
      </c>
      <c r="C7" s="406">
        <f>C5*(1-'2.6'!L73)</f>
        <v>50303.594065679994</v>
      </c>
      <c r="D7" s="407">
        <f>D5*(1+'2.6'!L66)</f>
        <v>2601462.2797079994</v>
      </c>
      <c r="E7" s="368">
        <f t="shared" ref="E7" si="0">SUM(B7:D7)</f>
        <v>3474856.2708676793</v>
      </c>
      <c r="F7" s="368"/>
      <c r="G7" s="368">
        <f>E7-E5</f>
        <v>-81.133621320128441</v>
      </c>
    </row>
    <row r="8" spans="1:9" x14ac:dyDescent="0.25">
      <c r="A8" t="s">
        <v>175</v>
      </c>
      <c r="B8" s="390">
        <f>B7/'2.6'!F114/'2.6'!F115/'2.6'!F116</f>
        <v>946.08091619999993</v>
      </c>
      <c r="C8" s="391">
        <f>C7/'2.6'!F114/'2.6'!F115/'2.6'!F116</f>
        <v>57.820223063999983</v>
      </c>
      <c r="D8" s="392">
        <f>D7/'2.6'!F114/'2.6'!F115/'2.6'!F116</f>
        <v>2990.1865283999996</v>
      </c>
    </row>
    <row r="9" spans="1:9" ht="15.75" thickBot="1" x14ac:dyDescent="0.3">
      <c r="A9" t="s">
        <v>174</v>
      </c>
      <c r="B9" s="393">
        <f>B8/BDA</f>
        <v>18.19386377307692</v>
      </c>
      <c r="C9" s="394">
        <f>C8/BDA</f>
        <v>1.1119273666153844</v>
      </c>
      <c r="D9" s="395">
        <f>D8/BDA</f>
        <v>57.503587084615376</v>
      </c>
      <c r="G9" s="75"/>
      <c r="I9" s="75"/>
    </row>
    <row r="10" spans="1:9" x14ac:dyDescent="0.25">
      <c r="B10" s="389"/>
      <c r="C10" s="389"/>
      <c r="D10" s="389"/>
      <c r="I10" s="75"/>
    </row>
    <row r="11" spans="1:9" x14ac:dyDescent="0.25">
      <c r="I11" s="372"/>
    </row>
    <row r="12" spans="1:9" x14ac:dyDescent="0.25">
      <c r="B12" s="368">
        <f>B5*B6</f>
        <v>-274363.46569799999</v>
      </c>
      <c r="C12" s="368">
        <f>C5*C6</f>
        <v>-159294.71454131999</v>
      </c>
      <c r="D12" s="368">
        <f>D5*D6</f>
        <v>433577.04661799985</v>
      </c>
      <c r="G12" s="368">
        <f>D12+B12+C12</f>
        <v>-81.133621320128441</v>
      </c>
    </row>
    <row r="13" spans="1:9" x14ac:dyDescent="0.25">
      <c r="B13" s="368"/>
      <c r="C13" s="368"/>
      <c r="D13" s="368"/>
      <c r="E13" s="368"/>
    </row>
    <row r="14" spans="1:9" x14ac:dyDescent="0.25">
      <c r="A14" s="372">
        <f>B14+C14</f>
        <v>9.5857245853076929</v>
      </c>
      <c r="B14" s="75">
        <f>B3-B9</f>
        <v>6.0646212576923091</v>
      </c>
      <c r="C14" s="75">
        <f>C3-C9</f>
        <v>3.5211033276153834</v>
      </c>
      <c r="E14" s="372">
        <f>D9-D3</f>
        <v>9.5839311807692198</v>
      </c>
    </row>
    <row r="31" spans="3:8" x14ac:dyDescent="0.25">
      <c r="C31" s="368"/>
      <c r="H31" s="368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9"/>
  <sheetViews>
    <sheetView topLeftCell="E261" zoomScaleNormal="100" workbookViewId="0">
      <selection activeCell="U286" sqref="U286"/>
    </sheetView>
  </sheetViews>
  <sheetFormatPr baseColWidth="10" defaultRowHeight="15" x14ac:dyDescent="0.25"/>
  <cols>
    <col min="1" max="1" width="12.42578125" customWidth="1"/>
    <col min="2" max="2" width="13.5703125" customWidth="1"/>
    <col min="3" max="3" width="8.140625" bestFit="1" customWidth="1"/>
    <col min="4" max="4" width="11.7109375" customWidth="1"/>
    <col min="5" max="5" width="9.7109375" bestFit="1" customWidth="1"/>
    <col min="6" max="6" width="9.5703125" customWidth="1"/>
    <col min="7" max="7" width="9.7109375" customWidth="1"/>
    <col min="9" max="9" width="0.85546875" customWidth="1"/>
    <col min="11" max="11" width="0.85546875" customWidth="1"/>
    <col min="13" max="13" width="0.85546875" customWidth="1"/>
    <col min="15" max="15" width="0.85546875" customWidth="1"/>
    <col min="17" max="17" width="0.85546875" customWidth="1"/>
    <col min="19" max="19" width="0.85546875" customWidth="1"/>
    <col min="22" max="22" width="4.140625" bestFit="1" customWidth="1"/>
    <col min="23" max="23" width="3" bestFit="1" customWidth="1"/>
    <col min="24" max="24" width="14" style="278" customWidth="1"/>
    <col min="25" max="26" width="14.28515625" style="278" customWidth="1"/>
  </cols>
  <sheetData>
    <row r="1" spans="1:26" x14ac:dyDescent="0.25">
      <c r="A1" s="2" t="s">
        <v>56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6" ht="15.75" thickBot="1" x14ac:dyDescent="0.3"/>
    <row r="3" spans="1:26" ht="75.75" thickBot="1" x14ac:dyDescent="0.3">
      <c r="A3" s="175">
        <v>2018</v>
      </c>
      <c r="B3" s="216"/>
      <c r="C3" s="217"/>
      <c r="D3" s="218" t="s">
        <v>40</v>
      </c>
      <c r="E3" s="219" t="s">
        <v>41</v>
      </c>
      <c r="F3" s="220" t="s">
        <v>42</v>
      </c>
      <c r="G3" s="221" t="s">
        <v>43</v>
      </c>
      <c r="H3" s="222" t="s">
        <v>44</v>
      </c>
      <c r="I3" s="223"/>
      <c r="J3" s="224" t="s">
        <v>45</v>
      </c>
      <c r="K3" s="225"/>
      <c r="L3" s="226" t="s">
        <v>46</v>
      </c>
      <c r="M3" s="225"/>
      <c r="N3" s="227" t="s">
        <v>47</v>
      </c>
      <c r="O3" s="225"/>
      <c r="P3" s="228" t="s">
        <v>48</v>
      </c>
      <c r="Q3" s="223"/>
      <c r="R3" s="229" t="s">
        <v>49</v>
      </c>
      <c r="S3" s="225"/>
      <c r="T3" s="230" t="s">
        <v>50</v>
      </c>
      <c r="U3" s="231" t="s">
        <v>51</v>
      </c>
      <c r="V3" s="32" t="s">
        <v>52</v>
      </c>
      <c r="W3" s="32"/>
      <c r="X3" s="409" t="s">
        <v>176</v>
      </c>
      <c r="Y3" s="409" t="s">
        <v>178</v>
      </c>
      <c r="Z3" s="409" t="s">
        <v>177</v>
      </c>
    </row>
    <row r="4" spans="1:26" ht="3" customHeight="1" thickBot="1" x14ac:dyDescent="0.3">
      <c r="A4" s="37"/>
      <c r="B4" s="232"/>
      <c r="C4" s="233"/>
      <c r="D4" s="234"/>
      <c r="E4" s="234"/>
      <c r="F4" s="234"/>
      <c r="G4" s="234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5"/>
      <c r="S4" s="233"/>
      <c r="T4" s="233"/>
      <c r="U4" s="236"/>
      <c r="V4" s="37"/>
      <c r="W4" s="37"/>
    </row>
    <row r="5" spans="1:26" x14ac:dyDescent="0.25">
      <c r="A5" s="422" t="s">
        <v>89</v>
      </c>
      <c r="B5" s="182" t="s">
        <v>19</v>
      </c>
      <c r="C5" s="183">
        <v>1</v>
      </c>
      <c r="D5" s="184">
        <f>DMG_1*CMD_1</f>
        <v>4.9259200000000005</v>
      </c>
      <c r="E5" s="185">
        <f>OMG_1*CMO_1</f>
        <v>39.974999999999994</v>
      </c>
      <c r="F5" s="186">
        <f t="shared" ref="F5:F68" si="0">E5*TC</f>
        <v>31.979999999999997</v>
      </c>
      <c r="G5" s="187">
        <f t="shared" ref="G5:G68" si="1">E5*(1-TC)</f>
        <v>7.9949999999999974</v>
      </c>
      <c r="H5" s="188">
        <f>IF(E5&gt;D5,D5,E5)</f>
        <v>4.9259200000000005</v>
      </c>
      <c r="I5" s="189"/>
      <c r="J5" s="190">
        <f>IF(E5&gt;D5,0,D5-E5)</f>
        <v>0</v>
      </c>
      <c r="K5" s="191"/>
      <c r="L5" s="192">
        <f>IF(E5&gt;D5,IF(F5&gt;H5,0,H5-F5),G5)</f>
        <v>0</v>
      </c>
      <c r="M5" s="191"/>
      <c r="N5" s="193">
        <f>IF(E5&gt;D5,IF(F5&gt;H5,F5-H5,0),0)</f>
        <v>27.054079999999995</v>
      </c>
      <c r="O5" s="191"/>
      <c r="P5" s="194">
        <f>IF(E5&gt;D5,IF(F5&gt;H5,G5,E5-H5),0)</f>
        <v>7.9949999999999974</v>
      </c>
      <c r="Q5" s="189"/>
      <c r="R5" s="195">
        <f>H5-L5</f>
        <v>4.9259200000000005</v>
      </c>
      <c r="S5" s="191"/>
      <c r="T5" s="196">
        <f>L5+N5+P5</f>
        <v>35.049079999999989</v>
      </c>
      <c r="U5" s="197">
        <f>J5+L5</f>
        <v>0</v>
      </c>
      <c r="V5" s="37" t="str">
        <f>IF(R5+T5=E5,"ok","bad")</f>
        <v>ok</v>
      </c>
      <c r="W5" s="37" t="str">
        <f>IF(U5+R5=D5,"ok","bad")</f>
        <v>ok</v>
      </c>
      <c r="X5" s="278">
        <f>R5/D5</f>
        <v>1</v>
      </c>
      <c r="Y5" s="278">
        <f>R5/F5</f>
        <v>0.15403126954346469</v>
      </c>
      <c r="Z5" s="278">
        <f>R5/E5</f>
        <v>0.12322501563477176</v>
      </c>
    </row>
    <row r="6" spans="1:26" x14ac:dyDescent="0.25">
      <c r="A6" s="423"/>
      <c r="B6" s="198" t="s">
        <v>20</v>
      </c>
      <c r="C6" s="179">
        <v>2</v>
      </c>
      <c r="D6" s="130">
        <f>DMG_2*CMD_1</f>
        <v>3.8678400000000006</v>
      </c>
      <c r="E6" s="131">
        <f>OMG_2*CMO_1</f>
        <v>29.314999999999998</v>
      </c>
      <c r="F6" s="132">
        <f t="shared" si="0"/>
        <v>23.451999999999998</v>
      </c>
      <c r="G6" s="133">
        <f t="shared" si="1"/>
        <v>5.8629999999999987</v>
      </c>
      <c r="H6" s="134">
        <f t="shared" ref="H6:H27" si="2">IF(E6&gt;D6,D6,E6)</f>
        <v>3.8678400000000006</v>
      </c>
      <c r="I6" s="135"/>
      <c r="J6" s="136">
        <f t="shared" ref="J6:J27" si="3">IF(E6&gt;D6,0,D6-E6)</f>
        <v>0</v>
      </c>
      <c r="K6" s="137"/>
      <c r="L6" s="138">
        <f t="shared" ref="L6:L27" si="4">IF(E6&gt;D6,IF(F6&gt;H6,0,H6-F6),G6)</f>
        <v>0</v>
      </c>
      <c r="M6" s="137"/>
      <c r="N6" s="139">
        <f t="shared" ref="N6:N27" si="5">IF(E6&gt;D6,IF(F6&gt;H6,F6-H6,0),0)</f>
        <v>19.584159999999997</v>
      </c>
      <c r="O6" s="137"/>
      <c r="P6" s="140">
        <f t="shared" ref="P6:P27" si="6">IF(E6&gt;D6,IF(F6&gt;H6,G6,E6-H6),0)</f>
        <v>5.8629999999999987</v>
      </c>
      <c r="Q6" s="135"/>
      <c r="R6" s="104">
        <f t="shared" ref="R6:R27" si="7">H6-L6</f>
        <v>3.8678400000000006</v>
      </c>
      <c r="S6" s="137"/>
      <c r="T6" s="141">
        <f t="shared" ref="T6:T27" si="8">L6+N6+P6</f>
        <v>25.447159999999997</v>
      </c>
      <c r="U6" s="199">
        <f t="shared" ref="U6:U27" si="9">J6+L6</f>
        <v>0</v>
      </c>
      <c r="V6" s="37" t="str">
        <f t="shared" ref="V6:V27" si="10">IF(R6+T6=E6,"ok","bad")</f>
        <v>ok</v>
      </c>
      <c r="W6" s="37" t="str">
        <f t="shared" ref="W6:W27" si="11">IF(U6+R6=D6,"ok","bad")</f>
        <v>ok</v>
      </c>
      <c r="X6" s="278">
        <f t="shared" ref="X6:X69" si="12">R6/D6</f>
        <v>1</v>
      </c>
      <c r="Y6" s="278">
        <f t="shared" ref="Y6:Y69" si="13">R6/F6</f>
        <v>0.1649258059014157</v>
      </c>
      <c r="Z6" s="278">
        <f t="shared" ref="Z6:Z69" si="14">R6/E6</f>
        <v>0.13194064472113257</v>
      </c>
    </row>
    <row r="7" spans="1:26" x14ac:dyDescent="0.25">
      <c r="A7" s="423"/>
      <c r="B7" s="198" t="s">
        <v>21</v>
      </c>
      <c r="C7" s="179">
        <v>3</v>
      </c>
      <c r="D7" s="130">
        <f>DMG_3*CMD_1</f>
        <v>1.69184</v>
      </c>
      <c r="E7" s="131">
        <f>OMG_3*CMO_1</f>
        <v>11.992499999999998</v>
      </c>
      <c r="F7" s="132">
        <f t="shared" si="0"/>
        <v>9.5939999999999994</v>
      </c>
      <c r="G7" s="133">
        <f t="shared" si="1"/>
        <v>2.398499999999999</v>
      </c>
      <c r="H7" s="134">
        <f t="shared" si="2"/>
        <v>1.69184</v>
      </c>
      <c r="I7" s="135"/>
      <c r="J7" s="136">
        <f t="shared" si="3"/>
        <v>0</v>
      </c>
      <c r="K7" s="137"/>
      <c r="L7" s="138">
        <f t="shared" si="4"/>
        <v>0</v>
      </c>
      <c r="M7" s="137"/>
      <c r="N7" s="139">
        <f t="shared" si="5"/>
        <v>7.9021599999999994</v>
      </c>
      <c r="O7" s="137"/>
      <c r="P7" s="140">
        <f t="shared" si="6"/>
        <v>2.398499999999999</v>
      </c>
      <c r="Q7" s="135"/>
      <c r="R7" s="104">
        <f t="shared" si="7"/>
        <v>1.69184</v>
      </c>
      <c r="S7" s="137"/>
      <c r="T7" s="141">
        <f t="shared" si="8"/>
        <v>10.300659999999999</v>
      </c>
      <c r="U7" s="199">
        <f t="shared" si="9"/>
        <v>0</v>
      </c>
      <c r="V7" s="37" t="str">
        <f t="shared" si="10"/>
        <v>ok</v>
      </c>
      <c r="W7" s="37" t="str">
        <f t="shared" si="11"/>
        <v>ok</v>
      </c>
      <c r="X7" s="278">
        <f t="shared" si="12"/>
        <v>1</v>
      </c>
      <c r="Y7" s="278">
        <f t="shared" si="13"/>
        <v>0.17634354805086513</v>
      </c>
      <c r="Z7" s="278">
        <f t="shared" si="14"/>
        <v>0.14107483844069213</v>
      </c>
    </row>
    <row r="8" spans="1:26" x14ac:dyDescent="0.25">
      <c r="A8" s="423"/>
      <c r="B8" s="198" t="s">
        <v>22</v>
      </c>
      <c r="C8" s="179">
        <v>4</v>
      </c>
      <c r="D8" s="130">
        <f>DMG_4*CMD_1</f>
        <v>1.18048</v>
      </c>
      <c r="E8" s="131">
        <f>OMG_4*CMO_1</f>
        <v>17.98875</v>
      </c>
      <c r="F8" s="132">
        <f t="shared" si="0"/>
        <v>14.391</v>
      </c>
      <c r="G8" s="133">
        <f t="shared" si="1"/>
        <v>3.5977499999999991</v>
      </c>
      <c r="H8" s="134">
        <f t="shared" si="2"/>
        <v>1.18048</v>
      </c>
      <c r="I8" s="135"/>
      <c r="J8" s="136">
        <f t="shared" si="3"/>
        <v>0</v>
      </c>
      <c r="K8" s="137"/>
      <c r="L8" s="138">
        <f t="shared" si="4"/>
        <v>0</v>
      </c>
      <c r="M8" s="137"/>
      <c r="N8" s="139">
        <f t="shared" si="5"/>
        <v>13.210520000000001</v>
      </c>
      <c r="O8" s="137"/>
      <c r="P8" s="140">
        <f t="shared" si="6"/>
        <v>3.5977499999999991</v>
      </c>
      <c r="Q8" s="135"/>
      <c r="R8" s="104">
        <f t="shared" si="7"/>
        <v>1.18048</v>
      </c>
      <c r="S8" s="137"/>
      <c r="T8" s="141">
        <f t="shared" si="8"/>
        <v>16.80827</v>
      </c>
      <c r="U8" s="199">
        <f t="shared" si="9"/>
        <v>0</v>
      </c>
      <c r="V8" s="37" t="str">
        <f t="shared" si="10"/>
        <v>ok</v>
      </c>
      <c r="W8" s="37" t="str">
        <f t="shared" si="11"/>
        <v>ok</v>
      </c>
      <c r="X8" s="278">
        <f t="shared" si="12"/>
        <v>1</v>
      </c>
      <c r="Y8" s="278">
        <f t="shared" si="13"/>
        <v>8.2029045931484953E-2</v>
      </c>
      <c r="Z8" s="278">
        <f t="shared" si="14"/>
        <v>6.5623236745187968E-2</v>
      </c>
    </row>
    <row r="9" spans="1:26" x14ac:dyDescent="0.25">
      <c r="A9" s="423"/>
      <c r="B9" s="198" t="s">
        <v>23</v>
      </c>
      <c r="C9" s="179">
        <v>5</v>
      </c>
      <c r="D9" s="130">
        <f>DMG_5*CMD_1</f>
        <v>2.4480000000000004</v>
      </c>
      <c r="E9" s="131">
        <f>OMG_5*CMO_1</f>
        <v>29.314999999999998</v>
      </c>
      <c r="F9" s="132">
        <f t="shared" si="0"/>
        <v>23.451999999999998</v>
      </c>
      <c r="G9" s="133">
        <f t="shared" si="1"/>
        <v>5.8629999999999987</v>
      </c>
      <c r="H9" s="134">
        <f t="shared" si="2"/>
        <v>2.4480000000000004</v>
      </c>
      <c r="I9" s="135"/>
      <c r="J9" s="136">
        <f t="shared" si="3"/>
        <v>0</v>
      </c>
      <c r="K9" s="137"/>
      <c r="L9" s="138">
        <f t="shared" si="4"/>
        <v>0</v>
      </c>
      <c r="M9" s="137"/>
      <c r="N9" s="139">
        <f t="shared" si="5"/>
        <v>21.003999999999998</v>
      </c>
      <c r="O9" s="137"/>
      <c r="P9" s="140">
        <f t="shared" si="6"/>
        <v>5.8629999999999987</v>
      </c>
      <c r="Q9" s="135"/>
      <c r="R9" s="104">
        <f t="shared" si="7"/>
        <v>2.4480000000000004</v>
      </c>
      <c r="S9" s="137"/>
      <c r="T9" s="141">
        <f t="shared" si="8"/>
        <v>26.866999999999997</v>
      </c>
      <c r="U9" s="199">
        <f t="shared" si="9"/>
        <v>0</v>
      </c>
      <c r="V9" s="37" t="str">
        <f t="shared" si="10"/>
        <v>ok</v>
      </c>
      <c r="W9" s="37" t="str">
        <f t="shared" si="11"/>
        <v>ok</v>
      </c>
      <c r="X9" s="278">
        <f t="shared" si="12"/>
        <v>1</v>
      </c>
      <c r="Y9" s="278">
        <f t="shared" si="13"/>
        <v>0.10438342145659221</v>
      </c>
      <c r="Z9" s="278">
        <f t="shared" si="14"/>
        <v>8.3506737165273764E-2</v>
      </c>
    </row>
    <row r="10" spans="1:26" x14ac:dyDescent="0.25">
      <c r="A10" s="423"/>
      <c r="B10" s="198" t="s">
        <v>19</v>
      </c>
      <c r="C10" s="179">
        <v>8</v>
      </c>
      <c r="D10" s="130">
        <f>DMG_6*CMD_1</f>
        <v>7.8608000000000002</v>
      </c>
      <c r="E10" s="131">
        <f>OMG_6*CMO_1</f>
        <v>20.5</v>
      </c>
      <c r="F10" s="132">
        <f t="shared" si="0"/>
        <v>16.400000000000002</v>
      </c>
      <c r="G10" s="133">
        <f t="shared" si="1"/>
        <v>4.0999999999999988</v>
      </c>
      <c r="H10" s="134">
        <f t="shared" si="2"/>
        <v>7.8608000000000002</v>
      </c>
      <c r="I10" s="135"/>
      <c r="J10" s="136">
        <f t="shared" si="3"/>
        <v>0</v>
      </c>
      <c r="K10" s="137"/>
      <c r="L10" s="138">
        <f t="shared" si="4"/>
        <v>0</v>
      </c>
      <c r="M10" s="137"/>
      <c r="N10" s="139">
        <f t="shared" si="5"/>
        <v>8.539200000000001</v>
      </c>
      <c r="O10" s="137"/>
      <c r="P10" s="140">
        <f t="shared" si="6"/>
        <v>4.0999999999999988</v>
      </c>
      <c r="Q10" s="135"/>
      <c r="R10" s="104">
        <f t="shared" si="7"/>
        <v>7.8608000000000002</v>
      </c>
      <c r="S10" s="137"/>
      <c r="T10" s="141">
        <f t="shared" si="8"/>
        <v>12.639199999999999</v>
      </c>
      <c r="U10" s="199">
        <f t="shared" si="9"/>
        <v>0</v>
      </c>
      <c r="V10" s="37" t="str">
        <f t="shared" si="10"/>
        <v>ok</v>
      </c>
      <c r="W10" s="37" t="str">
        <f t="shared" si="11"/>
        <v>ok</v>
      </c>
      <c r="X10" s="278">
        <f t="shared" si="12"/>
        <v>1</v>
      </c>
      <c r="Y10" s="278">
        <f t="shared" si="13"/>
        <v>0.47931707317073163</v>
      </c>
      <c r="Z10" s="278">
        <f t="shared" si="14"/>
        <v>0.38345365853658536</v>
      </c>
    </row>
    <row r="11" spans="1:26" x14ac:dyDescent="0.25">
      <c r="A11" s="423"/>
      <c r="B11" s="198" t="s">
        <v>20</v>
      </c>
      <c r="C11" s="179">
        <v>9</v>
      </c>
      <c r="D11" s="130">
        <f>DMG_7*CMD_1</f>
        <v>6.3756800000000009</v>
      </c>
      <c r="E11" s="131">
        <f>OMG_7*CMO_1</f>
        <v>21.012499999999999</v>
      </c>
      <c r="F11" s="132">
        <f t="shared" si="0"/>
        <v>16.809999999999999</v>
      </c>
      <c r="G11" s="133">
        <f t="shared" si="1"/>
        <v>4.2024999999999988</v>
      </c>
      <c r="H11" s="134">
        <f t="shared" si="2"/>
        <v>6.3756800000000009</v>
      </c>
      <c r="I11" s="135"/>
      <c r="J11" s="136">
        <f t="shared" si="3"/>
        <v>0</v>
      </c>
      <c r="K11" s="137"/>
      <c r="L11" s="138">
        <f t="shared" si="4"/>
        <v>0</v>
      </c>
      <c r="M11" s="137"/>
      <c r="N11" s="139">
        <f t="shared" si="5"/>
        <v>10.434319999999998</v>
      </c>
      <c r="O11" s="137"/>
      <c r="P11" s="140">
        <f t="shared" si="6"/>
        <v>4.2024999999999988</v>
      </c>
      <c r="Q11" s="135"/>
      <c r="R11" s="104">
        <f t="shared" si="7"/>
        <v>6.3756800000000009</v>
      </c>
      <c r="S11" s="137"/>
      <c r="T11" s="141">
        <f t="shared" si="8"/>
        <v>14.636819999999997</v>
      </c>
      <c r="U11" s="199">
        <f t="shared" si="9"/>
        <v>0</v>
      </c>
      <c r="V11" s="37" t="str">
        <f t="shared" si="10"/>
        <v>ok</v>
      </c>
      <c r="W11" s="37" t="str">
        <f t="shared" si="11"/>
        <v>ok</v>
      </c>
      <c r="X11" s="278">
        <f t="shared" si="12"/>
        <v>1</v>
      </c>
      <c r="Y11" s="278">
        <f t="shared" si="13"/>
        <v>0.37927900059488406</v>
      </c>
      <c r="Z11" s="278">
        <f t="shared" si="14"/>
        <v>0.30342320047590726</v>
      </c>
    </row>
    <row r="12" spans="1:26" x14ac:dyDescent="0.25">
      <c r="A12" s="423"/>
      <c r="B12" s="198" t="s">
        <v>21</v>
      </c>
      <c r="C12" s="179">
        <v>10</v>
      </c>
      <c r="D12" s="130">
        <f>DMG_8*CMD_1</f>
        <v>3.6856000000000004</v>
      </c>
      <c r="E12" s="131">
        <f>OMG_8*CMO_1</f>
        <v>11.274999999999999</v>
      </c>
      <c r="F12" s="132">
        <f t="shared" si="0"/>
        <v>9.02</v>
      </c>
      <c r="G12" s="133">
        <f t="shared" si="1"/>
        <v>2.254999999999999</v>
      </c>
      <c r="H12" s="134">
        <f t="shared" si="2"/>
        <v>3.6856000000000004</v>
      </c>
      <c r="I12" s="135"/>
      <c r="J12" s="136">
        <f t="shared" si="3"/>
        <v>0</v>
      </c>
      <c r="K12" s="137"/>
      <c r="L12" s="138">
        <f t="shared" si="4"/>
        <v>0</v>
      </c>
      <c r="M12" s="137"/>
      <c r="N12" s="139">
        <f t="shared" si="5"/>
        <v>5.3343999999999987</v>
      </c>
      <c r="O12" s="137"/>
      <c r="P12" s="140">
        <f t="shared" si="6"/>
        <v>2.254999999999999</v>
      </c>
      <c r="Q12" s="135"/>
      <c r="R12" s="104">
        <f t="shared" si="7"/>
        <v>3.6856000000000004</v>
      </c>
      <c r="S12" s="137"/>
      <c r="T12" s="141">
        <f t="shared" si="8"/>
        <v>7.5893999999999977</v>
      </c>
      <c r="U12" s="199">
        <f t="shared" si="9"/>
        <v>0</v>
      </c>
      <c r="V12" s="37" t="str">
        <f t="shared" si="10"/>
        <v>ok</v>
      </c>
      <c r="W12" s="37" t="str">
        <f t="shared" si="11"/>
        <v>ok</v>
      </c>
      <c r="X12" s="278">
        <f t="shared" si="12"/>
        <v>1</v>
      </c>
      <c r="Y12" s="278">
        <f t="shared" si="13"/>
        <v>0.40860310421286039</v>
      </c>
      <c r="Z12" s="278">
        <f t="shared" si="14"/>
        <v>0.3268824833702883</v>
      </c>
    </row>
    <row r="13" spans="1:26" x14ac:dyDescent="0.25">
      <c r="A13" s="423"/>
      <c r="B13" s="198" t="s">
        <v>22</v>
      </c>
      <c r="C13" s="179">
        <v>11</v>
      </c>
      <c r="D13" s="130">
        <f>DMG_9*CMD_1</f>
        <v>2.9756800000000001</v>
      </c>
      <c r="E13" s="131">
        <f>OMG_9*CMO_1</f>
        <v>14.349999999999998</v>
      </c>
      <c r="F13" s="132">
        <f t="shared" si="0"/>
        <v>11.479999999999999</v>
      </c>
      <c r="G13" s="133">
        <f t="shared" si="1"/>
        <v>2.8699999999999988</v>
      </c>
      <c r="H13" s="134">
        <f t="shared" si="2"/>
        <v>2.9756800000000001</v>
      </c>
      <c r="I13" s="135"/>
      <c r="J13" s="136">
        <f t="shared" si="3"/>
        <v>0</v>
      </c>
      <c r="K13" s="137"/>
      <c r="L13" s="138">
        <f t="shared" si="4"/>
        <v>0</v>
      </c>
      <c r="M13" s="137"/>
      <c r="N13" s="139">
        <f t="shared" si="5"/>
        <v>8.5043199999999981</v>
      </c>
      <c r="O13" s="137"/>
      <c r="P13" s="140">
        <f t="shared" si="6"/>
        <v>2.8699999999999988</v>
      </c>
      <c r="Q13" s="135"/>
      <c r="R13" s="104">
        <f t="shared" si="7"/>
        <v>2.9756800000000001</v>
      </c>
      <c r="S13" s="137"/>
      <c r="T13" s="141">
        <f t="shared" si="8"/>
        <v>11.374319999999997</v>
      </c>
      <c r="U13" s="199">
        <f t="shared" si="9"/>
        <v>0</v>
      </c>
      <c r="V13" s="37" t="str">
        <f t="shared" si="10"/>
        <v>ok</v>
      </c>
      <c r="W13" s="37" t="str">
        <f t="shared" si="11"/>
        <v>ok</v>
      </c>
      <c r="X13" s="278">
        <f t="shared" si="12"/>
        <v>1</v>
      </c>
      <c r="Y13" s="278">
        <f t="shared" si="13"/>
        <v>0.25920557491289203</v>
      </c>
      <c r="Z13" s="278">
        <f t="shared" si="14"/>
        <v>0.20736445993031363</v>
      </c>
    </row>
    <row r="14" spans="1:26" x14ac:dyDescent="0.25">
      <c r="A14" s="423"/>
      <c r="B14" s="198" t="s">
        <v>23</v>
      </c>
      <c r="C14" s="179">
        <v>12</v>
      </c>
      <c r="D14" s="130">
        <f>DMG_10*CMD_1</f>
        <v>5.6684800000000006</v>
      </c>
      <c r="E14" s="131">
        <f>OMG_10*CMO_1</f>
        <v>19.474999999999998</v>
      </c>
      <c r="F14" s="132">
        <f t="shared" si="0"/>
        <v>15.579999999999998</v>
      </c>
      <c r="G14" s="133">
        <f t="shared" si="1"/>
        <v>3.8949999999999987</v>
      </c>
      <c r="H14" s="134">
        <f t="shared" si="2"/>
        <v>5.6684800000000006</v>
      </c>
      <c r="I14" s="135"/>
      <c r="J14" s="136">
        <f t="shared" si="3"/>
        <v>0</v>
      </c>
      <c r="K14" s="137"/>
      <c r="L14" s="138">
        <f t="shared" si="4"/>
        <v>0</v>
      </c>
      <c r="M14" s="137"/>
      <c r="N14" s="139">
        <f t="shared" si="5"/>
        <v>9.9115199999999977</v>
      </c>
      <c r="O14" s="137"/>
      <c r="P14" s="140">
        <f t="shared" si="6"/>
        <v>3.8949999999999987</v>
      </c>
      <c r="Q14" s="135"/>
      <c r="R14" s="104">
        <f t="shared" si="7"/>
        <v>5.6684800000000006</v>
      </c>
      <c r="S14" s="137"/>
      <c r="T14" s="141">
        <f t="shared" si="8"/>
        <v>13.806519999999995</v>
      </c>
      <c r="U14" s="199">
        <f t="shared" si="9"/>
        <v>0</v>
      </c>
      <c r="V14" s="37" t="str">
        <f t="shared" si="10"/>
        <v>ok</v>
      </c>
      <c r="W14" s="37" t="str">
        <f t="shared" si="11"/>
        <v>ok</v>
      </c>
      <c r="X14" s="278">
        <f t="shared" si="12"/>
        <v>1</v>
      </c>
      <c r="Y14" s="278">
        <f t="shared" si="13"/>
        <v>0.36383055198973052</v>
      </c>
      <c r="Z14" s="278">
        <f t="shared" si="14"/>
        <v>0.29106444159178441</v>
      </c>
    </row>
    <row r="15" spans="1:26" x14ac:dyDescent="0.25">
      <c r="A15" s="423"/>
      <c r="B15" s="198" t="s">
        <v>19</v>
      </c>
      <c r="C15" s="179">
        <v>15</v>
      </c>
      <c r="D15" s="130">
        <f>DMG_11*CMD_1</f>
        <v>4.9259200000000005</v>
      </c>
      <c r="E15" s="131">
        <f>OMG_11*CMO_1</f>
        <v>30.749999999999996</v>
      </c>
      <c r="F15" s="132">
        <f t="shared" si="0"/>
        <v>24.599999999999998</v>
      </c>
      <c r="G15" s="133">
        <f t="shared" si="1"/>
        <v>6.1499999999999977</v>
      </c>
      <c r="H15" s="134">
        <f t="shared" si="2"/>
        <v>4.9259200000000005</v>
      </c>
      <c r="I15" s="135"/>
      <c r="J15" s="136">
        <f t="shared" si="3"/>
        <v>0</v>
      </c>
      <c r="K15" s="137"/>
      <c r="L15" s="138">
        <f t="shared" si="4"/>
        <v>0</v>
      </c>
      <c r="M15" s="137"/>
      <c r="N15" s="139">
        <f t="shared" si="5"/>
        <v>19.674079999999996</v>
      </c>
      <c r="O15" s="137"/>
      <c r="P15" s="140">
        <f t="shared" si="6"/>
        <v>6.1499999999999977</v>
      </c>
      <c r="Q15" s="135"/>
      <c r="R15" s="104">
        <f t="shared" si="7"/>
        <v>4.9259200000000005</v>
      </c>
      <c r="S15" s="137"/>
      <c r="T15" s="141">
        <f t="shared" si="8"/>
        <v>25.824079999999995</v>
      </c>
      <c r="U15" s="199">
        <f t="shared" si="9"/>
        <v>0</v>
      </c>
      <c r="V15" s="37" t="str">
        <f t="shared" si="10"/>
        <v>ok</v>
      </c>
      <c r="W15" s="37" t="str">
        <f t="shared" si="11"/>
        <v>ok</v>
      </c>
      <c r="X15" s="278">
        <f t="shared" si="12"/>
        <v>1</v>
      </c>
      <c r="Y15" s="278">
        <f t="shared" si="13"/>
        <v>0.2002406504065041</v>
      </c>
      <c r="Z15" s="278">
        <f t="shared" si="14"/>
        <v>0.16019252032520329</v>
      </c>
    </row>
    <row r="16" spans="1:26" x14ac:dyDescent="0.25">
      <c r="A16" s="423"/>
      <c r="B16" s="198" t="s">
        <v>20</v>
      </c>
      <c r="C16" s="179">
        <v>16</v>
      </c>
      <c r="D16" s="130">
        <f>DMG_12*CMD_1</f>
        <v>3.8678400000000006</v>
      </c>
      <c r="E16" s="131">
        <f>OMG_12*CMO_1</f>
        <v>23.574999999999999</v>
      </c>
      <c r="F16" s="132">
        <f t="shared" si="0"/>
        <v>18.86</v>
      </c>
      <c r="G16" s="133">
        <f t="shared" si="1"/>
        <v>4.714999999999999</v>
      </c>
      <c r="H16" s="134">
        <f t="shared" si="2"/>
        <v>3.8678400000000006</v>
      </c>
      <c r="I16" s="135"/>
      <c r="J16" s="136">
        <f t="shared" si="3"/>
        <v>0</v>
      </c>
      <c r="K16" s="137"/>
      <c r="L16" s="138">
        <f t="shared" si="4"/>
        <v>0</v>
      </c>
      <c r="M16" s="137"/>
      <c r="N16" s="139">
        <f t="shared" si="5"/>
        <v>14.992159999999998</v>
      </c>
      <c r="O16" s="137"/>
      <c r="P16" s="140">
        <f t="shared" si="6"/>
        <v>4.714999999999999</v>
      </c>
      <c r="Q16" s="135"/>
      <c r="R16" s="104">
        <f t="shared" si="7"/>
        <v>3.8678400000000006</v>
      </c>
      <c r="S16" s="137"/>
      <c r="T16" s="141">
        <f t="shared" si="8"/>
        <v>19.707159999999998</v>
      </c>
      <c r="U16" s="199">
        <f t="shared" si="9"/>
        <v>0</v>
      </c>
      <c r="V16" s="37" t="str">
        <f t="shared" si="10"/>
        <v>ok</v>
      </c>
      <c r="W16" s="37" t="str">
        <f t="shared" si="11"/>
        <v>ok</v>
      </c>
      <c r="X16" s="278">
        <f t="shared" si="12"/>
        <v>1</v>
      </c>
      <c r="Y16" s="278">
        <f t="shared" si="13"/>
        <v>0.20508165429480385</v>
      </c>
      <c r="Z16" s="278">
        <f t="shared" si="14"/>
        <v>0.1640653234358431</v>
      </c>
    </row>
    <row r="17" spans="1:26" x14ac:dyDescent="0.25">
      <c r="A17" s="423"/>
      <c r="B17" s="198" t="s">
        <v>21</v>
      </c>
      <c r="C17" s="179">
        <v>17</v>
      </c>
      <c r="D17" s="130">
        <f>DMG_13*CMD_1</f>
        <v>1.69184</v>
      </c>
      <c r="E17" s="131">
        <f>OMG_13*CMO_1</f>
        <v>11.274999999999999</v>
      </c>
      <c r="F17" s="132">
        <f t="shared" si="0"/>
        <v>9.02</v>
      </c>
      <c r="G17" s="133">
        <f t="shared" si="1"/>
        <v>2.254999999999999</v>
      </c>
      <c r="H17" s="134">
        <f t="shared" si="2"/>
        <v>1.69184</v>
      </c>
      <c r="I17" s="135"/>
      <c r="J17" s="136">
        <f t="shared" si="3"/>
        <v>0</v>
      </c>
      <c r="K17" s="137"/>
      <c r="L17" s="138">
        <f t="shared" si="4"/>
        <v>0</v>
      </c>
      <c r="M17" s="137"/>
      <c r="N17" s="139">
        <f t="shared" si="5"/>
        <v>7.3281599999999996</v>
      </c>
      <c r="O17" s="137"/>
      <c r="P17" s="140">
        <f t="shared" si="6"/>
        <v>2.254999999999999</v>
      </c>
      <c r="Q17" s="135"/>
      <c r="R17" s="104">
        <f t="shared" si="7"/>
        <v>1.69184</v>
      </c>
      <c r="S17" s="137"/>
      <c r="T17" s="141">
        <f t="shared" si="8"/>
        <v>9.5831599999999995</v>
      </c>
      <c r="U17" s="199">
        <f t="shared" si="9"/>
        <v>0</v>
      </c>
      <c r="V17" s="37" t="str">
        <f t="shared" si="10"/>
        <v>ok</v>
      </c>
      <c r="W17" s="37" t="str">
        <f t="shared" si="11"/>
        <v>ok</v>
      </c>
      <c r="X17" s="278">
        <f t="shared" si="12"/>
        <v>1</v>
      </c>
      <c r="Y17" s="278">
        <f t="shared" si="13"/>
        <v>0.18756541019955655</v>
      </c>
      <c r="Z17" s="278">
        <f t="shared" si="14"/>
        <v>0.15005232815964525</v>
      </c>
    </row>
    <row r="18" spans="1:26" x14ac:dyDescent="0.25">
      <c r="A18" s="423"/>
      <c r="B18" s="198" t="s">
        <v>22</v>
      </c>
      <c r="C18" s="179">
        <v>18</v>
      </c>
      <c r="D18" s="130">
        <f>DMG_14*CMD_1</f>
        <v>1.18048</v>
      </c>
      <c r="E18" s="131">
        <f>OMG_14*CMO_1</f>
        <v>18.962499999999999</v>
      </c>
      <c r="F18" s="132">
        <f t="shared" si="0"/>
        <v>15.17</v>
      </c>
      <c r="G18" s="133">
        <f t="shared" si="1"/>
        <v>3.7924999999999991</v>
      </c>
      <c r="H18" s="134">
        <f t="shared" si="2"/>
        <v>1.18048</v>
      </c>
      <c r="I18" s="135"/>
      <c r="J18" s="136">
        <f t="shared" si="3"/>
        <v>0</v>
      </c>
      <c r="K18" s="137"/>
      <c r="L18" s="138">
        <f t="shared" si="4"/>
        <v>0</v>
      </c>
      <c r="M18" s="137"/>
      <c r="N18" s="139">
        <f t="shared" si="5"/>
        <v>13.989520000000001</v>
      </c>
      <c r="O18" s="137"/>
      <c r="P18" s="140">
        <f t="shared" si="6"/>
        <v>3.7924999999999991</v>
      </c>
      <c r="Q18" s="135"/>
      <c r="R18" s="104">
        <f t="shared" si="7"/>
        <v>1.18048</v>
      </c>
      <c r="S18" s="137"/>
      <c r="T18" s="141">
        <f t="shared" si="8"/>
        <v>17.782019999999999</v>
      </c>
      <c r="U18" s="199">
        <f t="shared" si="9"/>
        <v>0</v>
      </c>
      <c r="V18" s="37" t="str">
        <f t="shared" si="10"/>
        <v>ok</v>
      </c>
      <c r="W18" s="37" t="str">
        <f t="shared" si="11"/>
        <v>ok</v>
      </c>
      <c r="X18" s="278">
        <f t="shared" si="12"/>
        <v>1</v>
      </c>
      <c r="Y18" s="278">
        <f t="shared" si="13"/>
        <v>7.7816743572841129E-2</v>
      </c>
      <c r="Z18" s="278">
        <f t="shared" si="14"/>
        <v>6.2253394858272908E-2</v>
      </c>
    </row>
    <row r="19" spans="1:26" x14ac:dyDescent="0.25">
      <c r="A19" s="423"/>
      <c r="B19" s="198" t="s">
        <v>23</v>
      </c>
      <c r="C19" s="179">
        <v>19</v>
      </c>
      <c r="D19" s="130">
        <f>DMG_15*CMD_1</f>
        <v>2.4480000000000004</v>
      </c>
      <c r="E19" s="131">
        <f>OMG_15*CMO_1</f>
        <v>22.549999999999997</v>
      </c>
      <c r="F19" s="132">
        <f t="shared" si="0"/>
        <v>18.04</v>
      </c>
      <c r="G19" s="133">
        <f t="shared" si="1"/>
        <v>4.509999999999998</v>
      </c>
      <c r="H19" s="134">
        <f t="shared" si="2"/>
        <v>2.4480000000000004</v>
      </c>
      <c r="I19" s="135"/>
      <c r="J19" s="136">
        <f t="shared" si="3"/>
        <v>0</v>
      </c>
      <c r="K19" s="137"/>
      <c r="L19" s="138">
        <f t="shared" si="4"/>
        <v>0</v>
      </c>
      <c r="M19" s="137"/>
      <c r="N19" s="139">
        <f t="shared" si="5"/>
        <v>15.591999999999999</v>
      </c>
      <c r="O19" s="137"/>
      <c r="P19" s="140">
        <f t="shared" si="6"/>
        <v>4.509999999999998</v>
      </c>
      <c r="Q19" s="135"/>
      <c r="R19" s="104">
        <f t="shared" si="7"/>
        <v>2.4480000000000004</v>
      </c>
      <c r="S19" s="137"/>
      <c r="T19" s="141">
        <f t="shared" si="8"/>
        <v>20.101999999999997</v>
      </c>
      <c r="U19" s="199">
        <f t="shared" si="9"/>
        <v>0</v>
      </c>
      <c r="V19" s="37" t="str">
        <f t="shared" si="10"/>
        <v>ok</v>
      </c>
      <c r="W19" s="37" t="str">
        <f t="shared" si="11"/>
        <v>ok</v>
      </c>
      <c r="X19" s="278">
        <f t="shared" si="12"/>
        <v>1</v>
      </c>
      <c r="Y19" s="278">
        <f t="shared" si="13"/>
        <v>0.13569844789356988</v>
      </c>
      <c r="Z19" s="278">
        <f t="shared" si="14"/>
        <v>0.10855875831485591</v>
      </c>
    </row>
    <row r="20" spans="1:26" x14ac:dyDescent="0.25">
      <c r="A20" s="423"/>
      <c r="B20" s="198" t="s">
        <v>19</v>
      </c>
      <c r="C20" s="179">
        <v>22</v>
      </c>
      <c r="D20" s="130">
        <f>DMG_16*CMD_1</f>
        <v>9.8246400000000005</v>
      </c>
      <c r="E20" s="131">
        <f>OMG_16*CMO_1</f>
        <v>25.368749999999999</v>
      </c>
      <c r="F20" s="132">
        <f t="shared" si="0"/>
        <v>20.295000000000002</v>
      </c>
      <c r="G20" s="133">
        <f t="shared" si="1"/>
        <v>5.0737499999999986</v>
      </c>
      <c r="H20" s="134">
        <f t="shared" si="2"/>
        <v>9.8246400000000005</v>
      </c>
      <c r="I20" s="135"/>
      <c r="J20" s="136">
        <f t="shared" si="3"/>
        <v>0</v>
      </c>
      <c r="K20" s="137"/>
      <c r="L20" s="138">
        <f t="shared" si="4"/>
        <v>0</v>
      </c>
      <c r="M20" s="137"/>
      <c r="N20" s="139">
        <f t="shared" si="5"/>
        <v>10.470360000000001</v>
      </c>
      <c r="O20" s="137"/>
      <c r="P20" s="140">
        <f t="shared" si="6"/>
        <v>5.0737499999999986</v>
      </c>
      <c r="Q20" s="135"/>
      <c r="R20" s="104">
        <f t="shared" si="7"/>
        <v>9.8246400000000005</v>
      </c>
      <c r="S20" s="137"/>
      <c r="T20" s="141">
        <f t="shared" si="8"/>
        <v>15.54411</v>
      </c>
      <c r="U20" s="199">
        <f t="shared" si="9"/>
        <v>0</v>
      </c>
      <c r="V20" s="37" t="str">
        <f t="shared" si="10"/>
        <v>ok</v>
      </c>
      <c r="W20" s="37" t="str">
        <f t="shared" si="11"/>
        <v>ok</v>
      </c>
      <c r="X20" s="278">
        <f t="shared" si="12"/>
        <v>1</v>
      </c>
      <c r="Y20" s="278">
        <f t="shared" si="13"/>
        <v>0.48409164818920913</v>
      </c>
      <c r="Z20" s="278">
        <f t="shared" si="14"/>
        <v>0.38727331855136737</v>
      </c>
    </row>
    <row r="21" spans="1:26" x14ac:dyDescent="0.25">
      <c r="A21" s="423"/>
      <c r="B21" s="198" t="s">
        <v>20</v>
      </c>
      <c r="C21" s="179">
        <v>23</v>
      </c>
      <c r="D21" s="130">
        <f>DMG_17*CMD_1</f>
        <v>7.9968000000000004</v>
      </c>
      <c r="E21" s="131">
        <f>OMG_17*CMO_1</f>
        <v>16.071999999999999</v>
      </c>
      <c r="F21" s="132">
        <f t="shared" si="0"/>
        <v>12.8576</v>
      </c>
      <c r="G21" s="133">
        <f t="shared" si="1"/>
        <v>3.214399999999999</v>
      </c>
      <c r="H21" s="134">
        <f t="shared" si="2"/>
        <v>7.9968000000000004</v>
      </c>
      <c r="I21" s="135"/>
      <c r="J21" s="136">
        <f t="shared" si="3"/>
        <v>0</v>
      </c>
      <c r="K21" s="137"/>
      <c r="L21" s="138">
        <f t="shared" si="4"/>
        <v>0</v>
      </c>
      <c r="M21" s="137"/>
      <c r="N21" s="139">
        <f t="shared" si="5"/>
        <v>4.8607999999999993</v>
      </c>
      <c r="O21" s="137"/>
      <c r="P21" s="140">
        <f t="shared" si="6"/>
        <v>3.214399999999999</v>
      </c>
      <c r="Q21" s="135"/>
      <c r="R21" s="104">
        <f t="shared" si="7"/>
        <v>7.9968000000000004</v>
      </c>
      <c r="S21" s="137"/>
      <c r="T21" s="141">
        <f t="shared" si="8"/>
        <v>8.0751999999999988</v>
      </c>
      <c r="U21" s="199">
        <f t="shared" si="9"/>
        <v>0</v>
      </c>
      <c r="V21" s="37" t="str">
        <f t="shared" si="10"/>
        <v>ok</v>
      </c>
      <c r="W21" s="37" t="str">
        <f t="shared" si="11"/>
        <v>ok</v>
      </c>
      <c r="X21" s="278">
        <f t="shared" si="12"/>
        <v>1</v>
      </c>
      <c r="Y21" s="278">
        <f t="shared" si="13"/>
        <v>0.62195121951219512</v>
      </c>
      <c r="Z21" s="278">
        <f t="shared" si="14"/>
        <v>0.49756097560975615</v>
      </c>
    </row>
    <row r="22" spans="1:26" x14ac:dyDescent="0.25">
      <c r="A22" s="423"/>
      <c r="B22" s="198" t="s">
        <v>21</v>
      </c>
      <c r="C22" s="179">
        <v>24</v>
      </c>
      <c r="D22" s="130">
        <f>DMG_18*CMD_1</f>
        <v>4.6076800000000011</v>
      </c>
      <c r="E22" s="131">
        <f>OMG_18*CMO_1</f>
        <v>7.6157499999999994</v>
      </c>
      <c r="F22" s="132">
        <f t="shared" si="0"/>
        <v>6.0926</v>
      </c>
      <c r="G22" s="133">
        <f t="shared" si="1"/>
        <v>1.5231499999999996</v>
      </c>
      <c r="H22" s="134">
        <f t="shared" si="2"/>
        <v>4.6076800000000011</v>
      </c>
      <c r="I22" s="135"/>
      <c r="J22" s="136">
        <f t="shared" si="3"/>
        <v>0</v>
      </c>
      <c r="K22" s="137"/>
      <c r="L22" s="138">
        <f t="shared" si="4"/>
        <v>0</v>
      </c>
      <c r="M22" s="137"/>
      <c r="N22" s="139">
        <f t="shared" si="5"/>
        <v>1.4849199999999989</v>
      </c>
      <c r="O22" s="137"/>
      <c r="P22" s="140">
        <f t="shared" si="6"/>
        <v>1.5231499999999996</v>
      </c>
      <c r="Q22" s="135"/>
      <c r="R22" s="104">
        <f t="shared" si="7"/>
        <v>4.6076800000000011</v>
      </c>
      <c r="S22" s="137"/>
      <c r="T22" s="141">
        <f t="shared" si="8"/>
        <v>3.0080699999999982</v>
      </c>
      <c r="U22" s="199">
        <f t="shared" si="9"/>
        <v>0</v>
      </c>
      <c r="V22" s="37" t="str">
        <f t="shared" si="10"/>
        <v>ok</v>
      </c>
      <c r="W22" s="37" t="str">
        <f t="shared" si="11"/>
        <v>ok</v>
      </c>
      <c r="X22" s="278">
        <f t="shared" si="12"/>
        <v>1</v>
      </c>
      <c r="Y22" s="278">
        <f t="shared" si="13"/>
        <v>0.75627482519778111</v>
      </c>
      <c r="Z22" s="278">
        <f t="shared" si="14"/>
        <v>0.60501986015822495</v>
      </c>
    </row>
    <row r="23" spans="1:26" x14ac:dyDescent="0.25">
      <c r="A23" s="423"/>
      <c r="B23" s="198" t="s">
        <v>22</v>
      </c>
      <c r="C23" s="179">
        <v>25</v>
      </c>
      <c r="D23" s="130">
        <f>DMG_19*CMD_1</f>
        <v>3.77264</v>
      </c>
      <c r="E23" s="131">
        <f>OMG_19*CMO_1</f>
        <v>10.147499999999999</v>
      </c>
      <c r="F23" s="132">
        <f t="shared" si="0"/>
        <v>8.1180000000000003</v>
      </c>
      <c r="G23" s="133">
        <f t="shared" si="1"/>
        <v>2.0294999999999992</v>
      </c>
      <c r="H23" s="134">
        <f t="shared" si="2"/>
        <v>3.77264</v>
      </c>
      <c r="I23" s="135"/>
      <c r="J23" s="136">
        <f t="shared" si="3"/>
        <v>0</v>
      </c>
      <c r="K23" s="137"/>
      <c r="L23" s="138">
        <f t="shared" si="4"/>
        <v>0</v>
      </c>
      <c r="M23" s="137"/>
      <c r="N23" s="139">
        <f t="shared" si="5"/>
        <v>4.3453600000000003</v>
      </c>
      <c r="O23" s="137"/>
      <c r="P23" s="140">
        <f t="shared" si="6"/>
        <v>2.0294999999999992</v>
      </c>
      <c r="Q23" s="135"/>
      <c r="R23" s="104">
        <f t="shared" si="7"/>
        <v>3.77264</v>
      </c>
      <c r="S23" s="137"/>
      <c r="T23" s="141">
        <f t="shared" si="8"/>
        <v>6.37486</v>
      </c>
      <c r="U23" s="199">
        <f t="shared" si="9"/>
        <v>0</v>
      </c>
      <c r="V23" s="37" t="str">
        <f t="shared" si="10"/>
        <v>ok</v>
      </c>
      <c r="W23" s="37" t="str">
        <f t="shared" si="11"/>
        <v>ok</v>
      </c>
      <c r="X23" s="278">
        <f t="shared" si="12"/>
        <v>1</v>
      </c>
      <c r="Y23" s="278">
        <f t="shared" si="13"/>
        <v>0.46472530179847249</v>
      </c>
      <c r="Z23" s="278">
        <f t="shared" si="14"/>
        <v>0.37178024143877808</v>
      </c>
    </row>
    <row r="24" spans="1:26" x14ac:dyDescent="0.25">
      <c r="A24" s="423"/>
      <c r="B24" s="198" t="s">
        <v>23</v>
      </c>
      <c r="C24" s="179">
        <v>26</v>
      </c>
      <c r="D24" s="130">
        <f>DMG_20*CMD_1</f>
        <v>7.0856000000000003</v>
      </c>
      <c r="E24" s="131">
        <f>OMG_20*CMO_1</f>
        <v>16.071999999999999</v>
      </c>
      <c r="F24" s="132">
        <f t="shared" si="0"/>
        <v>12.8576</v>
      </c>
      <c r="G24" s="133">
        <f t="shared" si="1"/>
        <v>3.214399999999999</v>
      </c>
      <c r="H24" s="134">
        <f t="shared" si="2"/>
        <v>7.0856000000000003</v>
      </c>
      <c r="I24" s="135"/>
      <c r="J24" s="136">
        <f t="shared" si="3"/>
        <v>0</v>
      </c>
      <c r="K24" s="137"/>
      <c r="L24" s="138">
        <f t="shared" si="4"/>
        <v>0</v>
      </c>
      <c r="M24" s="137"/>
      <c r="N24" s="139">
        <f t="shared" si="5"/>
        <v>5.7719999999999994</v>
      </c>
      <c r="O24" s="137"/>
      <c r="P24" s="140">
        <f t="shared" si="6"/>
        <v>3.214399999999999</v>
      </c>
      <c r="Q24" s="135"/>
      <c r="R24" s="104">
        <f t="shared" si="7"/>
        <v>7.0856000000000003</v>
      </c>
      <c r="S24" s="137"/>
      <c r="T24" s="141">
        <f t="shared" si="8"/>
        <v>8.9863999999999979</v>
      </c>
      <c r="U24" s="199">
        <f t="shared" si="9"/>
        <v>0</v>
      </c>
      <c r="V24" s="37" t="str">
        <f t="shared" si="10"/>
        <v>ok</v>
      </c>
      <c r="W24" s="37" t="str">
        <f t="shared" si="11"/>
        <v>ok</v>
      </c>
      <c r="X24" s="278">
        <f t="shared" si="12"/>
        <v>1</v>
      </c>
      <c r="Y24" s="278">
        <f t="shared" si="13"/>
        <v>0.55108262817322051</v>
      </c>
      <c r="Z24" s="278">
        <f t="shared" si="14"/>
        <v>0.44086610253857644</v>
      </c>
    </row>
    <row r="25" spans="1:26" x14ac:dyDescent="0.25">
      <c r="A25" s="423"/>
      <c r="B25" s="198" t="s">
        <v>19</v>
      </c>
      <c r="C25" s="179">
        <v>29</v>
      </c>
      <c r="D25" s="130">
        <f>DMG_21*CMD_1</f>
        <v>11.788480000000002</v>
      </c>
      <c r="E25" s="131">
        <f>OMG_21*CMO_1</f>
        <v>30.749999999999996</v>
      </c>
      <c r="F25" s="132">
        <f t="shared" si="0"/>
        <v>24.599999999999998</v>
      </c>
      <c r="G25" s="133">
        <f t="shared" si="1"/>
        <v>6.1499999999999977</v>
      </c>
      <c r="H25" s="134">
        <f t="shared" si="2"/>
        <v>11.788480000000002</v>
      </c>
      <c r="I25" s="135"/>
      <c r="J25" s="136">
        <f t="shared" si="3"/>
        <v>0</v>
      </c>
      <c r="K25" s="137"/>
      <c r="L25" s="138">
        <f t="shared" si="4"/>
        <v>0</v>
      </c>
      <c r="M25" s="137"/>
      <c r="N25" s="139">
        <f t="shared" si="5"/>
        <v>12.811519999999996</v>
      </c>
      <c r="O25" s="137"/>
      <c r="P25" s="140">
        <f t="shared" si="6"/>
        <v>6.1499999999999977</v>
      </c>
      <c r="Q25" s="135"/>
      <c r="R25" s="104">
        <f t="shared" si="7"/>
        <v>11.788480000000002</v>
      </c>
      <c r="S25" s="137"/>
      <c r="T25" s="141">
        <f t="shared" si="8"/>
        <v>18.961519999999993</v>
      </c>
      <c r="U25" s="199">
        <f t="shared" si="9"/>
        <v>0</v>
      </c>
      <c r="V25" s="37" t="str">
        <f t="shared" si="10"/>
        <v>ok</v>
      </c>
      <c r="W25" s="37" t="str">
        <f t="shared" si="11"/>
        <v>ok</v>
      </c>
      <c r="X25" s="278">
        <f t="shared" si="12"/>
        <v>1</v>
      </c>
      <c r="Y25" s="278">
        <f t="shared" si="13"/>
        <v>0.47920650406504078</v>
      </c>
      <c r="Z25" s="278">
        <f t="shared" si="14"/>
        <v>0.3833652032520326</v>
      </c>
    </row>
    <row r="26" spans="1:26" x14ac:dyDescent="0.25">
      <c r="A26" s="423"/>
      <c r="B26" s="198" t="s">
        <v>20</v>
      </c>
      <c r="C26" s="179">
        <v>30</v>
      </c>
      <c r="D26" s="130">
        <f>DMG_22*CMD_1</f>
        <v>9.5635200000000005</v>
      </c>
      <c r="E26" s="131">
        <f>OMG_22*CMO_1</f>
        <v>21.524999999999999</v>
      </c>
      <c r="F26" s="132">
        <f t="shared" si="0"/>
        <v>17.22</v>
      </c>
      <c r="G26" s="133">
        <f t="shared" si="1"/>
        <v>4.3049999999999988</v>
      </c>
      <c r="H26" s="134">
        <f t="shared" si="2"/>
        <v>9.5635200000000005</v>
      </c>
      <c r="I26" s="135"/>
      <c r="J26" s="136">
        <f t="shared" si="3"/>
        <v>0</v>
      </c>
      <c r="K26" s="137"/>
      <c r="L26" s="138">
        <f t="shared" si="4"/>
        <v>0</v>
      </c>
      <c r="M26" s="137"/>
      <c r="N26" s="139">
        <f t="shared" si="5"/>
        <v>7.6564799999999984</v>
      </c>
      <c r="O26" s="137"/>
      <c r="P26" s="140">
        <f t="shared" si="6"/>
        <v>4.3049999999999988</v>
      </c>
      <c r="Q26" s="135"/>
      <c r="R26" s="104">
        <f t="shared" si="7"/>
        <v>9.5635200000000005</v>
      </c>
      <c r="S26" s="137"/>
      <c r="T26" s="141">
        <f t="shared" si="8"/>
        <v>11.961479999999998</v>
      </c>
      <c r="U26" s="199">
        <f t="shared" si="9"/>
        <v>0</v>
      </c>
      <c r="V26" s="37" t="str">
        <f t="shared" si="10"/>
        <v>ok</v>
      </c>
      <c r="W26" s="37" t="str">
        <f t="shared" si="11"/>
        <v>ok</v>
      </c>
      <c r="X26" s="278">
        <f t="shared" si="12"/>
        <v>1</v>
      </c>
      <c r="Y26" s="278">
        <f t="shared" si="13"/>
        <v>0.55537282229965168</v>
      </c>
      <c r="Z26" s="278">
        <f t="shared" si="14"/>
        <v>0.44429825783972132</v>
      </c>
    </row>
    <row r="27" spans="1:26" ht="15.75" thickBot="1" x14ac:dyDescent="0.3">
      <c r="A27" s="424"/>
      <c r="B27" s="200" t="s">
        <v>21</v>
      </c>
      <c r="C27" s="201">
        <v>31</v>
      </c>
      <c r="D27" s="202">
        <f>DMG_23*CMD_1</f>
        <v>5.5297599999999996</v>
      </c>
      <c r="E27" s="203">
        <f>OMG_23*CMO_1</f>
        <v>10.25</v>
      </c>
      <c r="F27" s="204">
        <f t="shared" si="0"/>
        <v>8.2000000000000011</v>
      </c>
      <c r="G27" s="205">
        <f t="shared" si="1"/>
        <v>2.0499999999999994</v>
      </c>
      <c r="H27" s="206">
        <f t="shared" si="2"/>
        <v>5.5297599999999996</v>
      </c>
      <c r="I27" s="207"/>
      <c r="J27" s="208">
        <f t="shared" si="3"/>
        <v>0</v>
      </c>
      <c r="K27" s="209"/>
      <c r="L27" s="210">
        <f t="shared" si="4"/>
        <v>0</v>
      </c>
      <c r="M27" s="209"/>
      <c r="N27" s="211">
        <f t="shared" si="5"/>
        <v>2.6702400000000015</v>
      </c>
      <c r="O27" s="209"/>
      <c r="P27" s="212">
        <f t="shared" si="6"/>
        <v>2.0499999999999994</v>
      </c>
      <c r="Q27" s="207"/>
      <c r="R27" s="213">
        <f t="shared" si="7"/>
        <v>5.5297599999999996</v>
      </c>
      <c r="S27" s="209"/>
      <c r="T27" s="214">
        <f t="shared" si="8"/>
        <v>4.7202400000000004</v>
      </c>
      <c r="U27" s="215">
        <f t="shared" si="9"/>
        <v>0</v>
      </c>
      <c r="V27" s="37" t="str">
        <f t="shared" si="10"/>
        <v>ok</v>
      </c>
      <c r="W27" s="37" t="str">
        <f t="shared" si="11"/>
        <v>ok</v>
      </c>
      <c r="X27" s="278">
        <f t="shared" si="12"/>
        <v>1</v>
      </c>
      <c r="Y27" s="278">
        <f t="shared" si="13"/>
        <v>0.67436097560975594</v>
      </c>
      <c r="Z27" s="278">
        <f t="shared" si="14"/>
        <v>0.5394887804878048</v>
      </c>
    </row>
    <row r="28" spans="1:26" x14ac:dyDescent="0.25">
      <c r="A28" s="419" t="s">
        <v>90</v>
      </c>
      <c r="B28" s="178" t="s">
        <v>22</v>
      </c>
      <c r="C28" s="129">
        <v>1</v>
      </c>
      <c r="D28" s="238">
        <f>DMG_1*CMD_2</f>
        <v>8.3849300000000007</v>
      </c>
      <c r="E28" s="185">
        <f>OMG_1*CMO_2</f>
        <v>28.157999999999998</v>
      </c>
      <c r="F28" s="186">
        <f t="shared" si="0"/>
        <v>22.526399999999999</v>
      </c>
      <c r="G28" s="187">
        <f t="shared" si="1"/>
        <v>5.6315999999999979</v>
      </c>
      <c r="H28" s="188">
        <f>IF(E28&gt;D28,D28,E28)</f>
        <v>8.3849300000000007</v>
      </c>
      <c r="I28" s="189"/>
      <c r="J28" s="190">
        <f>IF(E28&gt;D28,0,D28-E28)</f>
        <v>0</v>
      </c>
      <c r="K28" s="191"/>
      <c r="L28" s="192">
        <f>IF(E28&gt;D28,IF(F28&gt;H28,0,H28-F28),G28)</f>
        <v>0</v>
      </c>
      <c r="M28" s="191"/>
      <c r="N28" s="193">
        <f>IF(E28&gt;D28,IF(F28&gt;H28,F28-H28,0),0)</f>
        <v>14.141469999999998</v>
      </c>
      <c r="O28" s="191"/>
      <c r="P28" s="194">
        <f>IF(E28&gt;D28,IF(F28&gt;H28,G28,E28-H28),0)</f>
        <v>5.6315999999999979</v>
      </c>
      <c r="Q28" s="189"/>
      <c r="R28" s="195">
        <f>H28-L28</f>
        <v>8.3849300000000007</v>
      </c>
      <c r="S28" s="191"/>
      <c r="T28" s="196">
        <f>L28+N28+P28</f>
        <v>19.773069999999997</v>
      </c>
      <c r="U28" s="197">
        <f>J28+L28</f>
        <v>0</v>
      </c>
      <c r="V28" s="37" t="str">
        <f>IF(R28+T28=E28,"ok","bad")</f>
        <v>ok</v>
      </c>
      <c r="W28" s="37" t="str">
        <f>IF(U28+R28=D28,"ok","bad")</f>
        <v>ok</v>
      </c>
      <c r="X28" s="278">
        <f t="shared" si="12"/>
        <v>1</v>
      </c>
      <c r="Y28" s="278">
        <f t="shared" si="13"/>
        <v>0.37222680943248815</v>
      </c>
      <c r="Z28" s="278">
        <f t="shared" si="14"/>
        <v>0.29778144754599051</v>
      </c>
    </row>
    <row r="29" spans="1:26" x14ac:dyDescent="0.25">
      <c r="A29" s="420"/>
      <c r="B29" s="178" t="s">
        <v>23</v>
      </c>
      <c r="C29" s="129">
        <v>2</v>
      </c>
      <c r="D29" s="239">
        <f>DMG_2*CMD_2</f>
        <v>6.5838600000000005</v>
      </c>
      <c r="E29" s="131">
        <f>OMG_2*CMO_2</f>
        <v>20.6492</v>
      </c>
      <c r="F29" s="132">
        <f t="shared" si="0"/>
        <v>16.519360000000002</v>
      </c>
      <c r="G29" s="133">
        <f t="shared" si="1"/>
        <v>4.1298399999999988</v>
      </c>
      <c r="H29" s="134">
        <f t="shared" ref="H29:H47" si="15">IF(E29&gt;D29,D29,E29)</f>
        <v>6.5838600000000005</v>
      </c>
      <c r="I29" s="135"/>
      <c r="J29" s="136">
        <f t="shared" ref="J29:J47" si="16">IF(E29&gt;D29,0,D29-E29)</f>
        <v>0</v>
      </c>
      <c r="K29" s="137"/>
      <c r="L29" s="138">
        <f t="shared" ref="L29:L47" si="17">IF(E29&gt;D29,IF(F29&gt;H29,0,H29-F29),G29)</f>
        <v>0</v>
      </c>
      <c r="M29" s="137"/>
      <c r="N29" s="139">
        <f t="shared" ref="N29:N47" si="18">IF(E29&gt;D29,IF(F29&gt;H29,F29-H29,0),0)</f>
        <v>9.9355000000000011</v>
      </c>
      <c r="O29" s="137"/>
      <c r="P29" s="140">
        <f t="shared" ref="P29:P47" si="19">IF(E29&gt;D29,IF(F29&gt;H29,G29,E29-H29),0)</f>
        <v>4.1298399999999988</v>
      </c>
      <c r="Q29" s="135"/>
      <c r="R29" s="104">
        <f t="shared" ref="R29:R47" si="20">H29-L29</f>
        <v>6.5838600000000005</v>
      </c>
      <c r="S29" s="137"/>
      <c r="T29" s="141">
        <f t="shared" ref="T29:T47" si="21">L29+N29+P29</f>
        <v>14.065339999999999</v>
      </c>
      <c r="U29" s="199">
        <f t="shared" ref="U29:U47" si="22">J29+L29</f>
        <v>0</v>
      </c>
      <c r="V29" s="37" t="str">
        <f t="shared" ref="V29:V47" si="23">IF(R29+T29=E29,"ok","bad")</f>
        <v>ok</v>
      </c>
      <c r="W29" s="37" t="str">
        <f t="shared" ref="W29:W47" si="24">IF(U29+R29=D29,"ok","bad")</f>
        <v>ok</v>
      </c>
      <c r="X29" s="278">
        <f t="shared" si="12"/>
        <v>1</v>
      </c>
      <c r="Y29" s="278">
        <f t="shared" si="13"/>
        <v>0.3985541812757879</v>
      </c>
      <c r="Z29" s="278">
        <f t="shared" si="14"/>
        <v>0.31884334502063033</v>
      </c>
    </row>
    <row r="30" spans="1:26" x14ac:dyDescent="0.25">
      <c r="A30" s="420"/>
      <c r="B30" s="178" t="s">
        <v>19</v>
      </c>
      <c r="C30" s="129">
        <v>5</v>
      </c>
      <c r="D30" s="239">
        <f>DMG_3*CMD_2</f>
        <v>2.8798599999999999</v>
      </c>
      <c r="E30" s="131">
        <f>OMG_3*CMO_2</f>
        <v>8.4474</v>
      </c>
      <c r="F30" s="132">
        <f t="shared" si="0"/>
        <v>6.7579200000000004</v>
      </c>
      <c r="G30" s="133">
        <f t="shared" si="1"/>
        <v>1.6894799999999996</v>
      </c>
      <c r="H30" s="134">
        <f t="shared" si="15"/>
        <v>2.8798599999999999</v>
      </c>
      <c r="I30" s="135"/>
      <c r="J30" s="136">
        <f t="shared" si="16"/>
        <v>0</v>
      </c>
      <c r="K30" s="137"/>
      <c r="L30" s="138">
        <f t="shared" si="17"/>
        <v>0</v>
      </c>
      <c r="M30" s="137"/>
      <c r="N30" s="139">
        <f t="shared" si="18"/>
        <v>3.8780600000000005</v>
      </c>
      <c r="O30" s="137"/>
      <c r="P30" s="140">
        <f t="shared" si="19"/>
        <v>1.6894799999999996</v>
      </c>
      <c r="Q30" s="135"/>
      <c r="R30" s="104">
        <f t="shared" si="20"/>
        <v>2.8798599999999999</v>
      </c>
      <c r="S30" s="137"/>
      <c r="T30" s="141">
        <f t="shared" si="21"/>
        <v>5.5675400000000002</v>
      </c>
      <c r="U30" s="199">
        <f t="shared" si="22"/>
        <v>0</v>
      </c>
      <c r="V30" s="37" t="str">
        <f t="shared" si="23"/>
        <v>ok</v>
      </c>
      <c r="W30" s="37" t="str">
        <f t="shared" si="24"/>
        <v>ok</v>
      </c>
      <c r="X30" s="278">
        <f t="shared" si="12"/>
        <v>1</v>
      </c>
      <c r="Y30" s="278">
        <f t="shared" si="13"/>
        <v>0.42614591471932189</v>
      </c>
      <c r="Z30" s="278">
        <f t="shared" si="14"/>
        <v>0.3409167317754575</v>
      </c>
    </row>
    <row r="31" spans="1:26" x14ac:dyDescent="0.25">
      <c r="A31" s="420"/>
      <c r="B31" s="178" t="s">
        <v>20</v>
      </c>
      <c r="C31" s="129">
        <v>6</v>
      </c>
      <c r="D31" s="239">
        <f>DMG_4*CMD_2</f>
        <v>2.00942</v>
      </c>
      <c r="E31" s="131">
        <f>OMG_4*CMO_2</f>
        <v>12.671100000000001</v>
      </c>
      <c r="F31" s="132">
        <f t="shared" si="0"/>
        <v>10.136880000000001</v>
      </c>
      <c r="G31" s="133">
        <f t="shared" si="1"/>
        <v>2.5342199999999995</v>
      </c>
      <c r="H31" s="134">
        <f t="shared" si="15"/>
        <v>2.00942</v>
      </c>
      <c r="I31" s="135"/>
      <c r="J31" s="136">
        <f t="shared" si="16"/>
        <v>0</v>
      </c>
      <c r="K31" s="137"/>
      <c r="L31" s="138">
        <f t="shared" si="17"/>
        <v>0</v>
      </c>
      <c r="M31" s="137"/>
      <c r="N31" s="139">
        <f t="shared" si="18"/>
        <v>8.127460000000001</v>
      </c>
      <c r="O31" s="137"/>
      <c r="P31" s="140">
        <f t="shared" si="19"/>
        <v>2.5342199999999995</v>
      </c>
      <c r="Q31" s="135"/>
      <c r="R31" s="104">
        <f t="shared" si="20"/>
        <v>2.00942</v>
      </c>
      <c r="S31" s="137"/>
      <c r="T31" s="141">
        <f t="shared" si="21"/>
        <v>10.66168</v>
      </c>
      <c r="U31" s="199">
        <f t="shared" si="22"/>
        <v>0</v>
      </c>
      <c r="V31" s="37" t="str">
        <f t="shared" si="23"/>
        <v>ok</v>
      </c>
      <c r="W31" s="37" t="str">
        <f t="shared" si="24"/>
        <v>ok</v>
      </c>
      <c r="X31" s="278">
        <f t="shared" si="12"/>
        <v>1</v>
      </c>
      <c r="Y31" s="278">
        <f t="shared" si="13"/>
        <v>0.19822864628958808</v>
      </c>
      <c r="Z31" s="278">
        <f t="shared" si="14"/>
        <v>0.15858291703167049</v>
      </c>
    </row>
    <row r="32" spans="1:26" x14ac:dyDescent="0.25">
      <c r="A32" s="420"/>
      <c r="B32" s="178" t="s">
        <v>21</v>
      </c>
      <c r="C32" s="129">
        <v>7</v>
      </c>
      <c r="D32" s="239">
        <f>DMG_5*CMD_2</f>
        <v>4.1669999999999998</v>
      </c>
      <c r="E32" s="131">
        <f>OMG_5*CMO_2</f>
        <v>20.6492</v>
      </c>
      <c r="F32" s="132">
        <f t="shared" si="0"/>
        <v>16.519360000000002</v>
      </c>
      <c r="G32" s="133">
        <f t="shared" si="1"/>
        <v>4.1298399999999988</v>
      </c>
      <c r="H32" s="134">
        <f t="shared" si="15"/>
        <v>4.1669999999999998</v>
      </c>
      <c r="I32" s="135"/>
      <c r="J32" s="136">
        <f t="shared" si="16"/>
        <v>0</v>
      </c>
      <c r="K32" s="137"/>
      <c r="L32" s="138">
        <f t="shared" si="17"/>
        <v>0</v>
      </c>
      <c r="M32" s="137"/>
      <c r="N32" s="139">
        <f t="shared" si="18"/>
        <v>12.352360000000003</v>
      </c>
      <c r="O32" s="137"/>
      <c r="P32" s="140">
        <f t="shared" si="19"/>
        <v>4.1298399999999988</v>
      </c>
      <c r="Q32" s="135"/>
      <c r="R32" s="104">
        <f t="shared" si="20"/>
        <v>4.1669999999999998</v>
      </c>
      <c r="S32" s="137"/>
      <c r="T32" s="141">
        <f t="shared" si="21"/>
        <v>16.482200000000002</v>
      </c>
      <c r="U32" s="199">
        <f t="shared" si="22"/>
        <v>0</v>
      </c>
      <c r="V32" s="37" t="str">
        <f t="shared" si="23"/>
        <v>ok</v>
      </c>
      <c r="W32" s="37" t="str">
        <f t="shared" si="24"/>
        <v>ok</v>
      </c>
      <c r="X32" s="278">
        <f t="shared" si="12"/>
        <v>1</v>
      </c>
      <c r="Y32" s="278">
        <f t="shared" si="13"/>
        <v>0.25224948182011891</v>
      </c>
      <c r="Z32" s="278">
        <f t="shared" si="14"/>
        <v>0.20179958545609514</v>
      </c>
    </row>
    <row r="33" spans="1:26" x14ac:dyDescent="0.25">
      <c r="A33" s="420"/>
      <c r="B33" s="178" t="s">
        <v>22</v>
      </c>
      <c r="C33" s="129">
        <v>8</v>
      </c>
      <c r="D33" s="239">
        <f>DMG_6*CMD_2</f>
        <v>13.380699999999999</v>
      </c>
      <c r="E33" s="131">
        <f>OMG_6*CMO_2</f>
        <v>14.44</v>
      </c>
      <c r="F33" s="132">
        <f t="shared" si="0"/>
        <v>11.552</v>
      </c>
      <c r="G33" s="133">
        <f t="shared" si="1"/>
        <v>2.8879999999999995</v>
      </c>
      <c r="H33" s="134">
        <f t="shared" si="15"/>
        <v>13.380699999999999</v>
      </c>
      <c r="I33" s="135"/>
      <c r="J33" s="136">
        <f t="shared" si="16"/>
        <v>0</v>
      </c>
      <c r="K33" s="137"/>
      <c r="L33" s="138">
        <f t="shared" si="17"/>
        <v>1.8286999999999995</v>
      </c>
      <c r="M33" s="137"/>
      <c r="N33" s="139">
        <f t="shared" si="18"/>
        <v>0</v>
      </c>
      <c r="O33" s="137"/>
      <c r="P33" s="140">
        <f t="shared" si="19"/>
        <v>1.0593000000000004</v>
      </c>
      <c r="Q33" s="135"/>
      <c r="R33" s="104">
        <f t="shared" si="20"/>
        <v>11.552</v>
      </c>
      <c r="S33" s="137"/>
      <c r="T33" s="141">
        <f t="shared" si="21"/>
        <v>2.8879999999999999</v>
      </c>
      <c r="U33" s="199">
        <f t="shared" si="22"/>
        <v>1.8286999999999995</v>
      </c>
      <c r="V33" s="37" t="str">
        <f t="shared" si="23"/>
        <v>ok</v>
      </c>
      <c r="W33" s="37" t="str">
        <f t="shared" si="24"/>
        <v>ok</v>
      </c>
      <c r="X33" s="278">
        <f t="shared" si="12"/>
        <v>0.86333300948380876</v>
      </c>
      <c r="Y33" s="278">
        <f t="shared" si="13"/>
        <v>1</v>
      </c>
      <c r="Z33" s="278">
        <f t="shared" si="14"/>
        <v>0.8</v>
      </c>
    </row>
    <row r="34" spans="1:26" x14ac:dyDescent="0.25">
      <c r="A34" s="420"/>
      <c r="B34" s="178" t="s">
        <v>23</v>
      </c>
      <c r="C34" s="129">
        <v>9</v>
      </c>
      <c r="D34" s="239">
        <f>DMG_7*CMD_2</f>
        <v>10.852720000000001</v>
      </c>
      <c r="E34" s="131">
        <f>OMG_7*CMO_2</f>
        <v>14.801</v>
      </c>
      <c r="F34" s="132">
        <f t="shared" si="0"/>
        <v>11.840800000000002</v>
      </c>
      <c r="G34" s="133">
        <f t="shared" si="1"/>
        <v>2.9601999999999995</v>
      </c>
      <c r="H34" s="134">
        <f t="shared" si="15"/>
        <v>10.852720000000001</v>
      </c>
      <c r="I34" s="135"/>
      <c r="J34" s="136">
        <f t="shared" si="16"/>
        <v>0</v>
      </c>
      <c r="K34" s="137"/>
      <c r="L34" s="138">
        <f t="shared" si="17"/>
        <v>0</v>
      </c>
      <c r="M34" s="137"/>
      <c r="N34" s="139">
        <f t="shared" si="18"/>
        <v>0.98808000000000007</v>
      </c>
      <c r="O34" s="137"/>
      <c r="P34" s="140">
        <f t="shared" si="19"/>
        <v>2.9601999999999995</v>
      </c>
      <c r="Q34" s="135"/>
      <c r="R34" s="104">
        <f t="shared" si="20"/>
        <v>10.852720000000001</v>
      </c>
      <c r="S34" s="137"/>
      <c r="T34" s="141">
        <f t="shared" si="21"/>
        <v>3.9482799999999996</v>
      </c>
      <c r="U34" s="199">
        <f t="shared" si="22"/>
        <v>0</v>
      </c>
      <c r="V34" s="37" t="str">
        <f t="shared" si="23"/>
        <v>ok</v>
      </c>
      <c r="W34" s="37" t="str">
        <f t="shared" si="24"/>
        <v>ok</v>
      </c>
      <c r="X34" s="278">
        <f t="shared" si="12"/>
        <v>1</v>
      </c>
      <c r="Y34" s="278">
        <f t="shared" si="13"/>
        <v>0.91655293561245865</v>
      </c>
      <c r="Z34" s="278">
        <f t="shared" si="14"/>
        <v>0.73324234848996694</v>
      </c>
    </row>
    <row r="35" spans="1:26" x14ac:dyDescent="0.25">
      <c r="A35" s="420"/>
      <c r="B35" s="178" t="s">
        <v>19</v>
      </c>
      <c r="C35" s="129">
        <v>12</v>
      </c>
      <c r="D35" s="239">
        <f>DMG_8*CMD_2</f>
        <v>6.2736500000000008</v>
      </c>
      <c r="E35" s="131">
        <f>OMG_8*CMO_2</f>
        <v>7.9420000000000002</v>
      </c>
      <c r="F35" s="132">
        <f t="shared" si="0"/>
        <v>6.3536000000000001</v>
      </c>
      <c r="G35" s="133">
        <f t="shared" si="1"/>
        <v>1.5883999999999996</v>
      </c>
      <c r="H35" s="134">
        <f t="shared" si="15"/>
        <v>6.2736500000000008</v>
      </c>
      <c r="I35" s="135"/>
      <c r="J35" s="136">
        <f t="shared" si="16"/>
        <v>0</v>
      </c>
      <c r="K35" s="137"/>
      <c r="L35" s="138">
        <f t="shared" si="17"/>
        <v>0</v>
      </c>
      <c r="M35" s="137"/>
      <c r="N35" s="139">
        <f t="shared" si="18"/>
        <v>7.9949999999999299E-2</v>
      </c>
      <c r="O35" s="137"/>
      <c r="P35" s="140">
        <f t="shared" si="19"/>
        <v>1.5883999999999996</v>
      </c>
      <c r="Q35" s="135"/>
      <c r="R35" s="104">
        <f t="shared" si="20"/>
        <v>6.2736500000000008</v>
      </c>
      <c r="S35" s="137"/>
      <c r="T35" s="141">
        <f t="shared" si="21"/>
        <v>1.6683499999999989</v>
      </c>
      <c r="U35" s="199">
        <f t="shared" si="22"/>
        <v>0</v>
      </c>
      <c r="V35" s="37" t="str">
        <f t="shared" si="23"/>
        <v>ok</v>
      </c>
      <c r="W35" s="37" t="str">
        <f t="shared" si="24"/>
        <v>ok</v>
      </c>
      <c r="X35" s="278">
        <f t="shared" si="12"/>
        <v>1</v>
      </c>
      <c r="Y35" s="278">
        <f t="shared" si="13"/>
        <v>0.98741658272475463</v>
      </c>
      <c r="Z35" s="278">
        <f t="shared" si="14"/>
        <v>0.78993326617980364</v>
      </c>
    </row>
    <row r="36" spans="1:26" x14ac:dyDescent="0.25">
      <c r="A36" s="420"/>
      <c r="B36" s="178" t="s">
        <v>20</v>
      </c>
      <c r="C36" s="129">
        <v>13</v>
      </c>
      <c r="D36" s="239">
        <f>DMG_9*CMD_2</f>
        <v>5.0652200000000001</v>
      </c>
      <c r="E36" s="131">
        <f>OMG_9*CMO_2</f>
        <v>10.108000000000001</v>
      </c>
      <c r="F36" s="132">
        <f t="shared" si="0"/>
        <v>8.0864000000000011</v>
      </c>
      <c r="G36" s="133">
        <f t="shared" si="1"/>
        <v>2.0215999999999998</v>
      </c>
      <c r="H36" s="134">
        <f t="shared" si="15"/>
        <v>5.0652200000000001</v>
      </c>
      <c r="I36" s="135"/>
      <c r="J36" s="136">
        <f t="shared" si="16"/>
        <v>0</v>
      </c>
      <c r="K36" s="137"/>
      <c r="L36" s="138">
        <f t="shared" si="17"/>
        <v>0</v>
      </c>
      <c r="M36" s="137"/>
      <c r="N36" s="139">
        <f t="shared" si="18"/>
        <v>3.0211800000000011</v>
      </c>
      <c r="O36" s="137"/>
      <c r="P36" s="140">
        <f t="shared" si="19"/>
        <v>2.0215999999999998</v>
      </c>
      <c r="Q36" s="135"/>
      <c r="R36" s="104">
        <f t="shared" si="20"/>
        <v>5.0652200000000001</v>
      </c>
      <c r="S36" s="137"/>
      <c r="T36" s="141">
        <f t="shared" si="21"/>
        <v>5.0427800000000005</v>
      </c>
      <c r="U36" s="199">
        <f t="shared" si="22"/>
        <v>0</v>
      </c>
      <c r="V36" s="37" t="str">
        <f t="shared" si="23"/>
        <v>ok</v>
      </c>
      <c r="W36" s="37" t="str">
        <f t="shared" si="24"/>
        <v>ok</v>
      </c>
      <c r="X36" s="278">
        <f t="shared" si="12"/>
        <v>1</v>
      </c>
      <c r="Y36" s="278">
        <f t="shared" si="13"/>
        <v>0.62638751483973087</v>
      </c>
      <c r="Z36" s="278">
        <f t="shared" si="14"/>
        <v>0.50111001187178472</v>
      </c>
    </row>
    <row r="37" spans="1:26" x14ac:dyDescent="0.25">
      <c r="A37" s="420"/>
      <c r="B37" s="178" t="s">
        <v>21</v>
      </c>
      <c r="C37" s="129">
        <v>14</v>
      </c>
      <c r="D37" s="239">
        <f>DMG_10*CMD_2</f>
        <v>9.6489200000000004</v>
      </c>
      <c r="E37" s="131">
        <f>OMG_10*CMO_2</f>
        <v>13.718</v>
      </c>
      <c r="F37" s="132">
        <f t="shared" si="0"/>
        <v>10.974400000000001</v>
      </c>
      <c r="G37" s="133">
        <f t="shared" si="1"/>
        <v>2.7435999999999994</v>
      </c>
      <c r="H37" s="134">
        <f t="shared" si="15"/>
        <v>9.6489200000000004</v>
      </c>
      <c r="I37" s="135"/>
      <c r="J37" s="136">
        <f t="shared" si="16"/>
        <v>0</v>
      </c>
      <c r="K37" s="137"/>
      <c r="L37" s="138">
        <f t="shared" si="17"/>
        <v>0</v>
      </c>
      <c r="M37" s="137"/>
      <c r="N37" s="139">
        <f t="shared" si="18"/>
        <v>1.3254800000000007</v>
      </c>
      <c r="O37" s="137"/>
      <c r="P37" s="140">
        <f t="shared" si="19"/>
        <v>2.7435999999999994</v>
      </c>
      <c r="Q37" s="135"/>
      <c r="R37" s="104">
        <f t="shared" si="20"/>
        <v>9.6489200000000004</v>
      </c>
      <c r="S37" s="137"/>
      <c r="T37" s="141">
        <f t="shared" si="21"/>
        <v>4.0690799999999996</v>
      </c>
      <c r="U37" s="199">
        <f t="shared" si="22"/>
        <v>0</v>
      </c>
      <c r="V37" s="37" t="str">
        <f t="shared" si="23"/>
        <v>ok</v>
      </c>
      <c r="W37" s="37" t="str">
        <f t="shared" si="24"/>
        <v>ok</v>
      </c>
      <c r="X37" s="278">
        <f t="shared" si="12"/>
        <v>1</v>
      </c>
      <c r="Y37" s="278">
        <f t="shared" si="13"/>
        <v>0.8792207318851144</v>
      </c>
      <c r="Z37" s="278">
        <f t="shared" si="14"/>
        <v>0.70337658550809157</v>
      </c>
    </row>
    <row r="38" spans="1:26" x14ac:dyDescent="0.25">
      <c r="A38" s="420"/>
      <c r="B38" s="178" t="s">
        <v>22</v>
      </c>
      <c r="C38" s="129">
        <v>15</v>
      </c>
      <c r="D38" s="239">
        <f>DMG_11*CMD_2</f>
        <v>8.3849300000000007</v>
      </c>
      <c r="E38" s="131">
        <f>OMG_11*CMO_2</f>
        <v>21.66</v>
      </c>
      <c r="F38" s="132">
        <f t="shared" si="0"/>
        <v>17.327999999999999</v>
      </c>
      <c r="G38" s="133">
        <f t="shared" si="1"/>
        <v>4.331999999999999</v>
      </c>
      <c r="H38" s="134">
        <f t="shared" si="15"/>
        <v>8.3849300000000007</v>
      </c>
      <c r="I38" s="135"/>
      <c r="J38" s="136">
        <f t="shared" si="16"/>
        <v>0</v>
      </c>
      <c r="K38" s="137"/>
      <c r="L38" s="138">
        <f t="shared" si="17"/>
        <v>0</v>
      </c>
      <c r="M38" s="137"/>
      <c r="N38" s="139">
        <f t="shared" si="18"/>
        <v>8.9430699999999987</v>
      </c>
      <c r="O38" s="137"/>
      <c r="P38" s="140">
        <f t="shared" si="19"/>
        <v>4.331999999999999</v>
      </c>
      <c r="Q38" s="135"/>
      <c r="R38" s="104">
        <f t="shared" si="20"/>
        <v>8.3849300000000007</v>
      </c>
      <c r="S38" s="137"/>
      <c r="T38" s="141">
        <f t="shared" si="21"/>
        <v>13.275069999999998</v>
      </c>
      <c r="U38" s="199">
        <f t="shared" si="22"/>
        <v>0</v>
      </c>
      <c r="V38" s="37" t="str">
        <f t="shared" si="23"/>
        <v>ok</v>
      </c>
      <c r="W38" s="37" t="str">
        <f t="shared" si="24"/>
        <v>ok</v>
      </c>
      <c r="X38" s="278">
        <f t="shared" si="12"/>
        <v>1</v>
      </c>
      <c r="Y38" s="278">
        <f t="shared" si="13"/>
        <v>0.48389485226223461</v>
      </c>
      <c r="Z38" s="278">
        <f t="shared" si="14"/>
        <v>0.38711588180978768</v>
      </c>
    </row>
    <row r="39" spans="1:26" x14ac:dyDescent="0.25">
      <c r="A39" s="420"/>
      <c r="B39" s="178" t="s">
        <v>23</v>
      </c>
      <c r="C39" s="129">
        <v>16</v>
      </c>
      <c r="D39" s="239">
        <f>DMG_12*CMD_2</f>
        <v>6.5838600000000005</v>
      </c>
      <c r="E39" s="131">
        <f>OMG_12*CMO_2</f>
        <v>16.605999999999998</v>
      </c>
      <c r="F39" s="132">
        <f t="shared" si="0"/>
        <v>13.284799999999999</v>
      </c>
      <c r="G39" s="133">
        <f t="shared" si="1"/>
        <v>3.3211999999999988</v>
      </c>
      <c r="H39" s="134">
        <f t="shared" si="15"/>
        <v>6.5838600000000005</v>
      </c>
      <c r="I39" s="135"/>
      <c r="J39" s="136">
        <f t="shared" si="16"/>
        <v>0</v>
      </c>
      <c r="K39" s="137"/>
      <c r="L39" s="138">
        <f t="shared" si="17"/>
        <v>0</v>
      </c>
      <c r="M39" s="137"/>
      <c r="N39" s="139">
        <f t="shared" si="18"/>
        <v>6.7009399999999983</v>
      </c>
      <c r="O39" s="137"/>
      <c r="P39" s="140">
        <f t="shared" si="19"/>
        <v>3.3211999999999988</v>
      </c>
      <c r="Q39" s="135"/>
      <c r="R39" s="104">
        <f t="shared" si="20"/>
        <v>6.5838600000000005</v>
      </c>
      <c r="S39" s="137"/>
      <c r="T39" s="141">
        <f t="shared" si="21"/>
        <v>10.022139999999997</v>
      </c>
      <c r="U39" s="199">
        <f t="shared" si="22"/>
        <v>0</v>
      </c>
      <c r="V39" s="37" t="str">
        <f t="shared" si="23"/>
        <v>ok</v>
      </c>
      <c r="W39" s="37" t="str">
        <f t="shared" si="24"/>
        <v>ok</v>
      </c>
      <c r="X39" s="278">
        <f t="shared" si="12"/>
        <v>1</v>
      </c>
      <c r="Y39" s="278">
        <f t="shared" si="13"/>
        <v>0.4955934601951103</v>
      </c>
      <c r="Z39" s="278">
        <f t="shared" si="14"/>
        <v>0.39647476815608823</v>
      </c>
    </row>
    <row r="40" spans="1:26" x14ac:dyDescent="0.25">
      <c r="A40" s="420"/>
      <c r="B40" s="178" t="s">
        <v>19</v>
      </c>
      <c r="C40" s="129">
        <v>19</v>
      </c>
      <c r="D40" s="239">
        <f>DMG_13*CMD_2</f>
        <v>2.8798599999999999</v>
      </c>
      <c r="E40" s="131">
        <f>OMG_13*CMO_2</f>
        <v>7.9420000000000002</v>
      </c>
      <c r="F40" s="132">
        <f t="shared" si="0"/>
        <v>6.3536000000000001</v>
      </c>
      <c r="G40" s="133">
        <f t="shared" si="1"/>
        <v>1.5883999999999996</v>
      </c>
      <c r="H40" s="134">
        <f t="shared" si="15"/>
        <v>2.8798599999999999</v>
      </c>
      <c r="I40" s="135"/>
      <c r="J40" s="136">
        <f t="shared" si="16"/>
        <v>0</v>
      </c>
      <c r="K40" s="137"/>
      <c r="L40" s="138">
        <f t="shared" si="17"/>
        <v>0</v>
      </c>
      <c r="M40" s="137"/>
      <c r="N40" s="139">
        <f t="shared" si="18"/>
        <v>3.4737400000000003</v>
      </c>
      <c r="O40" s="137"/>
      <c r="P40" s="140">
        <f t="shared" si="19"/>
        <v>1.5883999999999996</v>
      </c>
      <c r="Q40" s="135"/>
      <c r="R40" s="104">
        <f t="shared" si="20"/>
        <v>2.8798599999999999</v>
      </c>
      <c r="S40" s="137"/>
      <c r="T40" s="141">
        <f t="shared" si="21"/>
        <v>5.0621399999999994</v>
      </c>
      <c r="U40" s="199">
        <f t="shared" si="22"/>
        <v>0</v>
      </c>
      <c r="V40" s="37" t="str">
        <f t="shared" si="23"/>
        <v>ok</v>
      </c>
      <c r="W40" s="37" t="str">
        <f t="shared" si="24"/>
        <v>ok</v>
      </c>
      <c r="X40" s="278">
        <f t="shared" si="12"/>
        <v>1</v>
      </c>
      <c r="Y40" s="278">
        <f t="shared" si="13"/>
        <v>0.45326429111055144</v>
      </c>
      <c r="Z40" s="278">
        <f t="shared" si="14"/>
        <v>0.36261143288844117</v>
      </c>
    </row>
    <row r="41" spans="1:26" x14ac:dyDescent="0.25">
      <c r="A41" s="420"/>
      <c r="B41" s="178" t="s">
        <v>20</v>
      </c>
      <c r="C41" s="129">
        <v>20</v>
      </c>
      <c r="D41" s="239">
        <f>DMG_14*CMD_2</f>
        <v>2.00942</v>
      </c>
      <c r="E41" s="131">
        <f>OMG_14*CMO_2</f>
        <v>13.356999999999999</v>
      </c>
      <c r="F41" s="132">
        <f t="shared" si="0"/>
        <v>10.685600000000001</v>
      </c>
      <c r="G41" s="133">
        <f t="shared" si="1"/>
        <v>2.6713999999999993</v>
      </c>
      <c r="H41" s="134">
        <f t="shared" si="15"/>
        <v>2.00942</v>
      </c>
      <c r="I41" s="135"/>
      <c r="J41" s="136">
        <f t="shared" si="16"/>
        <v>0</v>
      </c>
      <c r="K41" s="137"/>
      <c r="L41" s="138">
        <f t="shared" si="17"/>
        <v>0</v>
      </c>
      <c r="M41" s="137"/>
      <c r="N41" s="139">
        <f t="shared" si="18"/>
        <v>8.6761800000000004</v>
      </c>
      <c r="O41" s="137"/>
      <c r="P41" s="140">
        <f t="shared" si="19"/>
        <v>2.6713999999999993</v>
      </c>
      <c r="Q41" s="135"/>
      <c r="R41" s="104">
        <f t="shared" si="20"/>
        <v>2.00942</v>
      </c>
      <c r="S41" s="137"/>
      <c r="T41" s="141">
        <f t="shared" si="21"/>
        <v>11.347580000000001</v>
      </c>
      <c r="U41" s="199">
        <f t="shared" si="22"/>
        <v>0</v>
      </c>
      <c r="V41" s="37" t="str">
        <f t="shared" si="23"/>
        <v>ok</v>
      </c>
      <c r="W41" s="37" t="str">
        <f t="shared" si="24"/>
        <v>ok</v>
      </c>
      <c r="X41" s="278">
        <f t="shared" si="12"/>
        <v>1</v>
      </c>
      <c r="Y41" s="278">
        <f t="shared" si="13"/>
        <v>0.18804933742606872</v>
      </c>
      <c r="Z41" s="278">
        <f t="shared" si="14"/>
        <v>0.150439469940855</v>
      </c>
    </row>
    <row r="42" spans="1:26" x14ac:dyDescent="0.25">
      <c r="A42" s="420"/>
      <c r="B42" s="178" t="s">
        <v>21</v>
      </c>
      <c r="C42" s="129">
        <v>21</v>
      </c>
      <c r="D42" s="239">
        <f>DMG_15*CMD_2</f>
        <v>4.1669999999999998</v>
      </c>
      <c r="E42" s="131">
        <f>OMG_15*CMO_2</f>
        <v>15.884</v>
      </c>
      <c r="F42" s="132">
        <f t="shared" si="0"/>
        <v>12.7072</v>
      </c>
      <c r="G42" s="133">
        <f t="shared" si="1"/>
        <v>3.1767999999999992</v>
      </c>
      <c r="H42" s="134">
        <f t="shared" si="15"/>
        <v>4.1669999999999998</v>
      </c>
      <c r="I42" s="135"/>
      <c r="J42" s="136">
        <f t="shared" si="16"/>
        <v>0</v>
      </c>
      <c r="K42" s="137"/>
      <c r="L42" s="138">
        <f t="shared" si="17"/>
        <v>0</v>
      </c>
      <c r="M42" s="137"/>
      <c r="N42" s="139">
        <f t="shared" si="18"/>
        <v>8.5402000000000005</v>
      </c>
      <c r="O42" s="137"/>
      <c r="P42" s="140">
        <f t="shared" si="19"/>
        <v>3.1767999999999992</v>
      </c>
      <c r="Q42" s="135"/>
      <c r="R42" s="104">
        <f t="shared" si="20"/>
        <v>4.1669999999999998</v>
      </c>
      <c r="S42" s="137"/>
      <c r="T42" s="141">
        <f t="shared" si="21"/>
        <v>11.716999999999999</v>
      </c>
      <c r="U42" s="199">
        <f t="shared" si="22"/>
        <v>0</v>
      </c>
      <c r="V42" s="37" t="str">
        <f t="shared" si="23"/>
        <v>ok</v>
      </c>
      <c r="W42" s="37" t="str">
        <f t="shared" si="24"/>
        <v>ok</v>
      </c>
      <c r="X42" s="278">
        <f t="shared" si="12"/>
        <v>1</v>
      </c>
      <c r="Y42" s="278">
        <f t="shared" si="13"/>
        <v>0.32792432636615459</v>
      </c>
      <c r="Z42" s="278">
        <f t="shared" si="14"/>
        <v>0.26233946109292366</v>
      </c>
    </row>
    <row r="43" spans="1:26" x14ac:dyDescent="0.25">
      <c r="A43" s="420"/>
      <c r="B43" s="178" t="s">
        <v>22</v>
      </c>
      <c r="C43" s="129">
        <v>22</v>
      </c>
      <c r="D43" s="239">
        <f>DMG_16*CMD_2</f>
        <v>16.723559999999999</v>
      </c>
      <c r="E43" s="131">
        <f>OMG_16*CMO_2</f>
        <v>17.869499999999999</v>
      </c>
      <c r="F43" s="132">
        <f t="shared" si="0"/>
        <v>14.2956</v>
      </c>
      <c r="G43" s="133">
        <f t="shared" si="1"/>
        <v>3.5738999999999987</v>
      </c>
      <c r="H43" s="134">
        <f t="shared" si="15"/>
        <v>16.723559999999999</v>
      </c>
      <c r="I43" s="135"/>
      <c r="J43" s="136">
        <f t="shared" si="16"/>
        <v>0</v>
      </c>
      <c r="K43" s="137"/>
      <c r="L43" s="138">
        <f t="shared" si="17"/>
        <v>2.4279599999999988</v>
      </c>
      <c r="M43" s="137"/>
      <c r="N43" s="139">
        <f t="shared" si="18"/>
        <v>0</v>
      </c>
      <c r="O43" s="137"/>
      <c r="P43" s="140">
        <f t="shared" si="19"/>
        <v>1.1459399999999995</v>
      </c>
      <c r="Q43" s="135"/>
      <c r="R43" s="104">
        <f t="shared" si="20"/>
        <v>14.2956</v>
      </c>
      <c r="S43" s="137"/>
      <c r="T43" s="141">
        <f t="shared" si="21"/>
        <v>3.5738999999999983</v>
      </c>
      <c r="U43" s="199">
        <f t="shared" si="22"/>
        <v>2.4279599999999988</v>
      </c>
      <c r="V43" s="37" t="str">
        <f t="shared" si="23"/>
        <v>ok</v>
      </c>
      <c r="W43" s="37" t="str">
        <f t="shared" si="24"/>
        <v>ok</v>
      </c>
      <c r="X43" s="278">
        <f t="shared" si="12"/>
        <v>0.85481799329807773</v>
      </c>
      <c r="Y43" s="278">
        <f t="shared" si="13"/>
        <v>1</v>
      </c>
      <c r="Z43" s="278">
        <f t="shared" si="14"/>
        <v>0.8</v>
      </c>
    </row>
    <row r="44" spans="1:26" x14ac:dyDescent="0.25">
      <c r="A44" s="420"/>
      <c r="B44" s="178" t="s">
        <v>23</v>
      </c>
      <c r="C44" s="129">
        <v>23</v>
      </c>
      <c r="D44" s="239">
        <f>DMG_17*CMD_2</f>
        <v>13.6122</v>
      </c>
      <c r="E44" s="131">
        <f>OMG_17*CMO_2</f>
        <v>11.320959999999999</v>
      </c>
      <c r="F44" s="132">
        <f t="shared" si="0"/>
        <v>9.0567679999999999</v>
      </c>
      <c r="G44" s="133">
        <f t="shared" si="1"/>
        <v>2.2641919999999995</v>
      </c>
      <c r="H44" s="134">
        <f t="shared" si="15"/>
        <v>11.320959999999999</v>
      </c>
      <c r="I44" s="135"/>
      <c r="J44" s="136">
        <f t="shared" si="16"/>
        <v>2.2912400000000002</v>
      </c>
      <c r="K44" s="137"/>
      <c r="L44" s="138">
        <f t="shared" si="17"/>
        <v>2.2641919999999995</v>
      </c>
      <c r="M44" s="137"/>
      <c r="N44" s="139">
        <f t="shared" si="18"/>
        <v>0</v>
      </c>
      <c r="O44" s="137"/>
      <c r="P44" s="140">
        <f t="shared" si="19"/>
        <v>0</v>
      </c>
      <c r="Q44" s="135"/>
      <c r="R44" s="104">
        <f t="shared" si="20"/>
        <v>9.0567679999999999</v>
      </c>
      <c r="S44" s="137"/>
      <c r="T44" s="141">
        <f t="shared" si="21"/>
        <v>2.2641919999999995</v>
      </c>
      <c r="U44" s="199">
        <f t="shared" si="22"/>
        <v>4.5554319999999997</v>
      </c>
      <c r="V44" s="37" t="str">
        <f t="shared" si="23"/>
        <v>ok</v>
      </c>
      <c r="W44" s="37" t="str">
        <f t="shared" si="24"/>
        <v>ok</v>
      </c>
      <c r="X44" s="278">
        <f t="shared" si="12"/>
        <v>0.66534197264218864</v>
      </c>
      <c r="Y44" s="278">
        <f t="shared" si="13"/>
        <v>1</v>
      </c>
      <c r="Z44" s="278">
        <f t="shared" si="14"/>
        <v>0.8</v>
      </c>
    </row>
    <row r="45" spans="1:26" x14ac:dyDescent="0.25">
      <c r="A45" s="420"/>
      <c r="B45" s="178" t="s">
        <v>19</v>
      </c>
      <c r="C45" s="129">
        <v>26</v>
      </c>
      <c r="D45" s="239">
        <f>DMG_18*CMD_2</f>
        <v>7.8432200000000014</v>
      </c>
      <c r="E45" s="131">
        <f>OMG_18*CMO_2</f>
        <v>5.3644599999999993</v>
      </c>
      <c r="F45" s="132">
        <f t="shared" si="0"/>
        <v>4.2915679999999998</v>
      </c>
      <c r="G45" s="133">
        <f t="shared" si="1"/>
        <v>1.0728919999999997</v>
      </c>
      <c r="H45" s="134">
        <f t="shared" si="15"/>
        <v>5.3644599999999993</v>
      </c>
      <c r="I45" s="135"/>
      <c r="J45" s="136">
        <f t="shared" si="16"/>
        <v>2.4787600000000021</v>
      </c>
      <c r="K45" s="137"/>
      <c r="L45" s="138">
        <f t="shared" si="17"/>
        <v>1.0728919999999997</v>
      </c>
      <c r="M45" s="137"/>
      <c r="N45" s="139">
        <f t="shared" si="18"/>
        <v>0</v>
      </c>
      <c r="O45" s="137"/>
      <c r="P45" s="140">
        <f t="shared" si="19"/>
        <v>0</v>
      </c>
      <c r="Q45" s="135"/>
      <c r="R45" s="104">
        <f t="shared" si="20"/>
        <v>4.2915679999999998</v>
      </c>
      <c r="S45" s="137"/>
      <c r="T45" s="141">
        <f t="shared" si="21"/>
        <v>1.0728919999999997</v>
      </c>
      <c r="U45" s="199">
        <f t="shared" si="22"/>
        <v>3.5516520000000016</v>
      </c>
      <c r="V45" s="37" t="str">
        <f t="shared" si="23"/>
        <v>ok</v>
      </c>
      <c r="W45" s="37" t="str">
        <f t="shared" si="24"/>
        <v>ok</v>
      </c>
      <c r="X45" s="278">
        <f t="shared" si="12"/>
        <v>0.54716914736549516</v>
      </c>
      <c r="Y45" s="278">
        <f t="shared" si="13"/>
        <v>1</v>
      </c>
      <c r="Z45" s="278">
        <f t="shared" si="14"/>
        <v>0.8</v>
      </c>
    </row>
    <row r="46" spans="1:26" x14ac:dyDescent="0.25">
      <c r="A46" s="420"/>
      <c r="B46" s="178" t="s">
        <v>20</v>
      </c>
      <c r="C46" s="129">
        <v>27</v>
      </c>
      <c r="D46" s="239">
        <f>DMG_19*CMD_2</f>
        <v>6.4218099999999998</v>
      </c>
      <c r="E46" s="131">
        <f>OMG_19*CMO_2</f>
        <v>7.1478000000000002</v>
      </c>
      <c r="F46" s="132">
        <f t="shared" si="0"/>
        <v>5.7182400000000007</v>
      </c>
      <c r="G46" s="133">
        <f t="shared" si="1"/>
        <v>1.4295599999999997</v>
      </c>
      <c r="H46" s="134">
        <f t="shared" si="15"/>
        <v>6.4218099999999998</v>
      </c>
      <c r="I46" s="135"/>
      <c r="J46" s="136">
        <f t="shared" si="16"/>
        <v>0</v>
      </c>
      <c r="K46" s="137"/>
      <c r="L46" s="138">
        <f t="shared" si="17"/>
        <v>0.70356999999999914</v>
      </c>
      <c r="M46" s="137"/>
      <c r="N46" s="139">
        <f t="shared" si="18"/>
        <v>0</v>
      </c>
      <c r="O46" s="137"/>
      <c r="P46" s="140">
        <f t="shared" si="19"/>
        <v>0.72599000000000036</v>
      </c>
      <c r="Q46" s="135"/>
      <c r="R46" s="104">
        <f t="shared" si="20"/>
        <v>5.7182400000000007</v>
      </c>
      <c r="S46" s="137"/>
      <c r="T46" s="141">
        <f t="shared" si="21"/>
        <v>1.4295599999999995</v>
      </c>
      <c r="U46" s="199">
        <f t="shared" si="22"/>
        <v>0.70356999999999914</v>
      </c>
      <c r="V46" s="37" t="str">
        <f t="shared" si="23"/>
        <v>ok</v>
      </c>
      <c r="W46" s="37" t="str">
        <f t="shared" si="24"/>
        <v>ok</v>
      </c>
      <c r="X46" s="278">
        <f t="shared" si="12"/>
        <v>0.89044054557827168</v>
      </c>
      <c r="Y46" s="278">
        <f t="shared" si="13"/>
        <v>1</v>
      </c>
      <c r="Z46" s="278">
        <f t="shared" si="14"/>
        <v>0.8</v>
      </c>
    </row>
    <row r="47" spans="1:26" ht="15.75" thickBot="1" x14ac:dyDescent="0.3">
      <c r="A47" s="421"/>
      <c r="B47" s="180" t="s">
        <v>21</v>
      </c>
      <c r="C47" s="237">
        <v>28</v>
      </c>
      <c r="D47" s="240">
        <f>DMG_20*CMD_2</f>
        <v>12.061150000000001</v>
      </c>
      <c r="E47" s="203">
        <f>OMG_20*CMO_2</f>
        <v>11.320959999999999</v>
      </c>
      <c r="F47" s="204">
        <f t="shared" si="0"/>
        <v>9.0567679999999999</v>
      </c>
      <c r="G47" s="205">
        <f t="shared" si="1"/>
        <v>2.2641919999999995</v>
      </c>
      <c r="H47" s="206">
        <f t="shared" si="15"/>
        <v>11.320959999999999</v>
      </c>
      <c r="I47" s="207"/>
      <c r="J47" s="208">
        <f t="shared" si="16"/>
        <v>0.7401900000000019</v>
      </c>
      <c r="K47" s="209"/>
      <c r="L47" s="210">
        <f t="shared" si="17"/>
        <v>2.2641919999999995</v>
      </c>
      <c r="M47" s="209"/>
      <c r="N47" s="211">
        <f t="shared" si="18"/>
        <v>0</v>
      </c>
      <c r="O47" s="209"/>
      <c r="P47" s="212">
        <f t="shared" si="19"/>
        <v>0</v>
      </c>
      <c r="Q47" s="207"/>
      <c r="R47" s="213">
        <f t="shared" si="20"/>
        <v>9.0567679999999999</v>
      </c>
      <c r="S47" s="209"/>
      <c r="T47" s="214">
        <f t="shared" si="21"/>
        <v>2.2641919999999995</v>
      </c>
      <c r="U47" s="215">
        <f t="shared" si="22"/>
        <v>3.0043820000000014</v>
      </c>
      <c r="V47" s="37" t="str">
        <f t="shared" si="23"/>
        <v>ok</v>
      </c>
      <c r="W47" s="37" t="str">
        <f t="shared" si="24"/>
        <v>ok</v>
      </c>
      <c r="X47" s="278">
        <f t="shared" si="12"/>
        <v>0.75090418409521476</v>
      </c>
      <c r="Y47" s="278">
        <f t="shared" si="13"/>
        <v>1</v>
      </c>
      <c r="Z47" s="278">
        <f t="shared" si="14"/>
        <v>0.8</v>
      </c>
    </row>
    <row r="48" spans="1:26" x14ac:dyDescent="0.25">
      <c r="A48" s="419" t="s">
        <v>91</v>
      </c>
      <c r="B48" s="176" t="s">
        <v>22</v>
      </c>
      <c r="C48" s="241">
        <v>1</v>
      </c>
      <c r="D48" s="238">
        <f>DMG_1*CMD_3</f>
        <v>9.9061700000000013</v>
      </c>
      <c r="E48" s="185">
        <f>OMG_1*CMO_3</f>
        <v>16.614000000000001</v>
      </c>
      <c r="F48" s="186">
        <f t="shared" si="0"/>
        <v>13.291200000000002</v>
      </c>
      <c r="G48" s="187">
        <f t="shared" si="1"/>
        <v>3.3227999999999995</v>
      </c>
      <c r="H48" s="188">
        <f>IF(E48&gt;D48,D48,E48)</f>
        <v>9.9061700000000013</v>
      </c>
      <c r="I48" s="189"/>
      <c r="J48" s="190">
        <f>IF(E48&gt;D48,0,D48-E48)</f>
        <v>0</v>
      </c>
      <c r="K48" s="191"/>
      <c r="L48" s="192">
        <f>IF(E48&gt;D48,IF(F48&gt;H48,0,H48-F48),G48)</f>
        <v>0</v>
      </c>
      <c r="M48" s="191"/>
      <c r="N48" s="193">
        <f>IF(E48&gt;D48,IF(F48&gt;H48,F48-H48,0),0)</f>
        <v>3.3850300000000004</v>
      </c>
      <c r="O48" s="191"/>
      <c r="P48" s="194">
        <f>IF(E48&gt;D48,IF(F48&gt;H48,G48,E48-H48),0)</f>
        <v>3.3227999999999995</v>
      </c>
      <c r="Q48" s="189"/>
      <c r="R48" s="195">
        <f>H48-L48</f>
        <v>9.9061700000000013</v>
      </c>
      <c r="S48" s="191"/>
      <c r="T48" s="196">
        <f>L48+N48+P48</f>
        <v>6.7078299999999995</v>
      </c>
      <c r="U48" s="197">
        <f>J48+L48</f>
        <v>0</v>
      </c>
      <c r="V48" s="37" t="str">
        <f>IF(R48+T48=E48,"ok","bad")</f>
        <v>ok</v>
      </c>
      <c r="W48" s="37" t="str">
        <f>IF(U48+R48=D48,"ok","bad")</f>
        <v>ok</v>
      </c>
      <c r="X48" s="278">
        <f t="shared" si="12"/>
        <v>1</v>
      </c>
      <c r="Y48" s="278">
        <f t="shared" si="13"/>
        <v>0.74531795473696882</v>
      </c>
      <c r="Z48" s="278">
        <f t="shared" si="14"/>
        <v>0.59625436378957508</v>
      </c>
    </row>
    <row r="49" spans="1:26" x14ac:dyDescent="0.25">
      <c r="A49" s="420"/>
      <c r="B49" s="178" t="s">
        <v>23</v>
      </c>
      <c r="C49" s="129">
        <v>2</v>
      </c>
      <c r="D49" s="239">
        <f>DMG_2*CMD_3</f>
        <v>7.7783400000000009</v>
      </c>
      <c r="E49" s="131">
        <f>OMG_2*CMO_3</f>
        <v>12.1836</v>
      </c>
      <c r="F49" s="132">
        <f t="shared" si="0"/>
        <v>9.7468800000000009</v>
      </c>
      <c r="G49" s="133">
        <f t="shared" si="1"/>
        <v>2.4367199999999993</v>
      </c>
      <c r="H49" s="134">
        <f t="shared" ref="H49:H69" si="25">IF(E49&gt;D49,D49,E49)</f>
        <v>7.7783400000000009</v>
      </c>
      <c r="I49" s="135"/>
      <c r="J49" s="136">
        <f t="shared" ref="J49:J69" si="26">IF(E49&gt;D49,0,D49-E49)</f>
        <v>0</v>
      </c>
      <c r="K49" s="137"/>
      <c r="L49" s="138">
        <f t="shared" ref="L49:L69" si="27">IF(E49&gt;D49,IF(F49&gt;H49,0,H49-F49),G49)</f>
        <v>0</v>
      </c>
      <c r="M49" s="137"/>
      <c r="N49" s="139">
        <f t="shared" ref="N49:N69" si="28">IF(E49&gt;D49,IF(F49&gt;H49,F49-H49,0),0)</f>
        <v>1.96854</v>
      </c>
      <c r="O49" s="137"/>
      <c r="P49" s="140">
        <f t="shared" ref="P49:P69" si="29">IF(E49&gt;D49,IF(F49&gt;H49,G49,E49-H49),0)</f>
        <v>2.4367199999999993</v>
      </c>
      <c r="Q49" s="135"/>
      <c r="R49" s="104">
        <f t="shared" ref="R49:R69" si="30">H49-L49</f>
        <v>7.7783400000000009</v>
      </c>
      <c r="S49" s="137"/>
      <c r="T49" s="141">
        <f t="shared" ref="T49:T69" si="31">L49+N49+P49</f>
        <v>4.4052599999999993</v>
      </c>
      <c r="U49" s="199">
        <f t="shared" ref="U49:U69" si="32">J49+L49</f>
        <v>0</v>
      </c>
      <c r="V49" s="37" t="str">
        <f t="shared" ref="V49:V69" si="33">IF(R49+T49=E49,"ok","bad")</f>
        <v>ok</v>
      </c>
      <c r="W49" s="37" t="str">
        <f t="shared" ref="W49:W69" si="34">IF(U49+R49=D49,"ok","bad")</f>
        <v>ok</v>
      </c>
      <c r="X49" s="278">
        <f t="shared" si="12"/>
        <v>1</v>
      </c>
      <c r="Y49" s="278">
        <f t="shared" si="13"/>
        <v>0.79803383236481829</v>
      </c>
      <c r="Z49" s="278">
        <f t="shared" si="14"/>
        <v>0.63842706589185472</v>
      </c>
    </row>
    <row r="50" spans="1:26" x14ac:dyDescent="0.25">
      <c r="A50" s="420"/>
      <c r="B50" s="178" t="s">
        <v>19</v>
      </c>
      <c r="C50" s="129">
        <v>5</v>
      </c>
      <c r="D50" s="239">
        <f>DMG_3*CMD_3</f>
        <v>3.4023400000000001</v>
      </c>
      <c r="E50" s="131">
        <f>OMG_3*CMO_3</f>
        <v>4.9841999999999995</v>
      </c>
      <c r="F50" s="132">
        <f t="shared" si="0"/>
        <v>3.9873599999999998</v>
      </c>
      <c r="G50" s="133">
        <f t="shared" si="1"/>
        <v>0.99683999999999973</v>
      </c>
      <c r="H50" s="134">
        <f t="shared" si="25"/>
        <v>3.4023400000000001</v>
      </c>
      <c r="I50" s="135"/>
      <c r="J50" s="136">
        <f t="shared" si="26"/>
        <v>0</v>
      </c>
      <c r="K50" s="137"/>
      <c r="L50" s="138">
        <f t="shared" si="27"/>
        <v>0</v>
      </c>
      <c r="M50" s="137"/>
      <c r="N50" s="139">
        <f t="shared" si="28"/>
        <v>0.58501999999999965</v>
      </c>
      <c r="O50" s="137"/>
      <c r="P50" s="140">
        <f t="shared" si="29"/>
        <v>0.99683999999999973</v>
      </c>
      <c r="Q50" s="135"/>
      <c r="R50" s="104">
        <f t="shared" si="30"/>
        <v>3.4023400000000001</v>
      </c>
      <c r="S50" s="137"/>
      <c r="T50" s="141">
        <f t="shared" si="31"/>
        <v>1.5818599999999994</v>
      </c>
      <c r="U50" s="199">
        <f t="shared" si="32"/>
        <v>0</v>
      </c>
      <c r="V50" s="37" t="str">
        <f t="shared" si="33"/>
        <v>ok</v>
      </c>
      <c r="W50" s="37" t="str">
        <f t="shared" si="34"/>
        <v>ok</v>
      </c>
      <c r="X50" s="278">
        <f t="shared" si="12"/>
        <v>1</v>
      </c>
      <c r="Y50" s="278">
        <f t="shared" si="13"/>
        <v>0.85328136912643959</v>
      </c>
      <c r="Z50" s="278">
        <f t="shared" si="14"/>
        <v>0.68262509530115179</v>
      </c>
    </row>
    <row r="51" spans="1:26" x14ac:dyDescent="0.25">
      <c r="A51" s="420"/>
      <c r="B51" s="178" t="s">
        <v>20</v>
      </c>
      <c r="C51" s="129">
        <v>6</v>
      </c>
      <c r="D51" s="239">
        <f>DMG_4*CMD_3</f>
        <v>2.37398</v>
      </c>
      <c r="E51" s="131">
        <f>OMG_4*CMO_3</f>
        <v>7.4763000000000002</v>
      </c>
      <c r="F51" s="132">
        <f t="shared" si="0"/>
        <v>5.9810400000000001</v>
      </c>
      <c r="G51" s="133">
        <f t="shared" si="1"/>
        <v>1.4952599999999998</v>
      </c>
      <c r="H51" s="134">
        <f t="shared" si="25"/>
        <v>2.37398</v>
      </c>
      <c r="I51" s="135"/>
      <c r="J51" s="136">
        <f t="shared" si="26"/>
        <v>0</v>
      </c>
      <c r="K51" s="137"/>
      <c r="L51" s="138">
        <f t="shared" si="27"/>
        <v>0</v>
      </c>
      <c r="M51" s="137"/>
      <c r="N51" s="139">
        <f t="shared" si="28"/>
        <v>3.6070600000000002</v>
      </c>
      <c r="O51" s="137"/>
      <c r="P51" s="140">
        <f t="shared" si="29"/>
        <v>1.4952599999999998</v>
      </c>
      <c r="Q51" s="135"/>
      <c r="R51" s="104">
        <f t="shared" si="30"/>
        <v>2.37398</v>
      </c>
      <c r="S51" s="137"/>
      <c r="T51" s="141">
        <f t="shared" si="31"/>
        <v>5.1023199999999997</v>
      </c>
      <c r="U51" s="199">
        <f t="shared" si="32"/>
        <v>0</v>
      </c>
      <c r="V51" s="37" t="str">
        <f t="shared" si="33"/>
        <v>ok</v>
      </c>
      <c r="W51" s="37" t="str">
        <f t="shared" si="34"/>
        <v>ok</v>
      </c>
      <c r="X51" s="278">
        <f t="shared" si="12"/>
        <v>1</v>
      </c>
      <c r="Y51" s="278">
        <f t="shared" si="13"/>
        <v>0.39691759292698259</v>
      </c>
      <c r="Z51" s="278">
        <f t="shared" si="14"/>
        <v>0.31753407434158609</v>
      </c>
    </row>
    <row r="52" spans="1:26" x14ac:dyDescent="0.25">
      <c r="A52" s="420"/>
      <c r="B52" s="178" t="s">
        <v>21</v>
      </c>
      <c r="C52" s="129">
        <v>7</v>
      </c>
      <c r="D52" s="239">
        <f>DMG_5*CMD_3</f>
        <v>4.923</v>
      </c>
      <c r="E52" s="131">
        <f>OMG_5*CMO_3</f>
        <v>12.1836</v>
      </c>
      <c r="F52" s="132">
        <f t="shared" si="0"/>
        <v>9.7468800000000009</v>
      </c>
      <c r="G52" s="133">
        <f t="shared" si="1"/>
        <v>2.4367199999999993</v>
      </c>
      <c r="H52" s="134">
        <f t="shared" si="25"/>
        <v>4.923</v>
      </c>
      <c r="I52" s="135"/>
      <c r="J52" s="136">
        <f t="shared" si="26"/>
        <v>0</v>
      </c>
      <c r="K52" s="137"/>
      <c r="L52" s="138">
        <f t="shared" si="27"/>
        <v>0</v>
      </c>
      <c r="M52" s="137"/>
      <c r="N52" s="139">
        <f t="shared" si="28"/>
        <v>4.8238800000000008</v>
      </c>
      <c r="O52" s="137"/>
      <c r="P52" s="140">
        <f t="shared" si="29"/>
        <v>2.4367199999999993</v>
      </c>
      <c r="Q52" s="135"/>
      <c r="R52" s="104">
        <f t="shared" si="30"/>
        <v>4.923</v>
      </c>
      <c r="S52" s="137"/>
      <c r="T52" s="141">
        <f t="shared" si="31"/>
        <v>7.2606000000000002</v>
      </c>
      <c r="U52" s="199">
        <f t="shared" si="32"/>
        <v>0</v>
      </c>
      <c r="V52" s="37" t="str">
        <f t="shared" si="33"/>
        <v>ok</v>
      </c>
      <c r="W52" s="37" t="str">
        <f t="shared" si="34"/>
        <v>ok</v>
      </c>
      <c r="X52" s="278">
        <f t="shared" si="12"/>
        <v>1</v>
      </c>
      <c r="Y52" s="278">
        <f t="shared" si="13"/>
        <v>0.50508470402836592</v>
      </c>
      <c r="Z52" s="278">
        <f t="shared" si="14"/>
        <v>0.40406776322269278</v>
      </c>
    </row>
    <row r="53" spans="1:26" x14ac:dyDescent="0.25">
      <c r="A53" s="420"/>
      <c r="B53" s="178" t="s">
        <v>22</v>
      </c>
      <c r="C53" s="129">
        <v>8</v>
      </c>
      <c r="D53" s="239">
        <f>DMG_6*CMD_3</f>
        <v>15.808300000000001</v>
      </c>
      <c r="E53" s="131">
        <f>OMG_6*CMO_3</f>
        <v>8.52</v>
      </c>
      <c r="F53" s="132">
        <f t="shared" si="0"/>
        <v>6.8159999999999998</v>
      </c>
      <c r="G53" s="133">
        <f t="shared" si="1"/>
        <v>1.7039999999999995</v>
      </c>
      <c r="H53" s="134">
        <f t="shared" si="25"/>
        <v>8.52</v>
      </c>
      <c r="I53" s="135"/>
      <c r="J53" s="136">
        <f t="shared" si="26"/>
        <v>7.2883000000000013</v>
      </c>
      <c r="K53" s="137"/>
      <c r="L53" s="138">
        <f t="shared" si="27"/>
        <v>1.7039999999999995</v>
      </c>
      <c r="M53" s="137"/>
      <c r="N53" s="139">
        <f t="shared" si="28"/>
        <v>0</v>
      </c>
      <c r="O53" s="137"/>
      <c r="P53" s="140">
        <f t="shared" si="29"/>
        <v>0</v>
      </c>
      <c r="Q53" s="135"/>
      <c r="R53" s="104">
        <f t="shared" si="30"/>
        <v>6.8159999999999998</v>
      </c>
      <c r="S53" s="137"/>
      <c r="T53" s="141">
        <f t="shared" si="31"/>
        <v>1.7039999999999995</v>
      </c>
      <c r="U53" s="199">
        <f t="shared" si="32"/>
        <v>8.9923000000000002</v>
      </c>
      <c r="V53" s="37" t="str">
        <f t="shared" si="33"/>
        <v>ok</v>
      </c>
      <c r="W53" s="37" t="str">
        <f t="shared" si="34"/>
        <v>ok</v>
      </c>
      <c r="X53" s="278">
        <f t="shared" si="12"/>
        <v>0.43116590651746234</v>
      </c>
      <c r="Y53" s="278">
        <f t="shared" si="13"/>
        <v>1</v>
      </c>
      <c r="Z53" s="278">
        <f t="shared" si="14"/>
        <v>0.8</v>
      </c>
    </row>
    <row r="54" spans="1:26" x14ac:dyDescent="0.25">
      <c r="A54" s="420"/>
      <c r="B54" s="178" t="s">
        <v>23</v>
      </c>
      <c r="C54" s="129">
        <v>9</v>
      </c>
      <c r="D54" s="239">
        <f>DMG_7*CMD_3</f>
        <v>12.821680000000002</v>
      </c>
      <c r="E54" s="131">
        <f>OMG_7*CMO_3</f>
        <v>8.7330000000000005</v>
      </c>
      <c r="F54" s="132">
        <f t="shared" si="0"/>
        <v>6.9864000000000006</v>
      </c>
      <c r="G54" s="133">
        <f t="shared" si="1"/>
        <v>1.7465999999999997</v>
      </c>
      <c r="H54" s="134">
        <f t="shared" si="25"/>
        <v>8.7330000000000005</v>
      </c>
      <c r="I54" s="135"/>
      <c r="J54" s="136">
        <f t="shared" si="26"/>
        <v>4.0886800000000019</v>
      </c>
      <c r="K54" s="137"/>
      <c r="L54" s="138">
        <f t="shared" si="27"/>
        <v>1.7465999999999997</v>
      </c>
      <c r="M54" s="137"/>
      <c r="N54" s="139">
        <f t="shared" si="28"/>
        <v>0</v>
      </c>
      <c r="O54" s="137"/>
      <c r="P54" s="140">
        <f t="shared" si="29"/>
        <v>0</v>
      </c>
      <c r="Q54" s="135"/>
      <c r="R54" s="104">
        <f t="shared" si="30"/>
        <v>6.9864000000000006</v>
      </c>
      <c r="S54" s="137"/>
      <c r="T54" s="141">
        <f t="shared" si="31"/>
        <v>1.7465999999999997</v>
      </c>
      <c r="U54" s="199">
        <f t="shared" si="32"/>
        <v>5.8352800000000018</v>
      </c>
      <c r="V54" s="37" t="str">
        <f t="shared" si="33"/>
        <v>ok</v>
      </c>
      <c r="W54" s="37" t="str">
        <f t="shared" si="34"/>
        <v>ok</v>
      </c>
      <c r="X54" s="278">
        <f t="shared" si="12"/>
        <v>0.54488959325143038</v>
      </c>
      <c r="Y54" s="278">
        <f t="shared" si="13"/>
        <v>1</v>
      </c>
      <c r="Z54" s="278">
        <f t="shared" si="14"/>
        <v>0.8</v>
      </c>
    </row>
    <row r="55" spans="1:26" x14ac:dyDescent="0.25">
      <c r="A55" s="420"/>
      <c r="B55" s="178" t="s">
        <v>19</v>
      </c>
      <c r="C55" s="129">
        <v>12</v>
      </c>
      <c r="D55" s="239">
        <f>DMG_8*CMD_3</f>
        <v>7.4118500000000012</v>
      </c>
      <c r="E55" s="131">
        <f>OMG_8*CMO_3</f>
        <v>4.6859999999999999</v>
      </c>
      <c r="F55" s="132">
        <f t="shared" si="0"/>
        <v>3.7488000000000001</v>
      </c>
      <c r="G55" s="133">
        <f t="shared" si="1"/>
        <v>0.93719999999999981</v>
      </c>
      <c r="H55" s="134">
        <f t="shared" si="25"/>
        <v>4.6859999999999999</v>
      </c>
      <c r="I55" s="135"/>
      <c r="J55" s="136">
        <f t="shared" si="26"/>
        <v>2.7258500000000012</v>
      </c>
      <c r="K55" s="137"/>
      <c r="L55" s="138">
        <f t="shared" si="27"/>
        <v>0.93719999999999981</v>
      </c>
      <c r="M55" s="137"/>
      <c r="N55" s="139">
        <f t="shared" si="28"/>
        <v>0</v>
      </c>
      <c r="O55" s="137"/>
      <c r="P55" s="140">
        <f t="shared" si="29"/>
        <v>0</v>
      </c>
      <c r="Q55" s="135"/>
      <c r="R55" s="104">
        <f t="shared" si="30"/>
        <v>3.7488000000000001</v>
      </c>
      <c r="S55" s="137"/>
      <c r="T55" s="141">
        <f t="shared" si="31"/>
        <v>0.93719999999999981</v>
      </c>
      <c r="U55" s="199">
        <f t="shared" si="32"/>
        <v>3.663050000000001</v>
      </c>
      <c r="V55" s="37" t="str">
        <f t="shared" si="33"/>
        <v>ok</v>
      </c>
      <c r="W55" s="37" t="str">
        <f t="shared" si="34"/>
        <v>ok</v>
      </c>
      <c r="X55" s="278">
        <f t="shared" si="12"/>
        <v>0.5057846556527722</v>
      </c>
      <c r="Y55" s="278">
        <f t="shared" si="13"/>
        <v>1</v>
      </c>
      <c r="Z55" s="278">
        <f t="shared" si="14"/>
        <v>0.8</v>
      </c>
    </row>
    <row r="56" spans="1:26" x14ac:dyDescent="0.25">
      <c r="A56" s="420"/>
      <c r="B56" s="178" t="s">
        <v>20</v>
      </c>
      <c r="C56" s="129">
        <v>13</v>
      </c>
      <c r="D56" s="239">
        <f>DMG_9*CMD_3</f>
        <v>5.9841800000000003</v>
      </c>
      <c r="E56" s="131">
        <f>OMG_9*CMO_3</f>
        <v>5.9639999999999995</v>
      </c>
      <c r="F56" s="132">
        <f t="shared" si="0"/>
        <v>4.7711999999999994</v>
      </c>
      <c r="G56" s="133">
        <f t="shared" si="1"/>
        <v>1.1927999999999996</v>
      </c>
      <c r="H56" s="134">
        <f t="shared" si="25"/>
        <v>5.9639999999999995</v>
      </c>
      <c r="I56" s="135"/>
      <c r="J56" s="136">
        <f t="shared" si="26"/>
        <v>2.0180000000000753E-2</v>
      </c>
      <c r="K56" s="137"/>
      <c r="L56" s="138">
        <f t="shared" si="27"/>
        <v>1.1927999999999996</v>
      </c>
      <c r="M56" s="137"/>
      <c r="N56" s="139">
        <f t="shared" si="28"/>
        <v>0</v>
      </c>
      <c r="O56" s="137"/>
      <c r="P56" s="140">
        <f t="shared" si="29"/>
        <v>0</v>
      </c>
      <c r="Q56" s="135"/>
      <c r="R56" s="104">
        <f t="shared" si="30"/>
        <v>4.7712000000000003</v>
      </c>
      <c r="S56" s="137"/>
      <c r="T56" s="141">
        <f t="shared" si="31"/>
        <v>1.1927999999999996</v>
      </c>
      <c r="U56" s="199">
        <f t="shared" si="32"/>
        <v>1.2129800000000004</v>
      </c>
      <c r="V56" s="37" t="str">
        <f t="shared" si="33"/>
        <v>ok</v>
      </c>
      <c r="W56" s="37" t="str">
        <f t="shared" si="34"/>
        <v>ok</v>
      </c>
      <c r="X56" s="278">
        <f t="shared" si="12"/>
        <v>0.79730222018722696</v>
      </c>
      <c r="Y56" s="278">
        <f t="shared" si="13"/>
        <v>1.0000000000000002</v>
      </c>
      <c r="Z56" s="278">
        <f t="shared" si="14"/>
        <v>0.80000000000000016</v>
      </c>
    </row>
    <row r="57" spans="1:26" x14ac:dyDescent="0.25">
      <c r="A57" s="420"/>
      <c r="B57" s="178" t="s">
        <v>21</v>
      </c>
      <c r="C57" s="129">
        <v>14</v>
      </c>
      <c r="D57" s="239">
        <f>DMG_10*CMD_3</f>
        <v>11.399480000000001</v>
      </c>
      <c r="E57" s="131">
        <f>OMG_10*CMO_3</f>
        <v>8.0939999999999994</v>
      </c>
      <c r="F57" s="132">
        <f t="shared" si="0"/>
        <v>6.4752000000000001</v>
      </c>
      <c r="G57" s="133">
        <f t="shared" si="1"/>
        <v>1.6187999999999996</v>
      </c>
      <c r="H57" s="134">
        <f t="shared" si="25"/>
        <v>8.0939999999999994</v>
      </c>
      <c r="I57" s="135"/>
      <c r="J57" s="136">
        <f t="shared" si="26"/>
        <v>3.3054800000000011</v>
      </c>
      <c r="K57" s="137"/>
      <c r="L57" s="138">
        <f t="shared" si="27"/>
        <v>1.6187999999999996</v>
      </c>
      <c r="M57" s="137"/>
      <c r="N57" s="139">
        <f t="shared" si="28"/>
        <v>0</v>
      </c>
      <c r="O57" s="137"/>
      <c r="P57" s="140">
        <f t="shared" si="29"/>
        <v>0</v>
      </c>
      <c r="Q57" s="135"/>
      <c r="R57" s="104">
        <f t="shared" si="30"/>
        <v>6.4752000000000001</v>
      </c>
      <c r="S57" s="137"/>
      <c r="T57" s="141">
        <f t="shared" si="31"/>
        <v>1.6187999999999996</v>
      </c>
      <c r="U57" s="199">
        <f t="shared" si="32"/>
        <v>4.9242800000000004</v>
      </c>
      <c r="V57" s="37" t="str">
        <f t="shared" si="33"/>
        <v>ok</v>
      </c>
      <c r="W57" s="37" t="str">
        <f t="shared" si="34"/>
        <v>ok</v>
      </c>
      <c r="X57" s="278">
        <f t="shared" si="12"/>
        <v>0.56802590995378732</v>
      </c>
      <c r="Y57" s="278">
        <f t="shared" si="13"/>
        <v>1</v>
      </c>
      <c r="Z57" s="278">
        <f t="shared" si="14"/>
        <v>0.8</v>
      </c>
    </row>
    <row r="58" spans="1:26" x14ac:dyDescent="0.25">
      <c r="A58" s="420"/>
      <c r="B58" s="178" t="s">
        <v>22</v>
      </c>
      <c r="C58" s="129">
        <v>15</v>
      </c>
      <c r="D58" s="239">
        <f>DMG_11*CMD_3</f>
        <v>9.9061700000000013</v>
      </c>
      <c r="E58" s="131">
        <f>OMG_11*CMO_3</f>
        <v>12.78</v>
      </c>
      <c r="F58" s="132">
        <f t="shared" si="0"/>
        <v>10.224</v>
      </c>
      <c r="G58" s="133">
        <f t="shared" si="1"/>
        <v>2.5559999999999992</v>
      </c>
      <c r="H58" s="134">
        <f t="shared" si="25"/>
        <v>9.9061700000000013</v>
      </c>
      <c r="I58" s="135"/>
      <c r="J58" s="136">
        <f t="shared" si="26"/>
        <v>0</v>
      </c>
      <c r="K58" s="137"/>
      <c r="L58" s="138">
        <f t="shared" si="27"/>
        <v>0</v>
      </c>
      <c r="M58" s="137"/>
      <c r="N58" s="139">
        <f t="shared" si="28"/>
        <v>0.31782999999999895</v>
      </c>
      <c r="O58" s="137"/>
      <c r="P58" s="140">
        <f t="shared" si="29"/>
        <v>2.5559999999999992</v>
      </c>
      <c r="Q58" s="135"/>
      <c r="R58" s="104">
        <f t="shared" si="30"/>
        <v>9.9061700000000013</v>
      </c>
      <c r="S58" s="137"/>
      <c r="T58" s="141">
        <f t="shared" si="31"/>
        <v>2.8738299999999981</v>
      </c>
      <c r="U58" s="199">
        <f t="shared" si="32"/>
        <v>0</v>
      </c>
      <c r="V58" s="37" t="str">
        <f t="shared" si="33"/>
        <v>ok</v>
      </c>
      <c r="W58" s="37" t="str">
        <f t="shared" si="34"/>
        <v>ok</v>
      </c>
      <c r="X58" s="278">
        <f t="shared" si="12"/>
        <v>1</v>
      </c>
      <c r="Y58" s="278">
        <f t="shared" si="13"/>
        <v>0.9689133411580596</v>
      </c>
      <c r="Z58" s="278">
        <f t="shared" si="14"/>
        <v>0.77513067292644766</v>
      </c>
    </row>
    <row r="59" spans="1:26" x14ac:dyDescent="0.25">
      <c r="A59" s="420"/>
      <c r="B59" s="178" t="s">
        <v>23</v>
      </c>
      <c r="C59" s="129">
        <v>16</v>
      </c>
      <c r="D59" s="239">
        <f>DMG_12*CMD_3</f>
        <v>7.7783400000000009</v>
      </c>
      <c r="E59" s="131">
        <f>OMG_12*CMO_3</f>
        <v>9.798</v>
      </c>
      <c r="F59" s="132">
        <f t="shared" si="0"/>
        <v>7.8384</v>
      </c>
      <c r="G59" s="133">
        <f t="shared" si="1"/>
        <v>1.9595999999999996</v>
      </c>
      <c r="H59" s="134">
        <f t="shared" si="25"/>
        <v>7.7783400000000009</v>
      </c>
      <c r="I59" s="135"/>
      <c r="J59" s="136">
        <f t="shared" si="26"/>
        <v>0</v>
      </c>
      <c r="K59" s="137"/>
      <c r="L59" s="138">
        <f t="shared" si="27"/>
        <v>0</v>
      </c>
      <c r="M59" s="137"/>
      <c r="N59" s="139">
        <f t="shared" si="28"/>
        <v>6.0059999999999114E-2</v>
      </c>
      <c r="O59" s="137"/>
      <c r="P59" s="140">
        <f t="shared" si="29"/>
        <v>1.9595999999999996</v>
      </c>
      <c r="Q59" s="135"/>
      <c r="R59" s="104">
        <f t="shared" si="30"/>
        <v>7.7783400000000009</v>
      </c>
      <c r="S59" s="137"/>
      <c r="T59" s="141">
        <f t="shared" si="31"/>
        <v>2.0196599999999987</v>
      </c>
      <c r="U59" s="199">
        <f t="shared" si="32"/>
        <v>0</v>
      </c>
      <c r="V59" s="37" t="str">
        <f t="shared" si="33"/>
        <v>ok</v>
      </c>
      <c r="W59" s="37" t="str">
        <f t="shared" si="34"/>
        <v>ok</v>
      </c>
      <c r="X59" s="278">
        <f t="shared" si="12"/>
        <v>1</v>
      </c>
      <c r="Y59" s="278">
        <f t="shared" si="13"/>
        <v>0.99233772198407855</v>
      </c>
      <c r="Z59" s="278">
        <f t="shared" si="14"/>
        <v>0.79387017758726275</v>
      </c>
    </row>
    <row r="60" spans="1:26" x14ac:dyDescent="0.25">
      <c r="A60" s="420"/>
      <c r="B60" s="178" t="s">
        <v>19</v>
      </c>
      <c r="C60" s="129">
        <v>19</v>
      </c>
      <c r="D60" s="239">
        <f>DMG_13*CMD_3</f>
        <v>3.4023400000000001</v>
      </c>
      <c r="E60" s="131">
        <f>OMG_13*CMO_3</f>
        <v>4.6859999999999999</v>
      </c>
      <c r="F60" s="132">
        <f t="shared" si="0"/>
        <v>3.7488000000000001</v>
      </c>
      <c r="G60" s="133">
        <f t="shared" si="1"/>
        <v>0.93719999999999981</v>
      </c>
      <c r="H60" s="134">
        <f t="shared" si="25"/>
        <v>3.4023400000000001</v>
      </c>
      <c r="I60" s="135"/>
      <c r="J60" s="136">
        <f t="shared" si="26"/>
        <v>0</v>
      </c>
      <c r="K60" s="137"/>
      <c r="L60" s="138">
        <f t="shared" si="27"/>
        <v>0</v>
      </c>
      <c r="M60" s="137"/>
      <c r="N60" s="139">
        <f t="shared" si="28"/>
        <v>0.34645999999999999</v>
      </c>
      <c r="O60" s="137"/>
      <c r="P60" s="140">
        <f t="shared" si="29"/>
        <v>0.93719999999999981</v>
      </c>
      <c r="Q60" s="135"/>
      <c r="R60" s="104">
        <f t="shared" si="30"/>
        <v>3.4023400000000001</v>
      </c>
      <c r="S60" s="137"/>
      <c r="T60" s="141">
        <f t="shared" si="31"/>
        <v>1.2836599999999998</v>
      </c>
      <c r="U60" s="199">
        <f t="shared" si="32"/>
        <v>0</v>
      </c>
      <c r="V60" s="37" t="str">
        <f t="shared" si="33"/>
        <v>ok</v>
      </c>
      <c r="W60" s="37" t="str">
        <f t="shared" si="34"/>
        <v>ok</v>
      </c>
      <c r="X60" s="278">
        <f t="shared" si="12"/>
        <v>1</v>
      </c>
      <c r="Y60" s="278">
        <f t="shared" si="13"/>
        <v>0.90758109261630393</v>
      </c>
      <c r="Z60" s="278">
        <f t="shared" si="14"/>
        <v>0.7260648740930431</v>
      </c>
    </row>
    <row r="61" spans="1:26" x14ac:dyDescent="0.25">
      <c r="A61" s="420"/>
      <c r="B61" s="178" t="s">
        <v>20</v>
      </c>
      <c r="C61" s="129">
        <v>20</v>
      </c>
      <c r="D61" s="239">
        <f>DMG_14*CMD_3</f>
        <v>2.37398</v>
      </c>
      <c r="E61" s="131">
        <f>OMG_14*CMO_3</f>
        <v>7.8810000000000002</v>
      </c>
      <c r="F61" s="132">
        <f t="shared" si="0"/>
        <v>6.3048000000000002</v>
      </c>
      <c r="G61" s="133">
        <f t="shared" si="1"/>
        <v>1.5761999999999996</v>
      </c>
      <c r="H61" s="134">
        <f t="shared" si="25"/>
        <v>2.37398</v>
      </c>
      <c r="I61" s="135"/>
      <c r="J61" s="136">
        <f t="shared" si="26"/>
        <v>0</v>
      </c>
      <c r="K61" s="137"/>
      <c r="L61" s="138">
        <f t="shared" si="27"/>
        <v>0</v>
      </c>
      <c r="M61" s="137"/>
      <c r="N61" s="139">
        <f t="shared" si="28"/>
        <v>3.9308200000000002</v>
      </c>
      <c r="O61" s="137"/>
      <c r="P61" s="140">
        <f t="shared" si="29"/>
        <v>1.5761999999999996</v>
      </c>
      <c r="Q61" s="135"/>
      <c r="R61" s="104">
        <f t="shared" si="30"/>
        <v>2.37398</v>
      </c>
      <c r="S61" s="137"/>
      <c r="T61" s="141">
        <f t="shared" si="31"/>
        <v>5.5070199999999998</v>
      </c>
      <c r="U61" s="199">
        <f t="shared" si="32"/>
        <v>0</v>
      </c>
      <c r="V61" s="37" t="str">
        <f t="shared" si="33"/>
        <v>ok</v>
      </c>
      <c r="W61" s="37" t="str">
        <f t="shared" si="34"/>
        <v>ok</v>
      </c>
      <c r="X61" s="278">
        <f t="shared" si="12"/>
        <v>1</v>
      </c>
      <c r="Y61" s="278">
        <f t="shared" si="13"/>
        <v>0.37653533815505646</v>
      </c>
      <c r="Z61" s="278">
        <f t="shared" si="14"/>
        <v>0.30122827052404516</v>
      </c>
    </row>
    <row r="62" spans="1:26" x14ac:dyDescent="0.25">
      <c r="A62" s="420"/>
      <c r="B62" s="178" t="s">
        <v>21</v>
      </c>
      <c r="C62" s="129">
        <v>21</v>
      </c>
      <c r="D62" s="239">
        <f>DMG_15*CMD_3</f>
        <v>4.923</v>
      </c>
      <c r="E62" s="131">
        <f>OMG_15*CMO_3</f>
        <v>9.3719999999999999</v>
      </c>
      <c r="F62" s="132">
        <f t="shared" si="0"/>
        <v>7.4976000000000003</v>
      </c>
      <c r="G62" s="133">
        <f t="shared" si="1"/>
        <v>1.8743999999999996</v>
      </c>
      <c r="H62" s="134">
        <f t="shared" si="25"/>
        <v>4.923</v>
      </c>
      <c r="I62" s="135"/>
      <c r="J62" s="136">
        <f t="shared" si="26"/>
        <v>0</v>
      </c>
      <c r="K62" s="137"/>
      <c r="L62" s="138">
        <f t="shared" si="27"/>
        <v>0</v>
      </c>
      <c r="M62" s="137"/>
      <c r="N62" s="139">
        <f t="shared" si="28"/>
        <v>2.5746000000000002</v>
      </c>
      <c r="O62" s="137"/>
      <c r="P62" s="140">
        <f t="shared" si="29"/>
        <v>1.8743999999999996</v>
      </c>
      <c r="Q62" s="135"/>
      <c r="R62" s="104">
        <f t="shared" si="30"/>
        <v>4.923</v>
      </c>
      <c r="S62" s="137"/>
      <c r="T62" s="141">
        <f t="shared" si="31"/>
        <v>4.4489999999999998</v>
      </c>
      <c r="U62" s="199">
        <f t="shared" si="32"/>
        <v>0</v>
      </c>
      <c r="V62" s="37" t="str">
        <f t="shared" si="33"/>
        <v>ok</v>
      </c>
      <c r="W62" s="37" t="str">
        <f t="shared" si="34"/>
        <v>ok</v>
      </c>
      <c r="X62" s="278">
        <f t="shared" si="12"/>
        <v>1</v>
      </c>
      <c r="Y62" s="278">
        <f t="shared" si="13"/>
        <v>0.65661011523687574</v>
      </c>
      <c r="Z62" s="278">
        <f t="shared" si="14"/>
        <v>0.52528809218950068</v>
      </c>
    </row>
    <row r="63" spans="1:26" x14ac:dyDescent="0.25">
      <c r="A63" s="420"/>
      <c r="B63" s="178" t="s">
        <v>22</v>
      </c>
      <c r="C63" s="129">
        <v>22</v>
      </c>
      <c r="D63" s="239">
        <f>DMG_16*CMD_3</f>
        <v>19.757639999999999</v>
      </c>
      <c r="E63" s="131">
        <f>OMG_16*CMO_3</f>
        <v>10.5435</v>
      </c>
      <c r="F63" s="132">
        <f t="shared" si="0"/>
        <v>8.434800000000001</v>
      </c>
      <c r="G63" s="133">
        <f t="shared" si="1"/>
        <v>2.1086999999999994</v>
      </c>
      <c r="H63" s="134">
        <f t="shared" si="25"/>
        <v>10.5435</v>
      </c>
      <c r="I63" s="135"/>
      <c r="J63" s="136">
        <f t="shared" si="26"/>
        <v>9.2141399999999987</v>
      </c>
      <c r="K63" s="137"/>
      <c r="L63" s="138">
        <f t="shared" si="27"/>
        <v>2.1086999999999994</v>
      </c>
      <c r="M63" s="137"/>
      <c r="N63" s="139">
        <f t="shared" si="28"/>
        <v>0</v>
      </c>
      <c r="O63" s="137"/>
      <c r="P63" s="140">
        <f t="shared" si="29"/>
        <v>0</v>
      </c>
      <c r="Q63" s="135"/>
      <c r="R63" s="104">
        <f t="shared" si="30"/>
        <v>8.434800000000001</v>
      </c>
      <c r="S63" s="137"/>
      <c r="T63" s="141">
        <f t="shared" si="31"/>
        <v>2.1086999999999994</v>
      </c>
      <c r="U63" s="199">
        <f t="shared" si="32"/>
        <v>11.322839999999998</v>
      </c>
      <c r="V63" s="37" t="str">
        <f t="shared" si="33"/>
        <v>ok</v>
      </c>
      <c r="W63" s="37" t="str">
        <f t="shared" si="34"/>
        <v>ok</v>
      </c>
      <c r="X63" s="278">
        <f t="shared" si="12"/>
        <v>0.42691333580326402</v>
      </c>
      <c r="Y63" s="278">
        <f t="shared" si="13"/>
        <v>1</v>
      </c>
      <c r="Z63" s="278">
        <f t="shared" si="14"/>
        <v>0.80000000000000016</v>
      </c>
    </row>
    <row r="64" spans="1:26" x14ac:dyDescent="0.25">
      <c r="A64" s="420"/>
      <c r="B64" s="178" t="s">
        <v>23</v>
      </c>
      <c r="C64" s="129">
        <v>23</v>
      </c>
      <c r="D64" s="239">
        <f>DMG_17*CMD_3</f>
        <v>16.081800000000001</v>
      </c>
      <c r="E64" s="131">
        <f>OMG_17*CMO_3</f>
        <v>6.6796799999999994</v>
      </c>
      <c r="F64" s="132">
        <f t="shared" si="0"/>
        <v>5.343744</v>
      </c>
      <c r="G64" s="133">
        <f t="shared" si="1"/>
        <v>1.3359359999999996</v>
      </c>
      <c r="H64" s="134">
        <f t="shared" si="25"/>
        <v>6.6796799999999994</v>
      </c>
      <c r="I64" s="135"/>
      <c r="J64" s="136">
        <f t="shared" si="26"/>
        <v>9.4021200000000018</v>
      </c>
      <c r="K64" s="137"/>
      <c r="L64" s="138">
        <f t="shared" si="27"/>
        <v>1.3359359999999996</v>
      </c>
      <c r="M64" s="137"/>
      <c r="N64" s="139">
        <f t="shared" si="28"/>
        <v>0</v>
      </c>
      <c r="O64" s="137"/>
      <c r="P64" s="140">
        <f t="shared" si="29"/>
        <v>0</v>
      </c>
      <c r="Q64" s="135"/>
      <c r="R64" s="104">
        <f t="shared" si="30"/>
        <v>5.343744</v>
      </c>
      <c r="S64" s="137"/>
      <c r="T64" s="141">
        <f t="shared" si="31"/>
        <v>1.3359359999999996</v>
      </c>
      <c r="U64" s="199">
        <f t="shared" si="32"/>
        <v>10.738056000000002</v>
      </c>
      <c r="V64" s="37" t="str">
        <f t="shared" si="33"/>
        <v>ok</v>
      </c>
      <c r="W64" s="37" t="str">
        <f t="shared" si="34"/>
        <v>ok</v>
      </c>
      <c r="X64" s="278">
        <f t="shared" si="12"/>
        <v>0.33228519195612427</v>
      </c>
      <c r="Y64" s="278">
        <f t="shared" si="13"/>
        <v>1</v>
      </c>
      <c r="Z64" s="278">
        <f t="shared" si="14"/>
        <v>0.8</v>
      </c>
    </row>
    <row r="65" spans="1:26" x14ac:dyDescent="0.25">
      <c r="A65" s="420"/>
      <c r="B65" s="178" t="s">
        <v>19</v>
      </c>
      <c r="C65" s="129">
        <v>26</v>
      </c>
      <c r="D65" s="239">
        <f>DMG_18*CMD_3</f>
        <v>9.2661800000000021</v>
      </c>
      <c r="E65" s="131">
        <f>OMG_18*CMO_3</f>
        <v>3.1651799999999999</v>
      </c>
      <c r="F65" s="132">
        <f t="shared" si="0"/>
        <v>2.5321440000000002</v>
      </c>
      <c r="G65" s="133">
        <f t="shared" si="1"/>
        <v>0.63303599999999982</v>
      </c>
      <c r="H65" s="134">
        <f t="shared" si="25"/>
        <v>3.1651799999999999</v>
      </c>
      <c r="I65" s="135"/>
      <c r="J65" s="136">
        <f t="shared" si="26"/>
        <v>6.1010000000000026</v>
      </c>
      <c r="K65" s="137"/>
      <c r="L65" s="138">
        <f t="shared" si="27"/>
        <v>0.63303599999999982</v>
      </c>
      <c r="M65" s="137"/>
      <c r="N65" s="139">
        <f t="shared" si="28"/>
        <v>0</v>
      </c>
      <c r="O65" s="137"/>
      <c r="P65" s="140">
        <f t="shared" si="29"/>
        <v>0</v>
      </c>
      <c r="Q65" s="135"/>
      <c r="R65" s="104">
        <f t="shared" si="30"/>
        <v>2.5321440000000002</v>
      </c>
      <c r="S65" s="137"/>
      <c r="T65" s="141">
        <f t="shared" si="31"/>
        <v>0.63303599999999982</v>
      </c>
      <c r="U65" s="199">
        <f t="shared" si="32"/>
        <v>6.7340360000000024</v>
      </c>
      <c r="V65" s="37" t="str">
        <f t="shared" si="33"/>
        <v>ok</v>
      </c>
      <c r="W65" s="37" t="str">
        <f t="shared" si="34"/>
        <v>ok</v>
      </c>
      <c r="X65" s="278">
        <f t="shared" si="12"/>
        <v>0.27326730108847441</v>
      </c>
      <c r="Y65" s="278">
        <f t="shared" si="13"/>
        <v>1</v>
      </c>
      <c r="Z65" s="278">
        <f t="shared" si="14"/>
        <v>0.8</v>
      </c>
    </row>
    <row r="66" spans="1:26" x14ac:dyDescent="0.25">
      <c r="A66" s="420"/>
      <c r="B66" s="178" t="s">
        <v>20</v>
      </c>
      <c r="C66" s="129">
        <v>27</v>
      </c>
      <c r="D66" s="239">
        <f>DMG_19*CMD_3</f>
        <v>7.5868900000000004</v>
      </c>
      <c r="E66" s="131">
        <f>OMG_19*CMO_3</f>
        <v>4.2174000000000005</v>
      </c>
      <c r="F66" s="132">
        <f t="shared" si="0"/>
        <v>3.3739200000000005</v>
      </c>
      <c r="G66" s="133">
        <f t="shared" si="1"/>
        <v>0.8434799999999999</v>
      </c>
      <c r="H66" s="134">
        <f t="shared" si="25"/>
        <v>4.2174000000000005</v>
      </c>
      <c r="I66" s="135"/>
      <c r="J66" s="136">
        <f t="shared" si="26"/>
        <v>3.3694899999999999</v>
      </c>
      <c r="K66" s="137"/>
      <c r="L66" s="138">
        <f t="shared" si="27"/>
        <v>0.8434799999999999</v>
      </c>
      <c r="M66" s="137"/>
      <c r="N66" s="139">
        <f t="shared" si="28"/>
        <v>0</v>
      </c>
      <c r="O66" s="137"/>
      <c r="P66" s="140">
        <f t="shared" si="29"/>
        <v>0</v>
      </c>
      <c r="Q66" s="135"/>
      <c r="R66" s="104">
        <f t="shared" si="30"/>
        <v>3.3739200000000005</v>
      </c>
      <c r="S66" s="137"/>
      <c r="T66" s="141">
        <f t="shared" si="31"/>
        <v>0.8434799999999999</v>
      </c>
      <c r="U66" s="199">
        <f t="shared" si="32"/>
        <v>4.2129699999999994</v>
      </c>
      <c r="V66" s="37" t="str">
        <f t="shared" si="33"/>
        <v>ok</v>
      </c>
      <c r="W66" s="37" t="str">
        <f t="shared" si="34"/>
        <v>ok</v>
      </c>
      <c r="X66" s="278">
        <f t="shared" si="12"/>
        <v>0.44470395643010513</v>
      </c>
      <c r="Y66" s="278">
        <f t="shared" si="13"/>
        <v>1</v>
      </c>
      <c r="Z66" s="278">
        <f t="shared" si="14"/>
        <v>0.8</v>
      </c>
    </row>
    <row r="67" spans="1:26" x14ac:dyDescent="0.25">
      <c r="A67" s="420"/>
      <c r="B67" s="178" t="s">
        <v>21</v>
      </c>
      <c r="C67" s="129">
        <v>28</v>
      </c>
      <c r="D67" s="239">
        <f>DMG_20*CMD_3</f>
        <v>14.249350000000002</v>
      </c>
      <c r="E67" s="131">
        <f>OMG_20*CMO_3</f>
        <v>6.6796799999999994</v>
      </c>
      <c r="F67" s="132">
        <f t="shared" si="0"/>
        <v>5.343744</v>
      </c>
      <c r="G67" s="133">
        <f t="shared" si="1"/>
        <v>1.3359359999999996</v>
      </c>
      <c r="H67" s="134">
        <f t="shared" si="25"/>
        <v>6.6796799999999994</v>
      </c>
      <c r="I67" s="135"/>
      <c r="J67" s="136">
        <f t="shared" si="26"/>
        <v>7.5696700000000021</v>
      </c>
      <c r="K67" s="137"/>
      <c r="L67" s="138">
        <f t="shared" si="27"/>
        <v>1.3359359999999996</v>
      </c>
      <c r="M67" s="137"/>
      <c r="N67" s="139">
        <f t="shared" si="28"/>
        <v>0</v>
      </c>
      <c r="O67" s="137"/>
      <c r="P67" s="140">
        <f t="shared" si="29"/>
        <v>0</v>
      </c>
      <c r="Q67" s="135"/>
      <c r="R67" s="104">
        <f t="shared" si="30"/>
        <v>5.343744</v>
      </c>
      <c r="S67" s="137"/>
      <c r="T67" s="141">
        <f t="shared" si="31"/>
        <v>1.3359359999999996</v>
      </c>
      <c r="U67" s="199">
        <f t="shared" si="32"/>
        <v>8.9056060000000024</v>
      </c>
      <c r="V67" s="37" t="str">
        <f t="shared" si="33"/>
        <v>ok</v>
      </c>
      <c r="W67" s="37" t="str">
        <f t="shared" si="34"/>
        <v>ok</v>
      </c>
      <c r="X67" s="278">
        <f t="shared" si="12"/>
        <v>0.37501668497159518</v>
      </c>
      <c r="Y67" s="278">
        <f t="shared" si="13"/>
        <v>1</v>
      </c>
      <c r="Z67" s="278">
        <f t="shared" si="14"/>
        <v>0.8</v>
      </c>
    </row>
    <row r="68" spans="1:26" x14ac:dyDescent="0.25">
      <c r="A68" s="420"/>
      <c r="B68" s="178" t="s">
        <v>22</v>
      </c>
      <c r="C68" s="129">
        <v>29</v>
      </c>
      <c r="D68" s="239">
        <f>DMG_21*CMD_3</f>
        <v>23.706980000000005</v>
      </c>
      <c r="E68" s="131">
        <f>OMG_21*CMO_3</f>
        <v>12.78</v>
      </c>
      <c r="F68" s="132">
        <f t="shared" si="0"/>
        <v>10.224</v>
      </c>
      <c r="G68" s="133">
        <f t="shared" si="1"/>
        <v>2.5559999999999992</v>
      </c>
      <c r="H68" s="134">
        <f t="shared" si="25"/>
        <v>12.78</v>
      </c>
      <c r="I68" s="135"/>
      <c r="J68" s="136">
        <f t="shared" si="26"/>
        <v>10.926980000000006</v>
      </c>
      <c r="K68" s="137"/>
      <c r="L68" s="138">
        <f t="shared" si="27"/>
        <v>2.5559999999999992</v>
      </c>
      <c r="M68" s="137"/>
      <c r="N68" s="139">
        <f t="shared" si="28"/>
        <v>0</v>
      </c>
      <c r="O68" s="137"/>
      <c r="P68" s="140">
        <f t="shared" si="29"/>
        <v>0</v>
      </c>
      <c r="Q68" s="135"/>
      <c r="R68" s="104">
        <f t="shared" si="30"/>
        <v>10.224</v>
      </c>
      <c r="S68" s="137"/>
      <c r="T68" s="141">
        <f t="shared" si="31"/>
        <v>2.5559999999999992</v>
      </c>
      <c r="U68" s="199">
        <f t="shared" si="32"/>
        <v>13.482980000000005</v>
      </c>
      <c r="V68" s="37" t="str">
        <f t="shared" si="33"/>
        <v>ok</v>
      </c>
      <c r="W68" s="37" t="str">
        <f t="shared" si="34"/>
        <v>ok</v>
      </c>
      <c r="X68" s="278">
        <f t="shared" si="12"/>
        <v>0.43126539103673256</v>
      </c>
      <c r="Y68" s="278">
        <f t="shared" si="13"/>
        <v>1</v>
      </c>
      <c r="Z68" s="278">
        <f t="shared" si="14"/>
        <v>0.8</v>
      </c>
    </row>
    <row r="69" spans="1:26" ht="15.75" thickBot="1" x14ac:dyDescent="0.3">
      <c r="A69" s="421"/>
      <c r="B69" s="180" t="s">
        <v>23</v>
      </c>
      <c r="C69" s="237">
        <v>30</v>
      </c>
      <c r="D69" s="240">
        <f>DMG_22*CMD_3</f>
        <v>19.232520000000001</v>
      </c>
      <c r="E69" s="203">
        <f>OMG_22*CMO_3</f>
        <v>8.9459999999999997</v>
      </c>
      <c r="F69" s="204">
        <f t="shared" ref="F69:F132" si="35">E69*TC</f>
        <v>7.1568000000000005</v>
      </c>
      <c r="G69" s="205">
        <f t="shared" ref="G69:G132" si="36">E69*(1-TC)</f>
        <v>1.7891999999999995</v>
      </c>
      <c r="H69" s="206">
        <f t="shared" si="25"/>
        <v>8.9459999999999997</v>
      </c>
      <c r="I69" s="207"/>
      <c r="J69" s="208">
        <f t="shared" si="26"/>
        <v>10.286520000000001</v>
      </c>
      <c r="K69" s="209"/>
      <c r="L69" s="210">
        <f t="shared" si="27"/>
        <v>1.7891999999999995</v>
      </c>
      <c r="M69" s="209"/>
      <c r="N69" s="211">
        <f t="shared" si="28"/>
        <v>0</v>
      </c>
      <c r="O69" s="209"/>
      <c r="P69" s="212">
        <f t="shared" si="29"/>
        <v>0</v>
      </c>
      <c r="Q69" s="207"/>
      <c r="R69" s="213">
        <f t="shared" si="30"/>
        <v>7.1568000000000005</v>
      </c>
      <c r="S69" s="209"/>
      <c r="T69" s="214">
        <f t="shared" si="31"/>
        <v>1.7891999999999995</v>
      </c>
      <c r="U69" s="215">
        <f t="shared" si="32"/>
        <v>12.07572</v>
      </c>
      <c r="V69" s="37" t="str">
        <f t="shared" si="33"/>
        <v>ok</v>
      </c>
      <c r="W69" s="37" t="str">
        <f t="shared" si="34"/>
        <v>ok</v>
      </c>
      <c r="X69" s="278">
        <f t="shared" si="12"/>
        <v>0.37211972222048906</v>
      </c>
      <c r="Y69" s="278">
        <f t="shared" si="13"/>
        <v>1</v>
      </c>
      <c r="Z69" s="278">
        <f t="shared" si="14"/>
        <v>0.8</v>
      </c>
    </row>
    <row r="70" spans="1:26" x14ac:dyDescent="0.25">
      <c r="A70" s="419" t="s">
        <v>92</v>
      </c>
      <c r="B70" s="176" t="s">
        <v>19</v>
      </c>
      <c r="C70" s="241">
        <v>2</v>
      </c>
      <c r="D70" s="238">
        <f>DMG_1*CMD_4</f>
        <v>15.53838</v>
      </c>
      <c r="E70" s="185">
        <f>OMG_1*CMO_4</f>
        <v>13.728</v>
      </c>
      <c r="F70" s="186">
        <f t="shared" si="35"/>
        <v>10.9824</v>
      </c>
      <c r="G70" s="187">
        <f t="shared" si="36"/>
        <v>2.7455999999999992</v>
      </c>
      <c r="H70" s="188">
        <f>IF(E70&gt;D70,D70,E70)</f>
        <v>13.728</v>
      </c>
      <c r="I70" s="189"/>
      <c r="J70" s="190">
        <f>IF(E70&gt;D70,0,D70-E70)</f>
        <v>1.8103800000000003</v>
      </c>
      <c r="K70" s="191"/>
      <c r="L70" s="192">
        <f>IF(E70&gt;D70,IF(F70&gt;H70,0,H70-F70),G70)</f>
        <v>2.7455999999999992</v>
      </c>
      <c r="M70" s="191"/>
      <c r="N70" s="193">
        <f>IF(E70&gt;D70,IF(F70&gt;H70,F70-H70,0),0)</f>
        <v>0</v>
      </c>
      <c r="O70" s="191"/>
      <c r="P70" s="194">
        <f>IF(E70&gt;D70,IF(F70&gt;H70,G70,E70-H70),0)</f>
        <v>0</v>
      </c>
      <c r="Q70" s="189"/>
      <c r="R70" s="195">
        <f>H70-L70</f>
        <v>10.9824</v>
      </c>
      <c r="S70" s="191"/>
      <c r="T70" s="196">
        <f>L70+N70+P70</f>
        <v>2.7455999999999992</v>
      </c>
      <c r="U70" s="197">
        <f>J70+L70</f>
        <v>4.5559799999999999</v>
      </c>
      <c r="V70" s="37" t="str">
        <f>IF(R70+T70=E70,"ok","bad")</f>
        <v>ok</v>
      </c>
      <c r="W70" s="37" t="str">
        <f>IF(U70+R70=D70,"ok","bad")</f>
        <v>ok</v>
      </c>
      <c r="X70" s="278">
        <f t="shared" ref="X70:X133" si="37">R70/D70</f>
        <v>0.70679182771949201</v>
      </c>
      <c r="Y70" s="278">
        <f t="shared" ref="Y70:Y133" si="38">R70/F70</f>
        <v>1</v>
      </c>
      <c r="Z70" s="278">
        <f t="shared" ref="Z70:Z133" si="39">R70/E70</f>
        <v>0.8</v>
      </c>
    </row>
    <row r="71" spans="1:26" x14ac:dyDescent="0.25">
      <c r="A71" s="420"/>
      <c r="B71" s="178" t="s">
        <v>20</v>
      </c>
      <c r="C71" s="129">
        <v>3</v>
      </c>
      <c r="D71" s="239">
        <f>DMG_2*CMD_4</f>
        <v>12.200760000000001</v>
      </c>
      <c r="E71" s="131">
        <f>OMG_2*CMO_4</f>
        <v>10.0672</v>
      </c>
      <c r="F71" s="132">
        <f t="shared" si="35"/>
        <v>8.0537600000000005</v>
      </c>
      <c r="G71" s="133">
        <f t="shared" si="36"/>
        <v>2.0134399999999997</v>
      </c>
      <c r="H71" s="134">
        <f t="shared" ref="H71:H90" si="40">IF(E71&gt;D71,D71,E71)</f>
        <v>10.0672</v>
      </c>
      <c r="I71" s="135"/>
      <c r="J71" s="136">
        <f t="shared" ref="J71:J90" si="41">IF(E71&gt;D71,0,D71-E71)</f>
        <v>2.133560000000001</v>
      </c>
      <c r="K71" s="137"/>
      <c r="L71" s="138">
        <f t="shared" ref="L71:L90" si="42">IF(E71&gt;D71,IF(F71&gt;H71,0,H71-F71),G71)</f>
        <v>2.0134399999999997</v>
      </c>
      <c r="M71" s="137"/>
      <c r="N71" s="139">
        <f t="shared" ref="N71:N90" si="43">IF(E71&gt;D71,IF(F71&gt;H71,F71-H71,0),0)</f>
        <v>0</v>
      </c>
      <c r="O71" s="137"/>
      <c r="P71" s="140">
        <f t="shared" ref="P71:P90" si="44">IF(E71&gt;D71,IF(F71&gt;H71,G71,E71-H71),0)</f>
        <v>0</v>
      </c>
      <c r="Q71" s="135"/>
      <c r="R71" s="104">
        <f t="shared" ref="R71:R90" si="45">H71-L71</f>
        <v>8.0537600000000005</v>
      </c>
      <c r="S71" s="137"/>
      <c r="T71" s="141">
        <f t="shared" ref="T71:T90" si="46">L71+N71+P71</f>
        <v>2.0134399999999997</v>
      </c>
      <c r="U71" s="199">
        <f t="shared" ref="U71:U90" si="47">J71+L71</f>
        <v>4.1470000000000002</v>
      </c>
      <c r="V71" s="37" t="str">
        <f t="shared" ref="V71:V90" si="48">IF(R71+T71=E71,"ok","bad")</f>
        <v>ok</v>
      </c>
      <c r="W71" s="37" t="str">
        <f t="shared" ref="W71:W90" si="49">IF(U71+R71=D71,"ok","bad")</f>
        <v>ok</v>
      </c>
      <c r="X71" s="278">
        <f t="shared" si="37"/>
        <v>0.66010314111579937</v>
      </c>
      <c r="Y71" s="278">
        <f t="shared" si="38"/>
        <v>1</v>
      </c>
      <c r="Z71" s="278">
        <f t="shared" si="39"/>
        <v>0.8</v>
      </c>
    </row>
    <row r="72" spans="1:26" x14ac:dyDescent="0.25">
      <c r="A72" s="420"/>
      <c r="B72" s="178" t="s">
        <v>21</v>
      </c>
      <c r="C72" s="129">
        <v>4</v>
      </c>
      <c r="D72" s="239">
        <f>DMG_3*CMD_4</f>
        <v>5.3367599999999999</v>
      </c>
      <c r="E72" s="131">
        <f>OMG_3*CMO_4</f>
        <v>4.1183999999999994</v>
      </c>
      <c r="F72" s="132">
        <f t="shared" si="35"/>
        <v>3.2947199999999999</v>
      </c>
      <c r="G72" s="133">
        <f t="shared" si="36"/>
        <v>0.82367999999999975</v>
      </c>
      <c r="H72" s="134">
        <f t="shared" si="40"/>
        <v>4.1183999999999994</v>
      </c>
      <c r="I72" s="135"/>
      <c r="J72" s="136">
        <f t="shared" si="41"/>
        <v>1.2183600000000006</v>
      </c>
      <c r="K72" s="137"/>
      <c r="L72" s="138">
        <f t="shared" si="42"/>
        <v>0.82367999999999975</v>
      </c>
      <c r="M72" s="137"/>
      <c r="N72" s="139">
        <f t="shared" si="43"/>
        <v>0</v>
      </c>
      <c r="O72" s="137"/>
      <c r="P72" s="140">
        <f t="shared" si="44"/>
        <v>0</v>
      </c>
      <c r="Q72" s="135"/>
      <c r="R72" s="104">
        <f t="shared" si="45"/>
        <v>3.2947199999999999</v>
      </c>
      <c r="S72" s="137"/>
      <c r="T72" s="141">
        <f t="shared" si="46"/>
        <v>0.82367999999999975</v>
      </c>
      <c r="U72" s="199">
        <f t="shared" si="47"/>
        <v>2.0420400000000001</v>
      </c>
      <c r="V72" s="37" t="str">
        <f t="shared" si="48"/>
        <v>ok</v>
      </c>
      <c r="W72" s="37" t="str">
        <f t="shared" si="49"/>
        <v>ok</v>
      </c>
      <c r="X72" s="278">
        <f t="shared" si="37"/>
        <v>0.61736334405144688</v>
      </c>
      <c r="Y72" s="278">
        <f t="shared" si="38"/>
        <v>1</v>
      </c>
      <c r="Z72" s="278">
        <f t="shared" si="39"/>
        <v>0.8</v>
      </c>
    </row>
    <row r="73" spans="1:26" x14ac:dyDescent="0.25">
      <c r="A73" s="420"/>
      <c r="B73" s="178" t="s">
        <v>22</v>
      </c>
      <c r="C73" s="129">
        <v>5</v>
      </c>
      <c r="D73" s="239">
        <f>DMG_4*CMD_4</f>
        <v>3.7237199999999997</v>
      </c>
      <c r="E73" s="131">
        <f>OMG_4*CMO_4</f>
        <v>6.1776</v>
      </c>
      <c r="F73" s="132">
        <f t="shared" si="35"/>
        <v>4.9420800000000007</v>
      </c>
      <c r="G73" s="133">
        <f t="shared" si="36"/>
        <v>1.2355199999999997</v>
      </c>
      <c r="H73" s="134">
        <f t="shared" si="40"/>
        <v>3.7237199999999997</v>
      </c>
      <c r="I73" s="135"/>
      <c r="J73" s="136">
        <f t="shared" si="41"/>
        <v>0</v>
      </c>
      <c r="K73" s="137"/>
      <c r="L73" s="138">
        <f t="shared" si="42"/>
        <v>0</v>
      </c>
      <c r="M73" s="137"/>
      <c r="N73" s="139">
        <f t="shared" si="43"/>
        <v>1.218360000000001</v>
      </c>
      <c r="O73" s="137"/>
      <c r="P73" s="140">
        <f t="shared" si="44"/>
        <v>1.2355199999999997</v>
      </c>
      <c r="Q73" s="135"/>
      <c r="R73" s="104">
        <f t="shared" si="45"/>
        <v>3.7237199999999997</v>
      </c>
      <c r="S73" s="137"/>
      <c r="T73" s="141">
        <f t="shared" si="46"/>
        <v>2.4538800000000007</v>
      </c>
      <c r="U73" s="199">
        <f t="shared" si="47"/>
        <v>0</v>
      </c>
      <c r="V73" s="37" t="str">
        <f t="shared" si="48"/>
        <v>ok</v>
      </c>
      <c r="W73" s="37" t="str">
        <f t="shared" si="49"/>
        <v>ok</v>
      </c>
      <c r="X73" s="278">
        <f t="shared" si="37"/>
        <v>1</v>
      </c>
      <c r="Y73" s="278">
        <f t="shared" si="38"/>
        <v>0.7534722222222221</v>
      </c>
      <c r="Z73" s="278">
        <f t="shared" si="39"/>
        <v>0.60277777777777775</v>
      </c>
    </row>
    <row r="74" spans="1:26" x14ac:dyDescent="0.25">
      <c r="A74" s="420"/>
      <c r="B74" s="178" t="s">
        <v>23</v>
      </c>
      <c r="C74" s="129">
        <v>6</v>
      </c>
      <c r="D74" s="239">
        <f>DMG_5*CMD_4</f>
        <v>7.7219999999999995</v>
      </c>
      <c r="E74" s="131">
        <f>OMG_5*CMO_4</f>
        <v>10.0672</v>
      </c>
      <c r="F74" s="132">
        <f t="shared" si="35"/>
        <v>8.0537600000000005</v>
      </c>
      <c r="G74" s="133">
        <f t="shared" si="36"/>
        <v>2.0134399999999997</v>
      </c>
      <c r="H74" s="134">
        <f t="shared" si="40"/>
        <v>7.7219999999999995</v>
      </c>
      <c r="I74" s="135"/>
      <c r="J74" s="136">
        <f t="shared" si="41"/>
        <v>0</v>
      </c>
      <c r="K74" s="137"/>
      <c r="L74" s="138">
        <f t="shared" si="42"/>
        <v>0</v>
      </c>
      <c r="M74" s="137"/>
      <c r="N74" s="139">
        <f t="shared" si="43"/>
        <v>0.33176000000000094</v>
      </c>
      <c r="O74" s="137"/>
      <c r="P74" s="140">
        <f t="shared" si="44"/>
        <v>2.0134399999999997</v>
      </c>
      <c r="Q74" s="135"/>
      <c r="R74" s="104">
        <f t="shared" si="45"/>
        <v>7.7219999999999995</v>
      </c>
      <c r="S74" s="137"/>
      <c r="T74" s="141">
        <f t="shared" si="46"/>
        <v>2.3452000000000006</v>
      </c>
      <c r="U74" s="199">
        <f t="shared" si="47"/>
        <v>0</v>
      </c>
      <c r="V74" s="37" t="str">
        <f t="shared" si="48"/>
        <v>ok</v>
      </c>
      <c r="W74" s="37" t="str">
        <f t="shared" si="49"/>
        <v>ok</v>
      </c>
      <c r="X74" s="278">
        <f t="shared" si="37"/>
        <v>1</v>
      </c>
      <c r="Y74" s="278">
        <f t="shared" si="38"/>
        <v>0.95880681818181812</v>
      </c>
      <c r="Z74" s="278">
        <f t="shared" si="39"/>
        <v>0.76704545454545447</v>
      </c>
    </row>
    <row r="75" spans="1:26" x14ac:dyDescent="0.25">
      <c r="A75" s="420"/>
      <c r="B75" s="178" t="s">
        <v>19</v>
      </c>
      <c r="C75" s="129">
        <v>9</v>
      </c>
      <c r="D75" s="239">
        <f>DMG_6*CMD_4</f>
        <v>24.796199999999999</v>
      </c>
      <c r="E75" s="131">
        <f>OMG_6*CMO_4</f>
        <v>7.0399999999999991</v>
      </c>
      <c r="F75" s="132">
        <f t="shared" si="35"/>
        <v>5.6319999999999997</v>
      </c>
      <c r="G75" s="133">
        <f t="shared" si="36"/>
        <v>1.4079999999999995</v>
      </c>
      <c r="H75" s="134">
        <f t="shared" si="40"/>
        <v>7.0399999999999991</v>
      </c>
      <c r="I75" s="135"/>
      <c r="J75" s="136">
        <f t="shared" si="41"/>
        <v>17.7562</v>
      </c>
      <c r="K75" s="137"/>
      <c r="L75" s="138">
        <f t="shared" si="42"/>
        <v>1.4079999999999995</v>
      </c>
      <c r="M75" s="137"/>
      <c r="N75" s="139">
        <f t="shared" si="43"/>
        <v>0</v>
      </c>
      <c r="O75" s="137"/>
      <c r="P75" s="140">
        <f t="shared" si="44"/>
        <v>0</v>
      </c>
      <c r="Q75" s="135"/>
      <c r="R75" s="104">
        <f t="shared" si="45"/>
        <v>5.6319999999999997</v>
      </c>
      <c r="S75" s="137"/>
      <c r="T75" s="141">
        <f t="shared" si="46"/>
        <v>1.4079999999999995</v>
      </c>
      <c r="U75" s="199">
        <f t="shared" si="47"/>
        <v>19.164200000000001</v>
      </c>
      <c r="V75" s="37" t="str">
        <f t="shared" si="48"/>
        <v>ok</v>
      </c>
      <c r="W75" s="37" t="str">
        <f t="shared" si="49"/>
        <v>ok</v>
      </c>
      <c r="X75" s="278">
        <f t="shared" si="37"/>
        <v>0.22713157661254546</v>
      </c>
      <c r="Y75" s="278">
        <f t="shared" si="38"/>
        <v>1</v>
      </c>
      <c r="Z75" s="278">
        <f t="shared" si="39"/>
        <v>0.8</v>
      </c>
    </row>
    <row r="76" spans="1:26" x14ac:dyDescent="0.25">
      <c r="A76" s="420"/>
      <c r="B76" s="178" t="s">
        <v>20</v>
      </c>
      <c r="C76" s="129">
        <v>10</v>
      </c>
      <c r="D76" s="239">
        <f>DMG_7*CMD_4</f>
        <v>20.111520000000002</v>
      </c>
      <c r="E76" s="131">
        <f>OMG_7*CMO_4</f>
        <v>7.2159999999999993</v>
      </c>
      <c r="F76" s="132">
        <f t="shared" si="35"/>
        <v>5.7728000000000002</v>
      </c>
      <c r="G76" s="133">
        <f t="shared" si="36"/>
        <v>1.4431999999999996</v>
      </c>
      <c r="H76" s="134">
        <f t="shared" si="40"/>
        <v>7.2159999999999993</v>
      </c>
      <c r="I76" s="135"/>
      <c r="J76" s="136">
        <f t="shared" si="41"/>
        <v>12.895520000000003</v>
      </c>
      <c r="K76" s="137"/>
      <c r="L76" s="138">
        <f t="shared" si="42"/>
        <v>1.4431999999999996</v>
      </c>
      <c r="M76" s="137"/>
      <c r="N76" s="139">
        <f t="shared" si="43"/>
        <v>0</v>
      </c>
      <c r="O76" s="137"/>
      <c r="P76" s="140">
        <f t="shared" si="44"/>
        <v>0</v>
      </c>
      <c r="Q76" s="135"/>
      <c r="R76" s="104">
        <f t="shared" si="45"/>
        <v>5.7728000000000002</v>
      </c>
      <c r="S76" s="137"/>
      <c r="T76" s="141">
        <f t="shared" si="46"/>
        <v>1.4431999999999996</v>
      </c>
      <c r="U76" s="199">
        <f t="shared" si="47"/>
        <v>14.338720000000002</v>
      </c>
      <c r="V76" s="37" t="str">
        <f t="shared" si="48"/>
        <v>ok</v>
      </c>
      <c r="W76" s="37" t="str">
        <f t="shared" si="49"/>
        <v>ok</v>
      </c>
      <c r="X76" s="278">
        <f t="shared" si="37"/>
        <v>0.28703946792683993</v>
      </c>
      <c r="Y76" s="278">
        <f t="shared" si="38"/>
        <v>1</v>
      </c>
      <c r="Z76" s="278">
        <f t="shared" si="39"/>
        <v>0.8</v>
      </c>
    </row>
    <row r="77" spans="1:26" x14ac:dyDescent="0.25">
      <c r="A77" s="420"/>
      <c r="B77" s="178" t="s">
        <v>21</v>
      </c>
      <c r="C77" s="129">
        <v>11</v>
      </c>
      <c r="D77" s="239">
        <f>DMG_8*CMD_4</f>
        <v>11.6259</v>
      </c>
      <c r="E77" s="131">
        <f>OMG_8*CMO_4</f>
        <v>3.8719999999999999</v>
      </c>
      <c r="F77" s="132">
        <f t="shared" si="35"/>
        <v>3.0975999999999999</v>
      </c>
      <c r="G77" s="133">
        <f t="shared" si="36"/>
        <v>0.77439999999999976</v>
      </c>
      <c r="H77" s="134">
        <f t="shared" si="40"/>
        <v>3.8719999999999999</v>
      </c>
      <c r="I77" s="135"/>
      <c r="J77" s="136">
        <f t="shared" si="41"/>
        <v>7.7538999999999998</v>
      </c>
      <c r="K77" s="137"/>
      <c r="L77" s="138">
        <f t="shared" si="42"/>
        <v>0.77439999999999976</v>
      </c>
      <c r="M77" s="137"/>
      <c r="N77" s="139">
        <f t="shared" si="43"/>
        <v>0</v>
      </c>
      <c r="O77" s="137"/>
      <c r="P77" s="140">
        <f t="shared" si="44"/>
        <v>0</v>
      </c>
      <c r="Q77" s="135"/>
      <c r="R77" s="104">
        <f t="shared" si="45"/>
        <v>3.0975999999999999</v>
      </c>
      <c r="S77" s="137"/>
      <c r="T77" s="141">
        <f t="shared" si="46"/>
        <v>0.77439999999999976</v>
      </c>
      <c r="U77" s="199">
        <f t="shared" si="47"/>
        <v>8.5282999999999998</v>
      </c>
      <c r="V77" s="37" t="str">
        <f t="shared" si="48"/>
        <v>ok</v>
      </c>
      <c r="W77" s="37" t="str">
        <f t="shared" si="49"/>
        <v>ok</v>
      </c>
      <c r="X77" s="278">
        <f t="shared" si="37"/>
        <v>0.26643958747279778</v>
      </c>
      <c r="Y77" s="278">
        <f t="shared" si="38"/>
        <v>1</v>
      </c>
      <c r="Z77" s="278">
        <f t="shared" si="39"/>
        <v>0.8</v>
      </c>
    </row>
    <row r="78" spans="1:26" x14ac:dyDescent="0.25">
      <c r="A78" s="420"/>
      <c r="B78" s="178" t="s">
        <v>22</v>
      </c>
      <c r="C78" s="129">
        <v>12</v>
      </c>
      <c r="D78" s="239">
        <f>DMG_9*CMD_4</f>
        <v>9.3865199999999991</v>
      </c>
      <c r="E78" s="131">
        <f>OMG_9*CMO_4</f>
        <v>4.9279999999999999</v>
      </c>
      <c r="F78" s="132">
        <f t="shared" si="35"/>
        <v>3.9424000000000001</v>
      </c>
      <c r="G78" s="133">
        <f t="shared" si="36"/>
        <v>0.98559999999999981</v>
      </c>
      <c r="H78" s="134">
        <f t="shared" si="40"/>
        <v>4.9279999999999999</v>
      </c>
      <c r="I78" s="135"/>
      <c r="J78" s="136">
        <f t="shared" si="41"/>
        <v>4.4585199999999992</v>
      </c>
      <c r="K78" s="137"/>
      <c r="L78" s="138">
        <f t="shared" si="42"/>
        <v>0.98559999999999981</v>
      </c>
      <c r="M78" s="137"/>
      <c r="N78" s="139">
        <f t="shared" si="43"/>
        <v>0</v>
      </c>
      <c r="O78" s="137"/>
      <c r="P78" s="140">
        <f t="shared" si="44"/>
        <v>0</v>
      </c>
      <c r="Q78" s="135"/>
      <c r="R78" s="104">
        <f t="shared" si="45"/>
        <v>3.9424000000000001</v>
      </c>
      <c r="S78" s="137"/>
      <c r="T78" s="141">
        <f t="shared" si="46"/>
        <v>0.98559999999999981</v>
      </c>
      <c r="U78" s="199">
        <f t="shared" si="47"/>
        <v>5.444119999999999</v>
      </c>
      <c r="V78" s="37" t="str">
        <f t="shared" si="48"/>
        <v>ok</v>
      </c>
      <c r="W78" s="37" t="str">
        <f t="shared" si="49"/>
        <v>ok</v>
      </c>
      <c r="X78" s="278">
        <f t="shared" si="37"/>
        <v>0.42000656260254071</v>
      </c>
      <c r="Y78" s="278">
        <f t="shared" si="38"/>
        <v>1</v>
      </c>
      <c r="Z78" s="278">
        <f t="shared" si="39"/>
        <v>0.8</v>
      </c>
    </row>
    <row r="79" spans="1:26" x14ac:dyDescent="0.25">
      <c r="A79" s="420"/>
      <c r="B79" s="178" t="s">
        <v>23</v>
      </c>
      <c r="C79" s="129">
        <v>13</v>
      </c>
      <c r="D79" s="239">
        <f>DMG_10*CMD_4</f>
        <v>17.88072</v>
      </c>
      <c r="E79" s="131">
        <f>OMG_10*CMO_4</f>
        <v>6.6879999999999997</v>
      </c>
      <c r="F79" s="132">
        <f t="shared" si="35"/>
        <v>5.3504000000000005</v>
      </c>
      <c r="G79" s="133">
        <f t="shared" si="36"/>
        <v>1.3375999999999997</v>
      </c>
      <c r="H79" s="134">
        <f t="shared" si="40"/>
        <v>6.6879999999999997</v>
      </c>
      <c r="I79" s="135"/>
      <c r="J79" s="136">
        <f t="shared" si="41"/>
        <v>11.192720000000001</v>
      </c>
      <c r="K79" s="137"/>
      <c r="L79" s="138">
        <f t="shared" si="42"/>
        <v>1.3375999999999997</v>
      </c>
      <c r="M79" s="137"/>
      <c r="N79" s="139">
        <f t="shared" si="43"/>
        <v>0</v>
      </c>
      <c r="O79" s="137"/>
      <c r="P79" s="140">
        <f t="shared" si="44"/>
        <v>0</v>
      </c>
      <c r="Q79" s="135"/>
      <c r="R79" s="104">
        <f t="shared" si="45"/>
        <v>5.3504000000000005</v>
      </c>
      <c r="S79" s="137"/>
      <c r="T79" s="141">
        <f t="shared" si="46"/>
        <v>1.3375999999999997</v>
      </c>
      <c r="U79" s="199">
        <f t="shared" si="47"/>
        <v>12.530320000000001</v>
      </c>
      <c r="V79" s="37" t="str">
        <f t="shared" si="48"/>
        <v>ok</v>
      </c>
      <c r="W79" s="37" t="str">
        <f t="shared" si="49"/>
        <v>ok</v>
      </c>
      <c r="X79" s="278">
        <f t="shared" si="37"/>
        <v>0.29922732417933956</v>
      </c>
      <c r="Y79" s="278">
        <f t="shared" si="38"/>
        <v>1</v>
      </c>
      <c r="Z79" s="278">
        <f t="shared" si="39"/>
        <v>0.80000000000000016</v>
      </c>
    </row>
    <row r="80" spans="1:26" x14ac:dyDescent="0.25">
      <c r="A80" s="420"/>
      <c r="B80" s="178" t="s">
        <v>19</v>
      </c>
      <c r="C80" s="129">
        <v>16</v>
      </c>
      <c r="D80" s="239">
        <f>DMG_11*CMD_4</f>
        <v>15.53838</v>
      </c>
      <c r="E80" s="131">
        <f>OMG_11*CMO_4</f>
        <v>10.559999999999999</v>
      </c>
      <c r="F80" s="132">
        <f t="shared" si="35"/>
        <v>8.4479999999999986</v>
      </c>
      <c r="G80" s="133">
        <f t="shared" si="36"/>
        <v>2.1119999999999992</v>
      </c>
      <c r="H80" s="134">
        <f t="shared" si="40"/>
        <v>10.559999999999999</v>
      </c>
      <c r="I80" s="135"/>
      <c r="J80" s="136">
        <f t="shared" si="41"/>
        <v>4.9783800000000014</v>
      </c>
      <c r="K80" s="137"/>
      <c r="L80" s="138">
        <f t="shared" si="42"/>
        <v>2.1119999999999992</v>
      </c>
      <c r="M80" s="137"/>
      <c r="N80" s="139">
        <f t="shared" si="43"/>
        <v>0</v>
      </c>
      <c r="O80" s="137"/>
      <c r="P80" s="140">
        <f t="shared" si="44"/>
        <v>0</v>
      </c>
      <c r="Q80" s="135"/>
      <c r="R80" s="104">
        <f t="shared" si="45"/>
        <v>8.4480000000000004</v>
      </c>
      <c r="S80" s="137"/>
      <c r="T80" s="141">
        <f t="shared" si="46"/>
        <v>2.1119999999999992</v>
      </c>
      <c r="U80" s="199">
        <f t="shared" si="47"/>
        <v>7.0903800000000006</v>
      </c>
      <c r="V80" s="37" t="str">
        <f t="shared" si="48"/>
        <v>ok</v>
      </c>
      <c r="W80" s="37" t="str">
        <f t="shared" si="49"/>
        <v>ok</v>
      </c>
      <c r="X80" s="278">
        <f t="shared" si="37"/>
        <v>0.54368602132268617</v>
      </c>
      <c r="Y80" s="278">
        <f t="shared" si="38"/>
        <v>1.0000000000000002</v>
      </c>
      <c r="Z80" s="278">
        <f t="shared" si="39"/>
        <v>0.80000000000000016</v>
      </c>
    </row>
    <row r="81" spans="1:26" x14ac:dyDescent="0.25">
      <c r="A81" s="420"/>
      <c r="B81" s="178" t="s">
        <v>20</v>
      </c>
      <c r="C81" s="129">
        <v>17</v>
      </c>
      <c r="D81" s="239">
        <f>DMG_12*CMD_4</f>
        <v>12.200760000000001</v>
      </c>
      <c r="E81" s="131">
        <f>OMG_12*CMO_4</f>
        <v>8.0960000000000001</v>
      </c>
      <c r="F81" s="132">
        <f t="shared" si="35"/>
        <v>6.4768000000000008</v>
      </c>
      <c r="G81" s="133">
        <f t="shared" si="36"/>
        <v>1.6191999999999998</v>
      </c>
      <c r="H81" s="134">
        <f t="shared" si="40"/>
        <v>8.0960000000000001</v>
      </c>
      <c r="I81" s="135"/>
      <c r="J81" s="136">
        <f t="shared" si="41"/>
        <v>4.1047600000000006</v>
      </c>
      <c r="K81" s="137"/>
      <c r="L81" s="138">
        <f t="shared" si="42"/>
        <v>1.6191999999999998</v>
      </c>
      <c r="M81" s="137"/>
      <c r="N81" s="139">
        <f t="shared" si="43"/>
        <v>0</v>
      </c>
      <c r="O81" s="137"/>
      <c r="P81" s="140">
        <f t="shared" si="44"/>
        <v>0</v>
      </c>
      <c r="Q81" s="135"/>
      <c r="R81" s="104">
        <f t="shared" si="45"/>
        <v>6.4768000000000008</v>
      </c>
      <c r="S81" s="137"/>
      <c r="T81" s="141">
        <f t="shared" si="46"/>
        <v>1.6191999999999998</v>
      </c>
      <c r="U81" s="199">
        <f t="shared" si="47"/>
        <v>5.7239599999999999</v>
      </c>
      <c r="V81" s="37" t="str">
        <f t="shared" si="48"/>
        <v>ok</v>
      </c>
      <c r="W81" s="37" t="str">
        <f t="shared" si="49"/>
        <v>ok</v>
      </c>
      <c r="X81" s="278">
        <f t="shared" si="37"/>
        <v>0.53085217642179672</v>
      </c>
      <c r="Y81" s="278">
        <f t="shared" si="38"/>
        <v>1</v>
      </c>
      <c r="Z81" s="278">
        <f t="shared" si="39"/>
        <v>0.8</v>
      </c>
    </row>
    <row r="82" spans="1:26" x14ac:dyDescent="0.25">
      <c r="A82" s="420"/>
      <c r="B82" s="178" t="s">
        <v>21</v>
      </c>
      <c r="C82" s="129">
        <v>18</v>
      </c>
      <c r="D82" s="239">
        <f>DMG_13*CMD_4</f>
        <v>5.3367599999999999</v>
      </c>
      <c r="E82" s="131">
        <f>OMG_13*CMO_4</f>
        <v>3.8719999999999999</v>
      </c>
      <c r="F82" s="132">
        <f t="shared" si="35"/>
        <v>3.0975999999999999</v>
      </c>
      <c r="G82" s="133">
        <f t="shared" si="36"/>
        <v>0.77439999999999976</v>
      </c>
      <c r="H82" s="134">
        <f t="shared" si="40"/>
        <v>3.8719999999999999</v>
      </c>
      <c r="I82" s="135"/>
      <c r="J82" s="136">
        <f t="shared" si="41"/>
        <v>1.4647600000000001</v>
      </c>
      <c r="K82" s="137"/>
      <c r="L82" s="138">
        <f t="shared" si="42"/>
        <v>0.77439999999999976</v>
      </c>
      <c r="M82" s="137"/>
      <c r="N82" s="139">
        <f t="shared" si="43"/>
        <v>0</v>
      </c>
      <c r="O82" s="137"/>
      <c r="P82" s="140">
        <f t="shared" si="44"/>
        <v>0</v>
      </c>
      <c r="Q82" s="135"/>
      <c r="R82" s="104">
        <f t="shared" si="45"/>
        <v>3.0975999999999999</v>
      </c>
      <c r="S82" s="137"/>
      <c r="T82" s="141">
        <f t="shared" si="46"/>
        <v>0.77439999999999976</v>
      </c>
      <c r="U82" s="199">
        <f t="shared" si="47"/>
        <v>2.23916</v>
      </c>
      <c r="V82" s="37" t="str">
        <f t="shared" si="48"/>
        <v>ok</v>
      </c>
      <c r="W82" s="37" t="str">
        <f t="shared" si="49"/>
        <v>ok</v>
      </c>
      <c r="X82" s="278">
        <f t="shared" si="37"/>
        <v>0.58042707560392448</v>
      </c>
      <c r="Y82" s="278">
        <f t="shared" si="38"/>
        <v>1</v>
      </c>
      <c r="Z82" s="278">
        <f t="shared" si="39"/>
        <v>0.8</v>
      </c>
    </row>
    <row r="83" spans="1:26" x14ac:dyDescent="0.25">
      <c r="A83" s="420"/>
      <c r="B83" s="178" t="s">
        <v>22</v>
      </c>
      <c r="C83" s="129">
        <v>19</v>
      </c>
      <c r="D83" s="239">
        <f>DMG_14*CMD_4</f>
        <v>3.7237199999999997</v>
      </c>
      <c r="E83" s="131">
        <f>OMG_14*CMO_4</f>
        <v>6.5119999999999996</v>
      </c>
      <c r="F83" s="132">
        <f t="shared" si="35"/>
        <v>5.2096</v>
      </c>
      <c r="G83" s="133">
        <f t="shared" si="36"/>
        <v>1.3023999999999996</v>
      </c>
      <c r="H83" s="134">
        <f t="shared" si="40"/>
        <v>3.7237199999999997</v>
      </c>
      <c r="I83" s="135"/>
      <c r="J83" s="136">
        <f t="shared" si="41"/>
        <v>0</v>
      </c>
      <c r="K83" s="137"/>
      <c r="L83" s="138">
        <f t="shared" si="42"/>
        <v>0</v>
      </c>
      <c r="M83" s="137"/>
      <c r="N83" s="139">
        <f t="shared" si="43"/>
        <v>1.4858800000000003</v>
      </c>
      <c r="O83" s="137"/>
      <c r="P83" s="140">
        <f t="shared" si="44"/>
        <v>1.3023999999999996</v>
      </c>
      <c r="Q83" s="135"/>
      <c r="R83" s="104">
        <f t="shared" si="45"/>
        <v>3.7237199999999997</v>
      </c>
      <c r="S83" s="137"/>
      <c r="T83" s="141">
        <f t="shared" si="46"/>
        <v>2.7882799999999999</v>
      </c>
      <c r="U83" s="199">
        <f t="shared" si="47"/>
        <v>0</v>
      </c>
      <c r="V83" s="37" t="str">
        <f t="shared" si="48"/>
        <v>ok</v>
      </c>
      <c r="W83" s="37" t="str">
        <f t="shared" si="49"/>
        <v>ok</v>
      </c>
      <c r="X83" s="278">
        <f t="shared" si="37"/>
        <v>1</v>
      </c>
      <c r="Y83" s="278">
        <f t="shared" si="38"/>
        <v>0.71478040540540533</v>
      </c>
      <c r="Z83" s="278">
        <f t="shared" si="39"/>
        <v>0.57182432432432428</v>
      </c>
    </row>
    <row r="84" spans="1:26" x14ac:dyDescent="0.25">
      <c r="A84" s="420"/>
      <c r="B84" s="178" t="s">
        <v>23</v>
      </c>
      <c r="C84" s="129">
        <v>20</v>
      </c>
      <c r="D84" s="239">
        <f>DMG_15*CMD_4</f>
        <v>7.7219999999999995</v>
      </c>
      <c r="E84" s="131">
        <f>OMG_15*CMO_4</f>
        <v>7.7439999999999998</v>
      </c>
      <c r="F84" s="132">
        <f t="shared" si="35"/>
        <v>6.1951999999999998</v>
      </c>
      <c r="G84" s="133">
        <f t="shared" si="36"/>
        <v>1.5487999999999995</v>
      </c>
      <c r="H84" s="134">
        <f t="shared" si="40"/>
        <v>7.7219999999999995</v>
      </c>
      <c r="I84" s="135"/>
      <c r="J84" s="136">
        <f t="shared" si="41"/>
        <v>0</v>
      </c>
      <c r="K84" s="137"/>
      <c r="L84" s="138">
        <f t="shared" si="42"/>
        <v>1.5267999999999997</v>
      </c>
      <c r="M84" s="137"/>
      <c r="N84" s="139">
        <f t="shared" si="43"/>
        <v>0</v>
      </c>
      <c r="O84" s="137"/>
      <c r="P84" s="140">
        <f t="shared" si="44"/>
        <v>2.2000000000000242E-2</v>
      </c>
      <c r="Q84" s="135"/>
      <c r="R84" s="104">
        <f t="shared" si="45"/>
        <v>6.1951999999999998</v>
      </c>
      <c r="S84" s="137"/>
      <c r="T84" s="141">
        <f t="shared" si="46"/>
        <v>1.5488</v>
      </c>
      <c r="U84" s="199">
        <f t="shared" si="47"/>
        <v>1.5267999999999997</v>
      </c>
      <c r="V84" s="37" t="str">
        <f t="shared" si="48"/>
        <v>ok</v>
      </c>
      <c r="W84" s="37" t="str">
        <f t="shared" si="49"/>
        <v>ok</v>
      </c>
      <c r="X84" s="278">
        <f t="shared" si="37"/>
        <v>0.80227920227920235</v>
      </c>
      <c r="Y84" s="278">
        <f t="shared" si="38"/>
        <v>1</v>
      </c>
      <c r="Z84" s="278">
        <f t="shared" si="39"/>
        <v>0.8</v>
      </c>
    </row>
    <row r="85" spans="1:26" x14ac:dyDescent="0.25">
      <c r="A85" s="420"/>
      <c r="B85" s="178" t="s">
        <v>19</v>
      </c>
      <c r="C85" s="129">
        <v>23</v>
      </c>
      <c r="D85" s="239">
        <f>DMG_16*CMD_4</f>
        <v>30.990959999999998</v>
      </c>
      <c r="E85" s="131">
        <f>OMG_16*CMO_4</f>
        <v>8.7119999999999997</v>
      </c>
      <c r="F85" s="132">
        <f t="shared" si="35"/>
        <v>6.9695999999999998</v>
      </c>
      <c r="G85" s="133">
        <f t="shared" si="36"/>
        <v>1.7423999999999995</v>
      </c>
      <c r="H85" s="134">
        <f t="shared" si="40"/>
        <v>8.7119999999999997</v>
      </c>
      <c r="I85" s="135"/>
      <c r="J85" s="136">
        <f t="shared" si="41"/>
        <v>22.278959999999998</v>
      </c>
      <c r="K85" s="137"/>
      <c r="L85" s="138">
        <f t="shared" si="42"/>
        <v>1.7423999999999995</v>
      </c>
      <c r="M85" s="137"/>
      <c r="N85" s="139">
        <f t="shared" si="43"/>
        <v>0</v>
      </c>
      <c r="O85" s="137"/>
      <c r="P85" s="140">
        <f t="shared" si="44"/>
        <v>0</v>
      </c>
      <c r="Q85" s="135"/>
      <c r="R85" s="104">
        <f t="shared" si="45"/>
        <v>6.9695999999999998</v>
      </c>
      <c r="S85" s="137"/>
      <c r="T85" s="141">
        <f t="shared" si="46"/>
        <v>1.7423999999999995</v>
      </c>
      <c r="U85" s="199">
        <f t="shared" si="47"/>
        <v>24.021359999999998</v>
      </c>
      <c r="V85" s="37" t="str">
        <f t="shared" si="48"/>
        <v>ok</v>
      </c>
      <c r="W85" s="37" t="str">
        <f t="shared" si="49"/>
        <v>ok</v>
      </c>
      <c r="X85" s="278">
        <f t="shared" si="37"/>
        <v>0.22489138768208536</v>
      </c>
      <c r="Y85" s="278">
        <f t="shared" si="38"/>
        <v>1</v>
      </c>
      <c r="Z85" s="278">
        <f t="shared" si="39"/>
        <v>0.8</v>
      </c>
    </row>
    <row r="86" spans="1:26" x14ac:dyDescent="0.25">
      <c r="A86" s="420"/>
      <c r="B86" s="178" t="s">
        <v>20</v>
      </c>
      <c r="C86" s="129">
        <v>24</v>
      </c>
      <c r="D86" s="239">
        <f>DMG_17*CMD_4</f>
        <v>25.225199999999997</v>
      </c>
      <c r="E86" s="131">
        <f>OMG_17*CMO_4</f>
        <v>5.5193599999999998</v>
      </c>
      <c r="F86" s="132">
        <f t="shared" si="35"/>
        <v>4.4154879999999999</v>
      </c>
      <c r="G86" s="133">
        <f t="shared" si="36"/>
        <v>1.1038719999999997</v>
      </c>
      <c r="H86" s="134">
        <f t="shared" si="40"/>
        <v>5.5193599999999998</v>
      </c>
      <c r="I86" s="135"/>
      <c r="J86" s="136">
        <f t="shared" si="41"/>
        <v>19.705839999999998</v>
      </c>
      <c r="K86" s="137"/>
      <c r="L86" s="138">
        <f t="shared" si="42"/>
        <v>1.1038719999999997</v>
      </c>
      <c r="M86" s="137"/>
      <c r="N86" s="139">
        <f t="shared" si="43"/>
        <v>0</v>
      </c>
      <c r="O86" s="137"/>
      <c r="P86" s="140">
        <f t="shared" si="44"/>
        <v>0</v>
      </c>
      <c r="Q86" s="135"/>
      <c r="R86" s="104">
        <f t="shared" si="45"/>
        <v>4.4154879999999999</v>
      </c>
      <c r="S86" s="137"/>
      <c r="T86" s="141">
        <f t="shared" si="46"/>
        <v>1.1038719999999997</v>
      </c>
      <c r="U86" s="199">
        <f t="shared" si="47"/>
        <v>20.809711999999998</v>
      </c>
      <c r="V86" s="37" t="str">
        <f t="shared" si="48"/>
        <v>ok</v>
      </c>
      <c r="W86" s="37" t="str">
        <f t="shared" si="49"/>
        <v>ok</v>
      </c>
      <c r="X86" s="278">
        <f t="shared" si="37"/>
        <v>0.17504273504273504</v>
      </c>
      <c r="Y86" s="278">
        <f t="shared" si="38"/>
        <v>1</v>
      </c>
      <c r="Z86" s="278">
        <f t="shared" si="39"/>
        <v>0.8</v>
      </c>
    </row>
    <row r="87" spans="1:26" x14ac:dyDescent="0.25">
      <c r="A87" s="420"/>
      <c r="B87" s="178" t="s">
        <v>21</v>
      </c>
      <c r="C87" s="129">
        <v>25</v>
      </c>
      <c r="D87" s="239">
        <f>DMG_18*CMD_4</f>
        <v>14.534520000000001</v>
      </c>
      <c r="E87" s="131">
        <f>OMG_18*CMO_4</f>
        <v>2.6153599999999999</v>
      </c>
      <c r="F87" s="132">
        <f t="shared" si="35"/>
        <v>2.0922879999999999</v>
      </c>
      <c r="G87" s="133">
        <f t="shared" si="36"/>
        <v>0.52307199999999987</v>
      </c>
      <c r="H87" s="134">
        <f t="shared" si="40"/>
        <v>2.6153599999999999</v>
      </c>
      <c r="I87" s="135"/>
      <c r="J87" s="136">
        <f t="shared" si="41"/>
        <v>11.919160000000002</v>
      </c>
      <c r="K87" s="137"/>
      <c r="L87" s="138">
        <f t="shared" si="42"/>
        <v>0.52307199999999987</v>
      </c>
      <c r="M87" s="137"/>
      <c r="N87" s="139">
        <f t="shared" si="43"/>
        <v>0</v>
      </c>
      <c r="O87" s="137"/>
      <c r="P87" s="140">
        <f t="shared" si="44"/>
        <v>0</v>
      </c>
      <c r="Q87" s="135"/>
      <c r="R87" s="104">
        <f t="shared" si="45"/>
        <v>2.0922879999999999</v>
      </c>
      <c r="S87" s="137"/>
      <c r="T87" s="141">
        <f t="shared" si="46"/>
        <v>0.52307199999999987</v>
      </c>
      <c r="U87" s="199">
        <f t="shared" si="47"/>
        <v>12.442232000000001</v>
      </c>
      <c r="V87" s="37" t="str">
        <f t="shared" si="48"/>
        <v>ok</v>
      </c>
      <c r="W87" s="37" t="str">
        <f t="shared" si="49"/>
        <v>ok</v>
      </c>
      <c r="X87" s="278">
        <f t="shared" si="37"/>
        <v>0.1439530166802894</v>
      </c>
      <c r="Y87" s="278">
        <f t="shared" si="38"/>
        <v>1</v>
      </c>
      <c r="Z87" s="278">
        <f t="shared" si="39"/>
        <v>0.8</v>
      </c>
    </row>
    <row r="88" spans="1:26" x14ac:dyDescent="0.25">
      <c r="A88" s="420"/>
      <c r="B88" s="178" t="s">
        <v>22</v>
      </c>
      <c r="C88" s="129">
        <v>26</v>
      </c>
      <c r="D88" s="239">
        <f>DMG_19*CMD_4</f>
        <v>11.900459999999999</v>
      </c>
      <c r="E88" s="131">
        <f>OMG_19*CMO_4</f>
        <v>3.4847999999999999</v>
      </c>
      <c r="F88" s="132">
        <f t="shared" si="35"/>
        <v>2.7878400000000001</v>
      </c>
      <c r="G88" s="133">
        <f t="shared" si="36"/>
        <v>0.6969599999999998</v>
      </c>
      <c r="H88" s="134">
        <f t="shared" si="40"/>
        <v>3.4847999999999999</v>
      </c>
      <c r="I88" s="135"/>
      <c r="J88" s="136">
        <f t="shared" si="41"/>
        <v>8.415659999999999</v>
      </c>
      <c r="K88" s="137"/>
      <c r="L88" s="138">
        <f t="shared" si="42"/>
        <v>0.6969599999999998</v>
      </c>
      <c r="M88" s="137"/>
      <c r="N88" s="139">
        <f t="shared" si="43"/>
        <v>0</v>
      </c>
      <c r="O88" s="137"/>
      <c r="P88" s="140">
        <f t="shared" si="44"/>
        <v>0</v>
      </c>
      <c r="Q88" s="135"/>
      <c r="R88" s="104">
        <f t="shared" si="45"/>
        <v>2.7878400000000001</v>
      </c>
      <c r="S88" s="137"/>
      <c r="T88" s="141">
        <f t="shared" si="46"/>
        <v>0.6969599999999998</v>
      </c>
      <c r="U88" s="199">
        <f t="shared" si="47"/>
        <v>9.1126199999999997</v>
      </c>
      <c r="V88" s="37" t="str">
        <f t="shared" si="48"/>
        <v>ok</v>
      </c>
      <c r="W88" s="37" t="str">
        <f t="shared" si="49"/>
        <v>ok</v>
      </c>
      <c r="X88" s="278">
        <f t="shared" si="37"/>
        <v>0.2342632133547779</v>
      </c>
      <c r="Y88" s="278">
        <f t="shared" si="38"/>
        <v>1</v>
      </c>
      <c r="Z88" s="278">
        <f t="shared" si="39"/>
        <v>0.8</v>
      </c>
    </row>
    <row r="89" spans="1:26" x14ac:dyDescent="0.25">
      <c r="A89" s="420"/>
      <c r="B89" s="178" t="s">
        <v>23</v>
      </c>
      <c r="C89" s="129">
        <v>27</v>
      </c>
      <c r="D89" s="239">
        <f>DMG_20*CMD_4</f>
        <v>22.350899999999999</v>
      </c>
      <c r="E89" s="131">
        <f>OMG_20*CMO_4</f>
        <v>5.5193599999999998</v>
      </c>
      <c r="F89" s="132">
        <f t="shared" si="35"/>
        <v>4.4154879999999999</v>
      </c>
      <c r="G89" s="133">
        <f t="shared" si="36"/>
        <v>1.1038719999999997</v>
      </c>
      <c r="H89" s="134">
        <f t="shared" si="40"/>
        <v>5.5193599999999998</v>
      </c>
      <c r="I89" s="135"/>
      <c r="J89" s="136">
        <f t="shared" si="41"/>
        <v>16.83154</v>
      </c>
      <c r="K89" s="137"/>
      <c r="L89" s="138">
        <f t="shared" si="42"/>
        <v>1.1038719999999997</v>
      </c>
      <c r="M89" s="137"/>
      <c r="N89" s="139">
        <f t="shared" si="43"/>
        <v>0</v>
      </c>
      <c r="O89" s="137"/>
      <c r="P89" s="140">
        <f t="shared" si="44"/>
        <v>0</v>
      </c>
      <c r="Q89" s="135"/>
      <c r="R89" s="104">
        <f t="shared" si="45"/>
        <v>4.4154879999999999</v>
      </c>
      <c r="S89" s="137"/>
      <c r="T89" s="141">
        <f t="shared" si="46"/>
        <v>1.1038719999999997</v>
      </c>
      <c r="U89" s="199">
        <f t="shared" si="47"/>
        <v>17.935411999999999</v>
      </c>
      <c r="V89" s="37" t="str">
        <f t="shared" si="48"/>
        <v>ok</v>
      </c>
      <c r="W89" s="37" t="str">
        <f t="shared" si="49"/>
        <v>ok</v>
      </c>
      <c r="X89" s="278">
        <f t="shared" si="37"/>
        <v>0.19755302918450712</v>
      </c>
      <c r="Y89" s="278">
        <f t="shared" si="38"/>
        <v>1</v>
      </c>
      <c r="Z89" s="278">
        <f t="shared" si="39"/>
        <v>0.8</v>
      </c>
    </row>
    <row r="90" spans="1:26" ht="15.75" thickBot="1" x14ac:dyDescent="0.3">
      <c r="A90" s="421"/>
      <c r="B90" s="180" t="s">
        <v>19</v>
      </c>
      <c r="C90" s="237">
        <v>30</v>
      </c>
      <c r="D90" s="240">
        <f>DMG_21*CMD_4</f>
        <v>37.185720000000003</v>
      </c>
      <c r="E90" s="203">
        <f>OMG_21*CMO_4</f>
        <v>10.559999999999999</v>
      </c>
      <c r="F90" s="204">
        <f t="shared" si="35"/>
        <v>8.4479999999999986</v>
      </c>
      <c r="G90" s="205">
        <f t="shared" si="36"/>
        <v>2.1119999999999992</v>
      </c>
      <c r="H90" s="206">
        <f t="shared" si="40"/>
        <v>10.559999999999999</v>
      </c>
      <c r="I90" s="207"/>
      <c r="J90" s="208">
        <f t="shared" si="41"/>
        <v>26.625720000000005</v>
      </c>
      <c r="K90" s="209"/>
      <c r="L90" s="210">
        <f t="shared" si="42"/>
        <v>2.1119999999999992</v>
      </c>
      <c r="M90" s="209"/>
      <c r="N90" s="211">
        <f t="shared" si="43"/>
        <v>0</v>
      </c>
      <c r="O90" s="209"/>
      <c r="P90" s="212">
        <f t="shared" si="44"/>
        <v>0</v>
      </c>
      <c r="Q90" s="207"/>
      <c r="R90" s="213">
        <f t="shared" si="45"/>
        <v>8.4480000000000004</v>
      </c>
      <c r="S90" s="209"/>
      <c r="T90" s="214">
        <f t="shared" si="46"/>
        <v>2.1119999999999992</v>
      </c>
      <c r="U90" s="215">
        <f t="shared" si="47"/>
        <v>28.737720000000003</v>
      </c>
      <c r="V90" s="37" t="str">
        <f t="shared" si="48"/>
        <v>ok</v>
      </c>
      <c r="W90" s="37" t="str">
        <f t="shared" si="49"/>
        <v>ok</v>
      </c>
      <c r="X90" s="278">
        <f t="shared" si="37"/>
        <v>0.22718398352916119</v>
      </c>
      <c r="Y90" s="278">
        <f t="shared" si="38"/>
        <v>1.0000000000000002</v>
      </c>
      <c r="Z90" s="278">
        <f t="shared" si="39"/>
        <v>0.80000000000000016</v>
      </c>
    </row>
    <row r="91" spans="1:26" x14ac:dyDescent="0.25">
      <c r="A91" s="419" t="s">
        <v>93</v>
      </c>
      <c r="B91" s="176" t="s">
        <v>20</v>
      </c>
      <c r="C91" s="177">
        <v>1</v>
      </c>
      <c r="D91" s="184">
        <f>DMG_1*CMD_5</f>
        <v>19.712734999999999</v>
      </c>
      <c r="E91" s="185">
        <f>OMG_1*CMO_5</f>
        <v>9.984</v>
      </c>
      <c r="F91" s="186">
        <f t="shared" si="35"/>
        <v>7.9872000000000005</v>
      </c>
      <c r="G91" s="187">
        <f t="shared" si="36"/>
        <v>1.9967999999999995</v>
      </c>
      <c r="H91" s="188">
        <f>IF(E91&gt;D91,D91,E91)</f>
        <v>9.984</v>
      </c>
      <c r="I91" s="189"/>
      <c r="J91" s="190">
        <f>IF(E91&gt;D91,0,D91-E91)</f>
        <v>9.7287349999999986</v>
      </c>
      <c r="K91" s="191"/>
      <c r="L91" s="192">
        <f>IF(E91&gt;D91,IF(F91&gt;H91,0,H91-F91),G91)</f>
        <v>1.9967999999999995</v>
      </c>
      <c r="M91" s="191"/>
      <c r="N91" s="193">
        <f>IF(E91&gt;D91,IF(F91&gt;H91,F91-H91,0),0)</f>
        <v>0</v>
      </c>
      <c r="O91" s="191"/>
      <c r="P91" s="194">
        <f>IF(E91&gt;D91,IF(F91&gt;H91,G91,E91-H91),0)</f>
        <v>0</v>
      </c>
      <c r="Q91" s="189"/>
      <c r="R91" s="195">
        <f>H91-L91</f>
        <v>7.9872000000000005</v>
      </c>
      <c r="S91" s="191"/>
      <c r="T91" s="196">
        <f>L91+N91+P91</f>
        <v>1.9967999999999995</v>
      </c>
      <c r="U91" s="197">
        <f>J91+L91</f>
        <v>11.725534999999997</v>
      </c>
      <c r="V91" s="37" t="str">
        <f>IF(R91+T91=E91,"ok","bad")</f>
        <v>ok</v>
      </c>
      <c r="W91" s="37" t="str">
        <f>IF(U91+R91=D91,"ok","bad")</f>
        <v>ok</v>
      </c>
      <c r="X91" s="278">
        <f t="shared" si="37"/>
        <v>0.40517969728705838</v>
      </c>
      <c r="Y91" s="278">
        <f t="shared" si="38"/>
        <v>1</v>
      </c>
      <c r="Z91" s="278">
        <f t="shared" si="39"/>
        <v>0.8</v>
      </c>
    </row>
    <row r="92" spans="1:26" x14ac:dyDescent="0.25">
      <c r="A92" s="420"/>
      <c r="B92" s="178" t="s">
        <v>21</v>
      </c>
      <c r="C92" s="179">
        <v>2</v>
      </c>
      <c r="D92" s="130">
        <f>DMG_2*CMD_5</f>
        <v>15.478470000000002</v>
      </c>
      <c r="E92" s="131">
        <f>OMG_2*CMO_5</f>
        <v>7.3216000000000001</v>
      </c>
      <c r="F92" s="132">
        <f t="shared" si="35"/>
        <v>5.8572800000000003</v>
      </c>
      <c r="G92" s="133">
        <f t="shared" si="36"/>
        <v>1.4643199999999996</v>
      </c>
      <c r="H92" s="134">
        <f t="shared" ref="H92:H113" si="50">IF(E92&gt;D92,D92,E92)</f>
        <v>7.3216000000000001</v>
      </c>
      <c r="I92" s="135"/>
      <c r="J92" s="136">
        <f t="shared" ref="J92:J113" si="51">IF(E92&gt;D92,0,D92-E92)</f>
        <v>8.1568700000000014</v>
      </c>
      <c r="K92" s="137"/>
      <c r="L92" s="138">
        <f t="shared" ref="L92:L113" si="52">IF(E92&gt;D92,IF(F92&gt;H92,0,H92-F92),G92)</f>
        <v>1.4643199999999996</v>
      </c>
      <c r="M92" s="137"/>
      <c r="N92" s="139">
        <f t="shared" ref="N92:N113" si="53">IF(E92&gt;D92,IF(F92&gt;H92,F92-H92,0),0)</f>
        <v>0</v>
      </c>
      <c r="O92" s="137"/>
      <c r="P92" s="140">
        <f t="shared" ref="P92:P113" si="54">IF(E92&gt;D92,IF(F92&gt;H92,G92,E92-H92),0)</f>
        <v>0</v>
      </c>
      <c r="Q92" s="135"/>
      <c r="R92" s="104">
        <f t="shared" ref="R92:R113" si="55">H92-L92</f>
        <v>5.8572800000000003</v>
      </c>
      <c r="S92" s="137"/>
      <c r="T92" s="141">
        <f t="shared" ref="T92:T113" si="56">L92+N92+P92</f>
        <v>1.4643199999999996</v>
      </c>
      <c r="U92" s="199">
        <f t="shared" ref="U92:U113" si="57">J92+L92</f>
        <v>9.6211900000000004</v>
      </c>
      <c r="V92" s="37" t="str">
        <f t="shared" ref="V92:V113" si="58">IF(R92+T92=E92,"ok","bad")</f>
        <v>ok</v>
      </c>
      <c r="W92" s="37" t="str">
        <f t="shared" ref="W92:W113" si="59">IF(U92+R92=D92,"ok","bad")</f>
        <v>ok</v>
      </c>
      <c r="X92" s="278">
        <f t="shared" si="37"/>
        <v>0.37841466243110589</v>
      </c>
      <c r="Y92" s="278">
        <f t="shared" si="38"/>
        <v>1</v>
      </c>
      <c r="Z92" s="278">
        <f t="shared" si="39"/>
        <v>0.8</v>
      </c>
    </row>
    <row r="93" spans="1:26" x14ac:dyDescent="0.25">
      <c r="A93" s="420"/>
      <c r="B93" s="178" t="s">
        <v>22</v>
      </c>
      <c r="C93" s="179">
        <v>3</v>
      </c>
      <c r="D93" s="130">
        <f>DMG_3*CMD_5</f>
        <v>6.7704699999999995</v>
      </c>
      <c r="E93" s="131">
        <f>OMG_3*CMO_5</f>
        <v>2.9952000000000001</v>
      </c>
      <c r="F93" s="132">
        <f t="shared" si="35"/>
        <v>2.3961600000000001</v>
      </c>
      <c r="G93" s="133">
        <f t="shared" si="36"/>
        <v>0.59903999999999991</v>
      </c>
      <c r="H93" s="134">
        <f t="shared" si="50"/>
        <v>2.9952000000000001</v>
      </c>
      <c r="I93" s="135"/>
      <c r="J93" s="136">
        <f t="shared" si="51"/>
        <v>3.7752699999999995</v>
      </c>
      <c r="K93" s="137"/>
      <c r="L93" s="138">
        <f t="shared" si="52"/>
        <v>0.59903999999999991</v>
      </c>
      <c r="M93" s="137"/>
      <c r="N93" s="139">
        <f t="shared" si="53"/>
        <v>0</v>
      </c>
      <c r="O93" s="137"/>
      <c r="P93" s="140">
        <f t="shared" si="54"/>
        <v>0</v>
      </c>
      <c r="Q93" s="135"/>
      <c r="R93" s="104">
        <f t="shared" si="55"/>
        <v>2.3961600000000001</v>
      </c>
      <c r="S93" s="137"/>
      <c r="T93" s="141">
        <f t="shared" si="56"/>
        <v>0.59903999999999991</v>
      </c>
      <c r="U93" s="199">
        <f t="shared" si="57"/>
        <v>4.3743099999999995</v>
      </c>
      <c r="V93" s="37" t="str">
        <f t="shared" si="58"/>
        <v>ok</v>
      </c>
      <c r="W93" s="37" t="str">
        <f t="shared" si="59"/>
        <v>ok</v>
      </c>
      <c r="X93" s="278">
        <f t="shared" si="37"/>
        <v>0.35391339153707208</v>
      </c>
      <c r="Y93" s="278">
        <f t="shared" si="38"/>
        <v>1</v>
      </c>
      <c r="Z93" s="278">
        <f t="shared" si="39"/>
        <v>0.8</v>
      </c>
    </row>
    <row r="94" spans="1:26" x14ac:dyDescent="0.25">
      <c r="A94" s="420"/>
      <c r="B94" s="178" t="s">
        <v>23</v>
      </c>
      <c r="C94" s="179">
        <v>4</v>
      </c>
      <c r="D94" s="130">
        <f>DMG_4*CMD_5</f>
        <v>4.7240900000000003</v>
      </c>
      <c r="E94" s="131">
        <f>OMG_4*CMO_5</f>
        <v>4.4927999999999999</v>
      </c>
      <c r="F94" s="132">
        <f t="shared" si="35"/>
        <v>3.5942400000000001</v>
      </c>
      <c r="G94" s="133">
        <f t="shared" si="36"/>
        <v>0.8985599999999998</v>
      </c>
      <c r="H94" s="134">
        <f t="shared" si="50"/>
        <v>4.4927999999999999</v>
      </c>
      <c r="I94" s="135"/>
      <c r="J94" s="136">
        <f t="shared" si="51"/>
        <v>0.23129000000000044</v>
      </c>
      <c r="K94" s="137"/>
      <c r="L94" s="138">
        <f t="shared" si="52"/>
        <v>0.8985599999999998</v>
      </c>
      <c r="M94" s="137"/>
      <c r="N94" s="139">
        <f t="shared" si="53"/>
        <v>0</v>
      </c>
      <c r="O94" s="137"/>
      <c r="P94" s="140">
        <f t="shared" si="54"/>
        <v>0</v>
      </c>
      <c r="Q94" s="135"/>
      <c r="R94" s="104">
        <f t="shared" si="55"/>
        <v>3.5942400000000001</v>
      </c>
      <c r="S94" s="137"/>
      <c r="T94" s="141">
        <f t="shared" si="56"/>
        <v>0.8985599999999998</v>
      </c>
      <c r="U94" s="199">
        <f t="shared" si="57"/>
        <v>1.1298500000000002</v>
      </c>
      <c r="V94" s="37" t="str">
        <f t="shared" si="58"/>
        <v>ok</v>
      </c>
      <c r="W94" s="37" t="str">
        <f t="shared" si="59"/>
        <v>ok</v>
      </c>
      <c r="X94" s="278">
        <f t="shared" si="37"/>
        <v>0.76083224494029533</v>
      </c>
      <c r="Y94" s="278">
        <f t="shared" si="38"/>
        <v>1</v>
      </c>
      <c r="Z94" s="278">
        <f t="shared" si="39"/>
        <v>0.8</v>
      </c>
    </row>
    <row r="95" spans="1:26" x14ac:dyDescent="0.25">
      <c r="A95" s="420"/>
      <c r="B95" s="178" t="s">
        <v>19</v>
      </c>
      <c r="C95" s="179">
        <v>7</v>
      </c>
      <c r="D95" s="130">
        <f>DMG_5*CMD_5</f>
        <v>9.7965</v>
      </c>
      <c r="E95" s="131">
        <f>OMG_5*CMO_5</f>
        <v>7.3216000000000001</v>
      </c>
      <c r="F95" s="132">
        <f t="shared" si="35"/>
        <v>5.8572800000000003</v>
      </c>
      <c r="G95" s="133">
        <f t="shared" si="36"/>
        <v>1.4643199999999996</v>
      </c>
      <c r="H95" s="134">
        <f t="shared" si="50"/>
        <v>7.3216000000000001</v>
      </c>
      <c r="I95" s="135"/>
      <c r="J95" s="136">
        <f t="shared" si="51"/>
        <v>2.4748999999999999</v>
      </c>
      <c r="K95" s="137"/>
      <c r="L95" s="138">
        <f t="shared" si="52"/>
        <v>1.4643199999999996</v>
      </c>
      <c r="M95" s="137"/>
      <c r="N95" s="139">
        <f t="shared" si="53"/>
        <v>0</v>
      </c>
      <c r="O95" s="137"/>
      <c r="P95" s="140">
        <f t="shared" si="54"/>
        <v>0</v>
      </c>
      <c r="Q95" s="135"/>
      <c r="R95" s="104">
        <f t="shared" si="55"/>
        <v>5.8572800000000003</v>
      </c>
      <c r="S95" s="137"/>
      <c r="T95" s="141">
        <f t="shared" si="56"/>
        <v>1.4643199999999996</v>
      </c>
      <c r="U95" s="199">
        <f t="shared" si="57"/>
        <v>3.9392199999999997</v>
      </c>
      <c r="V95" s="37" t="str">
        <f t="shared" si="58"/>
        <v>ok</v>
      </c>
      <c r="W95" s="37" t="str">
        <f t="shared" si="59"/>
        <v>ok</v>
      </c>
      <c r="X95" s="278">
        <f t="shared" si="37"/>
        <v>0.59789516664114739</v>
      </c>
      <c r="Y95" s="278">
        <f t="shared" si="38"/>
        <v>1</v>
      </c>
      <c r="Z95" s="278">
        <f t="shared" si="39"/>
        <v>0.8</v>
      </c>
    </row>
    <row r="96" spans="1:26" x14ac:dyDescent="0.25">
      <c r="A96" s="420"/>
      <c r="B96" s="178" t="s">
        <v>20</v>
      </c>
      <c r="C96" s="179">
        <v>8</v>
      </c>
      <c r="D96" s="130">
        <f>DMG_6*CMD_5</f>
        <v>31.457649999999997</v>
      </c>
      <c r="E96" s="131">
        <f>OMG_6*CMO_5</f>
        <v>5.12</v>
      </c>
      <c r="F96" s="132">
        <f t="shared" si="35"/>
        <v>4.0960000000000001</v>
      </c>
      <c r="G96" s="133">
        <f t="shared" si="36"/>
        <v>1.0239999999999998</v>
      </c>
      <c r="H96" s="134">
        <f t="shared" si="50"/>
        <v>5.12</v>
      </c>
      <c r="I96" s="135"/>
      <c r="J96" s="136">
        <f t="shared" si="51"/>
        <v>26.337649999999996</v>
      </c>
      <c r="K96" s="137"/>
      <c r="L96" s="138">
        <f t="shared" si="52"/>
        <v>1.0239999999999998</v>
      </c>
      <c r="M96" s="137"/>
      <c r="N96" s="139">
        <f t="shared" si="53"/>
        <v>0</v>
      </c>
      <c r="O96" s="137"/>
      <c r="P96" s="140">
        <f t="shared" si="54"/>
        <v>0</v>
      </c>
      <c r="Q96" s="135"/>
      <c r="R96" s="104">
        <f t="shared" si="55"/>
        <v>4.0960000000000001</v>
      </c>
      <c r="S96" s="137"/>
      <c r="T96" s="141">
        <f t="shared" si="56"/>
        <v>1.0239999999999998</v>
      </c>
      <c r="U96" s="199">
        <f t="shared" si="57"/>
        <v>27.361649999999997</v>
      </c>
      <c r="V96" s="37" t="str">
        <f t="shared" si="58"/>
        <v>ok</v>
      </c>
      <c r="W96" s="37" t="str">
        <f t="shared" si="59"/>
        <v>ok</v>
      </c>
      <c r="X96" s="278">
        <f t="shared" si="37"/>
        <v>0.1302068018431129</v>
      </c>
      <c r="Y96" s="278">
        <f t="shared" si="38"/>
        <v>1</v>
      </c>
      <c r="Z96" s="278">
        <f t="shared" si="39"/>
        <v>0.8</v>
      </c>
    </row>
    <row r="97" spans="1:26" x14ac:dyDescent="0.25">
      <c r="A97" s="420"/>
      <c r="B97" s="178" t="s">
        <v>21</v>
      </c>
      <c r="C97" s="179">
        <v>9</v>
      </c>
      <c r="D97" s="130">
        <f>DMG_7*CMD_5</f>
        <v>25.51444</v>
      </c>
      <c r="E97" s="131">
        <f>OMG_7*CMO_5</f>
        <v>5.2480000000000002</v>
      </c>
      <c r="F97" s="132">
        <f t="shared" si="35"/>
        <v>4.1984000000000004</v>
      </c>
      <c r="G97" s="133">
        <f t="shared" si="36"/>
        <v>1.0495999999999999</v>
      </c>
      <c r="H97" s="134">
        <f t="shared" si="50"/>
        <v>5.2480000000000002</v>
      </c>
      <c r="I97" s="135"/>
      <c r="J97" s="136">
        <f t="shared" si="51"/>
        <v>20.266439999999999</v>
      </c>
      <c r="K97" s="137"/>
      <c r="L97" s="138">
        <f t="shared" si="52"/>
        <v>1.0495999999999999</v>
      </c>
      <c r="M97" s="137"/>
      <c r="N97" s="139">
        <f t="shared" si="53"/>
        <v>0</v>
      </c>
      <c r="O97" s="137"/>
      <c r="P97" s="140">
        <f t="shared" si="54"/>
        <v>0</v>
      </c>
      <c r="Q97" s="135"/>
      <c r="R97" s="104">
        <f t="shared" si="55"/>
        <v>4.1984000000000004</v>
      </c>
      <c r="S97" s="137"/>
      <c r="T97" s="141">
        <f t="shared" si="56"/>
        <v>1.0495999999999999</v>
      </c>
      <c r="U97" s="199">
        <f t="shared" si="57"/>
        <v>21.316040000000001</v>
      </c>
      <c r="V97" s="37" t="str">
        <f t="shared" si="58"/>
        <v>ok</v>
      </c>
      <c r="W97" s="37" t="str">
        <f t="shared" si="59"/>
        <v>ok</v>
      </c>
      <c r="X97" s="278">
        <f t="shared" si="37"/>
        <v>0.16454995680877182</v>
      </c>
      <c r="Y97" s="278">
        <f t="shared" si="38"/>
        <v>1</v>
      </c>
      <c r="Z97" s="278">
        <f t="shared" si="39"/>
        <v>0.8</v>
      </c>
    </row>
    <row r="98" spans="1:26" x14ac:dyDescent="0.25">
      <c r="A98" s="420"/>
      <c r="B98" s="178" t="s">
        <v>22</v>
      </c>
      <c r="C98" s="179">
        <v>10</v>
      </c>
      <c r="D98" s="130">
        <f>DMG_8*CMD_5</f>
        <v>14.749175000000001</v>
      </c>
      <c r="E98" s="131">
        <f>OMG_8*CMO_5</f>
        <v>2.8159999999999998</v>
      </c>
      <c r="F98" s="132">
        <f t="shared" si="35"/>
        <v>2.2528000000000001</v>
      </c>
      <c r="G98" s="133">
        <f t="shared" si="36"/>
        <v>0.56319999999999981</v>
      </c>
      <c r="H98" s="134">
        <f t="shared" si="50"/>
        <v>2.8159999999999998</v>
      </c>
      <c r="I98" s="135"/>
      <c r="J98" s="136">
        <f t="shared" si="51"/>
        <v>11.933175000000002</v>
      </c>
      <c r="K98" s="137"/>
      <c r="L98" s="138">
        <f t="shared" si="52"/>
        <v>0.56319999999999981</v>
      </c>
      <c r="M98" s="137"/>
      <c r="N98" s="139">
        <f t="shared" si="53"/>
        <v>0</v>
      </c>
      <c r="O98" s="137"/>
      <c r="P98" s="140">
        <f t="shared" si="54"/>
        <v>0</v>
      </c>
      <c r="Q98" s="135"/>
      <c r="R98" s="104">
        <f t="shared" si="55"/>
        <v>2.2528000000000001</v>
      </c>
      <c r="S98" s="137"/>
      <c r="T98" s="141">
        <f t="shared" si="56"/>
        <v>0.56319999999999981</v>
      </c>
      <c r="U98" s="199">
        <f t="shared" si="57"/>
        <v>12.496375000000002</v>
      </c>
      <c r="V98" s="37" t="str">
        <f t="shared" si="58"/>
        <v>ok</v>
      </c>
      <c r="W98" s="37" t="str">
        <f t="shared" si="59"/>
        <v>ok</v>
      </c>
      <c r="X98" s="278">
        <f t="shared" si="37"/>
        <v>0.15274074651633057</v>
      </c>
      <c r="Y98" s="278">
        <f t="shared" si="38"/>
        <v>1</v>
      </c>
      <c r="Z98" s="278">
        <f t="shared" si="39"/>
        <v>0.8</v>
      </c>
    </row>
    <row r="99" spans="1:26" x14ac:dyDescent="0.25">
      <c r="A99" s="420"/>
      <c r="B99" s="178" t="s">
        <v>23</v>
      </c>
      <c r="C99" s="179">
        <v>11</v>
      </c>
      <c r="D99" s="130">
        <f>DMG_9*CMD_5</f>
        <v>11.908189999999999</v>
      </c>
      <c r="E99" s="131">
        <f>OMG_9*CMO_5</f>
        <v>3.5840000000000001</v>
      </c>
      <c r="F99" s="132">
        <f t="shared" si="35"/>
        <v>2.8672000000000004</v>
      </c>
      <c r="G99" s="133">
        <f t="shared" si="36"/>
        <v>0.71679999999999988</v>
      </c>
      <c r="H99" s="134">
        <f t="shared" si="50"/>
        <v>3.5840000000000001</v>
      </c>
      <c r="I99" s="135"/>
      <c r="J99" s="136">
        <f t="shared" si="51"/>
        <v>8.3241899999999998</v>
      </c>
      <c r="K99" s="137"/>
      <c r="L99" s="138">
        <f t="shared" si="52"/>
        <v>0.71679999999999988</v>
      </c>
      <c r="M99" s="137"/>
      <c r="N99" s="139">
        <f t="shared" si="53"/>
        <v>0</v>
      </c>
      <c r="O99" s="137"/>
      <c r="P99" s="140">
        <f t="shared" si="54"/>
        <v>0</v>
      </c>
      <c r="Q99" s="135"/>
      <c r="R99" s="104">
        <f t="shared" si="55"/>
        <v>2.8672000000000004</v>
      </c>
      <c r="S99" s="137"/>
      <c r="T99" s="141">
        <f t="shared" si="56"/>
        <v>0.71679999999999988</v>
      </c>
      <c r="U99" s="199">
        <f t="shared" si="57"/>
        <v>9.040989999999999</v>
      </c>
      <c r="V99" s="37" t="str">
        <f t="shared" si="58"/>
        <v>ok</v>
      </c>
      <c r="W99" s="37" t="str">
        <f t="shared" si="59"/>
        <v>ok</v>
      </c>
      <c r="X99" s="278">
        <f t="shared" si="37"/>
        <v>0.24077546629672525</v>
      </c>
      <c r="Y99" s="278">
        <f t="shared" si="38"/>
        <v>1</v>
      </c>
      <c r="Z99" s="278">
        <f t="shared" si="39"/>
        <v>0.8</v>
      </c>
    </row>
    <row r="100" spans="1:26" x14ac:dyDescent="0.25">
      <c r="A100" s="420"/>
      <c r="B100" s="178" t="s">
        <v>19</v>
      </c>
      <c r="C100" s="179">
        <v>14</v>
      </c>
      <c r="D100" s="130">
        <f>DMG_10*CMD_5</f>
        <v>22.684339999999999</v>
      </c>
      <c r="E100" s="131">
        <f>OMG_10*CMO_5</f>
        <v>4.8639999999999999</v>
      </c>
      <c r="F100" s="132">
        <f t="shared" si="35"/>
        <v>3.8912</v>
      </c>
      <c r="G100" s="133">
        <f t="shared" si="36"/>
        <v>0.97279999999999978</v>
      </c>
      <c r="H100" s="134">
        <f t="shared" si="50"/>
        <v>4.8639999999999999</v>
      </c>
      <c r="I100" s="135"/>
      <c r="J100" s="136">
        <f t="shared" si="51"/>
        <v>17.820339999999998</v>
      </c>
      <c r="K100" s="137"/>
      <c r="L100" s="138">
        <f t="shared" si="52"/>
        <v>0.97279999999999978</v>
      </c>
      <c r="M100" s="137"/>
      <c r="N100" s="139">
        <f t="shared" si="53"/>
        <v>0</v>
      </c>
      <c r="O100" s="137"/>
      <c r="P100" s="140">
        <f t="shared" si="54"/>
        <v>0</v>
      </c>
      <c r="Q100" s="135"/>
      <c r="R100" s="104">
        <f t="shared" si="55"/>
        <v>3.8912</v>
      </c>
      <c r="S100" s="137"/>
      <c r="T100" s="141">
        <f t="shared" si="56"/>
        <v>0.97279999999999978</v>
      </c>
      <c r="U100" s="199">
        <f t="shared" si="57"/>
        <v>18.793139999999998</v>
      </c>
      <c r="V100" s="37" t="str">
        <f t="shared" si="58"/>
        <v>ok</v>
      </c>
      <c r="W100" s="37" t="str">
        <f t="shared" si="59"/>
        <v>ok</v>
      </c>
      <c r="X100" s="278">
        <f t="shared" si="37"/>
        <v>0.17153683995214319</v>
      </c>
      <c r="Y100" s="278">
        <f t="shared" si="38"/>
        <v>1</v>
      </c>
      <c r="Z100" s="278">
        <f t="shared" si="39"/>
        <v>0.8</v>
      </c>
    </row>
    <row r="101" spans="1:26" x14ac:dyDescent="0.25">
      <c r="A101" s="420"/>
      <c r="B101" s="178" t="s">
        <v>20</v>
      </c>
      <c r="C101" s="179">
        <v>15</v>
      </c>
      <c r="D101" s="130">
        <f>DMG_11*CMD_5</f>
        <v>19.712734999999999</v>
      </c>
      <c r="E101" s="131">
        <f>OMG_11*CMO_5</f>
        <v>7.68</v>
      </c>
      <c r="F101" s="132">
        <f t="shared" si="35"/>
        <v>6.1440000000000001</v>
      </c>
      <c r="G101" s="133">
        <f t="shared" si="36"/>
        <v>1.5359999999999996</v>
      </c>
      <c r="H101" s="134">
        <f t="shared" si="50"/>
        <v>7.68</v>
      </c>
      <c r="I101" s="135"/>
      <c r="J101" s="136">
        <f t="shared" si="51"/>
        <v>12.032734999999999</v>
      </c>
      <c r="K101" s="137"/>
      <c r="L101" s="138">
        <f t="shared" si="52"/>
        <v>1.5359999999999996</v>
      </c>
      <c r="M101" s="137"/>
      <c r="N101" s="139">
        <f t="shared" si="53"/>
        <v>0</v>
      </c>
      <c r="O101" s="137"/>
      <c r="P101" s="140">
        <f t="shared" si="54"/>
        <v>0</v>
      </c>
      <c r="Q101" s="135"/>
      <c r="R101" s="104">
        <f t="shared" si="55"/>
        <v>6.1440000000000001</v>
      </c>
      <c r="S101" s="137"/>
      <c r="T101" s="141">
        <f t="shared" si="56"/>
        <v>1.5359999999999996</v>
      </c>
      <c r="U101" s="199">
        <f t="shared" si="57"/>
        <v>13.568734999999998</v>
      </c>
      <c r="V101" s="37" t="str">
        <f t="shared" si="58"/>
        <v>ok</v>
      </c>
      <c r="W101" s="37" t="str">
        <f t="shared" si="59"/>
        <v>ok</v>
      </c>
      <c r="X101" s="278">
        <f t="shared" si="37"/>
        <v>0.31167669022081412</v>
      </c>
      <c r="Y101" s="278">
        <f t="shared" si="38"/>
        <v>1</v>
      </c>
      <c r="Z101" s="278">
        <f t="shared" si="39"/>
        <v>0.8</v>
      </c>
    </row>
    <row r="102" spans="1:26" x14ac:dyDescent="0.25">
      <c r="A102" s="420"/>
      <c r="B102" s="178" t="s">
        <v>21</v>
      </c>
      <c r="C102" s="179">
        <v>16</v>
      </c>
      <c r="D102" s="130">
        <f>DMG_12*CMD_5</f>
        <v>15.478470000000002</v>
      </c>
      <c r="E102" s="131">
        <f>OMG_12*CMO_5</f>
        <v>5.8879999999999999</v>
      </c>
      <c r="F102" s="132">
        <f t="shared" si="35"/>
        <v>4.7103999999999999</v>
      </c>
      <c r="G102" s="133">
        <f t="shared" si="36"/>
        <v>1.1775999999999998</v>
      </c>
      <c r="H102" s="134">
        <f t="shared" si="50"/>
        <v>5.8879999999999999</v>
      </c>
      <c r="I102" s="135"/>
      <c r="J102" s="136">
        <f t="shared" si="51"/>
        <v>9.5904700000000016</v>
      </c>
      <c r="K102" s="137"/>
      <c r="L102" s="138">
        <f t="shared" si="52"/>
        <v>1.1775999999999998</v>
      </c>
      <c r="M102" s="137"/>
      <c r="N102" s="139">
        <f t="shared" si="53"/>
        <v>0</v>
      </c>
      <c r="O102" s="137"/>
      <c r="P102" s="140">
        <f t="shared" si="54"/>
        <v>0</v>
      </c>
      <c r="Q102" s="135"/>
      <c r="R102" s="104">
        <f t="shared" si="55"/>
        <v>4.7103999999999999</v>
      </c>
      <c r="S102" s="137"/>
      <c r="T102" s="141">
        <f t="shared" si="56"/>
        <v>1.1775999999999998</v>
      </c>
      <c r="U102" s="199">
        <f t="shared" si="57"/>
        <v>10.768070000000002</v>
      </c>
      <c r="V102" s="37" t="str">
        <f t="shared" si="58"/>
        <v>ok</v>
      </c>
      <c r="W102" s="37" t="str">
        <f t="shared" si="59"/>
        <v>ok</v>
      </c>
      <c r="X102" s="278">
        <f t="shared" si="37"/>
        <v>0.30431948377326695</v>
      </c>
      <c r="Y102" s="278">
        <f t="shared" si="38"/>
        <v>1</v>
      </c>
      <c r="Z102" s="278">
        <f t="shared" si="39"/>
        <v>0.8</v>
      </c>
    </row>
    <row r="103" spans="1:26" x14ac:dyDescent="0.25">
      <c r="A103" s="420"/>
      <c r="B103" s="178" t="s">
        <v>22</v>
      </c>
      <c r="C103" s="179">
        <v>17</v>
      </c>
      <c r="D103" s="130">
        <f>DMG_13*CMD_5</f>
        <v>6.7704699999999995</v>
      </c>
      <c r="E103" s="131">
        <f>OMG_13*CMO_5</f>
        <v>2.8159999999999998</v>
      </c>
      <c r="F103" s="132">
        <f t="shared" si="35"/>
        <v>2.2528000000000001</v>
      </c>
      <c r="G103" s="133">
        <f t="shared" si="36"/>
        <v>0.56319999999999981</v>
      </c>
      <c r="H103" s="134">
        <f t="shared" si="50"/>
        <v>2.8159999999999998</v>
      </c>
      <c r="I103" s="135"/>
      <c r="J103" s="136">
        <f t="shared" si="51"/>
        <v>3.9544699999999997</v>
      </c>
      <c r="K103" s="137"/>
      <c r="L103" s="138">
        <f t="shared" si="52"/>
        <v>0.56319999999999981</v>
      </c>
      <c r="M103" s="137"/>
      <c r="N103" s="139">
        <f t="shared" si="53"/>
        <v>0</v>
      </c>
      <c r="O103" s="137"/>
      <c r="P103" s="140">
        <f t="shared" si="54"/>
        <v>0</v>
      </c>
      <c r="Q103" s="135"/>
      <c r="R103" s="104">
        <f t="shared" si="55"/>
        <v>2.2528000000000001</v>
      </c>
      <c r="S103" s="137"/>
      <c r="T103" s="141">
        <f t="shared" si="56"/>
        <v>0.56319999999999981</v>
      </c>
      <c r="U103" s="199">
        <f t="shared" si="57"/>
        <v>4.5176699999999999</v>
      </c>
      <c r="V103" s="37" t="str">
        <f t="shared" si="58"/>
        <v>ok</v>
      </c>
      <c r="W103" s="37" t="str">
        <f t="shared" si="59"/>
        <v>ok</v>
      </c>
      <c r="X103" s="278">
        <f t="shared" si="37"/>
        <v>0.33273908606049513</v>
      </c>
      <c r="Y103" s="278">
        <f t="shared" si="38"/>
        <v>1</v>
      </c>
      <c r="Z103" s="278">
        <f t="shared" si="39"/>
        <v>0.8</v>
      </c>
    </row>
    <row r="104" spans="1:26" x14ac:dyDescent="0.25">
      <c r="A104" s="420"/>
      <c r="B104" s="178" t="s">
        <v>23</v>
      </c>
      <c r="C104" s="179">
        <v>18</v>
      </c>
      <c r="D104" s="130">
        <f>DMG_14*CMD_5</f>
        <v>4.7240900000000003</v>
      </c>
      <c r="E104" s="131">
        <f>OMG_14*CMO_5</f>
        <v>4.7359999999999998</v>
      </c>
      <c r="F104" s="132">
        <f t="shared" si="35"/>
        <v>3.7888000000000002</v>
      </c>
      <c r="G104" s="133">
        <f t="shared" si="36"/>
        <v>0.94719999999999971</v>
      </c>
      <c r="H104" s="134">
        <f t="shared" si="50"/>
        <v>4.7240900000000003</v>
      </c>
      <c r="I104" s="135"/>
      <c r="J104" s="136">
        <f t="shared" si="51"/>
        <v>0</v>
      </c>
      <c r="K104" s="137"/>
      <c r="L104" s="138">
        <f t="shared" si="52"/>
        <v>0.93529000000000018</v>
      </c>
      <c r="M104" s="137"/>
      <c r="N104" s="139">
        <f t="shared" si="53"/>
        <v>0</v>
      </c>
      <c r="O104" s="137"/>
      <c r="P104" s="140">
        <f t="shared" si="54"/>
        <v>1.1909999999999421E-2</v>
      </c>
      <c r="Q104" s="135"/>
      <c r="R104" s="104">
        <f t="shared" si="55"/>
        <v>3.7888000000000002</v>
      </c>
      <c r="S104" s="137"/>
      <c r="T104" s="141">
        <f t="shared" si="56"/>
        <v>0.9471999999999996</v>
      </c>
      <c r="U104" s="199">
        <f t="shared" si="57"/>
        <v>0.93529000000000018</v>
      </c>
      <c r="V104" s="37" t="str">
        <f t="shared" si="58"/>
        <v>ok</v>
      </c>
      <c r="W104" s="37" t="str">
        <f t="shared" si="59"/>
        <v>ok</v>
      </c>
      <c r="X104" s="278">
        <f t="shared" si="37"/>
        <v>0.80201689637580997</v>
      </c>
      <c r="Y104" s="278">
        <f t="shared" si="38"/>
        <v>1</v>
      </c>
      <c r="Z104" s="278">
        <f t="shared" si="39"/>
        <v>0.8</v>
      </c>
    </row>
    <row r="105" spans="1:26" x14ac:dyDescent="0.25">
      <c r="A105" s="420"/>
      <c r="B105" s="178" t="s">
        <v>19</v>
      </c>
      <c r="C105" s="179">
        <v>21</v>
      </c>
      <c r="D105" s="130">
        <f>DMG_15*CMD_5</f>
        <v>9.7965</v>
      </c>
      <c r="E105" s="131">
        <f>OMG_15*CMO_5</f>
        <v>5.6319999999999997</v>
      </c>
      <c r="F105" s="132">
        <f t="shared" si="35"/>
        <v>4.5056000000000003</v>
      </c>
      <c r="G105" s="133">
        <f t="shared" si="36"/>
        <v>1.1263999999999996</v>
      </c>
      <c r="H105" s="134">
        <f t="shared" si="50"/>
        <v>5.6319999999999997</v>
      </c>
      <c r="I105" s="135"/>
      <c r="J105" s="136">
        <f t="shared" si="51"/>
        <v>4.1645000000000003</v>
      </c>
      <c r="K105" s="137"/>
      <c r="L105" s="138">
        <f t="shared" si="52"/>
        <v>1.1263999999999996</v>
      </c>
      <c r="M105" s="137"/>
      <c r="N105" s="139">
        <f t="shared" si="53"/>
        <v>0</v>
      </c>
      <c r="O105" s="137"/>
      <c r="P105" s="140">
        <f t="shared" si="54"/>
        <v>0</v>
      </c>
      <c r="Q105" s="135"/>
      <c r="R105" s="104">
        <f t="shared" si="55"/>
        <v>4.5056000000000003</v>
      </c>
      <c r="S105" s="137"/>
      <c r="T105" s="141">
        <f t="shared" si="56"/>
        <v>1.1263999999999996</v>
      </c>
      <c r="U105" s="199">
        <f t="shared" si="57"/>
        <v>5.2908999999999997</v>
      </c>
      <c r="V105" s="37" t="str">
        <f t="shared" si="58"/>
        <v>ok</v>
      </c>
      <c r="W105" s="37" t="str">
        <f t="shared" si="59"/>
        <v>ok</v>
      </c>
      <c r="X105" s="278">
        <f t="shared" si="37"/>
        <v>0.45991935895472874</v>
      </c>
      <c r="Y105" s="278">
        <f t="shared" si="38"/>
        <v>1</v>
      </c>
      <c r="Z105" s="278">
        <f t="shared" si="39"/>
        <v>0.8</v>
      </c>
    </row>
    <row r="106" spans="1:26" x14ac:dyDescent="0.25">
      <c r="A106" s="420"/>
      <c r="B106" s="178" t="s">
        <v>20</v>
      </c>
      <c r="C106" s="179">
        <v>22</v>
      </c>
      <c r="D106" s="130">
        <f>DMG_16*CMD_5</f>
        <v>39.31662</v>
      </c>
      <c r="E106" s="131">
        <f>OMG_16*CMO_5</f>
        <v>6.3360000000000003</v>
      </c>
      <c r="F106" s="132">
        <f t="shared" si="35"/>
        <v>5.0688000000000004</v>
      </c>
      <c r="G106" s="133">
        <f t="shared" si="36"/>
        <v>1.2671999999999999</v>
      </c>
      <c r="H106" s="134">
        <f t="shared" si="50"/>
        <v>6.3360000000000003</v>
      </c>
      <c r="I106" s="135"/>
      <c r="J106" s="136">
        <f t="shared" si="51"/>
        <v>32.980620000000002</v>
      </c>
      <c r="K106" s="137"/>
      <c r="L106" s="138">
        <f t="shared" si="52"/>
        <v>1.2671999999999999</v>
      </c>
      <c r="M106" s="137"/>
      <c r="N106" s="139">
        <f t="shared" si="53"/>
        <v>0</v>
      </c>
      <c r="O106" s="137"/>
      <c r="P106" s="140">
        <f t="shared" si="54"/>
        <v>0</v>
      </c>
      <c r="Q106" s="135"/>
      <c r="R106" s="104">
        <f t="shared" si="55"/>
        <v>5.0688000000000004</v>
      </c>
      <c r="S106" s="137"/>
      <c r="T106" s="141">
        <f t="shared" si="56"/>
        <v>1.2671999999999999</v>
      </c>
      <c r="U106" s="199">
        <f t="shared" si="57"/>
        <v>34.247820000000004</v>
      </c>
      <c r="V106" s="37" t="str">
        <f t="shared" si="58"/>
        <v>ok</v>
      </c>
      <c r="W106" s="37" t="str">
        <f t="shared" si="59"/>
        <v>ok</v>
      </c>
      <c r="X106" s="278">
        <f t="shared" si="37"/>
        <v>0.12892257778008384</v>
      </c>
      <c r="Y106" s="278">
        <f t="shared" si="38"/>
        <v>1</v>
      </c>
      <c r="Z106" s="278">
        <f t="shared" si="39"/>
        <v>0.8</v>
      </c>
    </row>
    <row r="107" spans="1:26" x14ac:dyDescent="0.25">
      <c r="A107" s="420"/>
      <c r="B107" s="178" t="s">
        <v>21</v>
      </c>
      <c r="C107" s="179">
        <v>23</v>
      </c>
      <c r="D107" s="130">
        <f>DMG_17*CMD_5</f>
        <v>32.001899999999999</v>
      </c>
      <c r="E107" s="131">
        <f>OMG_17*CMO_5</f>
        <v>4.0140799999999999</v>
      </c>
      <c r="F107" s="132">
        <f t="shared" si="35"/>
        <v>3.2112639999999999</v>
      </c>
      <c r="G107" s="133">
        <f t="shared" si="36"/>
        <v>0.80281599999999975</v>
      </c>
      <c r="H107" s="134">
        <f t="shared" si="50"/>
        <v>4.0140799999999999</v>
      </c>
      <c r="I107" s="135"/>
      <c r="J107" s="136">
        <f t="shared" si="51"/>
        <v>27.987819999999999</v>
      </c>
      <c r="K107" s="137"/>
      <c r="L107" s="138">
        <f t="shared" si="52"/>
        <v>0.80281599999999975</v>
      </c>
      <c r="M107" s="137"/>
      <c r="N107" s="139">
        <f t="shared" si="53"/>
        <v>0</v>
      </c>
      <c r="O107" s="137"/>
      <c r="P107" s="140">
        <f t="shared" si="54"/>
        <v>0</v>
      </c>
      <c r="Q107" s="135"/>
      <c r="R107" s="104">
        <f t="shared" si="55"/>
        <v>3.2112639999999999</v>
      </c>
      <c r="S107" s="137"/>
      <c r="T107" s="141">
        <f t="shared" si="56"/>
        <v>0.80281599999999975</v>
      </c>
      <c r="U107" s="199">
        <f t="shared" si="57"/>
        <v>28.790635999999999</v>
      </c>
      <c r="V107" s="37" t="str">
        <f t="shared" si="58"/>
        <v>ok</v>
      </c>
      <c r="W107" s="37" t="str">
        <f t="shared" si="59"/>
        <v>ok</v>
      </c>
      <c r="X107" s="278">
        <f t="shared" si="37"/>
        <v>0.100346041953759</v>
      </c>
      <c r="Y107" s="278">
        <f t="shared" si="38"/>
        <v>1</v>
      </c>
      <c r="Z107" s="278">
        <f t="shared" si="39"/>
        <v>0.8</v>
      </c>
    </row>
    <row r="108" spans="1:26" x14ac:dyDescent="0.25">
      <c r="A108" s="420"/>
      <c r="B108" s="178" t="s">
        <v>22</v>
      </c>
      <c r="C108" s="179">
        <v>24</v>
      </c>
      <c r="D108" s="130">
        <f>DMG_18*CMD_5</f>
        <v>18.439190000000004</v>
      </c>
      <c r="E108" s="131">
        <f>OMG_18*CMO_5</f>
        <v>1.90208</v>
      </c>
      <c r="F108" s="132">
        <f t="shared" si="35"/>
        <v>1.5216640000000001</v>
      </c>
      <c r="G108" s="133">
        <f t="shared" si="36"/>
        <v>0.38041599999999992</v>
      </c>
      <c r="H108" s="134">
        <f t="shared" si="50"/>
        <v>1.90208</v>
      </c>
      <c r="I108" s="135"/>
      <c r="J108" s="136">
        <f t="shared" si="51"/>
        <v>16.537110000000002</v>
      </c>
      <c r="K108" s="137"/>
      <c r="L108" s="138">
        <f t="shared" si="52"/>
        <v>0.38041599999999992</v>
      </c>
      <c r="M108" s="137"/>
      <c r="N108" s="139">
        <f t="shared" si="53"/>
        <v>0</v>
      </c>
      <c r="O108" s="137"/>
      <c r="P108" s="140">
        <f t="shared" si="54"/>
        <v>0</v>
      </c>
      <c r="Q108" s="135"/>
      <c r="R108" s="104">
        <f t="shared" si="55"/>
        <v>1.5216640000000001</v>
      </c>
      <c r="S108" s="137"/>
      <c r="T108" s="141">
        <f t="shared" si="56"/>
        <v>0.38041599999999992</v>
      </c>
      <c r="U108" s="199">
        <f t="shared" si="57"/>
        <v>16.917526000000002</v>
      </c>
      <c r="V108" s="37" t="str">
        <f t="shared" si="58"/>
        <v>ok</v>
      </c>
      <c r="W108" s="37" t="str">
        <f t="shared" si="59"/>
        <v>ok</v>
      </c>
      <c r="X108" s="278">
        <f t="shared" si="37"/>
        <v>8.252336463803453E-2</v>
      </c>
      <c r="Y108" s="278">
        <f t="shared" si="38"/>
        <v>1</v>
      </c>
      <c r="Z108" s="278">
        <f t="shared" si="39"/>
        <v>0.8</v>
      </c>
    </row>
    <row r="109" spans="1:26" x14ac:dyDescent="0.25">
      <c r="A109" s="420"/>
      <c r="B109" s="178" t="s">
        <v>23</v>
      </c>
      <c r="C109" s="179">
        <v>25</v>
      </c>
      <c r="D109" s="130">
        <f>DMG_19*CMD_5</f>
        <v>15.097495</v>
      </c>
      <c r="E109" s="131">
        <f>OMG_19*CMO_5</f>
        <v>2.5344000000000002</v>
      </c>
      <c r="F109" s="132">
        <f t="shared" si="35"/>
        <v>2.0275200000000004</v>
      </c>
      <c r="G109" s="133">
        <f t="shared" si="36"/>
        <v>0.50687999999999989</v>
      </c>
      <c r="H109" s="134">
        <f t="shared" si="50"/>
        <v>2.5344000000000002</v>
      </c>
      <c r="I109" s="135"/>
      <c r="J109" s="136">
        <f t="shared" si="51"/>
        <v>12.563095000000001</v>
      </c>
      <c r="K109" s="137"/>
      <c r="L109" s="138">
        <f t="shared" si="52"/>
        <v>0.50687999999999989</v>
      </c>
      <c r="M109" s="137"/>
      <c r="N109" s="139">
        <f t="shared" si="53"/>
        <v>0</v>
      </c>
      <c r="O109" s="137"/>
      <c r="P109" s="140">
        <f t="shared" si="54"/>
        <v>0</v>
      </c>
      <c r="Q109" s="135"/>
      <c r="R109" s="104">
        <f t="shared" si="55"/>
        <v>2.0275200000000004</v>
      </c>
      <c r="S109" s="137"/>
      <c r="T109" s="141">
        <f t="shared" si="56"/>
        <v>0.50687999999999989</v>
      </c>
      <c r="U109" s="199">
        <f t="shared" si="57"/>
        <v>13.069975000000001</v>
      </c>
      <c r="V109" s="37" t="str">
        <f t="shared" si="58"/>
        <v>ok</v>
      </c>
      <c r="W109" s="37" t="str">
        <f t="shared" si="59"/>
        <v>ok</v>
      </c>
      <c r="X109" s="278">
        <f t="shared" si="37"/>
        <v>0.13429512644316163</v>
      </c>
      <c r="Y109" s="278">
        <f t="shared" si="38"/>
        <v>1</v>
      </c>
      <c r="Z109" s="278">
        <f t="shared" si="39"/>
        <v>0.80000000000000016</v>
      </c>
    </row>
    <row r="110" spans="1:26" x14ac:dyDescent="0.25">
      <c r="A110" s="420"/>
      <c r="B110" s="178" t="s">
        <v>19</v>
      </c>
      <c r="C110" s="179">
        <v>28</v>
      </c>
      <c r="D110" s="130">
        <f>DMG_20*CMD_5</f>
        <v>28.355425</v>
      </c>
      <c r="E110" s="131">
        <f>OMG_20*CMO_5</f>
        <v>4.0140799999999999</v>
      </c>
      <c r="F110" s="132">
        <f t="shared" si="35"/>
        <v>3.2112639999999999</v>
      </c>
      <c r="G110" s="133">
        <f t="shared" si="36"/>
        <v>0.80281599999999975</v>
      </c>
      <c r="H110" s="134">
        <f t="shared" si="50"/>
        <v>4.0140799999999999</v>
      </c>
      <c r="I110" s="135"/>
      <c r="J110" s="136">
        <f t="shared" si="51"/>
        <v>24.341345</v>
      </c>
      <c r="K110" s="137"/>
      <c r="L110" s="138">
        <f t="shared" si="52"/>
        <v>0.80281599999999975</v>
      </c>
      <c r="M110" s="137"/>
      <c r="N110" s="139">
        <f t="shared" si="53"/>
        <v>0</v>
      </c>
      <c r="O110" s="137"/>
      <c r="P110" s="140">
        <f t="shared" si="54"/>
        <v>0</v>
      </c>
      <c r="Q110" s="135"/>
      <c r="R110" s="104">
        <f t="shared" si="55"/>
        <v>3.2112639999999999</v>
      </c>
      <c r="S110" s="137"/>
      <c r="T110" s="141">
        <f t="shared" si="56"/>
        <v>0.80281599999999975</v>
      </c>
      <c r="U110" s="199">
        <f t="shared" si="57"/>
        <v>25.144161</v>
      </c>
      <c r="V110" s="37" t="str">
        <f t="shared" si="58"/>
        <v>ok</v>
      </c>
      <c r="W110" s="37" t="str">
        <f t="shared" si="59"/>
        <v>ok</v>
      </c>
      <c r="X110" s="278">
        <f t="shared" si="37"/>
        <v>0.1132504273873518</v>
      </c>
      <c r="Y110" s="278">
        <f t="shared" si="38"/>
        <v>1</v>
      </c>
      <c r="Z110" s="278">
        <f t="shared" si="39"/>
        <v>0.8</v>
      </c>
    </row>
    <row r="111" spans="1:26" x14ac:dyDescent="0.25">
      <c r="A111" s="420"/>
      <c r="B111" s="178" t="s">
        <v>20</v>
      </c>
      <c r="C111" s="179">
        <v>29</v>
      </c>
      <c r="D111" s="130">
        <f>DMG_21*CMD_5</f>
        <v>47.175590000000007</v>
      </c>
      <c r="E111" s="131">
        <f>OMG_21*CMO_5</f>
        <v>7.68</v>
      </c>
      <c r="F111" s="132">
        <f t="shared" si="35"/>
        <v>6.1440000000000001</v>
      </c>
      <c r="G111" s="133">
        <f t="shared" si="36"/>
        <v>1.5359999999999996</v>
      </c>
      <c r="H111" s="134">
        <f t="shared" si="50"/>
        <v>7.68</v>
      </c>
      <c r="I111" s="135"/>
      <c r="J111" s="136">
        <f t="shared" si="51"/>
        <v>39.495590000000007</v>
      </c>
      <c r="K111" s="137"/>
      <c r="L111" s="138">
        <f t="shared" si="52"/>
        <v>1.5359999999999996</v>
      </c>
      <c r="M111" s="137"/>
      <c r="N111" s="139">
        <f t="shared" si="53"/>
        <v>0</v>
      </c>
      <c r="O111" s="137"/>
      <c r="P111" s="140">
        <f t="shared" si="54"/>
        <v>0</v>
      </c>
      <c r="Q111" s="135"/>
      <c r="R111" s="104">
        <f t="shared" si="55"/>
        <v>6.1440000000000001</v>
      </c>
      <c r="S111" s="137"/>
      <c r="T111" s="141">
        <f t="shared" si="56"/>
        <v>1.5359999999999996</v>
      </c>
      <c r="U111" s="199">
        <f t="shared" si="57"/>
        <v>41.031590000000008</v>
      </c>
      <c r="V111" s="37" t="str">
        <f t="shared" si="58"/>
        <v>ok</v>
      </c>
      <c r="W111" s="37" t="str">
        <f t="shared" si="59"/>
        <v>ok</v>
      </c>
      <c r="X111" s="278">
        <f t="shared" si="37"/>
        <v>0.1302368449445995</v>
      </c>
      <c r="Y111" s="278">
        <f t="shared" si="38"/>
        <v>1</v>
      </c>
      <c r="Z111" s="278">
        <f t="shared" si="39"/>
        <v>0.8</v>
      </c>
    </row>
    <row r="112" spans="1:26" x14ac:dyDescent="0.25">
      <c r="A112" s="420"/>
      <c r="B112" s="178" t="s">
        <v>21</v>
      </c>
      <c r="C112" s="179">
        <v>30</v>
      </c>
      <c r="D112" s="130">
        <f>DMG_22*CMD_5</f>
        <v>38.271659999999997</v>
      </c>
      <c r="E112" s="131">
        <f>OMG_22*CMO_5</f>
        <v>5.3760000000000003</v>
      </c>
      <c r="F112" s="132">
        <f t="shared" si="35"/>
        <v>4.3008000000000006</v>
      </c>
      <c r="G112" s="133">
        <f t="shared" si="36"/>
        <v>1.0751999999999999</v>
      </c>
      <c r="H112" s="134">
        <f t="shared" si="50"/>
        <v>5.3760000000000003</v>
      </c>
      <c r="I112" s="135"/>
      <c r="J112" s="136">
        <f t="shared" si="51"/>
        <v>32.895659999999999</v>
      </c>
      <c r="K112" s="137"/>
      <c r="L112" s="138">
        <f t="shared" si="52"/>
        <v>1.0751999999999999</v>
      </c>
      <c r="M112" s="137"/>
      <c r="N112" s="139">
        <f t="shared" si="53"/>
        <v>0</v>
      </c>
      <c r="O112" s="137"/>
      <c r="P112" s="140">
        <f t="shared" si="54"/>
        <v>0</v>
      </c>
      <c r="Q112" s="135"/>
      <c r="R112" s="104">
        <f t="shared" si="55"/>
        <v>4.3008000000000006</v>
      </c>
      <c r="S112" s="137"/>
      <c r="T112" s="141">
        <f t="shared" si="56"/>
        <v>1.0751999999999999</v>
      </c>
      <c r="U112" s="199">
        <f t="shared" si="57"/>
        <v>33.970860000000002</v>
      </c>
      <c r="V112" s="37" t="str">
        <f t="shared" si="58"/>
        <v>ok</v>
      </c>
      <c r="W112" s="37" t="str">
        <f t="shared" si="59"/>
        <v>ok</v>
      </c>
      <c r="X112" s="278">
        <f t="shared" si="37"/>
        <v>0.11237558025964907</v>
      </c>
      <c r="Y112" s="278">
        <f t="shared" si="38"/>
        <v>1</v>
      </c>
      <c r="Z112" s="278">
        <f t="shared" si="39"/>
        <v>0.8</v>
      </c>
    </row>
    <row r="113" spans="1:26" ht="15.75" thickBot="1" x14ac:dyDescent="0.3">
      <c r="A113" s="421"/>
      <c r="B113" s="180" t="s">
        <v>22</v>
      </c>
      <c r="C113" s="181">
        <v>31</v>
      </c>
      <c r="D113" s="202">
        <f>DMG_23*CMD_5</f>
        <v>22.129204999999999</v>
      </c>
      <c r="E113" s="203">
        <f>OMG_23*CMO_5</f>
        <v>2.56</v>
      </c>
      <c r="F113" s="204">
        <f t="shared" si="35"/>
        <v>2.048</v>
      </c>
      <c r="G113" s="205">
        <f t="shared" si="36"/>
        <v>0.5119999999999999</v>
      </c>
      <c r="H113" s="206">
        <f t="shared" si="50"/>
        <v>2.56</v>
      </c>
      <c r="I113" s="207"/>
      <c r="J113" s="208">
        <f t="shared" si="51"/>
        <v>19.569205</v>
      </c>
      <c r="K113" s="209"/>
      <c r="L113" s="210">
        <f t="shared" si="52"/>
        <v>0.5119999999999999</v>
      </c>
      <c r="M113" s="209"/>
      <c r="N113" s="211">
        <f t="shared" si="53"/>
        <v>0</v>
      </c>
      <c r="O113" s="209"/>
      <c r="P113" s="212">
        <f t="shared" si="54"/>
        <v>0</v>
      </c>
      <c r="Q113" s="207"/>
      <c r="R113" s="213">
        <f t="shared" si="55"/>
        <v>2.048</v>
      </c>
      <c r="S113" s="209"/>
      <c r="T113" s="214">
        <f t="shared" si="56"/>
        <v>0.5119999999999999</v>
      </c>
      <c r="U113" s="215">
        <f t="shared" si="57"/>
        <v>20.081205000000001</v>
      </c>
      <c r="V113" s="37" t="str">
        <f t="shared" si="58"/>
        <v>ok</v>
      </c>
      <c r="W113" s="37" t="str">
        <f t="shared" si="59"/>
        <v>ok</v>
      </c>
      <c r="X113" s="278">
        <f t="shared" si="37"/>
        <v>9.2547382520067945E-2</v>
      </c>
      <c r="Y113" s="278">
        <f t="shared" si="38"/>
        <v>1</v>
      </c>
      <c r="Z113" s="278">
        <f t="shared" si="39"/>
        <v>0.8</v>
      </c>
    </row>
    <row r="114" spans="1:26" x14ac:dyDescent="0.25">
      <c r="A114" s="419" t="s">
        <v>94</v>
      </c>
      <c r="B114" s="176" t="s">
        <v>23</v>
      </c>
      <c r="C114" s="241">
        <v>1</v>
      </c>
      <c r="D114" s="238">
        <f>DMG_1*CMD_6</f>
        <v>10.358919999999999</v>
      </c>
      <c r="E114" s="185">
        <f>OMG_1*CMO_6</f>
        <v>17.647500000000001</v>
      </c>
      <c r="F114" s="186">
        <f t="shared" si="35"/>
        <v>14.118000000000002</v>
      </c>
      <c r="G114" s="187">
        <f t="shared" si="36"/>
        <v>3.5294999999999992</v>
      </c>
      <c r="H114" s="188">
        <f>IF(E114&gt;D114,D114,E114)</f>
        <v>10.358919999999999</v>
      </c>
      <c r="I114" s="189"/>
      <c r="J114" s="190">
        <f>IF(E114&gt;D114,0,D114-E114)</f>
        <v>0</v>
      </c>
      <c r="K114" s="191"/>
      <c r="L114" s="192">
        <f>IF(E114&gt;D114,IF(F114&gt;H114,0,H114-F114),G114)</f>
        <v>0</v>
      </c>
      <c r="M114" s="191"/>
      <c r="N114" s="193">
        <f>IF(E114&gt;D114,IF(F114&gt;H114,F114-H114,0),0)</f>
        <v>3.7590800000000026</v>
      </c>
      <c r="O114" s="191"/>
      <c r="P114" s="194">
        <f>IF(E114&gt;D114,IF(F114&gt;H114,G114,E114-H114),0)</f>
        <v>3.5294999999999992</v>
      </c>
      <c r="Q114" s="189"/>
      <c r="R114" s="195">
        <f>H114-L114</f>
        <v>10.358919999999999</v>
      </c>
      <c r="S114" s="191"/>
      <c r="T114" s="196">
        <f>L114+N114+P114</f>
        <v>7.2885800000000014</v>
      </c>
      <c r="U114" s="197">
        <f>J114+L114</f>
        <v>0</v>
      </c>
      <c r="V114" s="37" t="str">
        <f>IF(R114+T114=E114,"ok","bad")</f>
        <v>ok</v>
      </c>
      <c r="W114" s="37" t="str">
        <f>IF(U114+R114=D114,"ok","bad")</f>
        <v>ok</v>
      </c>
      <c r="X114" s="278">
        <f t="shared" si="37"/>
        <v>1</v>
      </c>
      <c r="Y114" s="278">
        <f t="shared" si="38"/>
        <v>0.73373848987108636</v>
      </c>
      <c r="Z114" s="278">
        <f t="shared" si="39"/>
        <v>0.5869907918968692</v>
      </c>
    </row>
    <row r="115" spans="1:26" x14ac:dyDescent="0.25">
      <c r="A115" s="420"/>
      <c r="B115" s="178" t="s">
        <v>19</v>
      </c>
      <c r="C115" s="129">
        <v>4</v>
      </c>
      <c r="D115" s="239">
        <f>DMG_2*CMD_6</f>
        <v>8.1338399999999993</v>
      </c>
      <c r="E115" s="131">
        <f>OMG_2*CMO_6</f>
        <v>12.941500000000001</v>
      </c>
      <c r="F115" s="132">
        <f t="shared" si="35"/>
        <v>10.353200000000001</v>
      </c>
      <c r="G115" s="133">
        <f t="shared" si="36"/>
        <v>2.5882999999999998</v>
      </c>
      <c r="H115" s="134">
        <f t="shared" ref="H115:H134" si="60">IF(E115&gt;D115,D115,E115)</f>
        <v>8.1338399999999993</v>
      </c>
      <c r="I115" s="135"/>
      <c r="J115" s="136">
        <f t="shared" ref="J115:J134" si="61">IF(E115&gt;D115,0,D115-E115)</f>
        <v>0</v>
      </c>
      <c r="K115" s="137"/>
      <c r="L115" s="138">
        <f t="shared" ref="L115:L134" si="62">IF(E115&gt;D115,IF(F115&gt;H115,0,H115-F115),G115)</f>
        <v>0</v>
      </c>
      <c r="M115" s="137"/>
      <c r="N115" s="139">
        <f t="shared" ref="N115:N134" si="63">IF(E115&gt;D115,IF(F115&gt;H115,F115-H115,0),0)</f>
        <v>2.2193600000000018</v>
      </c>
      <c r="O115" s="137"/>
      <c r="P115" s="140">
        <f t="shared" ref="P115:P134" si="64">IF(E115&gt;D115,IF(F115&gt;H115,G115,E115-H115),0)</f>
        <v>2.5882999999999998</v>
      </c>
      <c r="Q115" s="135"/>
      <c r="R115" s="104">
        <f t="shared" ref="R115:R134" si="65">H115-L115</f>
        <v>8.1338399999999993</v>
      </c>
      <c r="S115" s="137"/>
      <c r="T115" s="141">
        <f t="shared" ref="T115:T134" si="66">L115+N115+P115</f>
        <v>4.807660000000002</v>
      </c>
      <c r="U115" s="199">
        <f t="shared" ref="U115:U134" si="67">J115+L115</f>
        <v>0</v>
      </c>
      <c r="V115" s="37" t="str">
        <f t="shared" ref="V115:V134" si="68">IF(R115+T115=E115,"ok","bad")</f>
        <v>ok</v>
      </c>
      <c r="W115" s="37" t="str">
        <f t="shared" ref="W115:W134" si="69">IF(U115+R115=D115,"ok","bad")</f>
        <v>ok</v>
      </c>
      <c r="X115" s="278">
        <f t="shared" si="37"/>
        <v>1</v>
      </c>
      <c r="Y115" s="278">
        <f t="shared" si="38"/>
        <v>0.785635359116022</v>
      </c>
      <c r="Z115" s="278">
        <f t="shared" si="39"/>
        <v>0.6285082872928176</v>
      </c>
    </row>
    <row r="116" spans="1:26" x14ac:dyDescent="0.25">
      <c r="A116" s="420"/>
      <c r="B116" s="178" t="s">
        <v>20</v>
      </c>
      <c r="C116" s="129">
        <v>5</v>
      </c>
      <c r="D116" s="239">
        <f>DMG_3*CMD_6</f>
        <v>3.5578399999999997</v>
      </c>
      <c r="E116" s="131">
        <f>OMG_3*CMO_6</f>
        <v>5.2942499999999999</v>
      </c>
      <c r="F116" s="132">
        <f t="shared" si="35"/>
        <v>4.2354000000000003</v>
      </c>
      <c r="G116" s="133">
        <f t="shared" si="36"/>
        <v>1.0588499999999998</v>
      </c>
      <c r="H116" s="134">
        <f t="shared" si="60"/>
        <v>3.5578399999999997</v>
      </c>
      <c r="I116" s="135"/>
      <c r="J116" s="136">
        <f t="shared" si="61"/>
        <v>0</v>
      </c>
      <c r="K116" s="137"/>
      <c r="L116" s="138">
        <f t="shared" si="62"/>
        <v>0</v>
      </c>
      <c r="M116" s="137"/>
      <c r="N116" s="139">
        <f t="shared" si="63"/>
        <v>0.67756000000000061</v>
      </c>
      <c r="O116" s="137"/>
      <c r="P116" s="140">
        <f t="shared" si="64"/>
        <v>1.0588499999999998</v>
      </c>
      <c r="Q116" s="135"/>
      <c r="R116" s="104">
        <f t="shared" si="65"/>
        <v>3.5578399999999997</v>
      </c>
      <c r="S116" s="137"/>
      <c r="T116" s="141">
        <f t="shared" si="66"/>
        <v>1.7364100000000005</v>
      </c>
      <c r="U116" s="199">
        <f t="shared" si="67"/>
        <v>0</v>
      </c>
      <c r="V116" s="37" t="str">
        <f t="shared" si="68"/>
        <v>ok</v>
      </c>
      <c r="W116" s="37" t="str">
        <f t="shared" si="69"/>
        <v>ok</v>
      </c>
      <c r="X116" s="278">
        <f t="shared" si="37"/>
        <v>1</v>
      </c>
      <c r="Y116" s="278">
        <f t="shared" si="38"/>
        <v>0.84002455494168193</v>
      </c>
      <c r="Z116" s="278">
        <f t="shared" si="39"/>
        <v>0.67201964395334557</v>
      </c>
    </row>
    <row r="117" spans="1:26" x14ac:dyDescent="0.25">
      <c r="A117" s="420"/>
      <c r="B117" s="178" t="s">
        <v>21</v>
      </c>
      <c r="C117" s="129">
        <v>6</v>
      </c>
      <c r="D117" s="239">
        <f>DMG_4*CMD_6</f>
        <v>2.4824799999999998</v>
      </c>
      <c r="E117" s="131">
        <f>OMG_4*CMO_6</f>
        <v>7.9413750000000007</v>
      </c>
      <c r="F117" s="132">
        <f t="shared" si="35"/>
        <v>6.3531000000000013</v>
      </c>
      <c r="G117" s="133">
        <f t="shared" si="36"/>
        <v>1.5882749999999999</v>
      </c>
      <c r="H117" s="134">
        <f t="shared" si="60"/>
        <v>2.4824799999999998</v>
      </c>
      <c r="I117" s="135"/>
      <c r="J117" s="136">
        <f t="shared" si="61"/>
        <v>0</v>
      </c>
      <c r="K117" s="137"/>
      <c r="L117" s="138">
        <f t="shared" si="62"/>
        <v>0</v>
      </c>
      <c r="M117" s="137"/>
      <c r="N117" s="139">
        <f t="shared" si="63"/>
        <v>3.8706200000000015</v>
      </c>
      <c r="O117" s="137"/>
      <c r="P117" s="140">
        <f t="shared" si="64"/>
        <v>1.5882749999999999</v>
      </c>
      <c r="Q117" s="135"/>
      <c r="R117" s="104">
        <f t="shared" si="65"/>
        <v>2.4824799999999998</v>
      </c>
      <c r="S117" s="137"/>
      <c r="T117" s="141">
        <f t="shared" si="66"/>
        <v>5.4588950000000018</v>
      </c>
      <c r="U117" s="199">
        <f t="shared" si="67"/>
        <v>0</v>
      </c>
      <c r="V117" s="37" t="str">
        <f t="shared" si="68"/>
        <v>ok</v>
      </c>
      <c r="W117" s="37" t="str">
        <f t="shared" si="69"/>
        <v>ok</v>
      </c>
      <c r="X117" s="278">
        <f t="shared" si="37"/>
        <v>1</v>
      </c>
      <c r="Y117" s="278">
        <f t="shared" si="38"/>
        <v>0.39075097196644148</v>
      </c>
      <c r="Z117" s="278">
        <f t="shared" si="39"/>
        <v>0.31260077757315319</v>
      </c>
    </row>
    <row r="118" spans="1:26" x14ac:dyDescent="0.25">
      <c r="A118" s="420"/>
      <c r="B118" s="178" t="s">
        <v>22</v>
      </c>
      <c r="C118" s="129">
        <v>7</v>
      </c>
      <c r="D118" s="239">
        <f>DMG_5*CMD_6</f>
        <v>5.1479999999999997</v>
      </c>
      <c r="E118" s="131">
        <f>OMG_5*CMO_6</f>
        <v>12.941500000000001</v>
      </c>
      <c r="F118" s="132">
        <f t="shared" si="35"/>
        <v>10.353200000000001</v>
      </c>
      <c r="G118" s="133">
        <f t="shared" si="36"/>
        <v>2.5882999999999998</v>
      </c>
      <c r="H118" s="134">
        <f t="shared" si="60"/>
        <v>5.1479999999999997</v>
      </c>
      <c r="I118" s="135"/>
      <c r="J118" s="136">
        <f t="shared" si="61"/>
        <v>0</v>
      </c>
      <c r="K118" s="137"/>
      <c r="L118" s="138">
        <f t="shared" si="62"/>
        <v>0</v>
      </c>
      <c r="M118" s="137"/>
      <c r="N118" s="139">
        <f t="shared" si="63"/>
        <v>5.2052000000000014</v>
      </c>
      <c r="O118" s="137"/>
      <c r="P118" s="140">
        <f t="shared" si="64"/>
        <v>2.5882999999999998</v>
      </c>
      <c r="Q118" s="135"/>
      <c r="R118" s="104">
        <f t="shared" si="65"/>
        <v>5.1479999999999997</v>
      </c>
      <c r="S118" s="137"/>
      <c r="T118" s="141">
        <f t="shared" si="66"/>
        <v>7.7935000000000016</v>
      </c>
      <c r="U118" s="199">
        <f t="shared" si="67"/>
        <v>0</v>
      </c>
      <c r="V118" s="37" t="str">
        <f t="shared" si="68"/>
        <v>ok</v>
      </c>
      <c r="W118" s="37" t="str">
        <f t="shared" si="69"/>
        <v>ok</v>
      </c>
      <c r="X118" s="278">
        <f t="shared" si="37"/>
        <v>1</v>
      </c>
      <c r="Y118" s="278">
        <f t="shared" si="38"/>
        <v>0.49723756906077338</v>
      </c>
      <c r="Z118" s="278">
        <f t="shared" si="39"/>
        <v>0.39779005524861871</v>
      </c>
    </row>
    <row r="119" spans="1:26" x14ac:dyDescent="0.25">
      <c r="A119" s="420"/>
      <c r="B119" s="178" t="s">
        <v>23</v>
      </c>
      <c r="C119" s="129">
        <v>8</v>
      </c>
      <c r="D119" s="239">
        <f>DMG_6*CMD_6</f>
        <v>16.530799999999999</v>
      </c>
      <c r="E119" s="131">
        <f>OMG_6*CMO_6</f>
        <v>9.0500000000000007</v>
      </c>
      <c r="F119" s="132">
        <f t="shared" si="35"/>
        <v>7.2400000000000011</v>
      </c>
      <c r="G119" s="133">
        <f t="shared" si="36"/>
        <v>1.8099999999999998</v>
      </c>
      <c r="H119" s="134">
        <f t="shared" si="60"/>
        <v>9.0500000000000007</v>
      </c>
      <c r="I119" s="135"/>
      <c r="J119" s="136">
        <f t="shared" si="61"/>
        <v>7.4807999999999986</v>
      </c>
      <c r="K119" s="137"/>
      <c r="L119" s="138">
        <f t="shared" si="62"/>
        <v>1.8099999999999998</v>
      </c>
      <c r="M119" s="137"/>
      <c r="N119" s="139">
        <f t="shared" si="63"/>
        <v>0</v>
      </c>
      <c r="O119" s="137"/>
      <c r="P119" s="140">
        <f t="shared" si="64"/>
        <v>0</v>
      </c>
      <c r="Q119" s="135"/>
      <c r="R119" s="104">
        <f t="shared" si="65"/>
        <v>7.2400000000000011</v>
      </c>
      <c r="S119" s="137"/>
      <c r="T119" s="141">
        <f t="shared" si="66"/>
        <v>1.8099999999999998</v>
      </c>
      <c r="U119" s="199">
        <f t="shared" si="67"/>
        <v>9.2907999999999991</v>
      </c>
      <c r="V119" s="37" t="str">
        <f t="shared" si="68"/>
        <v>ok</v>
      </c>
      <c r="W119" s="37" t="str">
        <f t="shared" si="69"/>
        <v>ok</v>
      </c>
      <c r="X119" s="278">
        <f t="shared" si="37"/>
        <v>0.43797033416410586</v>
      </c>
      <c r="Y119" s="278">
        <f t="shared" si="38"/>
        <v>1</v>
      </c>
      <c r="Z119" s="278">
        <f t="shared" si="39"/>
        <v>0.8</v>
      </c>
    </row>
    <row r="120" spans="1:26" x14ac:dyDescent="0.25">
      <c r="A120" s="420"/>
      <c r="B120" s="178" t="s">
        <v>19</v>
      </c>
      <c r="C120" s="129">
        <v>11</v>
      </c>
      <c r="D120" s="239">
        <f>DMG_7*CMD_6</f>
        <v>13.407679999999999</v>
      </c>
      <c r="E120" s="131">
        <f>OMG_7*CMO_6</f>
        <v>9.276250000000001</v>
      </c>
      <c r="F120" s="132">
        <f t="shared" si="35"/>
        <v>7.4210000000000012</v>
      </c>
      <c r="G120" s="133">
        <f t="shared" si="36"/>
        <v>1.8552499999999998</v>
      </c>
      <c r="H120" s="134">
        <f t="shared" si="60"/>
        <v>9.276250000000001</v>
      </c>
      <c r="I120" s="135"/>
      <c r="J120" s="136">
        <f t="shared" si="61"/>
        <v>4.1314299999999982</v>
      </c>
      <c r="K120" s="137"/>
      <c r="L120" s="138">
        <f t="shared" si="62"/>
        <v>1.8552499999999998</v>
      </c>
      <c r="M120" s="137"/>
      <c r="N120" s="139">
        <f t="shared" si="63"/>
        <v>0</v>
      </c>
      <c r="O120" s="137"/>
      <c r="P120" s="140">
        <f t="shared" si="64"/>
        <v>0</v>
      </c>
      <c r="Q120" s="135"/>
      <c r="R120" s="104">
        <f t="shared" si="65"/>
        <v>7.4210000000000012</v>
      </c>
      <c r="S120" s="137"/>
      <c r="T120" s="141">
        <f t="shared" si="66"/>
        <v>1.8552499999999998</v>
      </c>
      <c r="U120" s="199">
        <f t="shared" si="67"/>
        <v>5.986679999999998</v>
      </c>
      <c r="V120" s="37" t="str">
        <f t="shared" si="68"/>
        <v>ok</v>
      </c>
      <c r="W120" s="37" t="str">
        <f t="shared" si="69"/>
        <v>ok</v>
      </c>
      <c r="X120" s="278">
        <f t="shared" si="37"/>
        <v>0.55348874674813253</v>
      </c>
      <c r="Y120" s="278">
        <f t="shared" si="38"/>
        <v>1</v>
      </c>
      <c r="Z120" s="278">
        <f t="shared" si="39"/>
        <v>0.8</v>
      </c>
    </row>
    <row r="121" spans="1:26" x14ac:dyDescent="0.25">
      <c r="A121" s="420"/>
      <c r="B121" s="178" t="s">
        <v>20</v>
      </c>
      <c r="C121" s="129">
        <v>12</v>
      </c>
      <c r="D121" s="239">
        <f>DMG_8*CMD_6</f>
        <v>7.7505999999999995</v>
      </c>
      <c r="E121" s="131">
        <f>OMG_8*CMO_6</f>
        <v>4.9775</v>
      </c>
      <c r="F121" s="132">
        <f t="shared" si="35"/>
        <v>3.9820000000000002</v>
      </c>
      <c r="G121" s="133">
        <f t="shared" si="36"/>
        <v>0.99549999999999983</v>
      </c>
      <c r="H121" s="134">
        <f t="shared" si="60"/>
        <v>4.9775</v>
      </c>
      <c r="I121" s="135"/>
      <c r="J121" s="136">
        <f t="shared" si="61"/>
        <v>2.7730999999999995</v>
      </c>
      <c r="K121" s="137"/>
      <c r="L121" s="138">
        <f t="shared" si="62"/>
        <v>0.99549999999999983</v>
      </c>
      <c r="M121" s="137"/>
      <c r="N121" s="139">
        <f t="shared" si="63"/>
        <v>0</v>
      </c>
      <c r="O121" s="137"/>
      <c r="P121" s="140">
        <f t="shared" si="64"/>
        <v>0</v>
      </c>
      <c r="Q121" s="135"/>
      <c r="R121" s="104">
        <f t="shared" si="65"/>
        <v>3.9820000000000002</v>
      </c>
      <c r="S121" s="137"/>
      <c r="T121" s="141">
        <f t="shared" si="66"/>
        <v>0.99549999999999983</v>
      </c>
      <c r="U121" s="199">
        <f t="shared" si="67"/>
        <v>3.7685999999999993</v>
      </c>
      <c r="V121" s="37" t="str">
        <f t="shared" si="68"/>
        <v>ok</v>
      </c>
      <c r="W121" s="37" t="str">
        <f t="shared" si="69"/>
        <v>ok</v>
      </c>
      <c r="X121" s="278">
        <f t="shared" si="37"/>
        <v>0.51376667612829985</v>
      </c>
      <c r="Y121" s="278">
        <f t="shared" si="38"/>
        <v>1</v>
      </c>
      <c r="Z121" s="278">
        <f t="shared" si="39"/>
        <v>0.8</v>
      </c>
    </row>
    <row r="122" spans="1:26" x14ac:dyDescent="0.25">
      <c r="A122" s="420"/>
      <c r="B122" s="178" t="s">
        <v>21</v>
      </c>
      <c r="C122" s="129">
        <v>13</v>
      </c>
      <c r="D122" s="239">
        <f>DMG_9*CMD_6</f>
        <v>6.2576799999999988</v>
      </c>
      <c r="E122" s="131">
        <f>OMG_9*CMO_6</f>
        <v>6.335</v>
      </c>
      <c r="F122" s="132">
        <f t="shared" si="35"/>
        <v>5.0680000000000005</v>
      </c>
      <c r="G122" s="133">
        <f t="shared" si="36"/>
        <v>1.2669999999999997</v>
      </c>
      <c r="H122" s="134">
        <f t="shared" si="60"/>
        <v>6.2576799999999988</v>
      </c>
      <c r="I122" s="135"/>
      <c r="J122" s="136">
        <f t="shared" si="61"/>
        <v>0</v>
      </c>
      <c r="K122" s="137"/>
      <c r="L122" s="138">
        <f t="shared" si="62"/>
        <v>1.1896799999999983</v>
      </c>
      <c r="M122" s="137"/>
      <c r="N122" s="139">
        <f t="shared" si="63"/>
        <v>0</v>
      </c>
      <c r="O122" s="137"/>
      <c r="P122" s="140">
        <f t="shared" si="64"/>
        <v>7.7320000000001166E-2</v>
      </c>
      <c r="Q122" s="135"/>
      <c r="R122" s="104">
        <f t="shared" si="65"/>
        <v>5.0680000000000005</v>
      </c>
      <c r="S122" s="137"/>
      <c r="T122" s="141">
        <f t="shared" si="66"/>
        <v>1.2669999999999995</v>
      </c>
      <c r="U122" s="199">
        <f t="shared" si="67"/>
        <v>1.1896799999999983</v>
      </c>
      <c r="V122" s="37" t="str">
        <f t="shared" si="68"/>
        <v>ok</v>
      </c>
      <c r="W122" s="37" t="str">
        <f t="shared" si="69"/>
        <v>ok</v>
      </c>
      <c r="X122" s="278">
        <f t="shared" si="37"/>
        <v>0.80988481354112085</v>
      </c>
      <c r="Y122" s="278">
        <f t="shared" si="38"/>
        <v>1</v>
      </c>
      <c r="Z122" s="278">
        <f t="shared" si="39"/>
        <v>0.8</v>
      </c>
    </row>
    <row r="123" spans="1:26" x14ac:dyDescent="0.25">
      <c r="A123" s="420"/>
      <c r="B123" s="178" t="s">
        <v>22</v>
      </c>
      <c r="C123" s="129">
        <v>14</v>
      </c>
      <c r="D123" s="239">
        <f>DMG_10*CMD_6</f>
        <v>11.92048</v>
      </c>
      <c r="E123" s="131">
        <f>OMG_10*CMO_6</f>
        <v>8.5975000000000001</v>
      </c>
      <c r="F123" s="132">
        <f t="shared" si="35"/>
        <v>6.8780000000000001</v>
      </c>
      <c r="G123" s="133">
        <f t="shared" si="36"/>
        <v>1.7194999999999996</v>
      </c>
      <c r="H123" s="134">
        <f t="shared" si="60"/>
        <v>8.5975000000000001</v>
      </c>
      <c r="I123" s="135"/>
      <c r="J123" s="136">
        <f t="shared" si="61"/>
        <v>3.3229799999999994</v>
      </c>
      <c r="K123" s="137"/>
      <c r="L123" s="138">
        <f t="shared" si="62"/>
        <v>1.7194999999999996</v>
      </c>
      <c r="M123" s="137"/>
      <c r="N123" s="139">
        <f t="shared" si="63"/>
        <v>0</v>
      </c>
      <c r="O123" s="137"/>
      <c r="P123" s="140">
        <f t="shared" si="64"/>
        <v>0</v>
      </c>
      <c r="Q123" s="135"/>
      <c r="R123" s="104">
        <f t="shared" si="65"/>
        <v>6.8780000000000001</v>
      </c>
      <c r="S123" s="137"/>
      <c r="T123" s="141">
        <f t="shared" si="66"/>
        <v>1.7194999999999996</v>
      </c>
      <c r="U123" s="199">
        <f t="shared" si="67"/>
        <v>5.0424799999999994</v>
      </c>
      <c r="V123" s="37" t="str">
        <f t="shared" si="68"/>
        <v>ok</v>
      </c>
      <c r="W123" s="37" t="str">
        <f t="shared" si="69"/>
        <v>ok</v>
      </c>
      <c r="X123" s="278">
        <f t="shared" si="37"/>
        <v>0.5769901883145645</v>
      </c>
      <c r="Y123" s="278">
        <f t="shared" si="38"/>
        <v>1</v>
      </c>
      <c r="Z123" s="278">
        <f t="shared" si="39"/>
        <v>0.8</v>
      </c>
    </row>
    <row r="124" spans="1:26" x14ac:dyDescent="0.25">
      <c r="A124" s="420"/>
      <c r="B124" s="178" t="s">
        <v>23</v>
      </c>
      <c r="C124" s="129">
        <v>15</v>
      </c>
      <c r="D124" s="239">
        <f>DMG_11*CMD_6</f>
        <v>10.358919999999999</v>
      </c>
      <c r="E124" s="131">
        <f>OMG_11*CMO_6</f>
        <v>13.575000000000001</v>
      </c>
      <c r="F124" s="132">
        <f t="shared" si="35"/>
        <v>10.860000000000001</v>
      </c>
      <c r="G124" s="133">
        <f t="shared" si="36"/>
        <v>2.7149999999999994</v>
      </c>
      <c r="H124" s="134">
        <f t="shared" si="60"/>
        <v>10.358919999999999</v>
      </c>
      <c r="I124" s="135"/>
      <c r="J124" s="136">
        <f t="shared" si="61"/>
        <v>0</v>
      </c>
      <c r="K124" s="137"/>
      <c r="L124" s="138">
        <f t="shared" si="62"/>
        <v>0</v>
      </c>
      <c r="M124" s="137"/>
      <c r="N124" s="139">
        <f t="shared" si="63"/>
        <v>0.50108000000000175</v>
      </c>
      <c r="O124" s="137"/>
      <c r="P124" s="140">
        <f t="shared" si="64"/>
        <v>2.7149999999999994</v>
      </c>
      <c r="Q124" s="135"/>
      <c r="R124" s="104">
        <f t="shared" si="65"/>
        <v>10.358919999999999</v>
      </c>
      <c r="S124" s="137"/>
      <c r="T124" s="141">
        <f t="shared" si="66"/>
        <v>3.2160800000000012</v>
      </c>
      <c r="U124" s="199">
        <f t="shared" si="67"/>
        <v>0</v>
      </c>
      <c r="V124" s="37" t="str">
        <f t="shared" si="68"/>
        <v>ok</v>
      </c>
      <c r="W124" s="37" t="str">
        <f t="shared" si="69"/>
        <v>ok</v>
      </c>
      <c r="X124" s="278">
        <f t="shared" si="37"/>
        <v>1</v>
      </c>
      <c r="Y124" s="278">
        <f t="shared" si="38"/>
        <v>0.95386003683241238</v>
      </c>
      <c r="Z124" s="278">
        <f t="shared" si="39"/>
        <v>0.76308802946592991</v>
      </c>
    </row>
    <row r="125" spans="1:26" x14ac:dyDescent="0.25">
      <c r="A125" s="420"/>
      <c r="B125" s="178" t="s">
        <v>19</v>
      </c>
      <c r="C125" s="129">
        <v>18</v>
      </c>
      <c r="D125" s="239">
        <f>DMG_12*CMD_6</f>
        <v>8.1338399999999993</v>
      </c>
      <c r="E125" s="131">
        <f>OMG_12*CMO_6</f>
        <v>10.407500000000001</v>
      </c>
      <c r="F125" s="132">
        <f t="shared" si="35"/>
        <v>8.3260000000000005</v>
      </c>
      <c r="G125" s="133">
        <f t="shared" si="36"/>
        <v>2.0814999999999997</v>
      </c>
      <c r="H125" s="134">
        <f t="shared" si="60"/>
        <v>8.1338399999999993</v>
      </c>
      <c r="I125" s="135"/>
      <c r="J125" s="136">
        <f t="shared" si="61"/>
        <v>0</v>
      </c>
      <c r="K125" s="137"/>
      <c r="L125" s="138">
        <f t="shared" si="62"/>
        <v>0</v>
      </c>
      <c r="M125" s="137"/>
      <c r="N125" s="139">
        <f t="shared" si="63"/>
        <v>0.19216000000000122</v>
      </c>
      <c r="O125" s="137"/>
      <c r="P125" s="140">
        <f t="shared" si="64"/>
        <v>2.0814999999999997</v>
      </c>
      <c r="Q125" s="135"/>
      <c r="R125" s="104">
        <f t="shared" si="65"/>
        <v>8.1338399999999993</v>
      </c>
      <c r="S125" s="137"/>
      <c r="T125" s="141">
        <f t="shared" si="66"/>
        <v>2.2736600000000009</v>
      </c>
      <c r="U125" s="199">
        <f t="shared" si="67"/>
        <v>0</v>
      </c>
      <c r="V125" s="37" t="str">
        <f t="shared" si="68"/>
        <v>ok</v>
      </c>
      <c r="W125" s="37" t="str">
        <f t="shared" si="69"/>
        <v>ok</v>
      </c>
      <c r="X125" s="278">
        <f t="shared" si="37"/>
        <v>1</v>
      </c>
      <c r="Y125" s="278">
        <f t="shared" si="38"/>
        <v>0.97692049003122738</v>
      </c>
      <c r="Z125" s="278">
        <f t="shared" si="39"/>
        <v>0.78153639202498182</v>
      </c>
    </row>
    <row r="126" spans="1:26" x14ac:dyDescent="0.25">
      <c r="A126" s="420"/>
      <c r="B126" s="178" t="s">
        <v>20</v>
      </c>
      <c r="C126" s="129">
        <v>19</v>
      </c>
      <c r="D126" s="239">
        <f>DMG_13*CMD_6</f>
        <v>3.5578399999999997</v>
      </c>
      <c r="E126" s="131">
        <f>OMG_13*CMO_6</f>
        <v>4.9775</v>
      </c>
      <c r="F126" s="132">
        <f t="shared" si="35"/>
        <v>3.9820000000000002</v>
      </c>
      <c r="G126" s="133">
        <f t="shared" si="36"/>
        <v>0.99549999999999983</v>
      </c>
      <c r="H126" s="134">
        <f t="shared" si="60"/>
        <v>3.5578399999999997</v>
      </c>
      <c r="I126" s="135"/>
      <c r="J126" s="136">
        <f t="shared" si="61"/>
        <v>0</v>
      </c>
      <c r="K126" s="137"/>
      <c r="L126" s="138">
        <f t="shared" si="62"/>
        <v>0</v>
      </c>
      <c r="M126" s="137"/>
      <c r="N126" s="139">
        <f t="shared" si="63"/>
        <v>0.42416000000000054</v>
      </c>
      <c r="O126" s="137"/>
      <c r="P126" s="140">
        <f t="shared" si="64"/>
        <v>0.99549999999999983</v>
      </c>
      <c r="Q126" s="135"/>
      <c r="R126" s="104">
        <f t="shared" si="65"/>
        <v>3.5578399999999997</v>
      </c>
      <c r="S126" s="137"/>
      <c r="T126" s="141">
        <f t="shared" si="66"/>
        <v>1.4196600000000004</v>
      </c>
      <c r="U126" s="199">
        <f t="shared" si="67"/>
        <v>0</v>
      </c>
      <c r="V126" s="37" t="str">
        <f t="shared" si="68"/>
        <v>ok</v>
      </c>
      <c r="W126" s="37" t="str">
        <f t="shared" si="69"/>
        <v>ok</v>
      </c>
      <c r="X126" s="278">
        <f t="shared" si="37"/>
        <v>1</v>
      </c>
      <c r="Y126" s="278">
        <f t="shared" si="38"/>
        <v>0.89348066298342532</v>
      </c>
      <c r="Z126" s="278">
        <f t="shared" si="39"/>
        <v>0.71478453038674028</v>
      </c>
    </row>
    <row r="127" spans="1:26" x14ac:dyDescent="0.25">
      <c r="A127" s="420"/>
      <c r="B127" s="178" t="s">
        <v>21</v>
      </c>
      <c r="C127" s="129">
        <v>20</v>
      </c>
      <c r="D127" s="239">
        <f>DMG_14*CMD_6</f>
        <v>2.4824799999999998</v>
      </c>
      <c r="E127" s="131">
        <f>OMG_14*CMO_6</f>
        <v>8.3712499999999999</v>
      </c>
      <c r="F127" s="132">
        <f t="shared" si="35"/>
        <v>6.6970000000000001</v>
      </c>
      <c r="G127" s="133">
        <f t="shared" si="36"/>
        <v>1.6742499999999996</v>
      </c>
      <c r="H127" s="134">
        <f t="shared" si="60"/>
        <v>2.4824799999999998</v>
      </c>
      <c r="I127" s="135"/>
      <c r="J127" s="136">
        <f t="shared" si="61"/>
        <v>0</v>
      </c>
      <c r="K127" s="137"/>
      <c r="L127" s="138">
        <f t="shared" si="62"/>
        <v>0</v>
      </c>
      <c r="M127" s="137"/>
      <c r="N127" s="139">
        <f t="shared" si="63"/>
        <v>4.2145200000000003</v>
      </c>
      <c r="O127" s="137"/>
      <c r="P127" s="140">
        <f t="shared" si="64"/>
        <v>1.6742499999999996</v>
      </c>
      <c r="Q127" s="135"/>
      <c r="R127" s="104">
        <f t="shared" si="65"/>
        <v>2.4824799999999998</v>
      </c>
      <c r="S127" s="137"/>
      <c r="T127" s="141">
        <f t="shared" si="66"/>
        <v>5.8887700000000001</v>
      </c>
      <c r="U127" s="199">
        <f t="shared" si="67"/>
        <v>0</v>
      </c>
      <c r="V127" s="37" t="str">
        <f t="shared" si="68"/>
        <v>ok</v>
      </c>
      <c r="W127" s="37" t="str">
        <f t="shared" si="69"/>
        <v>ok</v>
      </c>
      <c r="X127" s="278">
        <f t="shared" si="37"/>
        <v>1</v>
      </c>
      <c r="Y127" s="278">
        <f t="shared" si="38"/>
        <v>0.37068538151411073</v>
      </c>
      <c r="Z127" s="278">
        <f t="shared" si="39"/>
        <v>0.29654830521128861</v>
      </c>
    </row>
    <row r="128" spans="1:26" x14ac:dyDescent="0.25">
      <c r="A128" s="420"/>
      <c r="B128" s="178" t="s">
        <v>22</v>
      </c>
      <c r="C128" s="129">
        <v>21</v>
      </c>
      <c r="D128" s="239">
        <f>DMG_15*CMD_6</f>
        <v>5.1479999999999997</v>
      </c>
      <c r="E128" s="131">
        <f>OMG_15*CMO_6</f>
        <v>9.9550000000000001</v>
      </c>
      <c r="F128" s="132">
        <f t="shared" si="35"/>
        <v>7.9640000000000004</v>
      </c>
      <c r="G128" s="133">
        <f t="shared" si="36"/>
        <v>1.9909999999999997</v>
      </c>
      <c r="H128" s="134">
        <f t="shared" si="60"/>
        <v>5.1479999999999997</v>
      </c>
      <c r="I128" s="135"/>
      <c r="J128" s="136">
        <f t="shared" si="61"/>
        <v>0</v>
      </c>
      <c r="K128" s="137"/>
      <c r="L128" s="138">
        <f t="shared" si="62"/>
        <v>0</v>
      </c>
      <c r="M128" s="137"/>
      <c r="N128" s="139">
        <f t="shared" si="63"/>
        <v>2.8160000000000007</v>
      </c>
      <c r="O128" s="137"/>
      <c r="P128" s="140">
        <f t="shared" si="64"/>
        <v>1.9909999999999997</v>
      </c>
      <c r="Q128" s="135"/>
      <c r="R128" s="104">
        <f t="shared" si="65"/>
        <v>5.1479999999999997</v>
      </c>
      <c r="S128" s="137"/>
      <c r="T128" s="141">
        <f t="shared" si="66"/>
        <v>4.8070000000000004</v>
      </c>
      <c r="U128" s="199">
        <f t="shared" si="67"/>
        <v>0</v>
      </c>
      <c r="V128" s="37" t="str">
        <f t="shared" si="68"/>
        <v>ok</v>
      </c>
      <c r="W128" s="37" t="str">
        <f t="shared" si="69"/>
        <v>ok</v>
      </c>
      <c r="X128" s="278">
        <f t="shared" si="37"/>
        <v>1</v>
      </c>
      <c r="Y128" s="278">
        <f t="shared" si="38"/>
        <v>0.64640883977900543</v>
      </c>
      <c r="Z128" s="278">
        <f t="shared" si="39"/>
        <v>0.51712707182320439</v>
      </c>
    </row>
    <row r="129" spans="1:26" x14ac:dyDescent="0.25">
      <c r="A129" s="420"/>
      <c r="B129" s="178" t="s">
        <v>23</v>
      </c>
      <c r="C129" s="129">
        <v>22</v>
      </c>
      <c r="D129" s="239">
        <f>DMG_16*CMD_6</f>
        <v>20.660639999999997</v>
      </c>
      <c r="E129" s="131">
        <f>OMG_16*CMO_6</f>
        <v>11.199375</v>
      </c>
      <c r="F129" s="132">
        <f t="shared" si="35"/>
        <v>8.9595000000000002</v>
      </c>
      <c r="G129" s="133">
        <f t="shared" si="36"/>
        <v>2.2398749999999996</v>
      </c>
      <c r="H129" s="134">
        <f t="shared" si="60"/>
        <v>11.199375</v>
      </c>
      <c r="I129" s="135"/>
      <c r="J129" s="136">
        <f t="shared" si="61"/>
        <v>9.4612649999999974</v>
      </c>
      <c r="K129" s="137"/>
      <c r="L129" s="138">
        <f t="shared" si="62"/>
        <v>2.2398749999999996</v>
      </c>
      <c r="M129" s="137"/>
      <c r="N129" s="139">
        <f t="shared" si="63"/>
        <v>0</v>
      </c>
      <c r="O129" s="137"/>
      <c r="P129" s="140">
        <f t="shared" si="64"/>
        <v>0</v>
      </c>
      <c r="Q129" s="135"/>
      <c r="R129" s="104">
        <f t="shared" si="65"/>
        <v>8.9595000000000002</v>
      </c>
      <c r="S129" s="137"/>
      <c r="T129" s="141">
        <f t="shared" si="66"/>
        <v>2.2398749999999996</v>
      </c>
      <c r="U129" s="199">
        <f t="shared" si="67"/>
        <v>11.701139999999997</v>
      </c>
      <c r="V129" s="37" t="str">
        <f t="shared" si="68"/>
        <v>ok</v>
      </c>
      <c r="W129" s="37" t="str">
        <f t="shared" si="69"/>
        <v>ok</v>
      </c>
      <c r="X129" s="278">
        <f t="shared" si="37"/>
        <v>0.43365065167390754</v>
      </c>
      <c r="Y129" s="278">
        <f t="shared" si="38"/>
        <v>1</v>
      </c>
      <c r="Z129" s="278">
        <f t="shared" si="39"/>
        <v>0.8</v>
      </c>
    </row>
    <row r="130" spans="1:26" x14ac:dyDescent="0.25">
      <c r="A130" s="420"/>
      <c r="B130" s="178" t="s">
        <v>19</v>
      </c>
      <c r="C130" s="129">
        <v>25</v>
      </c>
      <c r="D130" s="239">
        <f>DMG_17*CMD_6</f>
        <v>16.816799999999997</v>
      </c>
      <c r="E130" s="131">
        <f>OMG_17*CMO_6</f>
        <v>7.0952000000000002</v>
      </c>
      <c r="F130" s="132">
        <f t="shared" si="35"/>
        <v>5.6761600000000003</v>
      </c>
      <c r="G130" s="133">
        <f t="shared" si="36"/>
        <v>1.4190399999999996</v>
      </c>
      <c r="H130" s="134">
        <f t="shared" si="60"/>
        <v>7.0952000000000002</v>
      </c>
      <c r="I130" s="135"/>
      <c r="J130" s="136">
        <f t="shared" si="61"/>
        <v>9.7215999999999969</v>
      </c>
      <c r="K130" s="137"/>
      <c r="L130" s="138">
        <f t="shared" si="62"/>
        <v>1.4190399999999996</v>
      </c>
      <c r="M130" s="137"/>
      <c r="N130" s="139">
        <f t="shared" si="63"/>
        <v>0</v>
      </c>
      <c r="O130" s="137"/>
      <c r="P130" s="140">
        <f t="shared" si="64"/>
        <v>0</v>
      </c>
      <c r="Q130" s="135"/>
      <c r="R130" s="104">
        <f t="shared" si="65"/>
        <v>5.6761600000000003</v>
      </c>
      <c r="S130" s="137"/>
      <c r="T130" s="141">
        <f t="shared" si="66"/>
        <v>1.4190399999999996</v>
      </c>
      <c r="U130" s="199">
        <f t="shared" si="67"/>
        <v>11.140639999999996</v>
      </c>
      <c r="V130" s="37" t="str">
        <f t="shared" si="68"/>
        <v>ok</v>
      </c>
      <c r="W130" s="37" t="str">
        <f t="shared" si="69"/>
        <v>ok</v>
      </c>
      <c r="X130" s="278">
        <f t="shared" si="37"/>
        <v>0.3375291375291376</v>
      </c>
      <c r="Y130" s="278">
        <f t="shared" si="38"/>
        <v>1</v>
      </c>
      <c r="Z130" s="278">
        <f t="shared" si="39"/>
        <v>0.8</v>
      </c>
    </row>
    <row r="131" spans="1:26" x14ac:dyDescent="0.25">
      <c r="A131" s="420"/>
      <c r="B131" s="178" t="s">
        <v>20</v>
      </c>
      <c r="C131" s="129">
        <v>26</v>
      </c>
      <c r="D131" s="239">
        <f>DMG_18*CMD_6</f>
        <v>9.6896799999999992</v>
      </c>
      <c r="E131" s="131">
        <f>OMG_18*CMO_6</f>
        <v>3.3620749999999999</v>
      </c>
      <c r="F131" s="132">
        <f t="shared" si="35"/>
        <v>2.6896599999999999</v>
      </c>
      <c r="G131" s="133">
        <f t="shared" si="36"/>
        <v>0.67241499999999987</v>
      </c>
      <c r="H131" s="134">
        <f t="shared" si="60"/>
        <v>3.3620749999999999</v>
      </c>
      <c r="I131" s="135"/>
      <c r="J131" s="136">
        <f t="shared" si="61"/>
        <v>6.3276049999999993</v>
      </c>
      <c r="K131" s="137"/>
      <c r="L131" s="138">
        <f t="shared" si="62"/>
        <v>0.67241499999999987</v>
      </c>
      <c r="M131" s="137"/>
      <c r="N131" s="139">
        <f t="shared" si="63"/>
        <v>0</v>
      </c>
      <c r="O131" s="137"/>
      <c r="P131" s="140">
        <f t="shared" si="64"/>
        <v>0</v>
      </c>
      <c r="Q131" s="135"/>
      <c r="R131" s="104">
        <f t="shared" si="65"/>
        <v>2.6896599999999999</v>
      </c>
      <c r="S131" s="137"/>
      <c r="T131" s="141">
        <f t="shared" si="66"/>
        <v>0.67241499999999987</v>
      </c>
      <c r="U131" s="199">
        <f t="shared" si="67"/>
        <v>7.0000199999999992</v>
      </c>
      <c r="V131" s="37" t="str">
        <f t="shared" si="68"/>
        <v>ok</v>
      </c>
      <c r="W131" s="37" t="str">
        <f t="shared" si="69"/>
        <v>ok</v>
      </c>
      <c r="X131" s="278">
        <f t="shared" si="37"/>
        <v>0.27757985815837055</v>
      </c>
      <c r="Y131" s="278">
        <f t="shared" si="38"/>
        <v>1</v>
      </c>
      <c r="Z131" s="278">
        <f t="shared" si="39"/>
        <v>0.8</v>
      </c>
    </row>
    <row r="132" spans="1:26" x14ac:dyDescent="0.25">
      <c r="A132" s="420"/>
      <c r="B132" s="178" t="s">
        <v>21</v>
      </c>
      <c r="C132" s="129">
        <v>27</v>
      </c>
      <c r="D132" s="239">
        <f>DMG_19*CMD_6</f>
        <v>7.9336399999999987</v>
      </c>
      <c r="E132" s="131">
        <f>OMG_19*CMO_6</f>
        <v>4.4797500000000001</v>
      </c>
      <c r="F132" s="132">
        <f t="shared" si="35"/>
        <v>3.5838000000000001</v>
      </c>
      <c r="G132" s="133">
        <f t="shared" si="36"/>
        <v>0.8959499999999998</v>
      </c>
      <c r="H132" s="134">
        <f t="shared" si="60"/>
        <v>4.4797500000000001</v>
      </c>
      <c r="I132" s="135"/>
      <c r="J132" s="136">
        <f t="shared" si="61"/>
        <v>3.4538899999999986</v>
      </c>
      <c r="K132" s="137"/>
      <c r="L132" s="138">
        <f t="shared" si="62"/>
        <v>0.8959499999999998</v>
      </c>
      <c r="M132" s="137"/>
      <c r="N132" s="139">
        <f t="shared" si="63"/>
        <v>0</v>
      </c>
      <c r="O132" s="137"/>
      <c r="P132" s="140">
        <f t="shared" si="64"/>
        <v>0</v>
      </c>
      <c r="Q132" s="135"/>
      <c r="R132" s="104">
        <f t="shared" si="65"/>
        <v>3.5838000000000001</v>
      </c>
      <c r="S132" s="137"/>
      <c r="T132" s="141">
        <f t="shared" si="66"/>
        <v>0.8959499999999998</v>
      </c>
      <c r="U132" s="199">
        <f t="shared" si="67"/>
        <v>4.3498399999999986</v>
      </c>
      <c r="V132" s="37" t="str">
        <f t="shared" si="68"/>
        <v>ok</v>
      </c>
      <c r="W132" s="37" t="str">
        <f t="shared" si="69"/>
        <v>ok</v>
      </c>
      <c r="X132" s="278">
        <f t="shared" si="37"/>
        <v>0.45172203427430546</v>
      </c>
      <c r="Y132" s="278">
        <f t="shared" si="38"/>
        <v>1</v>
      </c>
      <c r="Z132" s="278">
        <f t="shared" si="39"/>
        <v>0.8</v>
      </c>
    </row>
    <row r="133" spans="1:26" x14ac:dyDescent="0.25">
      <c r="A133" s="420"/>
      <c r="B133" s="178" t="s">
        <v>22</v>
      </c>
      <c r="C133" s="129">
        <v>28</v>
      </c>
      <c r="D133" s="239">
        <f>DMG_20*CMD_6</f>
        <v>14.900599999999999</v>
      </c>
      <c r="E133" s="131">
        <f>OMG_20*CMO_6</f>
        <v>7.0952000000000002</v>
      </c>
      <c r="F133" s="132">
        <f t="shared" ref="F133:F196" si="70">E133*TC</f>
        <v>5.6761600000000003</v>
      </c>
      <c r="G133" s="133">
        <f t="shared" ref="G133:G196" si="71">E133*(1-TC)</f>
        <v>1.4190399999999996</v>
      </c>
      <c r="H133" s="134">
        <f t="shared" si="60"/>
        <v>7.0952000000000002</v>
      </c>
      <c r="I133" s="135"/>
      <c r="J133" s="136">
        <f t="shared" si="61"/>
        <v>7.8053999999999988</v>
      </c>
      <c r="K133" s="137"/>
      <c r="L133" s="138">
        <f t="shared" si="62"/>
        <v>1.4190399999999996</v>
      </c>
      <c r="M133" s="137"/>
      <c r="N133" s="139">
        <f t="shared" si="63"/>
        <v>0</v>
      </c>
      <c r="O133" s="137"/>
      <c r="P133" s="140">
        <f t="shared" si="64"/>
        <v>0</v>
      </c>
      <c r="Q133" s="135"/>
      <c r="R133" s="104">
        <f t="shared" si="65"/>
        <v>5.6761600000000003</v>
      </c>
      <c r="S133" s="137"/>
      <c r="T133" s="141">
        <f t="shared" si="66"/>
        <v>1.4190399999999996</v>
      </c>
      <c r="U133" s="199">
        <f t="shared" si="67"/>
        <v>9.2244399999999978</v>
      </c>
      <c r="V133" s="37" t="str">
        <f t="shared" si="68"/>
        <v>ok</v>
      </c>
      <c r="W133" s="37" t="str">
        <f t="shared" si="69"/>
        <v>ok</v>
      </c>
      <c r="X133" s="278">
        <f t="shared" si="37"/>
        <v>0.38093499590620516</v>
      </c>
      <c r="Y133" s="278">
        <f t="shared" si="38"/>
        <v>1</v>
      </c>
      <c r="Z133" s="278">
        <f t="shared" si="39"/>
        <v>0.8</v>
      </c>
    </row>
    <row r="134" spans="1:26" ht="15.75" thickBot="1" x14ac:dyDescent="0.3">
      <c r="A134" s="421"/>
      <c r="B134" s="180" t="s">
        <v>23</v>
      </c>
      <c r="C134" s="237">
        <v>29</v>
      </c>
      <c r="D134" s="240">
        <f>DMG_21*CMD_6</f>
        <v>24.790479999999999</v>
      </c>
      <c r="E134" s="203">
        <f>OMG_21*CMO_6</f>
        <v>13.575000000000001</v>
      </c>
      <c r="F134" s="204">
        <f t="shared" si="70"/>
        <v>10.860000000000001</v>
      </c>
      <c r="G134" s="205">
        <f t="shared" si="71"/>
        <v>2.7149999999999994</v>
      </c>
      <c r="H134" s="206">
        <f t="shared" si="60"/>
        <v>13.575000000000001</v>
      </c>
      <c r="I134" s="207"/>
      <c r="J134" s="208">
        <f t="shared" si="61"/>
        <v>11.215479999999998</v>
      </c>
      <c r="K134" s="209"/>
      <c r="L134" s="210">
        <f t="shared" si="62"/>
        <v>2.7149999999999994</v>
      </c>
      <c r="M134" s="209"/>
      <c r="N134" s="211">
        <f t="shared" si="63"/>
        <v>0</v>
      </c>
      <c r="O134" s="209"/>
      <c r="P134" s="212">
        <f t="shared" si="64"/>
        <v>0</v>
      </c>
      <c r="Q134" s="207"/>
      <c r="R134" s="213">
        <f t="shared" si="65"/>
        <v>10.860000000000001</v>
      </c>
      <c r="S134" s="209"/>
      <c r="T134" s="214">
        <f t="shared" si="66"/>
        <v>2.7149999999999994</v>
      </c>
      <c r="U134" s="215">
        <f t="shared" si="67"/>
        <v>13.930479999999998</v>
      </c>
      <c r="V134" s="37" t="str">
        <f t="shared" si="68"/>
        <v>ok</v>
      </c>
      <c r="W134" s="37" t="str">
        <f t="shared" si="69"/>
        <v>ok</v>
      </c>
      <c r="X134" s="278">
        <f t="shared" ref="X134:X197" si="72">R134/D134</f>
        <v>0.43807138869436985</v>
      </c>
      <c r="Y134" s="278">
        <f t="shared" ref="Y134:Y197" si="73">R134/F134</f>
        <v>1</v>
      </c>
      <c r="Z134" s="278">
        <f t="shared" ref="Z134:Z197" si="74">R134/E134</f>
        <v>0.8</v>
      </c>
    </row>
    <row r="135" spans="1:26" x14ac:dyDescent="0.25">
      <c r="A135" s="419" t="s">
        <v>95</v>
      </c>
      <c r="B135" s="176" t="s">
        <v>19</v>
      </c>
      <c r="C135" s="241">
        <v>2</v>
      </c>
      <c r="D135" s="238">
        <f>DMG_1*CMD_7</f>
        <v>4.9476519999999997</v>
      </c>
      <c r="E135" s="185">
        <f>OMG_1*CMO_7</f>
        <v>19.558499999999999</v>
      </c>
      <c r="F135" s="186">
        <f t="shared" si="70"/>
        <v>15.646799999999999</v>
      </c>
      <c r="G135" s="187">
        <f t="shared" si="71"/>
        <v>3.9116999999999988</v>
      </c>
      <c r="H135" s="188">
        <f>IF(E135&gt;D135,D135,E135)</f>
        <v>4.9476519999999997</v>
      </c>
      <c r="I135" s="189"/>
      <c r="J135" s="190">
        <f>IF(E135&gt;D135,0,D135-E135)</f>
        <v>0</v>
      </c>
      <c r="K135" s="191"/>
      <c r="L135" s="192">
        <f>IF(E135&gt;D135,IF(F135&gt;H135,0,H135-F135),G135)</f>
        <v>0</v>
      </c>
      <c r="M135" s="191"/>
      <c r="N135" s="193">
        <f>IF(E135&gt;D135,IF(F135&gt;H135,F135-H135,0),0)</f>
        <v>10.699147999999999</v>
      </c>
      <c r="O135" s="191"/>
      <c r="P135" s="194">
        <f>IF(E135&gt;D135,IF(F135&gt;H135,G135,E135-H135),0)</f>
        <v>3.9116999999999988</v>
      </c>
      <c r="Q135" s="189"/>
      <c r="R135" s="195">
        <f>H135-L135</f>
        <v>4.9476519999999997</v>
      </c>
      <c r="S135" s="191"/>
      <c r="T135" s="196">
        <f>L135+N135+P135</f>
        <v>14.610847999999997</v>
      </c>
      <c r="U135" s="197">
        <f>J135+L135</f>
        <v>0</v>
      </c>
      <c r="V135" s="37" t="str">
        <f>IF(R135+T135=E135,"ok","bad")</f>
        <v>ok</v>
      </c>
      <c r="W135" s="37" t="str">
        <f>IF(U135+R135=D135,"ok","bad")</f>
        <v>ok</v>
      </c>
      <c r="X135" s="278">
        <f t="shared" si="72"/>
        <v>1</v>
      </c>
      <c r="Y135" s="278">
        <f t="shared" si="73"/>
        <v>0.3162085538257024</v>
      </c>
      <c r="Z135" s="278">
        <f t="shared" si="74"/>
        <v>0.25296684306056189</v>
      </c>
    </row>
    <row r="136" spans="1:26" x14ac:dyDescent="0.25">
      <c r="A136" s="420"/>
      <c r="B136" s="178" t="s">
        <v>20</v>
      </c>
      <c r="C136" s="129">
        <v>3</v>
      </c>
      <c r="D136" s="239">
        <f>DMG_2*CMD_7</f>
        <v>3.8849040000000001</v>
      </c>
      <c r="E136" s="131">
        <f>OMG_2*CMO_7</f>
        <v>14.342899999999998</v>
      </c>
      <c r="F136" s="132">
        <f t="shared" si="70"/>
        <v>11.474319999999999</v>
      </c>
      <c r="G136" s="133">
        <f t="shared" si="71"/>
        <v>2.8685799999999992</v>
      </c>
      <c r="H136" s="134">
        <f t="shared" ref="H136:H156" si="75">IF(E136&gt;D136,D136,E136)</f>
        <v>3.8849040000000001</v>
      </c>
      <c r="I136" s="135"/>
      <c r="J136" s="136">
        <f t="shared" ref="J136:J156" si="76">IF(E136&gt;D136,0,D136-E136)</f>
        <v>0</v>
      </c>
      <c r="K136" s="137"/>
      <c r="L136" s="138">
        <f t="shared" ref="L136:L156" si="77">IF(E136&gt;D136,IF(F136&gt;H136,0,H136-F136),G136)</f>
        <v>0</v>
      </c>
      <c r="M136" s="137"/>
      <c r="N136" s="139">
        <f t="shared" ref="N136:N156" si="78">IF(E136&gt;D136,IF(F136&gt;H136,F136-H136,0),0)</f>
        <v>7.5894159999999982</v>
      </c>
      <c r="O136" s="137"/>
      <c r="P136" s="140">
        <f t="shared" ref="P136:P156" si="79">IF(E136&gt;D136,IF(F136&gt;H136,G136,E136-H136),0)</f>
        <v>2.8685799999999992</v>
      </c>
      <c r="Q136" s="135"/>
      <c r="R136" s="104">
        <f t="shared" ref="R136:R156" si="80">H136-L136</f>
        <v>3.8849040000000001</v>
      </c>
      <c r="S136" s="137"/>
      <c r="T136" s="141">
        <f t="shared" ref="T136:T156" si="81">L136+N136+P136</f>
        <v>10.457995999999998</v>
      </c>
      <c r="U136" s="199">
        <f t="shared" ref="U136:U156" si="82">J136+L136</f>
        <v>0</v>
      </c>
      <c r="V136" s="37" t="str">
        <f t="shared" ref="V136:V156" si="83">IF(R136+T136=E136,"ok","bad")</f>
        <v>ok</v>
      </c>
      <c r="W136" s="37" t="str">
        <f t="shared" ref="W136:W156" si="84">IF(U136+R136=D136,"ok","bad")</f>
        <v>ok</v>
      </c>
      <c r="X136" s="278">
        <f t="shared" si="72"/>
        <v>1</v>
      </c>
      <c r="Y136" s="278">
        <f t="shared" si="73"/>
        <v>0.33857378912214409</v>
      </c>
      <c r="Z136" s="278">
        <f t="shared" si="74"/>
        <v>0.27085903129771527</v>
      </c>
    </row>
    <row r="137" spans="1:26" x14ac:dyDescent="0.25">
      <c r="A137" s="420"/>
      <c r="B137" s="178" t="s">
        <v>21</v>
      </c>
      <c r="C137" s="129">
        <v>4</v>
      </c>
      <c r="D137" s="239">
        <f>DMG_3*CMD_7</f>
        <v>1.6993039999999999</v>
      </c>
      <c r="E137" s="131">
        <f>OMG_3*CMO_7</f>
        <v>5.8675499999999987</v>
      </c>
      <c r="F137" s="132">
        <f t="shared" si="70"/>
        <v>4.6940399999999993</v>
      </c>
      <c r="G137" s="133">
        <f t="shared" si="71"/>
        <v>1.1735099999999994</v>
      </c>
      <c r="H137" s="134">
        <f t="shared" si="75"/>
        <v>1.6993039999999999</v>
      </c>
      <c r="I137" s="135"/>
      <c r="J137" s="136">
        <f t="shared" si="76"/>
        <v>0</v>
      </c>
      <c r="K137" s="137"/>
      <c r="L137" s="138">
        <f t="shared" si="77"/>
        <v>0</v>
      </c>
      <c r="M137" s="137"/>
      <c r="N137" s="139">
        <f t="shared" si="78"/>
        <v>2.9947359999999996</v>
      </c>
      <c r="O137" s="137"/>
      <c r="P137" s="140">
        <f t="shared" si="79"/>
        <v>1.1735099999999994</v>
      </c>
      <c r="Q137" s="135"/>
      <c r="R137" s="104">
        <f t="shared" si="80"/>
        <v>1.6993039999999999</v>
      </c>
      <c r="S137" s="137"/>
      <c r="T137" s="141">
        <f t="shared" si="81"/>
        <v>4.168245999999999</v>
      </c>
      <c r="U137" s="199">
        <f t="shared" si="82"/>
        <v>0</v>
      </c>
      <c r="V137" s="37" t="str">
        <f t="shared" si="83"/>
        <v>ok</v>
      </c>
      <c r="W137" s="37" t="str">
        <f t="shared" si="84"/>
        <v>ok</v>
      </c>
      <c r="X137" s="278">
        <f t="shared" si="72"/>
        <v>1</v>
      </c>
      <c r="Y137" s="278">
        <f t="shared" si="73"/>
        <v>0.36201310598120173</v>
      </c>
      <c r="Z137" s="278">
        <f t="shared" si="74"/>
        <v>0.28961048478496143</v>
      </c>
    </row>
    <row r="138" spans="1:26" x14ac:dyDescent="0.25">
      <c r="A138" s="420"/>
      <c r="B138" s="178" t="s">
        <v>22</v>
      </c>
      <c r="C138" s="129">
        <v>5</v>
      </c>
      <c r="D138" s="239">
        <f>DMG_4*CMD_7</f>
        <v>1.1856879999999999</v>
      </c>
      <c r="E138" s="131">
        <f>OMG_4*CMO_7</f>
        <v>8.8013250000000003</v>
      </c>
      <c r="F138" s="132">
        <f t="shared" si="70"/>
        <v>7.0410600000000008</v>
      </c>
      <c r="G138" s="133">
        <f t="shared" si="71"/>
        <v>1.7602649999999997</v>
      </c>
      <c r="H138" s="134">
        <f t="shared" si="75"/>
        <v>1.1856879999999999</v>
      </c>
      <c r="I138" s="135"/>
      <c r="J138" s="136">
        <f t="shared" si="76"/>
        <v>0</v>
      </c>
      <c r="K138" s="137"/>
      <c r="L138" s="138">
        <f t="shared" si="77"/>
        <v>0</v>
      </c>
      <c r="M138" s="137"/>
      <c r="N138" s="139">
        <f t="shared" si="78"/>
        <v>5.8553720000000009</v>
      </c>
      <c r="O138" s="137"/>
      <c r="P138" s="140">
        <f t="shared" si="79"/>
        <v>1.7602649999999997</v>
      </c>
      <c r="Q138" s="135"/>
      <c r="R138" s="104">
        <f t="shared" si="80"/>
        <v>1.1856879999999999</v>
      </c>
      <c r="S138" s="137"/>
      <c r="T138" s="141">
        <f t="shared" si="81"/>
        <v>7.6156370000000004</v>
      </c>
      <c r="U138" s="199">
        <f t="shared" si="82"/>
        <v>0</v>
      </c>
      <c r="V138" s="37" t="str">
        <f t="shared" si="83"/>
        <v>ok</v>
      </c>
      <c r="W138" s="37" t="str">
        <f t="shared" si="84"/>
        <v>ok</v>
      </c>
      <c r="X138" s="278">
        <f t="shared" si="72"/>
        <v>1</v>
      </c>
      <c r="Y138" s="278">
        <f t="shared" si="73"/>
        <v>0.16839623579404234</v>
      </c>
      <c r="Z138" s="278">
        <f t="shared" si="74"/>
        <v>0.13471698863523388</v>
      </c>
    </row>
    <row r="139" spans="1:26" x14ac:dyDescent="0.25">
      <c r="A139" s="420"/>
      <c r="B139" s="178" t="s">
        <v>23</v>
      </c>
      <c r="C139" s="129">
        <v>6</v>
      </c>
      <c r="D139" s="239">
        <f>DMG_5*CMD_7</f>
        <v>2.4588000000000001</v>
      </c>
      <c r="E139" s="131">
        <f>OMG_5*CMO_7</f>
        <v>14.342899999999998</v>
      </c>
      <c r="F139" s="132">
        <f t="shared" si="70"/>
        <v>11.474319999999999</v>
      </c>
      <c r="G139" s="133">
        <f t="shared" si="71"/>
        <v>2.8685799999999992</v>
      </c>
      <c r="H139" s="134">
        <f t="shared" si="75"/>
        <v>2.4588000000000001</v>
      </c>
      <c r="I139" s="135"/>
      <c r="J139" s="136">
        <f t="shared" si="76"/>
        <v>0</v>
      </c>
      <c r="K139" s="137"/>
      <c r="L139" s="138">
        <f t="shared" si="77"/>
        <v>0</v>
      </c>
      <c r="M139" s="137"/>
      <c r="N139" s="139">
        <f t="shared" si="78"/>
        <v>9.0155199999999986</v>
      </c>
      <c r="O139" s="137"/>
      <c r="P139" s="140">
        <f t="shared" si="79"/>
        <v>2.8685799999999992</v>
      </c>
      <c r="Q139" s="135"/>
      <c r="R139" s="104">
        <f t="shared" si="80"/>
        <v>2.4588000000000001</v>
      </c>
      <c r="S139" s="137"/>
      <c r="T139" s="141">
        <f t="shared" si="81"/>
        <v>11.884099999999998</v>
      </c>
      <c r="U139" s="199">
        <f t="shared" si="82"/>
        <v>0</v>
      </c>
      <c r="V139" s="37" t="str">
        <f t="shared" si="83"/>
        <v>ok</v>
      </c>
      <c r="W139" s="37" t="str">
        <f t="shared" si="84"/>
        <v>ok</v>
      </c>
      <c r="X139" s="278">
        <f t="shared" si="72"/>
        <v>1</v>
      </c>
      <c r="Y139" s="278">
        <f t="shared" si="73"/>
        <v>0.21428720830515449</v>
      </c>
      <c r="Z139" s="278">
        <f t="shared" si="74"/>
        <v>0.1714297666441236</v>
      </c>
    </row>
    <row r="140" spans="1:26" x14ac:dyDescent="0.25">
      <c r="A140" s="420"/>
      <c r="B140" s="178" t="s">
        <v>19</v>
      </c>
      <c r="C140" s="129">
        <v>9</v>
      </c>
      <c r="D140" s="239">
        <f>DMG_6*CMD_7</f>
        <v>7.8954799999999992</v>
      </c>
      <c r="E140" s="131">
        <f>OMG_6*CMO_7</f>
        <v>10.029999999999999</v>
      </c>
      <c r="F140" s="132">
        <f t="shared" si="70"/>
        <v>8.0239999999999991</v>
      </c>
      <c r="G140" s="133">
        <f t="shared" si="71"/>
        <v>2.0059999999999993</v>
      </c>
      <c r="H140" s="134">
        <f t="shared" si="75"/>
        <v>7.8954799999999992</v>
      </c>
      <c r="I140" s="135"/>
      <c r="J140" s="136">
        <f t="shared" si="76"/>
        <v>0</v>
      </c>
      <c r="K140" s="137"/>
      <c r="L140" s="138">
        <f t="shared" si="77"/>
        <v>0</v>
      </c>
      <c r="M140" s="137"/>
      <c r="N140" s="139">
        <f t="shared" si="78"/>
        <v>0.12851999999999997</v>
      </c>
      <c r="O140" s="137"/>
      <c r="P140" s="140">
        <f t="shared" si="79"/>
        <v>2.0059999999999993</v>
      </c>
      <c r="Q140" s="135"/>
      <c r="R140" s="104">
        <f t="shared" si="80"/>
        <v>7.8954799999999992</v>
      </c>
      <c r="S140" s="137"/>
      <c r="T140" s="141">
        <f t="shared" si="81"/>
        <v>2.1345199999999993</v>
      </c>
      <c r="U140" s="199">
        <f t="shared" si="82"/>
        <v>0</v>
      </c>
      <c r="V140" s="37" t="str">
        <f t="shared" si="83"/>
        <v>ok</v>
      </c>
      <c r="W140" s="37" t="str">
        <f t="shared" si="84"/>
        <v>ok</v>
      </c>
      <c r="X140" s="278">
        <f t="shared" si="72"/>
        <v>1</v>
      </c>
      <c r="Y140" s="278">
        <f t="shared" si="73"/>
        <v>0.98398305084745763</v>
      </c>
      <c r="Z140" s="278">
        <f t="shared" si="74"/>
        <v>0.78718644067796606</v>
      </c>
    </row>
    <row r="141" spans="1:26" x14ac:dyDescent="0.25">
      <c r="A141" s="420"/>
      <c r="B141" s="178" t="s">
        <v>20</v>
      </c>
      <c r="C141" s="129">
        <v>10</v>
      </c>
      <c r="D141" s="239">
        <f>DMG_7*CMD_7</f>
        <v>6.4038080000000006</v>
      </c>
      <c r="E141" s="131">
        <f>OMG_7*CMO_7</f>
        <v>10.280749999999999</v>
      </c>
      <c r="F141" s="132">
        <f t="shared" si="70"/>
        <v>8.2246000000000006</v>
      </c>
      <c r="G141" s="133">
        <f t="shared" si="71"/>
        <v>2.0561499999999993</v>
      </c>
      <c r="H141" s="134">
        <f t="shared" si="75"/>
        <v>6.4038080000000006</v>
      </c>
      <c r="I141" s="135"/>
      <c r="J141" s="136">
        <f t="shared" si="76"/>
        <v>0</v>
      </c>
      <c r="K141" s="137"/>
      <c r="L141" s="138">
        <f t="shared" si="77"/>
        <v>0</v>
      </c>
      <c r="M141" s="137"/>
      <c r="N141" s="139">
        <f t="shared" si="78"/>
        <v>1.820792</v>
      </c>
      <c r="O141" s="137"/>
      <c r="P141" s="140">
        <f t="shared" si="79"/>
        <v>2.0561499999999993</v>
      </c>
      <c r="Q141" s="135"/>
      <c r="R141" s="104">
        <f t="shared" si="80"/>
        <v>6.4038080000000006</v>
      </c>
      <c r="S141" s="137"/>
      <c r="T141" s="141">
        <f t="shared" si="81"/>
        <v>3.8769419999999992</v>
      </c>
      <c r="U141" s="199">
        <f t="shared" si="82"/>
        <v>0</v>
      </c>
      <c r="V141" s="37" t="str">
        <f t="shared" si="83"/>
        <v>ok</v>
      </c>
      <c r="W141" s="37" t="str">
        <f t="shared" si="84"/>
        <v>ok</v>
      </c>
      <c r="X141" s="278">
        <f t="shared" si="72"/>
        <v>1</v>
      </c>
      <c r="Y141" s="278">
        <f t="shared" si="73"/>
        <v>0.77861634608370012</v>
      </c>
      <c r="Z141" s="278">
        <f t="shared" si="74"/>
        <v>0.62289307686696016</v>
      </c>
    </row>
    <row r="142" spans="1:26" x14ac:dyDescent="0.25">
      <c r="A142" s="420"/>
      <c r="B142" s="178" t="s">
        <v>21</v>
      </c>
      <c r="C142" s="129">
        <v>11</v>
      </c>
      <c r="D142" s="239">
        <f>DMG_8*CMD_7</f>
        <v>3.7018600000000004</v>
      </c>
      <c r="E142" s="131">
        <f>OMG_8*CMO_7</f>
        <v>5.5164999999999997</v>
      </c>
      <c r="F142" s="132">
        <f t="shared" si="70"/>
        <v>4.4131999999999998</v>
      </c>
      <c r="G142" s="133">
        <f t="shared" si="71"/>
        <v>1.1032999999999997</v>
      </c>
      <c r="H142" s="134">
        <f t="shared" si="75"/>
        <v>3.7018600000000004</v>
      </c>
      <c r="I142" s="135"/>
      <c r="J142" s="136">
        <f t="shared" si="76"/>
        <v>0</v>
      </c>
      <c r="K142" s="137"/>
      <c r="L142" s="138">
        <f t="shared" si="77"/>
        <v>0</v>
      </c>
      <c r="M142" s="137"/>
      <c r="N142" s="139">
        <f t="shared" si="78"/>
        <v>0.71133999999999942</v>
      </c>
      <c r="O142" s="137"/>
      <c r="P142" s="140">
        <f t="shared" si="79"/>
        <v>1.1032999999999997</v>
      </c>
      <c r="Q142" s="135"/>
      <c r="R142" s="104">
        <f t="shared" si="80"/>
        <v>3.7018600000000004</v>
      </c>
      <c r="S142" s="137"/>
      <c r="T142" s="141">
        <f t="shared" si="81"/>
        <v>1.8146399999999991</v>
      </c>
      <c r="U142" s="199">
        <f t="shared" si="82"/>
        <v>0</v>
      </c>
      <c r="V142" s="37" t="str">
        <f t="shared" si="83"/>
        <v>ok</v>
      </c>
      <c r="W142" s="37" t="str">
        <f t="shared" si="84"/>
        <v>ok</v>
      </c>
      <c r="X142" s="278">
        <f t="shared" si="72"/>
        <v>1</v>
      </c>
      <c r="Y142" s="278">
        <f t="shared" si="73"/>
        <v>0.8388153720656214</v>
      </c>
      <c r="Z142" s="278">
        <f t="shared" si="74"/>
        <v>0.67105229765249719</v>
      </c>
    </row>
    <row r="143" spans="1:26" x14ac:dyDescent="0.25">
      <c r="A143" s="420"/>
      <c r="B143" s="178" t="s">
        <v>22</v>
      </c>
      <c r="C143" s="129">
        <v>12</v>
      </c>
      <c r="D143" s="239">
        <f>DMG_9*CMD_7</f>
        <v>2.9888079999999997</v>
      </c>
      <c r="E143" s="131">
        <f>OMG_9*CMO_7</f>
        <v>7.020999999999999</v>
      </c>
      <c r="F143" s="132">
        <f t="shared" si="70"/>
        <v>5.6167999999999996</v>
      </c>
      <c r="G143" s="133">
        <f t="shared" si="71"/>
        <v>1.4041999999999994</v>
      </c>
      <c r="H143" s="134">
        <f t="shared" si="75"/>
        <v>2.9888079999999997</v>
      </c>
      <c r="I143" s="135"/>
      <c r="J143" s="136">
        <f t="shared" si="76"/>
        <v>0</v>
      </c>
      <c r="K143" s="137"/>
      <c r="L143" s="138">
        <f t="shared" si="77"/>
        <v>0</v>
      </c>
      <c r="M143" s="137"/>
      <c r="N143" s="139">
        <f t="shared" si="78"/>
        <v>2.6279919999999999</v>
      </c>
      <c r="O143" s="137"/>
      <c r="P143" s="140">
        <f t="shared" si="79"/>
        <v>1.4041999999999994</v>
      </c>
      <c r="Q143" s="135"/>
      <c r="R143" s="104">
        <f t="shared" si="80"/>
        <v>2.9888079999999997</v>
      </c>
      <c r="S143" s="137"/>
      <c r="T143" s="141">
        <f t="shared" si="81"/>
        <v>4.0321919999999993</v>
      </c>
      <c r="U143" s="199">
        <f t="shared" si="82"/>
        <v>0</v>
      </c>
      <c r="V143" s="37" t="str">
        <f t="shared" si="83"/>
        <v>ok</v>
      </c>
      <c r="W143" s="37" t="str">
        <f t="shared" si="84"/>
        <v>ok</v>
      </c>
      <c r="X143" s="278">
        <f t="shared" si="72"/>
        <v>1</v>
      </c>
      <c r="Y143" s="278">
        <f t="shared" si="73"/>
        <v>0.53211935621706308</v>
      </c>
      <c r="Z143" s="278">
        <f t="shared" si="74"/>
        <v>0.42569548497365051</v>
      </c>
    </row>
    <row r="144" spans="1:26" x14ac:dyDescent="0.25">
      <c r="A144" s="420"/>
      <c r="B144" s="178" t="s">
        <v>23</v>
      </c>
      <c r="C144" s="129">
        <v>13</v>
      </c>
      <c r="D144" s="239">
        <f>DMG_10*CMD_7</f>
        <v>5.6934880000000003</v>
      </c>
      <c r="E144" s="131">
        <f>OMG_10*CMO_7</f>
        <v>9.5284999999999993</v>
      </c>
      <c r="F144" s="132">
        <f t="shared" si="70"/>
        <v>7.6227999999999998</v>
      </c>
      <c r="G144" s="133">
        <f t="shared" si="71"/>
        <v>1.9056999999999995</v>
      </c>
      <c r="H144" s="134">
        <f t="shared" si="75"/>
        <v>5.6934880000000003</v>
      </c>
      <c r="I144" s="135"/>
      <c r="J144" s="136">
        <f t="shared" si="76"/>
        <v>0</v>
      </c>
      <c r="K144" s="137"/>
      <c r="L144" s="138">
        <f t="shared" si="77"/>
        <v>0</v>
      </c>
      <c r="M144" s="137"/>
      <c r="N144" s="139">
        <f t="shared" si="78"/>
        <v>1.9293119999999995</v>
      </c>
      <c r="O144" s="137"/>
      <c r="P144" s="140">
        <f t="shared" si="79"/>
        <v>1.9056999999999995</v>
      </c>
      <c r="Q144" s="135"/>
      <c r="R144" s="104">
        <f t="shared" si="80"/>
        <v>5.6934880000000003</v>
      </c>
      <c r="S144" s="137"/>
      <c r="T144" s="141">
        <f t="shared" si="81"/>
        <v>3.835011999999999</v>
      </c>
      <c r="U144" s="199">
        <f t="shared" si="82"/>
        <v>0</v>
      </c>
      <c r="V144" s="37" t="str">
        <f t="shared" si="83"/>
        <v>ok</v>
      </c>
      <c r="W144" s="37" t="str">
        <f t="shared" si="84"/>
        <v>ok</v>
      </c>
      <c r="X144" s="278">
        <f t="shared" si="72"/>
        <v>1</v>
      </c>
      <c r="Y144" s="278">
        <f t="shared" si="73"/>
        <v>0.74690245054310755</v>
      </c>
      <c r="Z144" s="278">
        <f t="shared" si="74"/>
        <v>0.59752196043448613</v>
      </c>
    </row>
    <row r="145" spans="1:26" x14ac:dyDescent="0.25">
      <c r="A145" s="420"/>
      <c r="B145" s="178" t="s">
        <v>19</v>
      </c>
      <c r="C145" s="129">
        <v>16</v>
      </c>
      <c r="D145" s="239">
        <f>DMG_11*CMD_7</f>
        <v>4.9476519999999997</v>
      </c>
      <c r="E145" s="131">
        <f>OMG_11*CMO_7</f>
        <v>15.044999999999998</v>
      </c>
      <c r="F145" s="132">
        <f t="shared" si="70"/>
        <v>12.036</v>
      </c>
      <c r="G145" s="133">
        <f t="shared" si="71"/>
        <v>3.008999999999999</v>
      </c>
      <c r="H145" s="134">
        <f t="shared" si="75"/>
        <v>4.9476519999999997</v>
      </c>
      <c r="I145" s="135"/>
      <c r="J145" s="136">
        <f t="shared" si="76"/>
        <v>0</v>
      </c>
      <c r="K145" s="137"/>
      <c r="L145" s="138">
        <f t="shared" si="77"/>
        <v>0</v>
      </c>
      <c r="M145" s="137"/>
      <c r="N145" s="139">
        <f t="shared" si="78"/>
        <v>7.0883479999999999</v>
      </c>
      <c r="O145" s="137"/>
      <c r="P145" s="140">
        <f t="shared" si="79"/>
        <v>3.008999999999999</v>
      </c>
      <c r="Q145" s="135"/>
      <c r="R145" s="104">
        <f t="shared" si="80"/>
        <v>4.9476519999999997</v>
      </c>
      <c r="S145" s="137"/>
      <c r="T145" s="141">
        <f t="shared" si="81"/>
        <v>10.097347999999998</v>
      </c>
      <c r="U145" s="199">
        <f t="shared" si="82"/>
        <v>0</v>
      </c>
      <c r="V145" s="37" t="str">
        <f t="shared" si="83"/>
        <v>ok</v>
      </c>
      <c r="W145" s="37" t="str">
        <f t="shared" si="84"/>
        <v>ok</v>
      </c>
      <c r="X145" s="278">
        <f t="shared" si="72"/>
        <v>1</v>
      </c>
      <c r="Y145" s="278">
        <f t="shared" si="73"/>
        <v>0.41107111997341306</v>
      </c>
      <c r="Z145" s="278">
        <f t="shared" si="74"/>
        <v>0.32885689597873052</v>
      </c>
    </row>
    <row r="146" spans="1:26" x14ac:dyDescent="0.25">
      <c r="A146" s="420"/>
      <c r="B146" s="178" t="s">
        <v>20</v>
      </c>
      <c r="C146" s="129">
        <v>17</v>
      </c>
      <c r="D146" s="239">
        <f>DMG_12*CMD_7</f>
        <v>3.8849040000000001</v>
      </c>
      <c r="E146" s="131">
        <f>OMG_12*CMO_7</f>
        <v>11.5345</v>
      </c>
      <c r="F146" s="132">
        <f t="shared" si="70"/>
        <v>9.2276000000000007</v>
      </c>
      <c r="G146" s="133">
        <f t="shared" si="71"/>
        <v>2.3068999999999993</v>
      </c>
      <c r="H146" s="134">
        <f t="shared" si="75"/>
        <v>3.8849040000000001</v>
      </c>
      <c r="I146" s="135"/>
      <c r="J146" s="136">
        <f t="shared" si="76"/>
        <v>0</v>
      </c>
      <c r="K146" s="137"/>
      <c r="L146" s="138">
        <f t="shared" si="77"/>
        <v>0</v>
      </c>
      <c r="M146" s="137"/>
      <c r="N146" s="139">
        <f t="shared" si="78"/>
        <v>5.3426960000000001</v>
      </c>
      <c r="O146" s="137"/>
      <c r="P146" s="140">
        <f t="shared" si="79"/>
        <v>2.3068999999999993</v>
      </c>
      <c r="Q146" s="135"/>
      <c r="R146" s="104">
        <f t="shared" si="80"/>
        <v>3.8849040000000001</v>
      </c>
      <c r="S146" s="137"/>
      <c r="T146" s="141">
        <f t="shared" si="81"/>
        <v>7.649595999999999</v>
      </c>
      <c r="U146" s="199">
        <f t="shared" si="82"/>
        <v>0</v>
      </c>
      <c r="V146" s="37" t="str">
        <f t="shared" si="83"/>
        <v>ok</v>
      </c>
      <c r="W146" s="37" t="str">
        <f t="shared" si="84"/>
        <v>ok</v>
      </c>
      <c r="X146" s="278">
        <f t="shared" si="72"/>
        <v>1</v>
      </c>
      <c r="Y146" s="278">
        <f t="shared" si="73"/>
        <v>0.42100914647362259</v>
      </c>
      <c r="Z146" s="278">
        <f t="shared" si="74"/>
        <v>0.33680731717889811</v>
      </c>
    </row>
    <row r="147" spans="1:26" x14ac:dyDescent="0.25">
      <c r="A147" s="420"/>
      <c r="B147" s="178" t="s">
        <v>21</v>
      </c>
      <c r="C147" s="129">
        <v>18</v>
      </c>
      <c r="D147" s="239">
        <f>DMG_13*CMD_7</f>
        <v>1.6993039999999999</v>
      </c>
      <c r="E147" s="131">
        <f>OMG_13*CMO_7</f>
        <v>5.5164999999999997</v>
      </c>
      <c r="F147" s="132">
        <f t="shared" si="70"/>
        <v>4.4131999999999998</v>
      </c>
      <c r="G147" s="133">
        <f t="shared" si="71"/>
        <v>1.1032999999999997</v>
      </c>
      <c r="H147" s="134">
        <f t="shared" si="75"/>
        <v>1.6993039999999999</v>
      </c>
      <c r="I147" s="135"/>
      <c r="J147" s="136">
        <f t="shared" si="76"/>
        <v>0</v>
      </c>
      <c r="K147" s="137"/>
      <c r="L147" s="138">
        <f t="shared" si="77"/>
        <v>0</v>
      </c>
      <c r="M147" s="137"/>
      <c r="N147" s="139">
        <f t="shared" si="78"/>
        <v>2.7138960000000001</v>
      </c>
      <c r="O147" s="137"/>
      <c r="P147" s="140">
        <f t="shared" si="79"/>
        <v>1.1032999999999997</v>
      </c>
      <c r="Q147" s="135"/>
      <c r="R147" s="104">
        <f t="shared" si="80"/>
        <v>1.6993039999999999</v>
      </c>
      <c r="S147" s="137"/>
      <c r="T147" s="141">
        <f t="shared" si="81"/>
        <v>3.817196</v>
      </c>
      <c r="U147" s="199">
        <f t="shared" si="82"/>
        <v>0</v>
      </c>
      <c r="V147" s="37" t="str">
        <f t="shared" si="83"/>
        <v>ok</v>
      </c>
      <c r="W147" s="37" t="str">
        <f t="shared" si="84"/>
        <v>ok</v>
      </c>
      <c r="X147" s="278">
        <f t="shared" si="72"/>
        <v>1</v>
      </c>
      <c r="Y147" s="278">
        <f t="shared" si="73"/>
        <v>0.38505030363455089</v>
      </c>
      <c r="Z147" s="278">
        <f t="shared" si="74"/>
        <v>0.3080402429076407</v>
      </c>
    </row>
    <row r="148" spans="1:26" x14ac:dyDescent="0.25">
      <c r="A148" s="420"/>
      <c r="B148" s="178" t="s">
        <v>22</v>
      </c>
      <c r="C148" s="129">
        <v>19</v>
      </c>
      <c r="D148" s="239">
        <f>DMG_14*CMD_7</f>
        <v>1.1856879999999999</v>
      </c>
      <c r="E148" s="131">
        <f>OMG_14*CMO_7</f>
        <v>9.2777499999999993</v>
      </c>
      <c r="F148" s="132">
        <f t="shared" si="70"/>
        <v>7.4222000000000001</v>
      </c>
      <c r="G148" s="133">
        <f t="shared" si="71"/>
        <v>1.8555499999999994</v>
      </c>
      <c r="H148" s="134">
        <f t="shared" si="75"/>
        <v>1.1856879999999999</v>
      </c>
      <c r="I148" s="135"/>
      <c r="J148" s="136">
        <f t="shared" si="76"/>
        <v>0</v>
      </c>
      <c r="K148" s="137"/>
      <c r="L148" s="138">
        <f t="shared" si="77"/>
        <v>0</v>
      </c>
      <c r="M148" s="137"/>
      <c r="N148" s="139">
        <f t="shared" si="78"/>
        <v>6.2365120000000003</v>
      </c>
      <c r="O148" s="137"/>
      <c r="P148" s="140">
        <f t="shared" si="79"/>
        <v>1.8555499999999994</v>
      </c>
      <c r="Q148" s="135"/>
      <c r="R148" s="104">
        <f t="shared" si="80"/>
        <v>1.1856879999999999</v>
      </c>
      <c r="S148" s="137"/>
      <c r="T148" s="141">
        <f t="shared" si="81"/>
        <v>8.0920620000000003</v>
      </c>
      <c r="U148" s="199">
        <f t="shared" si="82"/>
        <v>0</v>
      </c>
      <c r="V148" s="37" t="str">
        <f t="shared" si="83"/>
        <v>ok</v>
      </c>
      <c r="W148" s="37" t="str">
        <f t="shared" si="84"/>
        <v>ok</v>
      </c>
      <c r="X148" s="278">
        <f t="shared" si="72"/>
        <v>1</v>
      </c>
      <c r="Y148" s="278">
        <f t="shared" si="73"/>
        <v>0.15974886152353748</v>
      </c>
      <c r="Z148" s="278">
        <f t="shared" si="74"/>
        <v>0.12779908921882999</v>
      </c>
    </row>
    <row r="149" spans="1:26" x14ac:dyDescent="0.25">
      <c r="A149" s="420"/>
      <c r="B149" s="178" t="s">
        <v>23</v>
      </c>
      <c r="C149" s="129">
        <v>20</v>
      </c>
      <c r="D149" s="239">
        <f>DMG_15*CMD_7</f>
        <v>2.4588000000000001</v>
      </c>
      <c r="E149" s="131">
        <f>OMG_15*CMO_7</f>
        <v>11.032999999999999</v>
      </c>
      <c r="F149" s="132">
        <f t="shared" si="70"/>
        <v>8.8263999999999996</v>
      </c>
      <c r="G149" s="133">
        <f t="shared" si="71"/>
        <v>2.2065999999999995</v>
      </c>
      <c r="H149" s="134">
        <f t="shared" si="75"/>
        <v>2.4588000000000001</v>
      </c>
      <c r="I149" s="135"/>
      <c r="J149" s="136">
        <f t="shared" si="76"/>
        <v>0</v>
      </c>
      <c r="K149" s="137"/>
      <c r="L149" s="138">
        <f t="shared" si="77"/>
        <v>0</v>
      </c>
      <c r="M149" s="137"/>
      <c r="N149" s="139">
        <f t="shared" si="78"/>
        <v>6.3675999999999995</v>
      </c>
      <c r="O149" s="137"/>
      <c r="P149" s="140">
        <f t="shared" si="79"/>
        <v>2.2065999999999995</v>
      </c>
      <c r="Q149" s="135"/>
      <c r="R149" s="104">
        <f t="shared" si="80"/>
        <v>2.4588000000000001</v>
      </c>
      <c r="S149" s="137"/>
      <c r="T149" s="141">
        <f t="shared" si="81"/>
        <v>8.5741999999999994</v>
      </c>
      <c r="U149" s="199">
        <f t="shared" si="82"/>
        <v>0</v>
      </c>
      <c r="V149" s="37" t="str">
        <f t="shared" si="83"/>
        <v>ok</v>
      </c>
      <c r="W149" s="37" t="str">
        <f t="shared" si="84"/>
        <v>ok</v>
      </c>
      <c r="X149" s="278">
        <f t="shared" si="72"/>
        <v>1</v>
      </c>
      <c r="Y149" s="278">
        <f t="shared" si="73"/>
        <v>0.2785733707967008</v>
      </c>
      <c r="Z149" s="278">
        <f t="shared" si="74"/>
        <v>0.22285869663736066</v>
      </c>
    </row>
    <row r="150" spans="1:26" x14ac:dyDescent="0.25">
      <c r="A150" s="420"/>
      <c r="B150" s="178" t="s">
        <v>19</v>
      </c>
      <c r="C150" s="129">
        <v>23</v>
      </c>
      <c r="D150" s="239">
        <f>DMG_16*CMD_7</f>
        <v>9.8679839999999999</v>
      </c>
      <c r="E150" s="131">
        <f>OMG_16*CMO_7</f>
        <v>12.412124999999998</v>
      </c>
      <c r="F150" s="132">
        <f t="shared" si="70"/>
        <v>9.9296999999999986</v>
      </c>
      <c r="G150" s="133">
        <f t="shared" si="71"/>
        <v>2.4824249999999992</v>
      </c>
      <c r="H150" s="134">
        <f t="shared" si="75"/>
        <v>9.8679839999999999</v>
      </c>
      <c r="I150" s="135"/>
      <c r="J150" s="136">
        <f t="shared" si="76"/>
        <v>0</v>
      </c>
      <c r="K150" s="137"/>
      <c r="L150" s="138">
        <f t="shared" si="77"/>
        <v>0</v>
      </c>
      <c r="M150" s="137"/>
      <c r="N150" s="139">
        <f t="shared" si="78"/>
        <v>6.1715999999998772E-2</v>
      </c>
      <c r="O150" s="137"/>
      <c r="P150" s="140">
        <f t="shared" si="79"/>
        <v>2.4824249999999992</v>
      </c>
      <c r="Q150" s="135"/>
      <c r="R150" s="104">
        <f t="shared" si="80"/>
        <v>9.8679839999999999</v>
      </c>
      <c r="S150" s="137"/>
      <c r="T150" s="141">
        <f t="shared" si="81"/>
        <v>2.544140999999998</v>
      </c>
      <c r="U150" s="199">
        <f t="shared" si="82"/>
        <v>0</v>
      </c>
      <c r="V150" s="37" t="str">
        <f t="shared" si="83"/>
        <v>ok</v>
      </c>
      <c r="W150" s="37" t="str">
        <f t="shared" si="84"/>
        <v>ok</v>
      </c>
      <c r="X150" s="278">
        <f t="shared" si="72"/>
        <v>1</v>
      </c>
      <c r="Y150" s="278">
        <f t="shared" si="73"/>
        <v>0.99378470648660089</v>
      </c>
      <c r="Z150" s="278">
        <f t="shared" si="74"/>
        <v>0.79502776518928076</v>
      </c>
    </row>
    <row r="151" spans="1:26" x14ac:dyDescent="0.25">
      <c r="A151" s="420"/>
      <c r="B151" s="178" t="s">
        <v>20</v>
      </c>
      <c r="C151" s="129">
        <v>24</v>
      </c>
      <c r="D151" s="239">
        <f>DMG_17*CMD_7</f>
        <v>8.0320799999999988</v>
      </c>
      <c r="E151" s="131">
        <f>OMG_17*CMO_7</f>
        <v>7.8635199999999994</v>
      </c>
      <c r="F151" s="132">
        <f t="shared" si="70"/>
        <v>6.2908159999999995</v>
      </c>
      <c r="G151" s="133">
        <f t="shared" si="71"/>
        <v>1.5727039999999994</v>
      </c>
      <c r="H151" s="134">
        <f t="shared" si="75"/>
        <v>7.8635199999999994</v>
      </c>
      <c r="I151" s="135"/>
      <c r="J151" s="136">
        <f t="shared" si="76"/>
        <v>0.16855999999999938</v>
      </c>
      <c r="K151" s="137"/>
      <c r="L151" s="138">
        <f t="shared" si="77"/>
        <v>1.5727039999999994</v>
      </c>
      <c r="M151" s="137"/>
      <c r="N151" s="139">
        <f t="shared" si="78"/>
        <v>0</v>
      </c>
      <c r="O151" s="137"/>
      <c r="P151" s="140">
        <f t="shared" si="79"/>
        <v>0</v>
      </c>
      <c r="Q151" s="135"/>
      <c r="R151" s="104">
        <f t="shared" si="80"/>
        <v>6.2908159999999995</v>
      </c>
      <c r="S151" s="137"/>
      <c r="T151" s="141">
        <f t="shared" si="81"/>
        <v>1.5727039999999994</v>
      </c>
      <c r="U151" s="199">
        <f t="shared" si="82"/>
        <v>1.7412639999999988</v>
      </c>
      <c r="V151" s="37" t="str">
        <f t="shared" si="83"/>
        <v>ok</v>
      </c>
      <c r="W151" s="37" t="str">
        <f t="shared" si="84"/>
        <v>ok</v>
      </c>
      <c r="X151" s="278">
        <f t="shared" si="72"/>
        <v>0.78321132259638859</v>
      </c>
      <c r="Y151" s="278">
        <f t="shared" si="73"/>
        <v>1</v>
      </c>
      <c r="Z151" s="278">
        <f t="shared" si="74"/>
        <v>0.8</v>
      </c>
    </row>
    <row r="152" spans="1:26" x14ac:dyDescent="0.25">
      <c r="A152" s="420"/>
      <c r="B152" s="178" t="s">
        <v>21</v>
      </c>
      <c r="C152" s="129">
        <v>25</v>
      </c>
      <c r="D152" s="239">
        <f>DMG_18*CMD_7</f>
        <v>4.6280080000000003</v>
      </c>
      <c r="E152" s="131">
        <f>OMG_18*CMO_7</f>
        <v>3.7261449999999994</v>
      </c>
      <c r="F152" s="132">
        <f t="shared" si="70"/>
        <v>2.9809159999999997</v>
      </c>
      <c r="G152" s="133">
        <f t="shared" si="71"/>
        <v>0.7452289999999997</v>
      </c>
      <c r="H152" s="134">
        <f t="shared" si="75"/>
        <v>3.7261449999999994</v>
      </c>
      <c r="I152" s="135"/>
      <c r="J152" s="136">
        <f t="shared" si="76"/>
        <v>0.90186300000000097</v>
      </c>
      <c r="K152" s="137"/>
      <c r="L152" s="138">
        <f t="shared" si="77"/>
        <v>0.7452289999999997</v>
      </c>
      <c r="M152" s="137"/>
      <c r="N152" s="139">
        <f t="shared" si="78"/>
        <v>0</v>
      </c>
      <c r="O152" s="137"/>
      <c r="P152" s="140">
        <f t="shared" si="79"/>
        <v>0</v>
      </c>
      <c r="Q152" s="135"/>
      <c r="R152" s="104">
        <f t="shared" si="80"/>
        <v>2.9809159999999997</v>
      </c>
      <c r="S152" s="137"/>
      <c r="T152" s="141">
        <f t="shared" si="81"/>
        <v>0.7452289999999997</v>
      </c>
      <c r="U152" s="199">
        <f t="shared" si="82"/>
        <v>1.6470920000000007</v>
      </c>
      <c r="V152" s="37" t="str">
        <f t="shared" si="83"/>
        <v>ok</v>
      </c>
      <c r="W152" s="37" t="str">
        <f t="shared" si="84"/>
        <v>ok</v>
      </c>
      <c r="X152" s="278">
        <f t="shared" si="72"/>
        <v>0.64410346740973645</v>
      </c>
      <c r="Y152" s="278">
        <f t="shared" si="73"/>
        <v>1</v>
      </c>
      <c r="Z152" s="278">
        <f t="shared" si="74"/>
        <v>0.8</v>
      </c>
    </row>
    <row r="153" spans="1:26" x14ac:dyDescent="0.25">
      <c r="A153" s="420"/>
      <c r="B153" s="178" t="s">
        <v>22</v>
      </c>
      <c r="C153" s="129">
        <v>26</v>
      </c>
      <c r="D153" s="239">
        <f>DMG_19*CMD_7</f>
        <v>3.7892839999999999</v>
      </c>
      <c r="E153" s="131">
        <f>OMG_19*CMO_7</f>
        <v>4.9648499999999993</v>
      </c>
      <c r="F153" s="132">
        <f t="shared" si="70"/>
        <v>3.9718799999999996</v>
      </c>
      <c r="G153" s="133">
        <f t="shared" si="71"/>
        <v>0.99296999999999969</v>
      </c>
      <c r="H153" s="134">
        <f t="shared" si="75"/>
        <v>3.7892839999999999</v>
      </c>
      <c r="I153" s="135"/>
      <c r="J153" s="136">
        <f t="shared" si="76"/>
        <v>0</v>
      </c>
      <c r="K153" s="137"/>
      <c r="L153" s="138">
        <f t="shared" si="77"/>
        <v>0</v>
      </c>
      <c r="M153" s="137"/>
      <c r="N153" s="139">
        <f t="shared" si="78"/>
        <v>0.18259599999999976</v>
      </c>
      <c r="O153" s="137"/>
      <c r="P153" s="140">
        <f t="shared" si="79"/>
        <v>0.99296999999999969</v>
      </c>
      <c r="Q153" s="135"/>
      <c r="R153" s="104">
        <f t="shared" si="80"/>
        <v>3.7892839999999999</v>
      </c>
      <c r="S153" s="137"/>
      <c r="T153" s="141">
        <f t="shared" si="81"/>
        <v>1.1755659999999994</v>
      </c>
      <c r="U153" s="199">
        <f t="shared" si="82"/>
        <v>0</v>
      </c>
      <c r="V153" s="37" t="str">
        <f t="shared" si="83"/>
        <v>ok</v>
      </c>
      <c r="W153" s="37" t="str">
        <f t="shared" si="84"/>
        <v>ok</v>
      </c>
      <c r="X153" s="278">
        <f t="shared" si="72"/>
        <v>1</v>
      </c>
      <c r="Y153" s="278">
        <f t="shared" si="73"/>
        <v>0.95402781554326921</v>
      </c>
      <c r="Z153" s="278">
        <f t="shared" si="74"/>
        <v>0.76322225243461539</v>
      </c>
    </row>
    <row r="154" spans="1:26" x14ac:dyDescent="0.25">
      <c r="A154" s="420"/>
      <c r="B154" s="178" t="s">
        <v>23</v>
      </c>
      <c r="C154" s="129">
        <v>27</v>
      </c>
      <c r="D154" s="239">
        <f>DMG_20*CMD_7</f>
        <v>7.11686</v>
      </c>
      <c r="E154" s="131">
        <f>OMG_20*CMO_7</f>
        <v>7.8635199999999994</v>
      </c>
      <c r="F154" s="132">
        <f t="shared" si="70"/>
        <v>6.2908159999999995</v>
      </c>
      <c r="G154" s="133">
        <f t="shared" si="71"/>
        <v>1.5727039999999994</v>
      </c>
      <c r="H154" s="134">
        <f t="shared" si="75"/>
        <v>7.11686</v>
      </c>
      <c r="I154" s="135"/>
      <c r="J154" s="136">
        <f t="shared" si="76"/>
        <v>0</v>
      </c>
      <c r="K154" s="137"/>
      <c r="L154" s="138">
        <f t="shared" si="77"/>
        <v>0.82604400000000044</v>
      </c>
      <c r="M154" s="137"/>
      <c r="N154" s="139">
        <f t="shared" si="78"/>
        <v>0</v>
      </c>
      <c r="O154" s="137"/>
      <c r="P154" s="140">
        <f t="shared" si="79"/>
        <v>0.74665999999999944</v>
      </c>
      <c r="Q154" s="135"/>
      <c r="R154" s="104">
        <f t="shared" si="80"/>
        <v>6.2908159999999995</v>
      </c>
      <c r="S154" s="137"/>
      <c r="T154" s="141">
        <f t="shared" si="81"/>
        <v>1.5727039999999999</v>
      </c>
      <c r="U154" s="199">
        <f t="shared" si="82"/>
        <v>0.82604400000000044</v>
      </c>
      <c r="V154" s="37" t="str">
        <f t="shared" si="83"/>
        <v>ok</v>
      </c>
      <c r="W154" s="37" t="str">
        <f t="shared" si="84"/>
        <v>ok</v>
      </c>
      <c r="X154" s="278">
        <f t="shared" si="72"/>
        <v>0.88393139671147103</v>
      </c>
      <c r="Y154" s="278">
        <f t="shared" si="73"/>
        <v>1</v>
      </c>
      <c r="Z154" s="278">
        <f t="shared" si="74"/>
        <v>0.8</v>
      </c>
    </row>
    <row r="155" spans="1:26" x14ac:dyDescent="0.25">
      <c r="A155" s="420"/>
      <c r="B155" s="178" t="s">
        <v>19</v>
      </c>
      <c r="C155" s="129">
        <v>30</v>
      </c>
      <c r="D155" s="239">
        <f>DMG_21*CMD_7</f>
        <v>11.840488000000001</v>
      </c>
      <c r="E155" s="131">
        <f>OMG_21*CMO_7</f>
        <v>15.044999999999998</v>
      </c>
      <c r="F155" s="132">
        <f t="shared" si="70"/>
        <v>12.036</v>
      </c>
      <c r="G155" s="133">
        <f t="shared" si="71"/>
        <v>3.008999999999999</v>
      </c>
      <c r="H155" s="134">
        <f t="shared" si="75"/>
        <v>11.840488000000001</v>
      </c>
      <c r="I155" s="135"/>
      <c r="J155" s="136">
        <f t="shared" si="76"/>
        <v>0</v>
      </c>
      <c r="K155" s="137"/>
      <c r="L155" s="138">
        <f t="shared" si="77"/>
        <v>0</v>
      </c>
      <c r="M155" s="137"/>
      <c r="N155" s="139">
        <f t="shared" si="78"/>
        <v>0.19551199999999902</v>
      </c>
      <c r="O155" s="137"/>
      <c r="P155" s="140">
        <f t="shared" si="79"/>
        <v>3.008999999999999</v>
      </c>
      <c r="Q155" s="135"/>
      <c r="R155" s="104">
        <f t="shared" si="80"/>
        <v>11.840488000000001</v>
      </c>
      <c r="S155" s="137"/>
      <c r="T155" s="141">
        <f t="shared" si="81"/>
        <v>3.204511999999998</v>
      </c>
      <c r="U155" s="199">
        <f t="shared" si="82"/>
        <v>0</v>
      </c>
      <c r="V155" s="37" t="str">
        <f t="shared" si="83"/>
        <v>ok</v>
      </c>
      <c r="W155" s="37" t="str">
        <f t="shared" si="84"/>
        <v>ok</v>
      </c>
      <c r="X155" s="278">
        <f t="shared" si="72"/>
        <v>1</v>
      </c>
      <c r="Y155" s="278">
        <f t="shared" si="73"/>
        <v>0.98375606513791969</v>
      </c>
      <c r="Z155" s="278">
        <f t="shared" si="74"/>
        <v>0.78700485211033577</v>
      </c>
    </row>
    <row r="156" spans="1:26" ht="15.75" thickBot="1" x14ac:dyDescent="0.3">
      <c r="A156" s="421"/>
      <c r="B156" s="180" t="s">
        <v>20</v>
      </c>
      <c r="C156" s="237">
        <v>31</v>
      </c>
      <c r="D156" s="240">
        <f>DMG_22*CMD_7</f>
        <v>9.6057119999999987</v>
      </c>
      <c r="E156" s="203">
        <f>OMG_22*CMO_7</f>
        <v>10.531499999999999</v>
      </c>
      <c r="F156" s="204">
        <f t="shared" si="70"/>
        <v>8.4252000000000002</v>
      </c>
      <c r="G156" s="205">
        <f t="shared" si="71"/>
        <v>2.1062999999999996</v>
      </c>
      <c r="H156" s="206">
        <f t="shared" si="75"/>
        <v>9.6057119999999987</v>
      </c>
      <c r="I156" s="207"/>
      <c r="J156" s="208">
        <f t="shared" si="76"/>
        <v>0</v>
      </c>
      <c r="K156" s="209"/>
      <c r="L156" s="210">
        <f t="shared" si="77"/>
        <v>1.1805119999999985</v>
      </c>
      <c r="M156" s="209"/>
      <c r="N156" s="211">
        <f t="shared" si="78"/>
        <v>0</v>
      </c>
      <c r="O156" s="209"/>
      <c r="P156" s="212">
        <f t="shared" si="79"/>
        <v>0.92578800000000072</v>
      </c>
      <c r="Q156" s="207"/>
      <c r="R156" s="213">
        <f t="shared" si="80"/>
        <v>8.4252000000000002</v>
      </c>
      <c r="S156" s="209"/>
      <c r="T156" s="214">
        <f t="shared" si="81"/>
        <v>2.1062999999999992</v>
      </c>
      <c r="U156" s="215">
        <f t="shared" si="82"/>
        <v>1.1805119999999985</v>
      </c>
      <c r="V156" s="37" t="str">
        <f t="shared" si="83"/>
        <v>ok</v>
      </c>
      <c r="W156" s="37" t="str">
        <f t="shared" si="84"/>
        <v>ok</v>
      </c>
      <c r="X156" s="278">
        <f t="shared" si="72"/>
        <v>0.8771031236414335</v>
      </c>
      <c r="Y156" s="278">
        <f t="shared" si="73"/>
        <v>1</v>
      </c>
      <c r="Z156" s="278">
        <f t="shared" si="74"/>
        <v>0.8</v>
      </c>
    </row>
    <row r="157" spans="1:26" x14ac:dyDescent="0.25">
      <c r="A157" s="419" t="s">
        <v>96</v>
      </c>
      <c r="B157" s="176" t="s">
        <v>21</v>
      </c>
      <c r="C157" s="177">
        <v>1</v>
      </c>
      <c r="D157" s="184">
        <f>DMG_1*CMD_8</f>
        <v>4.9259200000000005</v>
      </c>
      <c r="E157" s="185">
        <f>OMG_1*CMO_8</f>
        <v>26.968499999999999</v>
      </c>
      <c r="F157" s="186">
        <f t="shared" si="70"/>
        <v>21.5748</v>
      </c>
      <c r="G157" s="187">
        <f t="shared" si="71"/>
        <v>5.3936999999999982</v>
      </c>
      <c r="H157" s="188">
        <f>IF(E157&gt;D157,D157,E157)</f>
        <v>4.9259200000000005</v>
      </c>
      <c r="I157" s="189"/>
      <c r="J157" s="190">
        <f>IF(E157&gt;D157,0,D157-E157)</f>
        <v>0</v>
      </c>
      <c r="K157" s="191"/>
      <c r="L157" s="192">
        <f>IF(E157&gt;D157,IF(F157&gt;H157,0,H157-F157),G157)</f>
        <v>0</v>
      </c>
      <c r="M157" s="191"/>
      <c r="N157" s="193">
        <f>IF(E157&gt;D157,IF(F157&gt;H157,F157-H157,0),0)</f>
        <v>16.648879999999998</v>
      </c>
      <c r="O157" s="191"/>
      <c r="P157" s="194">
        <f>IF(E157&gt;D157,IF(F157&gt;H157,G157,E157-H157),0)</f>
        <v>5.3936999999999982</v>
      </c>
      <c r="Q157" s="189"/>
      <c r="R157" s="195">
        <f>H157-L157</f>
        <v>4.9259200000000005</v>
      </c>
      <c r="S157" s="191"/>
      <c r="T157" s="196">
        <f>L157+N157+P157</f>
        <v>22.042579999999997</v>
      </c>
      <c r="U157" s="197">
        <f>J157+L157</f>
        <v>0</v>
      </c>
      <c r="V157" s="37" t="str">
        <f>IF(R157+T157=E157,"ok","bad")</f>
        <v>ok</v>
      </c>
      <c r="W157" s="37" t="str">
        <f>IF(U157+R157=D157,"ok","bad")</f>
        <v>ok</v>
      </c>
      <c r="X157" s="278">
        <f t="shared" si="72"/>
        <v>1</v>
      </c>
      <c r="Y157" s="278">
        <f t="shared" si="73"/>
        <v>0.22831822311214939</v>
      </c>
      <c r="Z157" s="278">
        <f t="shared" si="74"/>
        <v>0.18265457848971953</v>
      </c>
    </row>
    <row r="158" spans="1:26" x14ac:dyDescent="0.25">
      <c r="A158" s="420"/>
      <c r="B158" s="178" t="s">
        <v>22</v>
      </c>
      <c r="C158" s="179">
        <v>2</v>
      </c>
      <c r="D158" s="130">
        <f>DMG_2*CMD_8</f>
        <v>3.8678400000000006</v>
      </c>
      <c r="E158" s="131">
        <f>OMG_2*CMO_8</f>
        <v>19.776900000000001</v>
      </c>
      <c r="F158" s="132">
        <f t="shared" si="70"/>
        <v>15.821520000000001</v>
      </c>
      <c r="G158" s="133">
        <f t="shared" si="71"/>
        <v>3.9553799999999995</v>
      </c>
      <c r="H158" s="134">
        <f t="shared" ref="H158:H179" si="85">IF(E158&gt;D158,D158,E158)</f>
        <v>3.8678400000000006</v>
      </c>
      <c r="I158" s="135"/>
      <c r="J158" s="136">
        <f t="shared" ref="J158:J179" si="86">IF(E158&gt;D158,0,D158-E158)</f>
        <v>0</v>
      </c>
      <c r="K158" s="137"/>
      <c r="L158" s="138">
        <f t="shared" ref="L158:L179" si="87">IF(E158&gt;D158,IF(F158&gt;H158,0,H158-F158),G158)</f>
        <v>0</v>
      </c>
      <c r="M158" s="137"/>
      <c r="N158" s="139">
        <f t="shared" ref="N158:N179" si="88">IF(E158&gt;D158,IF(F158&gt;H158,F158-H158,0),0)</f>
        <v>11.95368</v>
      </c>
      <c r="O158" s="137"/>
      <c r="P158" s="140">
        <f t="shared" ref="P158:P179" si="89">IF(E158&gt;D158,IF(F158&gt;H158,G158,E158-H158),0)</f>
        <v>3.9553799999999995</v>
      </c>
      <c r="Q158" s="135"/>
      <c r="R158" s="104">
        <f t="shared" ref="R158:R179" si="90">H158-L158</f>
        <v>3.8678400000000006</v>
      </c>
      <c r="S158" s="137"/>
      <c r="T158" s="141">
        <f t="shared" ref="T158:T179" si="91">L158+N158+P158</f>
        <v>15.90906</v>
      </c>
      <c r="U158" s="199">
        <f t="shared" ref="U158:U179" si="92">J158+L158</f>
        <v>0</v>
      </c>
      <c r="V158" s="37" t="str">
        <f t="shared" ref="V158:V179" si="93">IF(R158+T158=E158,"ok","bad")</f>
        <v>ok</v>
      </c>
      <c r="W158" s="37" t="str">
        <f t="shared" ref="W158:W179" si="94">IF(U158+R158=D158,"ok","bad")</f>
        <v>ok</v>
      </c>
      <c r="X158" s="278">
        <f t="shared" si="72"/>
        <v>1</v>
      </c>
      <c r="Y158" s="278">
        <f t="shared" si="73"/>
        <v>0.24446702971648743</v>
      </c>
      <c r="Z158" s="278">
        <f t="shared" si="74"/>
        <v>0.19557362377318996</v>
      </c>
    </row>
    <row r="159" spans="1:26" x14ac:dyDescent="0.25">
      <c r="A159" s="420"/>
      <c r="B159" s="178" t="s">
        <v>23</v>
      </c>
      <c r="C159" s="179">
        <v>3</v>
      </c>
      <c r="D159" s="130">
        <f>DMG_3*CMD_8</f>
        <v>1.69184</v>
      </c>
      <c r="E159" s="131">
        <f>OMG_3*CMO_8</f>
        <v>8.0905500000000004</v>
      </c>
      <c r="F159" s="132">
        <f t="shared" si="70"/>
        <v>6.4724400000000006</v>
      </c>
      <c r="G159" s="133">
        <f t="shared" si="71"/>
        <v>1.6181099999999997</v>
      </c>
      <c r="H159" s="134">
        <f t="shared" si="85"/>
        <v>1.69184</v>
      </c>
      <c r="I159" s="135"/>
      <c r="J159" s="136">
        <f t="shared" si="86"/>
        <v>0</v>
      </c>
      <c r="K159" s="137"/>
      <c r="L159" s="138">
        <f t="shared" si="87"/>
        <v>0</v>
      </c>
      <c r="M159" s="137"/>
      <c r="N159" s="139">
        <f t="shared" si="88"/>
        <v>4.7806000000000006</v>
      </c>
      <c r="O159" s="137"/>
      <c r="P159" s="140">
        <f t="shared" si="89"/>
        <v>1.6181099999999997</v>
      </c>
      <c r="Q159" s="135"/>
      <c r="R159" s="104">
        <f t="shared" si="90"/>
        <v>1.69184</v>
      </c>
      <c r="S159" s="137"/>
      <c r="T159" s="141">
        <f t="shared" si="91"/>
        <v>6.3987100000000003</v>
      </c>
      <c r="U159" s="199">
        <f t="shared" si="92"/>
        <v>0</v>
      </c>
      <c r="V159" s="37" t="str">
        <f t="shared" si="93"/>
        <v>ok</v>
      </c>
      <c r="W159" s="37" t="str">
        <f t="shared" si="94"/>
        <v>ok</v>
      </c>
      <c r="X159" s="278">
        <f t="shared" si="72"/>
        <v>1</v>
      </c>
      <c r="Y159" s="278">
        <f t="shared" si="73"/>
        <v>0.26139137635883836</v>
      </c>
      <c r="Z159" s="278">
        <f t="shared" si="74"/>
        <v>0.20911310108707071</v>
      </c>
    </row>
    <row r="160" spans="1:26" x14ac:dyDescent="0.25">
      <c r="A160" s="420"/>
      <c r="B160" s="178" t="s">
        <v>19</v>
      </c>
      <c r="C160" s="179">
        <v>6</v>
      </c>
      <c r="D160" s="130">
        <f>DMG_4*CMD_8</f>
        <v>1.18048</v>
      </c>
      <c r="E160" s="131">
        <f>OMG_4*CMO_8</f>
        <v>12.135825000000001</v>
      </c>
      <c r="F160" s="132">
        <f t="shared" si="70"/>
        <v>9.7086600000000018</v>
      </c>
      <c r="G160" s="133">
        <f t="shared" si="71"/>
        <v>2.4271649999999996</v>
      </c>
      <c r="H160" s="134">
        <f t="shared" si="85"/>
        <v>1.18048</v>
      </c>
      <c r="I160" s="135"/>
      <c r="J160" s="136">
        <f t="shared" si="86"/>
        <v>0</v>
      </c>
      <c r="K160" s="137"/>
      <c r="L160" s="138">
        <f t="shared" si="87"/>
        <v>0</v>
      </c>
      <c r="M160" s="137"/>
      <c r="N160" s="139">
        <f t="shared" si="88"/>
        <v>8.5281800000000025</v>
      </c>
      <c r="O160" s="137"/>
      <c r="P160" s="140">
        <f t="shared" si="89"/>
        <v>2.4271649999999996</v>
      </c>
      <c r="Q160" s="135"/>
      <c r="R160" s="104">
        <f t="shared" si="90"/>
        <v>1.18048</v>
      </c>
      <c r="S160" s="137"/>
      <c r="T160" s="141">
        <f t="shared" si="91"/>
        <v>10.955345000000001</v>
      </c>
      <c r="U160" s="199">
        <f t="shared" si="92"/>
        <v>0</v>
      </c>
      <c r="V160" s="37" t="str">
        <f t="shared" si="93"/>
        <v>ok</v>
      </c>
      <c r="W160" s="37" t="str">
        <f t="shared" si="94"/>
        <v>ok</v>
      </c>
      <c r="X160" s="278">
        <f t="shared" si="72"/>
        <v>1</v>
      </c>
      <c r="Y160" s="278">
        <f t="shared" si="73"/>
        <v>0.12159041515512951</v>
      </c>
      <c r="Z160" s="278">
        <f t="shared" si="74"/>
        <v>9.7272332124103633E-2</v>
      </c>
    </row>
    <row r="161" spans="1:26" x14ac:dyDescent="0.25">
      <c r="A161" s="420"/>
      <c r="B161" s="178" t="s">
        <v>20</v>
      </c>
      <c r="C161" s="179">
        <v>7</v>
      </c>
      <c r="D161" s="130">
        <f>DMG_5*CMD_8</f>
        <v>2.4480000000000004</v>
      </c>
      <c r="E161" s="131">
        <f>OMG_5*CMO_8</f>
        <v>19.776900000000001</v>
      </c>
      <c r="F161" s="132">
        <f t="shared" si="70"/>
        <v>15.821520000000001</v>
      </c>
      <c r="G161" s="133">
        <f t="shared" si="71"/>
        <v>3.9553799999999995</v>
      </c>
      <c r="H161" s="134">
        <f t="shared" si="85"/>
        <v>2.4480000000000004</v>
      </c>
      <c r="I161" s="135"/>
      <c r="J161" s="136">
        <f t="shared" si="86"/>
        <v>0</v>
      </c>
      <c r="K161" s="137"/>
      <c r="L161" s="138">
        <f t="shared" si="87"/>
        <v>0</v>
      </c>
      <c r="M161" s="137"/>
      <c r="N161" s="139">
        <f t="shared" si="88"/>
        <v>13.373520000000001</v>
      </c>
      <c r="O161" s="137"/>
      <c r="P161" s="140">
        <f t="shared" si="89"/>
        <v>3.9553799999999995</v>
      </c>
      <c r="Q161" s="135"/>
      <c r="R161" s="104">
        <f t="shared" si="90"/>
        <v>2.4480000000000004</v>
      </c>
      <c r="S161" s="137"/>
      <c r="T161" s="141">
        <f t="shared" si="91"/>
        <v>17.328900000000001</v>
      </c>
      <c r="U161" s="199">
        <f t="shared" si="92"/>
        <v>0</v>
      </c>
      <c r="V161" s="37" t="str">
        <f t="shared" si="93"/>
        <v>ok</v>
      </c>
      <c r="W161" s="37" t="str">
        <f t="shared" si="94"/>
        <v>ok</v>
      </c>
      <c r="X161" s="278">
        <f t="shared" si="72"/>
        <v>1</v>
      </c>
      <c r="Y161" s="278">
        <f t="shared" si="73"/>
        <v>0.15472596817499204</v>
      </c>
      <c r="Z161" s="278">
        <f t="shared" si="74"/>
        <v>0.12378077453999364</v>
      </c>
    </row>
    <row r="162" spans="1:26" x14ac:dyDescent="0.25">
      <c r="A162" s="420"/>
      <c r="B162" s="178" t="s">
        <v>21</v>
      </c>
      <c r="C162" s="179">
        <v>8</v>
      </c>
      <c r="D162" s="130">
        <f>DMG_6*CMD_8</f>
        <v>7.8608000000000002</v>
      </c>
      <c r="E162" s="131">
        <f>OMG_6*CMO_8</f>
        <v>13.83</v>
      </c>
      <c r="F162" s="132">
        <f t="shared" si="70"/>
        <v>11.064</v>
      </c>
      <c r="G162" s="133">
        <f t="shared" si="71"/>
        <v>2.7659999999999996</v>
      </c>
      <c r="H162" s="134">
        <f t="shared" si="85"/>
        <v>7.8608000000000002</v>
      </c>
      <c r="I162" s="135"/>
      <c r="J162" s="136">
        <f t="shared" si="86"/>
        <v>0</v>
      </c>
      <c r="K162" s="137"/>
      <c r="L162" s="138">
        <f t="shared" si="87"/>
        <v>0</v>
      </c>
      <c r="M162" s="137"/>
      <c r="N162" s="139">
        <f t="shared" si="88"/>
        <v>3.2031999999999998</v>
      </c>
      <c r="O162" s="137"/>
      <c r="P162" s="140">
        <f t="shared" si="89"/>
        <v>2.7659999999999996</v>
      </c>
      <c r="Q162" s="135"/>
      <c r="R162" s="104">
        <f t="shared" si="90"/>
        <v>7.8608000000000002</v>
      </c>
      <c r="S162" s="137"/>
      <c r="T162" s="141">
        <f t="shared" si="91"/>
        <v>5.969199999999999</v>
      </c>
      <c r="U162" s="199">
        <f t="shared" si="92"/>
        <v>0</v>
      </c>
      <c r="V162" s="37" t="str">
        <f t="shared" si="93"/>
        <v>ok</v>
      </c>
      <c r="W162" s="37" t="str">
        <f t="shared" si="94"/>
        <v>ok</v>
      </c>
      <c r="X162" s="278">
        <f t="shared" si="72"/>
        <v>1</v>
      </c>
      <c r="Y162" s="278">
        <f t="shared" si="73"/>
        <v>0.71048445408532179</v>
      </c>
      <c r="Z162" s="278">
        <f t="shared" si="74"/>
        <v>0.56838756326825746</v>
      </c>
    </row>
    <row r="163" spans="1:26" x14ac:dyDescent="0.25">
      <c r="A163" s="420"/>
      <c r="B163" s="178" t="s">
        <v>22</v>
      </c>
      <c r="C163" s="179">
        <v>9</v>
      </c>
      <c r="D163" s="130">
        <f>DMG_7*CMD_8</f>
        <v>6.3756800000000009</v>
      </c>
      <c r="E163" s="131">
        <f>OMG_7*CMO_8</f>
        <v>14.175750000000001</v>
      </c>
      <c r="F163" s="132">
        <f t="shared" si="70"/>
        <v>11.340600000000002</v>
      </c>
      <c r="G163" s="133">
        <f t="shared" si="71"/>
        <v>2.8351499999999996</v>
      </c>
      <c r="H163" s="134">
        <f t="shared" si="85"/>
        <v>6.3756800000000009</v>
      </c>
      <c r="I163" s="135"/>
      <c r="J163" s="136">
        <f t="shared" si="86"/>
        <v>0</v>
      </c>
      <c r="K163" s="137"/>
      <c r="L163" s="138">
        <f t="shared" si="87"/>
        <v>0</v>
      </c>
      <c r="M163" s="137"/>
      <c r="N163" s="139">
        <f t="shared" si="88"/>
        <v>4.9649200000000011</v>
      </c>
      <c r="O163" s="137"/>
      <c r="P163" s="140">
        <f t="shared" si="89"/>
        <v>2.8351499999999996</v>
      </c>
      <c r="Q163" s="135"/>
      <c r="R163" s="104">
        <f t="shared" si="90"/>
        <v>6.3756800000000009</v>
      </c>
      <c r="S163" s="137"/>
      <c r="T163" s="141">
        <f t="shared" si="91"/>
        <v>7.8000700000000007</v>
      </c>
      <c r="U163" s="199">
        <f t="shared" si="92"/>
        <v>0</v>
      </c>
      <c r="V163" s="37" t="str">
        <f t="shared" si="93"/>
        <v>ok</v>
      </c>
      <c r="W163" s="37" t="str">
        <f t="shared" si="94"/>
        <v>ok</v>
      </c>
      <c r="X163" s="278">
        <f t="shared" si="72"/>
        <v>1</v>
      </c>
      <c r="Y163" s="278">
        <f t="shared" si="73"/>
        <v>0.5621995308890182</v>
      </c>
      <c r="Z163" s="278">
        <f t="shared" si="74"/>
        <v>0.44975962471121461</v>
      </c>
    </row>
    <row r="164" spans="1:26" x14ac:dyDescent="0.25">
      <c r="A164" s="420"/>
      <c r="B164" s="178" t="s">
        <v>23</v>
      </c>
      <c r="C164" s="179">
        <v>10</v>
      </c>
      <c r="D164" s="130">
        <f>DMG_8*CMD_8</f>
        <v>3.6856000000000004</v>
      </c>
      <c r="E164" s="131">
        <f>OMG_8*CMO_8</f>
        <v>7.6065000000000005</v>
      </c>
      <c r="F164" s="132">
        <f t="shared" si="70"/>
        <v>6.0852000000000004</v>
      </c>
      <c r="G164" s="133">
        <f t="shared" si="71"/>
        <v>1.5212999999999997</v>
      </c>
      <c r="H164" s="134">
        <f t="shared" si="85"/>
        <v>3.6856000000000004</v>
      </c>
      <c r="I164" s="135"/>
      <c r="J164" s="136">
        <f t="shared" si="86"/>
        <v>0</v>
      </c>
      <c r="K164" s="137"/>
      <c r="L164" s="138">
        <f t="shared" si="87"/>
        <v>0</v>
      </c>
      <c r="M164" s="137"/>
      <c r="N164" s="139">
        <f t="shared" si="88"/>
        <v>2.3996</v>
      </c>
      <c r="O164" s="137"/>
      <c r="P164" s="140">
        <f t="shared" si="89"/>
        <v>1.5212999999999997</v>
      </c>
      <c r="Q164" s="135"/>
      <c r="R164" s="104">
        <f t="shared" si="90"/>
        <v>3.6856000000000004</v>
      </c>
      <c r="S164" s="137"/>
      <c r="T164" s="141">
        <f t="shared" si="91"/>
        <v>3.9208999999999996</v>
      </c>
      <c r="U164" s="199">
        <f t="shared" si="92"/>
        <v>0</v>
      </c>
      <c r="V164" s="37" t="str">
        <f t="shared" si="93"/>
        <v>ok</v>
      </c>
      <c r="W164" s="37" t="str">
        <f t="shared" si="94"/>
        <v>ok</v>
      </c>
      <c r="X164" s="278">
        <f t="shared" si="72"/>
        <v>1</v>
      </c>
      <c r="Y164" s="278">
        <f t="shared" si="73"/>
        <v>0.60566620653388548</v>
      </c>
      <c r="Z164" s="278">
        <f t="shared" si="74"/>
        <v>0.48453296522710843</v>
      </c>
    </row>
    <row r="165" spans="1:26" x14ac:dyDescent="0.25">
      <c r="A165" s="420"/>
      <c r="B165" s="178" t="s">
        <v>19</v>
      </c>
      <c r="C165" s="179">
        <v>13</v>
      </c>
      <c r="D165" s="130">
        <f>DMG_9*CMD_8</f>
        <v>2.9756800000000001</v>
      </c>
      <c r="E165" s="131">
        <f>OMG_9*CMO_8</f>
        <v>9.6810000000000009</v>
      </c>
      <c r="F165" s="132">
        <f t="shared" si="70"/>
        <v>7.7448000000000015</v>
      </c>
      <c r="G165" s="133">
        <f t="shared" si="71"/>
        <v>1.9361999999999997</v>
      </c>
      <c r="H165" s="134">
        <f t="shared" si="85"/>
        <v>2.9756800000000001</v>
      </c>
      <c r="I165" s="135"/>
      <c r="J165" s="136">
        <f t="shared" si="86"/>
        <v>0</v>
      </c>
      <c r="K165" s="137"/>
      <c r="L165" s="138">
        <f t="shared" si="87"/>
        <v>0</v>
      </c>
      <c r="M165" s="137"/>
      <c r="N165" s="139">
        <f t="shared" si="88"/>
        <v>4.7691200000000009</v>
      </c>
      <c r="O165" s="137"/>
      <c r="P165" s="140">
        <f t="shared" si="89"/>
        <v>1.9361999999999997</v>
      </c>
      <c r="Q165" s="135"/>
      <c r="R165" s="104">
        <f t="shared" si="90"/>
        <v>2.9756800000000001</v>
      </c>
      <c r="S165" s="137"/>
      <c r="T165" s="141">
        <f t="shared" si="91"/>
        <v>6.7053200000000004</v>
      </c>
      <c r="U165" s="199">
        <f t="shared" si="92"/>
        <v>0</v>
      </c>
      <c r="V165" s="37" t="str">
        <f t="shared" si="93"/>
        <v>ok</v>
      </c>
      <c r="W165" s="37" t="str">
        <f t="shared" si="94"/>
        <v>ok</v>
      </c>
      <c r="X165" s="278">
        <f t="shared" si="72"/>
        <v>1</v>
      </c>
      <c r="Y165" s="278">
        <f t="shared" si="73"/>
        <v>0.38421650655923967</v>
      </c>
      <c r="Z165" s="278">
        <f t="shared" si="74"/>
        <v>0.30737320524739176</v>
      </c>
    </row>
    <row r="166" spans="1:26" x14ac:dyDescent="0.25">
      <c r="A166" s="420"/>
      <c r="B166" s="178" t="s">
        <v>20</v>
      </c>
      <c r="C166" s="179">
        <v>14</v>
      </c>
      <c r="D166" s="130">
        <f>DMG_10*CMD_8</f>
        <v>5.6684800000000006</v>
      </c>
      <c r="E166" s="131">
        <f>OMG_10*CMO_8</f>
        <v>13.138500000000001</v>
      </c>
      <c r="F166" s="132">
        <f t="shared" si="70"/>
        <v>10.510800000000001</v>
      </c>
      <c r="G166" s="133">
        <f t="shared" si="71"/>
        <v>2.6276999999999995</v>
      </c>
      <c r="H166" s="134">
        <f t="shared" si="85"/>
        <v>5.6684800000000006</v>
      </c>
      <c r="I166" s="135"/>
      <c r="J166" s="136">
        <f t="shared" si="86"/>
        <v>0</v>
      </c>
      <c r="K166" s="137"/>
      <c r="L166" s="138">
        <f t="shared" si="87"/>
        <v>0</v>
      </c>
      <c r="M166" s="137"/>
      <c r="N166" s="139">
        <f t="shared" si="88"/>
        <v>4.8423200000000008</v>
      </c>
      <c r="O166" s="137"/>
      <c r="P166" s="140">
        <f t="shared" si="89"/>
        <v>2.6276999999999995</v>
      </c>
      <c r="Q166" s="135"/>
      <c r="R166" s="104">
        <f t="shared" si="90"/>
        <v>5.6684800000000006</v>
      </c>
      <c r="S166" s="137"/>
      <c r="T166" s="141">
        <f t="shared" si="91"/>
        <v>7.4700199999999999</v>
      </c>
      <c r="U166" s="199">
        <f t="shared" si="92"/>
        <v>0</v>
      </c>
      <c r="V166" s="37" t="str">
        <f t="shared" si="93"/>
        <v>ok</v>
      </c>
      <c r="W166" s="37" t="str">
        <f t="shared" si="94"/>
        <v>ok</v>
      </c>
      <c r="X166" s="278">
        <f t="shared" si="72"/>
        <v>1</v>
      </c>
      <c r="Y166" s="278">
        <f t="shared" si="73"/>
        <v>0.53930052897971603</v>
      </c>
      <c r="Z166" s="278">
        <f t="shared" si="74"/>
        <v>0.4314404231837729</v>
      </c>
    </row>
    <row r="167" spans="1:26" x14ac:dyDescent="0.25">
      <c r="A167" s="420"/>
      <c r="B167" s="178" t="s">
        <v>21</v>
      </c>
      <c r="C167" s="179">
        <v>15</v>
      </c>
      <c r="D167" s="130">
        <f>DMG_11*CMD_8</f>
        <v>4.9259200000000005</v>
      </c>
      <c r="E167" s="131">
        <f>OMG_11*CMO_8</f>
        <v>20.745000000000001</v>
      </c>
      <c r="F167" s="132">
        <f t="shared" si="70"/>
        <v>16.596</v>
      </c>
      <c r="G167" s="133">
        <f t="shared" si="71"/>
        <v>4.1489999999999991</v>
      </c>
      <c r="H167" s="134">
        <f t="shared" si="85"/>
        <v>4.9259200000000005</v>
      </c>
      <c r="I167" s="135"/>
      <c r="J167" s="136">
        <f t="shared" si="86"/>
        <v>0</v>
      </c>
      <c r="K167" s="137"/>
      <c r="L167" s="138">
        <f t="shared" si="87"/>
        <v>0</v>
      </c>
      <c r="M167" s="137"/>
      <c r="N167" s="139">
        <f t="shared" si="88"/>
        <v>11.670079999999999</v>
      </c>
      <c r="O167" s="137"/>
      <c r="P167" s="140">
        <f t="shared" si="89"/>
        <v>4.1489999999999991</v>
      </c>
      <c r="Q167" s="135"/>
      <c r="R167" s="104">
        <f t="shared" si="90"/>
        <v>4.9259200000000005</v>
      </c>
      <c r="S167" s="137"/>
      <c r="T167" s="141">
        <f t="shared" si="91"/>
        <v>15.819079999999998</v>
      </c>
      <c r="U167" s="199">
        <f t="shared" si="92"/>
        <v>0</v>
      </c>
      <c r="V167" s="37" t="str">
        <f t="shared" si="93"/>
        <v>ok</v>
      </c>
      <c r="W167" s="37" t="str">
        <f t="shared" si="94"/>
        <v>ok</v>
      </c>
      <c r="X167" s="278">
        <f t="shared" si="72"/>
        <v>1</v>
      </c>
      <c r="Y167" s="278">
        <f t="shared" si="73"/>
        <v>0.29681369004579422</v>
      </c>
      <c r="Z167" s="278">
        <f t="shared" si="74"/>
        <v>0.23745095203663535</v>
      </c>
    </row>
    <row r="168" spans="1:26" x14ac:dyDescent="0.25">
      <c r="A168" s="420"/>
      <c r="B168" s="178" t="s">
        <v>22</v>
      </c>
      <c r="C168" s="179">
        <v>16</v>
      </c>
      <c r="D168" s="130">
        <f>DMG_12*CMD_8</f>
        <v>3.8678400000000006</v>
      </c>
      <c r="E168" s="131">
        <f>OMG_12*CMO_8</f>
        <v>15.904500000000001</v>
      </c>
      <c r="F168" s="132">
        <f t="shared" si="70"/>
        <v>12.723600000000001</v>
      </c>
      <c r="G168" s="133">
        <f t="shared" si="71"/>
        <v>3.1808999999999994</v>
      </c>
      <c r="H168" s="134">
        <f t="shared" si="85"/>
        <v>3.8678400000000006</v>
      </c>
      <c r="I168" s="135"/>
      <c r="J168" s="136">
        <f t="shared" si="86"/>
        <v>0</v>
      </c>
      <c r="K168" s="137"/>
      <c r="L168" s="138">
        <f t="shared" si="87"/>
        <v>0</v>
      </c>
      <c r="M168" s="137"/>
      <c r="N168" s="139">
        <f t="shared" si="88"/>
        <v>8.8557600000000001</v>
      </c>
      <c r="O168" s="137"/>
      <c r="P168" s="140">
        <f t="shared" si="89"/>
        <v>3.1808999999999994</v>
      </c>
      <c r="Q168" s="135"/>
      <c r="R168" s="104">
        <f t="shared" si="90"/>
        <v>3.8678400000000006</v>
      </c>
      <c r="S168" s="137"/>
      <c r="T168" s="141">
        <f t="shared" si="91"/>
        <v>12.036659999999999</v>
      </c>
      <c r="U168" s="199">
        <f t="shared" si="92"/>
        <v>0</v>
      </c>
      <c r="V168" s="37" t="str">
        <f t="shared" si="93"/>
        <v>ok</v>
      </c>
      <c r="W168" s="37" t="str">
        <f t="shared" si="94"/>
        <v>ok</v>
      </c>
      <c r="X168" s="278">
        <f t="shared" si="72"/>
        <v>1</v>
      </c>
      <c r="Y168" s="278">
        <f t="shared" si="73"/>
        <v>0.30398943695180614</v>
      </c>
      <c r="Z168" s="278">
        <f t="shared" si="74"/>
        <v>0.2431915495614449</v>
      </c>
    </row>
    <row r="169" spans="1:26" x14ac:dyDescent="0.25">
      <c r="A169" s="420"/>
      <c r="B169" s="178" t="s">
        <v>23</v>
      </c>
      <c r="C169" s="179">
        <v>17</v>
      </c>
      <c r="D169" s="130">
        <f>DMG_13*CMD_8</f>
        <v>1.69184</v>
      </c>
      <c r="E169" s="131">
        <f>OMG_13*CMO_8</f>
        <v>7.6065000000000005</v>
      </c>
      <c r="F169" s="132">
        <f t="shared" si="70"/>
        <v>6.0852000000000004</v>
      </c>
      <c r="G169" s="133">
        <f t="shared" si="71"/>
        <v>1.5212999999999997</v>
      </c>
      <c r="H169" s="134">
        <f t="shared" si="85"/>
        <v>1.69184</v>
      </c>
      <c r="I169" s="135"/>
      <c r="J169" s="136">
        <f t="shared" si="86"/>
        <v>0</v>
      </c>
      <c r="K169" s="137"/>
      <c r="L169" s="138">
        <f t="shared" si="87"/>
        <v>0</v>
      </c>
      <c r="M169" s="137"/>
      <c r="N169" s="139">
        <f t="shared" si="88"/>
        <v>4.3933600000000004</v>
      </c>
      <c r="O169" s="137"/>
      <c r="P169" s="140">
        <f t="shared" si="89"/>
        <v>1.5212999999999997</v>
      </c>
      <c r="Q169" s="135"/>
      <c r="R169" s="104">
        <f t="shared" si="90"/>
        <v>1.69184</v>
      </c>
      <c r="S169" s="137"/>
      <c r="T169" s="141">
        <f t="shared" si="91"/>
        <v>5.9146599999999996</v>
      </c>
      <c r="U169" s="199">
        <f t="shared" si="92"/>
        <v>0</v>
      </c>
      <c r="V169" s="37" t="str">
        <f t="shared" si="93"/>
        <v>ok</v>
      </c>
      <c r="W169" s="37" t="str">
        <f t="shared" si="94"/>
        <v>ok</v>
      </c>
      <c r="X169" s="278">
        <f t="shared" si="72"/>
        <v>1</v>
      </c>
      <c r="Y169" s="278">
        <f t="shared" si="73"/>
        <v>0.27802537303621899</v>
      </c>
      <c r="Z169" s="278">
        <f t="shared" si="74"/>
        <v>0.2224202984289752</v>
      </c>
    </row>
    <row r="170" spans="1:26" x14ac:dyDescent="0.25">
      <c r="A170" s="420"/>
      <c r="B170" s="178" t="s">
        <v>19</v>
      </c>
      <c r="C170" s="179">
        <v>20</v>
      </c>
      <c r="D170" s="130">
        <f>DMG_14*CMD_8</f>
        <v>1.18048</v>
      </c>
      <c r="E170" s="131">
        <f>OMG_14*CMO_8</f>
        <v>12.79275</v>
      </c>
      <c r="F170" s="132">
        <f t="shared" si="70"/>
        <v>10.234200000000001</v>
      </c>
      <c r="G170" s="133">
        <f t="shared" si="71"/>
        <v>2.5585499999999994</v>
      </c>
      <c r="H170" s="134">
        <f t="shared" si="85"/>
        <v>1.18048</v>
      </c>
      <c r="I170" s="135"/>
      <c r="J170" s="136">
        <f t="shared" si="86"/>
        <v>0</v>
      </c>
      <c r="K170" s="137"/>
      <c r="L170" s="138">
        <f t="shared" si="87"/>
        <v>0</v>
      </c>
      <c r="M170" s="137"/>
      <c r="N170" s="139">
        <f t="shared" si="88"/>
        <v>9.053720000000002</v>
      </c>
      <c r="O170" s="137"/>
      <c r="P170" s="140">
        <f t="shared" si="89"/>
        <v>2.5585499999999994</v>
      </c>
      <c r="Q170" s="135"/>
      <c r="R170" s="104">
        <f t="shared" si="90"/>
        <v>1.18048</v>
      </c>
      <c r="S170" s="137"/>
      <c r="T170" s="141">
        <f t="shared" si="91"/>
        <v>11.612270000000002</v>
      </c>
      <c r="U170" s="199">
        <f t="shared" si="92"/>
        <v>0</v>
      </c>
      <c r="V170" s="37" t="str">
        <f t="shared" si="93"/>
        <v>ok</v>
      </c>
      <c r="W170" s="37" t="str">
        <f t="shared" si="94"/>
        <v>ok</v>
      </c>
      <c r="X170" s="278">
        <f t="shared" si="72"/>
        <v>1</v>
      </c>
      <c r="Y170" s="278">
        <f t="shared" si="73"/>
        <v>0.11534658302554179</v>
      </c>
      <c r="Z170" s="278">
        <f t="shared" si="74"/>
        <v>9.2277266420433449E-2</v>
      </c>
    </row>
    <row r="171" spans="1:26" x14ac:dyDescent="0.25">
      <c r="A171" s="420"/>
      <c r="B171" s="178" t="s">
        <v>20</v>
      </c>
      <c r="C171" s="179">
        <v>21</v>
      </c>
      <c r="D171" s="130">
        <f>DMG_15*CMD_8</f>
        <v>2.4480000000000004</v>
      </c>
      <c r="E171" s="131">
        <f>OMG_15*CMO_8</f>
        <v>15.213000000000001</v>
      </c>
      <c r="F171" s="132">
        <f t="shared" si="70"/>
        <v>12.170400000000001</v>
      </c>
      <c r="G171" s="133">
        <f t="shared" si="71"/>
        <v>3.0425999999999993</v>
      </c>
      <c r="H171" s="134">
        <f t="shared" si="85"/>
        <v>2.4480000000000004</v>
      </c>
      <c r="I171" s="135"/>
      <c r="J171" s="136">
        <f t="shared" si="86"/>
        <v>0</v>
      </c>
      <c r="K171" s="137"/>
      <c r="L171" s="138">
        <f t="shared" si="87"/>
        <v>0</v>
      </c>
      <c r="M171" s="137"/>
      <c r="N171" s="139">
        <f t="shared" si="88"/>
        <v>9.7224000000000004</v>
      </c>
      <c r="O171" s="137"/>
      <c r="P171" s="140">
        <f t="shared" si="89"/>
        <v>3.0425999999999993</v>
      </c>
      <c r="Q171" s="135"/>
      <c r="R171" s="104">
        <f t="shared" si="90"/>
        <v>2.4480000000000004</v>
      </c>
      <c r="S171" s="137"/>
      <c r="T171" s="141">
        <f t="shared" si="91"/>
        <v>12.765000000000001</v>
      </c>
      <c r="U171" s="199">
        <f t="shared" si="92"/>
        <v>0</v>
      </c>
      <c r="V171" s="37" t="str">
        <f t="shared" si="93"/>
        <v>ok</v>
      </c>
      <c r="W171" s="37" t="str">
        <f t="shared" si="94"/>
        <v>ok</v>
      </c>
      <c r="X171" s="278">
        <f t="shared" si="72"/>
        <v>1</v>
      </c>
      <c r="Y171" s="278">
        <f t="shared" si="73"/>
        <v>0.20114375862748968</v>
      </c>
      <c r="Z171" s="278">
        <f t="shared" si="74"/>
        <v>0.16091500690199173</v>
      </c>
    </row>
    <row r="172" spans="1:26" x14ac:dyDescent="0.25">
      <c r="A172" s="420"/>
      <c r="B172" s="178" t="s">
        <v>21</v>
      </c>
      <c r="C172" s="179">
        <v>22</v>
      </c>
      <c r="D172" s="130">
        <f>DMG_16*CMD_8</f>
        <v>9.8246400000000005</v>
      </c>
      <c r="E172" s="131">
        <f>OMG_16*CMO_8</f>
        <v>17.114625</v>
      </c>
      <c r="F172" s="132">
        <f t="shared" si="70"/>
        <v>13.691700000000001</v>
      </c>
      <c r="G172" s="133">
        <f t="shared" si="71"/>
        <v>3.4229249999999993</v>
      </c>
      <c r="H172" s="134">
        <f t="shared" si="85"/>
        <v>9.8246400000000005</v>
      </c>
      <c r="I172" s="135"/>
      <c r="J172" s="136">
        <f t="shared" si="86"/>
        <v>0</v>
      </c>
      <c r="K172" s="137"/>
      <c r="L172" s="138">
        <f t="shared" si="87"/>
        <v>0</v>
      </c>
      <c r="M172" s="137"/>
      <c r="N172" s="139">
        <f t="shared" si="88"/>
        <v>3.8670600000000004</v>
      </c>
      <c r="O172" s="137"/>
      <c r="P172" s="140">
        <f t="shared" si="89"/>
        <v>3.4229249999999993</v>
      </c>
      <c r="Q172" s="135"/>
      <c r="R172" s="104">
        <f t="shared" si="90"/>
        <v>9.8246400000000005</v>
      </c>
      <c r="S172" s="137"/>
      <c r="T172" s="141">
        <f t="shared" si="91"/>
        <v>7.2899849999999997</v>
      </c>
      <c r="U172" s="199">
        <f t="shared" si="92"/>
        <v>0</v>
      </c>
      <c r="V172" s="37" t="str">
        <f t="shared" si="93"/>
        <v>ok</v>
      </c>
      <c r="W172" s="37" t="str">
        <f t="shared" si="94"/>
        <v>ok</v>
      </c>
      <c r="X172" s="278">
        <f t="shared" si="72"/>
        <v>1</v>
      </c>
      <c r="Y172" s="278">
        <f t="shared" si="73"/>
        <v>0.7175617344814742</v>
      </c>
      <c r="Z172" s="278">
        <f t="shared" si="74"/>
        <v>0.57404938758517932</v>
      </c>
    </row>
    <row r="173" spans="1:26" x14ac:dyDescent="0.25">
      <c r="A173" s="420"/>
      <c r="B173" s="178" t="s">
        <v>22</v>
      </c>
      <c r="C173" s="179">
        <v>23</v>
      </c>
      <c r="D173" s="130">
        <f>DMG_17*CMD_8</f>
        <v>7.9968000000000004</v>
      </c>
      <c r="E173" s="131">
        <f>OMG_17*CMO_8</f>
        <v>10.84272</v>
      </c>
      <c r="F173" s="132">
        <f t="shared" si="70"/>
        <v>8.674176000000001</v>
      </c>
      <c r="G173" s="133">
        <f t="shared" si="71"/>
        <v>2.1685439999999994</v>
      </c>
      <c r="H173" s="134">
        <f t="shared" si="85"/>
        <v>7.9968000000000004</v>
      </c>
      <c r="I173" s="135"/>
      <c r="J173" s="136">
        <f t="shared" si="86"/>
        <v>0</v>
      </c>
      <c r="K173" s="137"/>
      <c r="L173" s="138">
        <f t="shared" si="87"/>
        <v>0</v>
      </c>
      <c r="M173" s="137"/>
      <c r="N173" s="139">
        <f t="shared" si="88"/>
        <v>0.67737600000000064</v>
      </c>
      <c r="O173" s="137"/>
      <c r="P173" s="140">
        <f t="shared" si="89"/>
        <v>2.1685439999999994</v>
      </c>
      <c r="Q173" s="135"/>
      <c r="R173" s="104">
        <f t="shared" si="90"/>
        <v>7.9968000000000004</v>
      </c>
      <c r="S173" s="137"/>
      <c r="T173" s="141">
        <f t="shared" si="91"/>
        <v>2.84592</v>
      </c>
      <c r="U173" s="199">
        <f t="shared" si="92"/>
        <v>0</v>
      </c>
      <c r="V173" s="37" t="str">
        <f t="shared" si="93"/>
        <v>ok</v>
      </c>
      <c r="W173" s="37" t="str">
        <f t="shared" si="94"/>
        <v>ok</v>
      </c>
      <c r="X173" s="278">
        <f t="shared" si="72"/>
        <v>1</v>
      </c>
      <c r="Y173" s="278">
        <f t="shared" si="73"/>
        <v>0.92190889370932749</v>
      </c>
      <c r="Z173" s="278">
        <f t="shared" si="74"/>
        <v>0.73752711496746204</v>
      </c>
    </row>
    <row r="174" spans="1:26" x14ac:dyDescent="0.25">
      <c r="A174" s="420"/>
      <c r="B174" s="178" t="s">
        <v>23</v>
      </c>
      <c r="C174" s="179">
        <v>24</v>
      </c>
      <c r="D174" s="130">
        <f>DMG_18*CMD_8</f>
        <v>4.6076800000000011</v>
      </c>
      <c r="E174" s="131">
        <f>OMG_18*CMO_8</f>
        <v>5.1378449999999996</v>
      </c>
      <c r="F174" s="132">
        <f t="shared" si="70"/>
        <v>4.1102759999999998</v>
      </c>
      <c r="G174" s="133">
        <f t="shared" si="71"/>
        <v>1.0275689999999997</v>
      </c>
      <c r="H174" s="134">
        <f t="shared" si="85"/>
        <v>4.6076800000000011</v>
      </c>
      <c r="I174" s="135"/>
      <c r="J174" s="136">
        <f t="shared" si="86"/>
        <v>0</v>
      </c>
      <c r="K174" s="137"/>
      <c r="L174" s="138">
        <f t="shared" si="87"/>
        <v>0.49740400000000129</v>
      </c>
      <c r="M174" s="137"/>
      <c r="N174" s="139">
        <f t="shared" si="88"/>
        <v>0</v>
      </c>
      <c r="O174" s="137"/>
      <c r="P174" s="140">
        <f t="shared" si="89"/>
        <v>0.53016499999999844</v>
      </c>
      <c r="Q174" s="135"/>
      <c r="R174" s="104">
        <f t="shared" si="90"/>
        <v>4.1102759999999998</v>
      </c>
      <c r="S174" s="137"/>
      <c r="T174" s="141">
        <f t="shared" si="91"/>
        <v>1.0275689999999997</v>
      </c>
      <c r="U174" s="199">
        <f t="shared" si="92"/>
        <v>0.49740400000000129</v>
      </c>
      <c r="V174" s="37" t="str">
        <f t="shared" si="93"/>
        <v>ok</v>
      </c>
      <c r="W174" s="37" t="str">
        <f t="shared" si="94"/>
        <v>ok</v>
      </c>
      <c r="X174" s="278">
        <f t="shared" si="72"/>
        <v>0.89204892700881977</v>
      </c>
      <c r="Y174" s="278">
        <f t="shared" si="73"/>
        <v>1</v>
      </c>
      <c r="Z174" s="278">
        <f t="shared" si="74"/>
        <v>0.8</v>
      </c>
    </row>
    <row r="175" spans="1:26" x14ac:dyDescent="0.25">
      <c r="A175" s="420"/>
      <c r="B175" s="178" t="s">
        <v>19</v>
      </c>
      <c r="C175" s="179">
        <v>27</v>
      </c>
      <c r="D175" s="130">
        <f>DMG_19*CMD_8</f>
        <v>3.77264</v>
      </c>
      <c r="E175" s="131">
        <f>OMG_19*CMO_8</f>
        <v>6.8458500000000004</v>
      </c>
      <c r="F175" s="132">
        <f t="shared" si="70"/>
        <v>5.4766800000000009</v>
      </c>
      <c r="G175" s="133">
        <f t="shared" si="71"/>
        <v>1.3691699999999998</v>
      </c>
      <c r="H175" s="134">
        <f t="shared" si="85"/>
        <v>3.77264</v>
      </c>
      <c r="I175" s="135"/>
      <c r="J175" s="136">
        <f t="shared" si="86"/>
        <v>0</v>
      </c>
      <c r="K175" s="137"/>
      <c r="L175" s="138">
        <f t="shared" si="87"/>
        <v>0</v>
      </c>
      <c r="M175" s="137"/>
      <c r="N175" s="139">
        <f t="shared" si="88"/>
        <v>1.7040400000000009</v>
      </c>
      <c r="O175" s="137"/>
      <c r="P175" s="140">
        <f t="shared" si="89"/>
        <v>1.3691699999999998</v>
      </c>
      <c r="Q175" s="135"/>
      <c r="R175" s="104">
        <f t="shared" si="90"/>
        <v>3.77264</v>
      </c>
      <c r="S175" s="137"/>
      <c r="T175" s="141">
        <f t="shared" si="91"/>
        <v>3.0732100000000004</v>
      </c>
      <c r="U175" s="199">
        <f t="shared" si="92"/>
        <v>0</v>
      </c>
      <c r="V175" s="37" t="str">
        <f t="shared" si="93"/>
        <v>ok</v>
      </c>
      <c r="W175" s="37" t="str">
        <f t="shared" si="94"/>
        <v>ok</v>
      </c>
      <c r="X175" s="278">
        <f t="shared" si="72"/>
        <v>1</v>
      </c>
      <c r="Y175" s="278">
        <f t="shared" si="73"/>
        <v>0.6888552918921681</v>
      </c>
      <c r="Z175" s="278">
        <f t="shared" si="74"/>
        <v>0.55108423351373459</v>
      </c>
    </row>
    <row r="176" spans="1:26" x14ac:dyDescent="0.25">
      <c r="A176" s="420"/>
      <c r="B176" s="178" t="s">
        <v>20</v>
      </c>
      <c r="C176" s="179">
        <v>28</v>
      </c>
      <c r="D176" s="130">
        <f>DMG_20*CMD_8</f>
        <v>7.0856000000000003</v>
      </c>
      <c r="E176" s="131">
        <f>OMG_20*CMO_8</f>
        <v>10.84272</v>
      </c>
      <c r="F176" s="132">
        <f t="shared" si="70"/>
        <v>8.674176000000001</v>
      </c>
      <c r="G176" s="133">
        <f t="shared" si="71"/>
        <v>2.1685439999999994</v>
      </c>
      <c r="H176" s="134">
        <f t="shared" si="85"/>
        <v>7.0856000000000003</v>
      </c>
      <c r="I176" s="135"/>
      <c r="J176" s="136">
        <f t="shared" si="86"/>
        <v>0</v>
      </c>
      <c r="K176" s="137"/>
      <c r="L176" s="138">
        <f t="shared" si="87"/>
        <v>0</v>
      </c>
      <c r="M176" s="137"/>
      <c r="N176" s="139">
        <f t="shared" si="88"/>
        <v>1.5885760000000007</v>
      </c>
      <c r="O176" s="137"/>
      <c r="P176" s="140">
        <f t="shared" si="89"/>
        <v>2.1685439999999994</v>
      </c>
      <c r="Q176" s="135"/>
      <c r="R176" s="104">
        <f t="shared" si="90"/>
        <v>7.0856000000000003</v>
      </c>
      <c r="S176" s="137"/>
      <c r="T176" s="141">
        <f t="shared" si="91"/>
        <v>3.75712</v>
      </c>
      <c r="U176" s="199">
        <f t="shared" si="92"/>
        <v>0</v>
      </c>
      <c r="V176" s="37" t="str">
        <f t="shared" si="93"/>
        <v>ok</v>
      </c>
      <c r="W176" s="37" t="str">
        <f t="shared" si="94"/>
        <v>ok</v>
      </c>
      <c r="X176" s="278">
        <f t="shared" si="72"/>
        <v>1</v>
      </c>
      <c r="Y176" s="278">
        <f t="shared" si="73"/>
        <v>0.81686145173904701</v>
      </c>
      <c r="Z176" s="278">
        <f t="shared" si="74"/>
        <v>0.65348916139123769</v>
      </c>
    </row>
    <row r="177" spans="1:26" x14ac:dyDescent="0.25">
      <c r="A177" s="420"/>
      <c r="B177" s="178" t="s">
        <v>21</v>
      </c>
      <c r="C177" s="179">
        <v>29</v>
      </c>
      <c r="D177" s="130">
        <f>DMG_21*CMD_8</f>
        <v>11.788480000000002</v>
      </c>
      <c r="E177" s="131">
        <f>OMG_21*CMO_8</f>
        <v>20.745000000000001</v>
      </c>
      <c r="F177" s="132">
        <f t="shared" si="70"/>
        <v>16.596</v>
      </c>
      <c r="G177" s="133">
        <f t="shared" si="71"/>
        <v>4.1489999999999991</v>
      </c>
      <c r="H177" s="134">
        <f t="shared" si="85"/>
        <v>11.788480000000002</v>
      </c>
      <c r="I177" s="135"/>
      <c r="J177" s="136">
        <f t="shared" si="86"/>
        <v>0</v>
      </c>
      <c r="K177" s="137"/>
      <c r="L177" s="138">
        <f t="shared" si="87"/>
        <v>0</v>
      </c>
      <c r="M177" s="137"/>
      <c r="N177" s="139">
        <f t="shared" si="88"/>
        <v>4.8075199999999985</v>
      </c>
      <c r="O177" s="137"/>
      <c r="P177" s="140">
        <f t="shared" si="89"/>
        <v>4.1489999999999991</v>
      </c>
      <c r="Q177" s="135"/>
      <c r="R177" s="104">
        <f t="shared" si="90"/>
        <v>11.788480000000002</v>
      </c>
      <c r="S177" s="137"/>
      <c r="T177" s="141">
        <f t="shared" si="91"/>
        <v>8.9565199999999976</v>
      </c>
      <c r="U177" s="199">
        <f t="shared" si="92"/>
        <v>0</v>
      </c>
      <c r="V177" s="37" t="str">
        <f t="shared" si="93"/>
        <v>ok</v>
      </c>
      <c r="W177" s="37" t="str">
        <f t="shared" si="94"/>
        <v>ok</v>
      </c>
      <c r="X177" s="278">
        <f t="shared" si="72"/>
        <v>1</v>
      </c>
      <c r="Y177" s="278">
        <f t="shared" si="73"/>
        <v>0.71032055917088466</v>
      </c>
      <c r="Z177" s="278">
        <f t="shared" si="74"/>
        <v>0.56825644733670766</v>
      </c>
    </row>
    <row r="178" spans="1:26" x14ac:dyDescent="0.25">
      <c r="A178" s="420"/>
      <c r="B178" s="178" t="s">
        <v>22</v>
      </c>
      <c r="C178" s="179">
        <v>30</v>
      </c>
      <c r="D178" s="130">
        <f>DMG_22*CMD_8</f>
        <v>9.5635200000000005</v>
      </c>
      <c r="E178" s="131">
        <f>OMG_22*CMO_8</f>
        <v>14.5215</v>
      </c>
      <c r="F178" s="132">
        <f t="shared" si="70"/>
        <v>11.6172</v>
      </c>
      <c r="G178" s="133">
        <f t="shared" si="71"/>
        <v>2.9042999999999992</v>
      </c>
      <c r="H178" s="134">
        <f t="shared" si="85"/>
        <v>9.5635200000000005</v>
      </c>
      <c r="I178" s="135"/>
      <c r="J178" s="136">
        <f t="shared" si="86"/>
        <v>0</v>
      </c>
      <c r="K178" s="137"/>
      <c r="L178" s="138">
        <f t="shared" si="87"/>
        <v>0</v>
      </c>
      <c r="M178" s="137"/>
      <c r="N178" s="139">
        <f t="shared" si="88"/>
        <v>2.0536799999999999</v>
      </c>
      <c r="O178" s="137"/>
      <c r="P178" s="140">
        <f t="shared" si="89"/>
        <v>2.9042999999999992</v>
      </c>
      <c r="Q178" s="135"/>
      <c r="R178" s="104">
        <f t="shared" si="90"/>
        <v>9.5635200000000005</v>
      </c>
      <c r="S178" s="137"/>
      <c r="T178" s="141">
        <f t="shared" si="91"/>
        <v>4.9579799999999992</v>
      </c>
      <c r="U178" s="199">
        <f t="shared" si="92"/>
        <v>0</v>
      </c>
      <c r="V178" s="37" t="str">
        <f t="shared" si="93"/>
        <v>ok</v>
      </c>
      <c r="W178" s="37" t="str">
        <f t="shared" si="94"/>
        <v>ok</v>
      </c>
      <c r="X178" s="278">
        <f t="shared" si="72"/>
        <v>1</v>
      </c>
      <c r="Y178" s="278">
        <f t="shared" si="73"/>
        <v>0.82322074165891956</v>
      </c>
      <c r="Z178" s="278">
        <f t="shared" si="74"/>
        <v>0.6585765933271357</v>
      </c>
    </row>
    <row r="179" spans="1:26" ht="15.75" thickBot="1" x14ac:dyDescent="0.3">
      <c r="A179" s="421"/>
      <c r="B179" s="180" t="s">
        <v>23</v>
      </c>
      <c r="C179" s="181">
        <v>31</v>
      </c>
      <c r="D179" s="202">
        <f>DMG_23*CMD_8</f>
        <v>5.5297599999999996</v>
      </c>
      <c r="E179" s="203">
        <f>OMG_23*CMO_8</f>
        <v>6.915</v>
      </c>
      <c r="F179" s="204">
        <f t="shared" si="70"/>
        <v>5.532</v>
      </c>
      <c r="G179" s="205">
        <f t="shared" si="71"/>
        <v>1.3829999999999998</v>
      </c>
      <c r="H179" s="206">
        <f t="shared" si="85"/>
        <v>5.5297599999999996</v>
      </c>
      <c r="I179" s="207"/>
      <c r="J179" s="208">
        <f t="shared" si="86"/>
        <v>0</v>
      </c>
      <c r="K179" s="209"/>
      <c r="L179" s="210">
        <f t="shared" si="87"/>
        <v>0</v>
      </c>
      <c r="M179" s="209"/>
      <c r="N179" s="211">
        <f t="shared" si="88"/>
        <v>2.2400000000004638E-3</v>
      </c>
      <c r="O179" s="209"/>
      <c r="P179" s="212">
        <f t="shared" si="89"/>
        <v>1.3829999999999998</v>
      </c>
      <c r="Q179" s="207"/>
      <c r="R179" s="213">
        <f t="shared" si="90"/>
        <v>5.5297599999999996</v>
      </c>
      <c r="S179" s="209"/>
      <c r="T179" s="214">
        <f t="shared" si="91"/>
        <v>1.3852400000000002</v>
      </c>
      <c r="U179" s="215">
        <f t="shared" si="92"/>
        <v>0</v>
      </c>
      <c r="V179" s="37" t="str">
        <f t="shared" si="93"/>
        <v>ok</v>
      </c>
      <c r="W179" s="37" t="str">
        <f t="shared" si="94"/>
        <v>ok</v>
      </c>
      <c r="X179" s="278">
        <f t="shared" si="72"/>
        <v>1</v>
      </c>
      <c r="Y179" s="278">
        <f t="shared" si="73"/>
        <v>0.99959508315256684</v>
      </c>
      <c r="Z179" s="278">
        <f t="shared" si="74"/>
        <v>0.79967606652205347</v>
      </c>
    </row>
    <row r="180" spans="1:26" x14ac:dyDescent="0.25">
      <c r="A180" s="419" t="s">
        <v>97</v>
      </c>
      <c r="B180" s="176" t="s">
        <v>19</v>
      </c>
      <c r="C180" s="241">
        <v>3</v>
      </c>
      <c r="D180" s="238">
        <f>DMG_1*CMD_9</f>
        <v>11.182925000000001</v>
      </c>
      <c r="E180" s="185">
        <f>OMG_1*CMO_9</f>
        <v>25.135499999999997</v>
      </c>
      <c r="F180" s="186">
        <f t="shared" si="70"/>
        <v>20.1084</v>
      </c>
      <c r="G180" s="187">
        <f t="shared" si="71"/>
        <v>5.0270999999999981</v>
      </c>
      <c r="H180" s="188">
        <f>IF(E180&gt;D180,D180,E180)</f>
        <v>11.182925000000001</v>
      </c>
      <c r="I180" s="189"/>
      <c r="J180" s="190">
        <f>IF(E180&gt;D180,0,D180-E180)</f>
        <v>0</v>
      </c>
      <c r="K180" s="191"/>
      <c r="L180" s="192">
        <f>IF(E180&gt;D180,IF(F180&gt;H180,0,H180-F180),G180)</f>
        <v>0</v>
      </c>
      <c r="M180" s="191"/>
      <c r="N180" s="193">
        <f>IF(E180&gt;D180,IF(F180&gt;H180,F180-H180,0),0)</f>
        <v>8.9254749999999987</v>
      </c>
      <c r="O180" s="191"/>
      <c r="P180" s="194">
        <f>IF(E180&gt;D180,IF(F180&gt;H180,G180,E180-H180),0)</f>
        <v>5.0270999999999981</v>
      </c>
      <c r="Q180" s="189"/>
      <c r="R180" s="195">
        <f>H180-L180</f>
        <v>11.182925000000001</v>
      </c>
      <c r="S180" s="191"/>
      <c r="T180" s="196">
        <f>L180+N180+P180</f>
        <v>13.952574999999996</v>
      </c>
      <c r="U180" s="197">
        <f>J180+L180</f>
        <v>0</v>
      </c>
      <c r="V180" s="37" t="str">
        <f>IF(R180+T180=E180,"ok","bad")</f>
        <v>ok</v>
      </c>
      <c r="W180" s="37" t="str">
        <f>IF(U180+R180=D180,"ok","bad")</f>
        <v>ok</v>
      </c>
      <c r="X180" s="278">
        <f t="shared" si="72"/>
        <v>1</v>
      </c>
      <c r="Y180" s="278">
        <f t="shared" si="73"/>
        <v>0.55613201448151028</v>
      </c>
      <c r="Z180" s="278">
        <f t="shared" si="74"/>
        <v>0.44490561158520825</v>
      </c>
    </row>
    <row r="181" spans="1:26" x14ac:dyDescent="0.25">
      <c r="A181" s="420"/>
      <c r="B181" s="178" t="s">
        <v>20</v>
      </c>
      <c r="C181" s="129">
        <v>4</v>
      </c>
      <c r="D181" s="239">
        <f>DMG_2*CMD_9</f>
        <v>8.7808500000000009</v>
      </c>
      <c r="E181" s="131">
        <f>OMG_2*CMO_9</f>
        <v>18.432700000000001</v>
      </c>
      <c r="F181" s="132">
        <f t="shared" si="70"/>
        <v>14.746160000000001</v>
      </c>
      <c r="G181" s="133">
        <f t="shared" si="71"/>
        <v>3.6865399999999995</v>
      </c>
      <c r="H181" s="134">
        <f t="shared" ref="H181:H199" si="95">IF(E181&gt;D181,D181,E181)</f>
        <v>8.7808500000000009</v>
      </c>
      <c r="I181" s="135"/>
      <c r="J181" s="136">
        <f t="shared" ref="J181:J199" si="96">IF(E181&gt;D181,0,D181-E181)</f>
        <v>0</v>
      </c>
      <c r="K181" s="137"/>
      <c r="L181" s="138">
        <f t="shared" ref="L181:L199" si="97">IF(E181&gt;D181,IF(F181&gt;H181,0,H181-F181),G181)</f>
        <v>0</v>
      </c>
      <c r="M181" s="137"/>
      <c r="N181" s="139">
        <f t="shared" ref="N181:N199" si="98">IF(E181&gt;D181,IF(F181&gt;H181,F181-H181,0),0)</f>
        <v>5.9653100000000006</v>
      </c>
      <c r="O181" s="137"/>
      <c r="P181" s="140">
        <f t="shared" ref="P181:P199" si="99">IF(E181&gt;D181,IF(F181&gt;H181,G181,E181-H181),0)</f>
        <v>3.6865399999999995</v>
      </c>
      <c r="Q181" s="135"/>
      <c r="R181" s="104">
        <f t="shared" ref="R181:R199" si="100">H181-L181</f>
        <v>8.7808500000000009</v>
      </c>
      <c r="S181" s="137"/>
      <c r="T181" s="141">
        <f t="shared" ref="T181:T199" si="101">L181+N181+P181</f>
        <v>9.6518499999999996</v>
      </c>
      <c r="U181" s="199">
        <f t="shared" ref="U181:U199" si="102">J181+L181</f>
        <v>0</v>
      </c>
      <c r="V181" s="37" t="str">
        <f t="shared" ref="V181:V199" si="103">IF(R181+T181=E181,"ok","bad")</f>
        <v>ok</v>
      </c>
      <c r="W181" s="37" t="str">
        <f t="shared" ref="W181:W199" si="104">IF(U181+R181=D181,"ok","bad")</f>
        <v>ok</v>
      </c>
      <c r="X181" s="278">
        <f t="shared" si="72"/>
        <v>1</v>
      </c>
      <c r="Y181" s="278">
        <f t="shared" si="73"/>
        <v>0.59546688765075106</v>
      </c>
      <c r="Z181" s="278">
        <f t="shared" si="74"/>
        <v>0.47637351012060092</v>
      </c>
    </row>
    <row r="182" spans="1:26" x14ac:dyDescent="0.25">
      <c r="A182" s="420"/>
      <c r="B182" s="178" t="s">
        <v>21</v>
      </c>
      <c r="C182" s="129">
        <v>5</v>
      </c>
      <c r="D182" s="239">
        <f>DMG_3*CMD_9</f>
        <v>3.8408500000000001</v>
      </c>
      <c r="E182" s="131">
        <f>OMG_3*CMO_9</f>
        <v>7.5406499999999994</v>
      </c>
      <c r="F182" s="132">
        <f t="shared" si="70"/>
        <v>6.0325199999999999</v>
      </c>
      <c r="G182" s="133">
        <f t="shared" si="71"/>
        <v>1.5081299999999995</v>
      </c>
      <c r="H182" s="134">
        <f t="shared" si="95"/>
        <v>3.8408500000000001</v>
      </c>
      <c r="I182" s="135"/>
      <c r="J182" s="136">
        <f t="shared" si="96"/>
        <v>0</v>
      </c>
      <c r="K182" s="137"/>
      <c r="L182" s="138">
        <f t="shared" si="97"/>
        <v>0</v>
      </c>
      <c r="M182" s="137"/>
      <c r="N182" s="139">
        <f t="shared" si="98"/>
        <v>2.1916699999999998</v>
      </c>
      <c r="O182" s="137"/>
      <c r="P182" s="140">
        <f t="shared" si="99"/>
        <v>1.5081299999999995</v>
      </c>
      <c r="Q182" s="135"/>
      <c r="R182" s="104">
        <f t="shared" si="100"/>
        <v>3.8408500000000001</v>
      </c>
      <c r="S182" s="137"/>
      <c r="T182" s="141">
        <f t="shared" si="101"/>
        <v>3.6997999999999993</v>
      </c>
      <c r="U182" s="199">
        <f t="shared" si="102"/>
        <v>0</v>
      </c>
      <c r="V182" s="37" t="str">
        <f t="shared" si="103"/>
        <v>ok</v>
      </c>
      <c r="W182" s="37" t="str">
        <f t="shared" si="104"/>
        <v>ok</v>
      </c>
      <c r="X182" s="278">
        <f t="shared" si="72"/>
        <v>1</v>
      </c>
      <c r="Y182" s="278">
        <f t="shared" si="73"/>
        <v>0.63669080251702437</v>
      </c>
      <c r="Z182" s="278">
        <f t="shared" si="74"/>
        <v>0.50935264201361952</v>
      </c>
    </row>
    <row r="183" spans="1:26" x14ac:dyDescent="0.25">
      <c r="A183" s="420"/>
      <c r="B183" s="178" t="s">
        <v>22</v>
      </c>
      <c r="C183" s="129">
        <v>6</v>
      </c>
      <c r="D183" s="239">
        <f>DMG_4*CMD_9</f>
        <v>2.6799500000000003</v>
      </c>
      <c r="E183" s="131">
        <f>OMG_4*CMO_9</f>
        <v>11.310974999999999</v>
      </c>
      <c r="F183" s="132">
        <f t="shared" si="70"/>
        <v>9.0487799999999989</v>
      </c>
      <c r="G183" s="133">
        <f t="shared" si="71"/>
        <v>2.2621949999999993</v>
      </c>
      <c r="H183" s="134">
        <f t="shared" si="95"/>
        <v>2.6799500000000003</v>
      </c>
      <c r="I183" s="135"/>
      <c r="J183" s="136">
        <f t="shared" si="96"/>
        <v>0</v>
      </c>
      <c r="K183" s="137"/>
      <c r="L183" s="138">
        <f t="shared" si="97"/>
        <v>0</v>
      </c>
      <c r="M183" s="137"/>
      <c r="N183" s="139">
        <f t="shared" si="98"/>
        <v>6.3688299999999991</v>
      </c>
      <c r="O183" s="137"/>
      <c r="P183" s="140">
        <f t="shared" si="99"/>
        <v>2.2621949999999993</v>
      </c>
      <c r="Q183" s="135"/>
      <c r="R183" s="104">
        <f t="shared" si="100"/>
        <v>2.6799500000000003</v>
      </c>
      <c r="S183" s="137"/>
      <c r="T183" s="141">
        <f t="shared" si="101"/>
        <v>8.6310249999999975</v>
      </c>
      <c r="U183" s="199">
        <f t="shared" si="102"/>
        <v>0</v>
      </c>
      <c r="V183" s="37" t="str">
        <f t="shared" si="103"/>
        <v>ok</v>
      </c>
      <c r="W183" s="37" t="str">
        <f t="shared" si="104"/>
        <v>ok</v>
      </c>
      <c r="X183" s="278">
        <f t="shared" si="72"/>
        <v>1</v>
      </c>
      <c r="Y183" s="278">
        <f t="shared" si="73"/>
        <v>0.29616699709795141</v>
      </c>
      <c r="Z183" s="278">
        <f t="shared" si="74"/>
        <v>0.23693359767836111</v>
      </c>
    </row>
    <row r="184" spans="1:26" x14ac:dyDescent="0.25">
      <c r="A184" s="420"/>
      <c r="B184" s="178" t="s">
        <v>23</v>
      </c>
      <c r="C184" s="129">
        <v>7</v>
      </c>
      <c r="D184" s="239">
        <f>DMG_5*CMD_9</f>
        <v>5.5575000000000001</v>
      </c>
      <c r="E184" s="131">
        <f>OMG_5*CMO_9</f>
        <v>18.432700000000001</v>
      </c>
      <c r="F184" s="132">
        <f t="shared" si="70"/>
        <v>14.746160000000001</v>
      </c>
      <c r="G184" s="133">
        <f t="shared" si="71"/>
        <v>3.6865399999999995</v>
      </c>
      <c r="H184" s="134">
        <f t="shared" si="95"/>
        <v>5.5575000000000001</v>
      </c>
      <c r="I184" s="135"/>
      <c r="J184" s="136">
        <f t="shared" si="96"/>
        <v>0</v>
      </c>
      <c r="K184" s="137"/>
      <c r="L184" s="138">
        <f t="shared" si="97"/>
        <v>0</v>
      </c>
      <c r="M184" s="137"/>
      <c r="N184" s="139">
        <f t="shared" si="98"/>
        <v>9.1886600000000023</v>
      </c>
      <c r="O184" s="137"/>
      <c r="P184" s="140">
        <f t="shared" si="99"/>
        <v>3.6865399999999995</v>
      </c>
      <c r="Q184" s="135"/>
      <c r="R184" s="104">
        <f t="shared" si="100"/>
        <v>5.5575000000000001</v>
      </c>
      <c r="S184" s="137"/>
      <c r="T184" s="141">
        <f t="shared" si="101"/>
        <v>12.875200000000001</v>
      </c>
      <c r="U184" s="199">
        <f t="shared" si="102"/>
        <v>0</v>
      </c>
      <c r="V184" s="37" t="str">
        <f t="shared" si="103"/>
        <v>ok</v>
      </c>
      <c r="W184" s="37" t="str">
        <f t="shared" si="104"/>
        <v>ok</v>
      </c>
      <c r="X184" s="278">
        <f t="shared" si="72"/>
        <v>1</v>
      </c>
      <c r="Y184" s="278">
        <f t="shared" si="73"/>
        <v>0.37687777699414626</v>
      </c>
      <c r="Z184" s="278">
        <f t="shared" si="74"/>
        <v>0.30150222159531703</v>
      </c>
    </row>
    <row r="185" spans="1:26" x14ac:dyDescent="0.25">
      <c r="A185" s="420"/>
      <c r="B185" s="178" t="s">
        <v>19</v>
      </c>
      <c r="C185" s="129">
        <v>10</v>
      </c>
      <c r="D185" s="239">
        <f>DMG_6*CMD_9</f>
        <v>17.845749999999999</v>
      </c>
      <c r="E185" s="131">
        <f>OMG_6*CMO_9</f>
        <v>12.889999999999999</v>
      </c>
      <c r="F185" s="132">
        <f t="shared" si="70"/>
        <v>10.311999999999999</v>
      </c>
      <c r="G185" s="133">
        <f t="shared" si="71"/>
        <v>2.5779999999999994</v>
      </c>
      <c r="H185" s="134">
        <f t="shared" si="95"/>
        <v>12.889999999999999</v>
      </c>
      <c r="I185" s="135"/>
      <c r="J185" s="136">
        <f t="shared" si="96"/>
        <v>4.9557500000000001</v>
      </c>
      <c r="K185" s="137"/>
      <c r="L185" s="138">
        <f t="shared" si="97"/>
        <v>2.5779999999999994</v>
      </c>
      <c r="M185" s="137"/>
      <c r="N185" s="139">
        <f t="shared" si="98"/>
        <v>0</v>
      </c>
      <c r="O185" s="137"/>
      <c r="P185" s="140">
        <f t="shared" si="99"/>
        <v>0</v>
      </c>
      <c r="Q185" s="135"/>
      <c r="R185" s="104">
        <f t="shared" si="100"/>
        <v>10.311999999999999</v>
      </c>
      <c r="S185" s="137"/>
      <c r="T185" s="141">
        <f t="shared" si="101"/>
        <v>2.5779999999999994</v>
      </c>
      <c r="U185" s="199">
        <f t="shared" si="102"/>
        <v>7.5337499999999995</v>
      </c>
      <c r="V185" s="37" t="str">
        <f t="shared" si="103"/>
        <v>ok</v>
      </c>
      <c r="W185" s="37" t="str">
        <f t="shared" si="104"/>
        <v>ok</v>
      </c>
      <c r="X185" s="278">
        <f t="shared" si="72"/>
        <v>0.57784066234257458</v>
      </c>
      <c r="Y185" s="278">
        <f t="shared" si="73"/>
        <v>1</v>
      </c>
      <c r="Z185" s="278">
        <f t="shared" si="74"/>
        <v>0.8</v>
      </c>
    </row>
    <row r="186" spans="1:26" x14ac:dyDescent="0.25">
      <c r="A186" s="420"/>
      <c r="B186" s="178" t="s">
        <v>20</v>
      </c>
      <c r="C186" s="129">
        <v>11</v>
      </c>
      <c r="D186" s="239">
        <f>DMG_7*CMD_9</f>
        <v>14.474200000000002</v>
      </c>
      <c r="E186" s="131">
        <f>OMG_7*CMO_9</f>
        <v>13.212249999999999</v>
      </c>
      <c r="F186" s="132">
        <f t="shared" si="70"/>
        <v>10.569800000000001</v>
      </c>
      <c r="G186" s="133">
        <f t="shared" si="71"/>
        <v>2.6424499999999993</v>
      </c>
      <c r="H186" s="134">
        <f t="shared" si="95"/>
        <v>13.212249999999999</v>
      </c>
      <c r="I186" s="135"/>
      <c r="J186" s="136">
        <f t="shared" si="96"/>
        <v>1.2619500000000023</v>
      </c>
      <c r="K186" s="137"/>
      <c r="L186" s="138">
        <f t="shared" si="97"/>
        <v>2.6424499999999993</v>
      </c>
      <c r="M186" s="137"/>
      <c r="N186" s="139">
        <f t="shared" si="98"/>
        <v>0</v>
      </c>
      <c r="O186" s="137"/>
      <c r="P186" s="140">
        <f t="shared" si="99"/>
        <v>0</v>
      </c>
      <c r="Q186" s="135"/>
      <c r="R186" s="104">
        <f t="shared" si="100"/>
        <v>10.569800000000001</v>
      </c>
      <c r="S186" s="137"/>
      <c r="T186" s="141">
        <f t="shared" si="101"/>
        <v>2.6424499999999993</v>
      </c>
      <c r="U186" s="199">
        <f t="shared" si="102"/>
        <v>3.9044000000000016</v>
      </c>
      <c r="V186" s="37" t="str">
        <f t="shared" si="103"/>
        <v>ok</v>
      </c>
      <c r="W186" s="37" t="str">
        <f t="shared" si="104"/>
        <v>ok</v>
      </c>
      <c r="X186" s="278">
        <f t="shared" si="72"/>
        <v>0.73025106741650658</v>
      </c>
      <c r="Y186" s="278">
        <f t="shared" si="73"/>
        <v>1</v>
      </c>
      <c r="Z186" s="278">
        <f t="shared" si="74"/>
        <v>0.80000000000000016</v>
      </c>
    </row>
    <row r="187" spans="1:26" x14ac:dyDescent="0.25">
      <c r="A187" s="420"/>
      <c r="B187" s="178" t="s">
        <v>21</v>
      </c>
      <c r="C187" s="129">
        <v>12</v>
      </c>
      <c r="D187" s="239">
        <f>DMG_8*CMD_9</f>
        <v>8.3671250000000015</v>
      </c>
      <c r="E187" s="131">
        <f>OMG_8*CMO_9</f>
        <v>7.0894999999999992</v>
      </c>
      <c r="F187" s="132">
        <f t="shared" si="70"/>
        <v>5.6715999999999998</v>
      </c>
      <c r="G187" s="133">
        <f t="shared" si="71"/>
        <v>1.4178999999999995</v>
      </c>
      <c r="H187" s="134">
        <f t="shared" si="95"/>
        <v>7.0894999999999992</v>
      </c>
      <c r="I187" s="135"/>
      <c r="J187" s="136">
        <f t="shared" si="96"/>
        <v>1.2776250000000022</v>
      </c>
      <c r="K187" s="137"/>
      <c r="L187" s="138">
        <f t="shared" si="97"/>
        <v>1.4178999999999995</v>
      </c>
      <c r="M187" s="137"/>
      <c r="N187" s="139">
        <f t="shared" si="98"/>
        <v>0</v>
      </c>
      <c r="O187" s="137"/>
      <c r="P187" s="140">
        <f t="shared" si="99"/>
        <v>0</v>
      </c>
      <c r="Q187" s="135"/>
      <c r="R187" s="104">
        <f t="shared" si="100"/>
        <v>5.6715999999999998</v>
      </c>
      <c r="S187" s="137"/>
      <c r="T187" s="141">
        <f t="shared" si="101"/>
        <v>1.4178999999999995</v>
      </c>
      <c r="U187" s="199">
        <f t="shared" si="102"/>
        <v>2.6955250000000017</v>
      </c>
      <c r="V187" s="37" t="str">
        <f t="shared" si="103"/>
        <v>ok</v>
      </c>
      <c r="W187" s="37" t="str">
        <f t="shared" si="104"/>
        <v>ok</v>
      </c>
      <c r="X187" s="278">
        <f t="shared" si="72"/>
        <v>0.67784334523507161</v>
      </c>
      <c r="Y187" s="278">
        <f t="shared" si="73"/>
        <v>1</v>
      </c>
      <c r="Z187" s="278">
        <f t="shared" si="74"/>
        <v>0.8</v>
      </c>
    </row>
    <row r="188" spans="1:26" x14ac:dyDescent="0.25">
      <c r="A188" s="420"/>
      <c r="B188" s="178" t="s">
        <v>22</v>
      </c>
      <c r="C188" s="129">
        <v>13</v>
      </c>
      <c r="D188" s="239">
        <f>DMG_9*CMD_9</f>
        <v>6.7554500000000006</v>
      </c>
      <c r="E188" s="131">
        <f>OMG_9*CMO_9</f>
        <v>9.0229999999999997</v>
      </c>
      <c r="F188" s="132">
        <f t="shared" si="70"/>
        <v>7.2183999999999999</v>
      </c>
      <c r="G188" s="133">
        <f t="shared" si="71"/>
        <v>1.8045999999999995</v>
      </c>
      <c r="H188" s="134">
        <f t="shared" si="95"/>
        <v>6.7554500000000006</v>
      </c>
      <c r="I188" s="135"/>
      <c r="J188" s="136">
        <f t="shared" si="96"/>
        <v>0</v>
      </c>
      <c r="K188" s="137"/>
      <c r="L188" s="138">
        <f t="shared" si="97"/>
        <v>0</v>
      </c>
      <c r="M188" s="137"/>
      <c r="N188" s="139">
        <f t="shared" si="98"/>
        <v>0.46294999999999931</v>
      </c>
      <c r="O188" s="137"/>
      <c r="P188" s="140">
        <f t="shared" si="99"/>
        <v>1.8045999999999995</v>
      </c>
      <c r="Q188" s="135"/>
      <c r="R188" s="104">
        <f t="shared" si="100"/>
        <v>6.7554500000000006</v>
      </c>
      <c r="S188" s="137"/>
      <c r="T188" s="141">
        <f t="shared" si="101"/>
        <v>2.2675499999999991</v>
      </c>
      <c r="U188" s="199">
        <f t="shared" si="102"/>
        <v>0</v>
      </c>
      <c r="V188" s="37" t="str">
        <f t="shared" si="103"/>
        <v>ok</v>
      </c>
      <c r="W188" s="37" t="str">
        <f t="shared" si="104"/>
        <v>ok</v>
      </c>
      <c r="X188" s="278">
        <f t="shared" si="72"/>
        <v>1</v>
      </c>
      <c r="Y188" s="278">
        <f t="shared" si="73"/>
        <v>0.93586528870663865</v>
      </c>
      <c r="Z188" s="278">
        <f t="shared" si="74"/>
        <v>0.74869223096531101</v>
      </c>
    </row>
    <row r="189" spans="1:26" x14ac:dyDescent="0.25">
      <c r="A189" s="420"/>
      <c r="B189" s="178" t="s">
        <v>23</v>
      </c>
      <c r="C189" s="129">
        <v>14</v>
      </c>
      <c r="D189" s="239">
        <f>DMG_10*CMD_9</f>
        <v>12.8687</v>
      </c>
      <c r="E189" s="131">
        <f>OMG_10*CMO_9</f>
        <v>12.2455</v>
      </c>
      <c r="F189" s="132">
        <f t="shared" si="70"/>
        <v>9.7964000000000002</v>
      </c>
      <c r="G189" s="133">
        <f t="shared" si="71"/>
        <v>2.4490999999999996</v>
      </c>
      <c r="H189" s="134">
        <f t="shared" si="95"/>
        <v>12.2455</v>
      </c>
      <c r="I189" s="135"/>
      <c r="J189" s="136">
        <f t="shared" si="96"/>
        <v>0.62320000000000064</v>
      </c>
      <c r="K189" s="137"/>
      <c r="L189" s="138">
        <f t="shared" si="97"/>
        <v>2.4490999999999996</v>
      </c>
      <c r="M189" s="137"/>
      <c r="N189" s="139">
        <f t="shared" si="98"/>
        <v>0</v>
      </c>
      <c r="O189" s="137"/>
      <c r="P189" s="140">
        <f t="shared" si="99"/>
        <v>0</v>
      </c>
      <c r="Q189" s="135"/>
      <c r="R189" s="104">
        <f t="shared" si="100"/>
        <v>9.7964000000000002</v>
      </c>
      <c r="S189" s="137"/>
      <c r="T189" s="141">
        <f t="shared" si="101"/>
        <v>2.4490999999999996</v>
      </c>
      <c r="U189" s="199">
        <f t="shared" si="102"/>
        <v>3.0723000000000003</v>
      </c>
      <c r="V189" s="37" t="str">
        <f t="shared" si="103"/>
        <v>ok</v>
      </c>
      <c r="W189" s="37" t="str">
        <f t="shared" si="104"/>
        <v>ok</v>
      </c>
      <c r="X189" s="278">
        <f t="shared" si="72"/>
        <v>0.76125793592204338</v>
      </c>
      <c r="Y189" s="278">
        <f t="shared" si="73"/>
        <v>1</v>
      </c>
      <c r="Z189" s="278">
        <f t="shared" si="74"/>
        <v>0.8</v>
      </c>
    </row>
    <row r="190" spans="1:26" x14ac:dyDescent="0.25">
      <c r="A190" s="420"/>
      <c r="B190" s="178" t="s">
        <v>19</v>
      </c>
      <c r="C190" s="129">
        <v>17</v>
      </c>
      <c r="D190" s="239">
        <f>DMG_11*CMD_9</f>
        <v>11.182925000000001</v>
      </c>
      <c r="E190" s="131">
        <f>OMG_11*CMO_9</f>
        <v>19.334999999999997</v>
      </c>
      <c r="F190" s="132">
        <f t="shared" si="70"/>
        <v>15.467999999999998</v>
      </c>
      <c r="G190" s="133">
        <f t="shared" si="71"/>
        <v>3.8669999999999987</v>
      </c>
      <c r="H190" s="134">
        <f t="shared" si="95"/>
        <v>11.182925000000001</v>
      </c>
      <c r="I190" s="135"/>
      <c r="J190" s="136">
        <f t="shared" si="96"/>
        <v>0</v>
      </c>
      <c r="K190" s="137"/>
      <c r="L190" s="138">
        <f t="shared" si="97"/>
        <v>0</v>
      </c>
      <c r="M190" s="137"/>
      <c r="N190" s="139">
        <f t="shared" si="98"/>
        <v>4.2850749999999973</v>
      </c>
      <c r="O190" s="137"/>
      <c r="P190" s="140">
        <f t="shared" si="99"/>
        <v>3.8669999999999987</v>
      </c>
      <c r="Q190" s="135"/>
      <c r="R190" s="104">
        <f t="shared" si="100"/>
        <v>11.182925000000001</v>
      </c>
      <c r="S190" s="137"/>
      <c r="T190" s="141">
        <f t="shared" si="101"/>
        <v>8.1520749999999964</v>
      </c>
      <c r="U190" s="199">
        <f t="shared" si="102"/>
        <v>0</v>
      </c>
      <c r="V190" s="37" t="str">
        <f t="shared" si="103"/>
        <v>ok</v>
      </c>
      <c r="W190" s="37" t="str">
        <f t="shared" si="104"/>
        <v>ok</v>
      </c>
      <c r="X190" s="278">
        <f t="shared" si="72"/>
        <v>1</v>
      </c>
      <c r="Y190" s="278">
        <f t="shared" si="73"/>
        <v>0.72297161882596339</v>
      </c>
      <c r="Z190" s="278">
        <f t="shared" si="74"/>
        <v>0.57837729506077074</v>
      </c>
    </row>
    <row r="191" spans="1:26" x14ac:dyDescent="0.25">
      <c r="A191" s="420"/>
      <c r="B191" s="178" t="s">
        <v>20</v>
      </c>
      <c r="C191" s="129">
        <v>18</v>
      </c>
      <c r="D191" s="239">
        <f>DMG_12*CMD_9</f>
        <v>8.7808500000000009</v>
      </c>
      <c r="E191" s="131">
        <f>OMG_12*CMO_9</f>
        <v>14.823499999999999</v>
      </c>
      <c r="F191" s="132">
        <f t="shared" si="70"/>
        <v>11.8588</v>
      </c>
      <c r="G191" s="133">
        <f t="shared" si="71"/>
        <v>2.9646999999999992</v>
      </c>
      <c r="H191" s="134">
        <f t="shared" si="95"/>
        <v>8.7808500000000009</v>
      </c>
      <c r="I191" s="135"/>
      <c r="J191" s="136">
        <f t="shared" si="96"/>
        <v>0</v>
      </c>
      <c r="K191" s="137"/>
      <c r="L191" s="138">
        <f t="shared" si="97"/>
        <v>0</v>
      </c>
      <c r="M191" s="137"/>
      <c r="N191" s="139">
        <f t="shared" si="98"/>
        <v>3.0779499999999995</v>
      </c>
      <c r="O191" s="137"/>
      <c r="P191" s="140">
        <f t="shared" si="99"/>
        <v>2.9646999999999992</v>
      </c>
      <c r="Q191" s="135"/>
      <c r="R191" s="104">
        <f t="shared" si="100"/>
        <v>8.7808500000000009</v>
      </c>
      <c r="S191" s="137"/>
      <c r="T191" s="141">
        <f t="shared" si="101"/>
        <v>6.0426499999999983</v>
      </c>
      <c r="U191" s="199">
        <f t="shared" si="102"/>
        <v>0</v>
      </c>
      <c r="V191" s="37" t="str">
        <f t="shared" si="103"/>
        <v>ok</v>
      </c>
      <c r="W191" s="37" t="str">
        <f t="shared" si="104"/>
        <v>ok</v>
      </c>
      <c r="X191" s="278">
        <f t="shared" si="72"/>
        <v>1</v>
      </c>
      <c r="Y191" s="278">
        <f t="shared" si="73"/>
        <v>0.74045012986136882</v>
      </c>
      <c r="Z191" s="278">
        <f t="shared" si="74"/>
        <v>0.5923601038890951</v>
      </c>
    </row>
    <row r="192" spans="1:26" x14ac:dyDescent="0.25">
      <c r="A192" s="420"/>
      <c r="B192" s="178" t="s">
        <v>21</v>
      </c>
      <c r="C192" s="129">
        <v>19</v>
      </c>
      <c r="D192" s="239">
        <f>DMG_13*CMD_9</f>
        <v>3.8408500000000001</v>
      </c>
      <c r="E192" s="131">
        <f>OMG_13*CMO_9</f>
        <v>7.0894999999999992</v>
      </c>
      <c r="F192" s="132">
        <f t="shared" si="70"/>
        <v>5.6715999999999998</v>
      </c>
      <c r="G192" s="133">
        <f t="shared" si="71"/>
        <v>1.4178999999999995</v>
      </c>
      <c r="H192" s="134">
        <f t="shared" si="95"/>
        <v>3.8408500000000001</v>
      </c>
      <c r="I192" s="135"/>
      <c r="J192" s="136">
        <f t="shared" si="96"/>
        <v>0</v>
      </c>
      <c r="K192" s="137"/>
      <c r="L192" s="138">
        <f t="shared" si="97"/>
        <v>0</v>
      </c>
      <c r="M192" s="137"/>
      <c r="N192" s="139">
        <f t="shared" si="98"/>
        <v>1.8307499999999997</v>
      </c>
      <c r="O192" s="137"/>
      <c r="P192" s="140">
        <f t="shared" si="99"/>
        <v>1.4178999999999995</v>
      </c>
      <c r="Q192" s="135"/>
      <c r="R192" s="104">
        <f t="shared" si="100"/>
        <v>3.8408500000000001</v>
      </c>
      <c r="S192" s="137"/>
      <c r="T192" s="141">
        <f t="shared" si="101"/>
        <v>3.2486499999999991</v>
      </c>
      <c r="U192" s="199">
        <f t="shared" si="102"/>
        <v>0</v>
      </c>
      <c r="V192" s="37" t="str">
        <f t="shared" si="103"/>
        <v>ok</v>
      </c>
      <c r="W192" s="37" t="str">
        <f t="shared" si="104"/>
        <v>ok</v>
      </c>
      <c r="X192" s="278">
        <f t="shared" si="72"/>
        <v>1</v>
      </c>
      <c r="Y192" s="278">
        <f t="shared" si="73"/>
        <v>0.67720748994992597</v>
      </c>
      <c r="Z192" s="278">
        <f t="shared" si="74"/>
        <v>0.5417659919599408</v>
      </c>
    </row>
    <row r="193" spans="1:26" x14ac:dyDescent="0.25">
      <c r="A193" s="420"/>
      <c r="B193" s="178" t="s">
        <v>22</v>
      </c>
      <c r="C193" s="129">
        <v>20</v>
      </c>
      <c r="D193" s="239">
        <f>DMG_14*CMD_9</f>
        <v>2.6799500000000003</v>
      </c>
      <c r="E193" s="131">
        <f>OMG_14*CMO_9</f>
        <v>11.923249999999999</v>
      </c>
      <c r="F193" s="132">
        <f t="shared" si="70"/>
        <v>9.5386000000000006</v>
      </c>
      <c r="G193" s="133">
        <f t="shared" si="71"/>
        <v>2.3846499999999993</v>
      </c>
      <c r="H193" s="134">
        <f t="shared" si="95"/>
        <v>2.6799500000000003</v>
      </c>
      <c r="I193" s="135"/>
      <c r="J193" s="136">
        <f t="shared" si="96"/>
        <v>0</v>
      </c>
      <c r="K193" s="137"/>
      <c r="L193" s="138">
        <f t="shared" si="97"/>
        <v>0</v>
      </c>
      <c r="M193" s="137"/>
      <c r="N193" s="139">
        <f t="shared" si="98"/>
        <v>6.8586500000000008</v>
      </c>
      <c r="O193" s="137"/>
      <c r="P193" s="140">
        <f t="shared" si="99"/>
        <v>2.3846499999999993</v>
      </c>
      <c r="Q193" s="135"/>
      <c r="R193" s="104">
        <f t="shared" si="100"/>
        <v>2.6799500000000003</v>
      </c>
      <c r="S193" s="137"/>
      <c r="T193" s="141">
        <f t="shared" si="101"/>
        <v>9.2432999999999996</v>
      </c>
      <c r="U193" s="199">
        <f t="shared" si="102"/>
        <v>0</v>
      </c>
      <c r="V193" s="37" t="str">
        <f t="shared" si="103"/>
        <v>ok</v>
      </c>
      <c r="W193" s="37" t="str">
        <f t="shared" si="104"/>
        <v>ok</v>
      </c>
      <c r="X193" s="278">
        <f t="shared" si="72"/>
        <v>1</v>
      </c>
      <c r="Y193" s="278">
        <f t="shared" si="73"/>
        <v>0.2809584215712998</v>
      </c>
      <c r="Z193" s="278">
        <f t="shared" si="74"/>
        <v>0.22476673725703986</v>
      </c>
    </row>
    <row r="194" spans="1:26" x14ac:dyDescent="0.25">
      <c r="A194" s="420"/>
      <c r="B194" s="178" t="s">
        <v>23</v>
      </c>
      <c r="C194" s="129">
        <v>21</v>
      </c>
      <c r="D194" s="239">
        <f>DMG_15*CMD_9</f>
        <v>5.5575000000000001</v>
      </c>
      <c r="E194" s="131">
        <f>OMG_15*CMO_9</f>
        <v>14.178999999999998</v>
      </c>
      <c r="F194" s="132">
        <f t="shared" si="70"/>
        <v>11.3432</v>
      </c>
      <c r="G194" s="133">
        <f t="shared" si="71"/>
        <v>2.835799999999999</v>
      </c>
      <c r="H194" s="134">
        <f t="shared" si="95"/>
        <v>5.5575000000000001</v>
      </c>
      <c r="I194" s="135"/>
      <c r="J194" s="136">
        <f t="shared" si="96"/>
        <v>0</v>
      </c>
      <c r="K194" s="137"/>
      <c r="L194" s="138">
        <f t="shared" si="97"/>
        <v>0</v>
      </c>
      <c r="M194" s="137"/>
      <c r="N194" s="139">
        <f t="shared" si="98"/>
        <v>5.7856999999999994</v>
      </c>
      <c r="O194" s="137"/>
      <c r="P194" s="140">
        <f t="shared" si="99"/>
        <v>2.835799999999999</v>
      </c>
      <c r="Q194" s="135"/>
      <c r="R194" s="104">
        <f t="shared" si="100"/>
        <v>5.5575000000000001</v>
      </c>
      <c r="S194" s="137"/>
      <c r="T194" s="141">
        <f t="shared" si="101"/>
        <v>8.6214999999999975</v>
      </c>
      <c r="U194" s="199">
        <f t="shared" si="102"/>
        <v>0</v>
      </c>
      <c r="V194" s="37" t="str">
        <f t="shared" si="103"/>
        <v>ok</v>
      </c>
      <c r="W194" s="37" t="str">
        <f t="shared" si="104"/>
        <v>ok</v>
      </c>
      <c r="X194" s="278">
        <f t="shared" si="72"/>
        <v>1</v>
      </c>
      <c r="Y194" s="278">
        <f t="shared" si="73"/>
        <v>0.48994111009239016</v>
      </c>
      <c r="Z194" s="278">
        <f t="shared" si="74"/>
        <v>0.39195288807391215</v>
      </c>
    </row>
    <row r="195" spans="1:26" x14ac:dyDescent="0.25">
      <c r="A195" s="420"/>
      <c r="B195" s="178" t="s">
        <v>19</v>
      </c>
      <c r="C195" s="129">
        <v>24</v>
      </c>
      <c r="D195" s="239">
        <f>DMG_16*CMD_9</f>
        <v>22.304100000000002</v>
      </c>
      <c r="E195" s="131">
        <f>OMG_16*CMO_9</f>
        <v>15.951374999999999</v>
      </c>
      <c r="F195" s="132">
        <f t="shared" si="70"/>
        <v>12.761099999999999</v>
      </c>
      <c r="G195" s="133">
        <f t="shared" si="71"/>
        <v>3.1902749999999989</v>
      </c>
      <c r="H195" s="134">
        <f t="shared" si="95"/>
        <v>15.951374999999999</v>
      </c>
      <c r="I195" s="135"/>
      <c r="J195" s="136">
        <f t="shared" si="96"/>
        <v>6.3527250000000031</v>
      </c>
      <c r="K195" s="137"/>
      <c r="L195" s="138">
        <f t="shared" si="97"/>
        <v>3.1902749999999989</v>
      </c>
      <c r="M195" s="137"/>
      <c r="N195" s="139">
        <f t="shared" si="98"/>
        <v>0</v>
      </c>
      <c r="O195" s="137"/>
      <c r="P195" s="140">
        <f t="shared" si="99"/>
        <v>0</v>
      </c>
      <c r="Q195" s="135"/>
      <c r="R195" s="104">
        <f t="shared" si="100"/>
        <v>12.761099999999999</v>
      </c>
      <c r="S195" s="137"/>
      <c r="T195" s="141">
        <f t="shared" si="101"/>
        <v>3.1902749999999989</v>
      </c>
      <c r="U195" s="199">
        <f t="shared" si="102"/>
        <v>9.5430000000000028</v>
      </c>
      <c r="V195" s="37" t="str">
        <f t="shared" si="103"/>
        <v>ok</v>
      </c>
      <c r="W195" s="37" t="str">
        <f t="shared" si="104"/>
        <v>ok</v>
      </c>
      <c r="X195" s="278">
        <f t="shared" si="72"/>
        <v>0.57214144484646312</v>
      </c>
      <c r="Y195" s="278">
        <f t="shared" si="73"/>
        <v>1</v>
      </c>
      <c r="Z195" s="278">
        <f t="shared" si="74"/>
        <v>0.8</v>
      </c>
    </row>
    <row r="196" spans="1:26" x14ac:dyDescent="0.25">
      <c r="A196" s="420"/>
      <c r="B196" s="178" t="s">
        <v>20</v>
      </c>
      <c r="C196" s="129">
        <v>25</v>
      </c>
      <c r="D196" s="239">
        <f>DMG_17*CMD_9</f>
        <v>18.154500000000002</v>
      </c>
      <c r="E196" s="131">
        <f>OMG_17*CMO_9</f>
        <v>10.10576</v>
      </c>
      <c r="F196" s="132">
        <f t="shared" si="70"/>
        <v>8.0846080000000011</v>
      </c>
      <c r="G196" s="133">
        <f t="shared" si="71"/>
        <v>2.0211519999999994</v>
      </c>
      <c r="H196" s="134">
        <f t="shared" si="95"/>
        <v>10.10576</v>
      </c>
      <c r="I196" s="135"/>
      <c r="J196" s="136">
        <f t="shared" si="96"/>
        <v>8.0487400000000022</v>
      </c>
      <c r="K196" s="137"/>
      <c r="L196" s="138">
        <f t="shared" si="97"/>
        <v>2.0211519999999994</v>
      </c>
      <c r="M196" s="137"/>
      <c r="N196" s="139">
        <f t="shared" si="98"/>
        <v>0</v>
      </c>
      <c r="O196" s="137"/>
      <c r="P196" s="140">
        <f t="shared" si="99"/>
        <v>0</v>
      </c>
      <c r="Q196" s="135"/>
      <c r="R196" s="104">
        <f t="shared" si="100"/>
        <v>8.0846080000000011</v>
      </c>
      <c r="S196" s="137"/>
      <c r="T196" s="141">
        <f t="shared" si="101"/>
        <v>2.0211519999999994</v>
      </c>
      <c r="U196" s="199">
        <f t="shared" si="102"/>
        <v>10.069892000000001</v>
      </c>
      <c r="V196" s="37" t="str">
        <f t="shared" si="103"/>
        <v>ok</v>
      </c>
      <c r="W196" s="37" t="str">
        <f t="shared" si="104"/>
        <v>ok</v>
      </c>
      <c r="X196" s="278">
        <f t="shared" si="72"/>
        <v>0.44532253711201081</v>
      </c>
      <c r="Y196" s="278">
        <f t="shared" si="73"/>
        <v>1</v>
      </c>
      <c r="Z196" s="278">
        <f t="shared" si="74"/>
        <v>0.80000000000000016</v>
      </c>
    </row>
    <row r="197" spans="1:26" x14ac:dyDescent="0.25">
      <c r="A197" s="420"/>
      <c r="B197" s="178" t="s">
        <v>21</v>
      </c>
      <c r="C197" s="129">
        <v>26</v>
      </c>
      <c r="D197" s="239">
        <f>DMG_18*CMD_9</f>
        <v>10.460450000000002</v>
      </c>
      <c r="E197" s="131">
        <f>OMG_18*CMO_9</f>
        <v>4.7886349999999993</v>
      </c>
      <c r="F197" s="132">
        <f t="shared" ref="F197:F260" si="105">E197*TC</f>
        <v>3.8309079999999995</v>
      </c>
      <c r="G197" s="133">
        <f t="shared" ref="G197:G260" si="106">E197*(1-TC)</f>
        <v>0.95772699999999966</v>
      </c>
      <c r="H197" s="134">
        <f t="shared" si="95"/>
        <v>4.7886349999999993</v>
      </c>
      <c r="I197" s="135"/>
      <c r="J197" s="136">
        <f t="shared" si="96"/>
        <v>5.6718150000000023</v>
      </c>
      <c r="K197" s="137"/>
      <c r="L197" s="138">
        <f t="shared" si="97"/>
        <v>0.95772699999999966</v>
      </c>
      <c r="M197" s="137"/>
      <c r="N197" s="139">
        <f t="shared" si="98"/>
        <v>0</v>
      </c>
      <c r="O197" s="137"/>
      <c r="P197" s="140">
        <f t="shared" si="99"/>
        <v>0</v>
      </c>
      <c r="Q197" s="135"/>
      <c r="R197" s="104">
        <f t="shared" si="100"/>
        <v>3.8309079999999995</v>
      </c>
      <c r="S197" s="137"/>
      <c r="T197" s="141">
        <f t="shared" si="101"/>
        <v>0.95772699999999966</v>
      </c>
      <c r="U197" s="199">
        <f t="shared" si="102"/>
        <v>6.6295420000000016</v>
      </c>
      <c r="V197" s="37" t="str">
        <f t="shared" si="103"/>
        <v>ok</v>
      </c>
      <c r="W197" s="37" t="str">
        <f t="shared" si="104"/>
        <v>ok</v>
      </c>
      <c r="X197" s="278">
        <f t="shared" si="72"/>
        <v>0.36622783914649931</v>
      </c>
      <c r="Y197" s="278">
        <f t="shared" si="73"/>
        <v>1</v>
      </c>
      <c r="Z197" s="278">
        <f t="shared" si="74"/>
        <v>0.8</v>
      </c>
    </row>
    <row r="198" spans="1:26" x14ac:dyDescent="0.25">
      <c r="A198" s="420"/>
      <c r="B198" s="178" t="s">
        <v>22</v>
      </c>
      <c r="C198" s="129">
        <v>27</v>
      </c>
      <c r="D198" s="239">
        <f>DMG_19*CMD_9</f>
        <v>8.564725000000001</v>
      </c>
      <c r="E198" s="131">
        <f>OMG_19*CMO_9</f>
        <v>6.3805499999999995</v>
      </c>
      <c r="F198" s="132">
        <f t="shared" si="105"/>
        <v>5.1044400000000003</v>
      </c>
      <c r="G198" s="133">
        <f t="shared" si="106"/>
        <v>1.2761099999999996</v>
      </c>
      <c r="H198" s="134">
        <f t="shared" si="95"/>
        <v>6.3805499999999995</v>
      </c>
      <c r="I198" s="135"/>
      <c r="J198" s="136">
        <f t="shared" si="96"/>
        <v>2.1841750000000015</v>
      </c>
      <c r="K198" s="137"/>
      <c r="L198" s="138">
        <f t="shared" si="97"/>
        <v>1.2761099999999996</v>
      </c>
      <c r="M198" s="137"/>
      <c r="N198" s="139">
        <f t="shared" si="98"/>
        <v>0</v>
      </c>
      <c r="O198" s="137"/>
      <c r="P198" s="140">
        <f t="shared" si="99"/>
        <v>0</v>
      </c>
      <c r="Q198" s="135"/>
      <c r="R198" s="104">
        <f t="shared" si="100"/>
        <v>5.1044400000000003</v>
      </c>
      <c r="S198" s="137"/>
      <c r="T198" s="141">
        <f t="shared" si="101"/>
        <v>1.2761099999999996</v>
      </c>
      <c r="U198" s="199">
        <f t="shared" si="102"/>
        <v>3.4602850000000012</v>
      </c>
      <c r="V198" s="37" t="str">
        <f t="shared" si="103"/>
        <v>ok</v>
      </c>
      <c r="W198" s="37" t="str">
        <f t="shared" si="104"/>
        <v>ok</v>
      </c>
      <c r="X198" s="278">
        <f t="shared" ref="X198:X261" si="107">R198/D198</f>
        <v>0.5959841092387671</v>
      </c>
      <c r="Y198" s="278">
        <f t="shared" ref="Y198:Y261" si="108">R198/F198</f>
        <v>1</v>
      </c>
      <c r="Z198" s="278">
        <f t="shared" ref="Z198:Z261" si="109">R198/E198</f>
        <v>0.80000000000000016</v>
      </c>
    </row>
    <row r="199" spans="1:26" ht="15.75" thickBot="1" x14ac:dyDescent="0.3">
      <c r="A199" s="421"/>
      <c r="B199" s="180" t="s">
        <v>23</v>
      </c>
      <c r="C199" s="237">
        <v>28</v>
      </c>
      <c r="D199" s="240">
        <f>DMG_20*CMD_9</f>
        <v>16.085875000000001</v>
      </c>
      <c r="E199" s="203">
        <f>OMG_20*CMO_9</f>
        <v>10.10576</v>
      </c>
      <c r="F199" s="204">
        <f t="shared" si="105"/>
        <v>8.0846080000000011</v>
      </c>
      <c r="G199" s="205">
        <f t="shared" si="106"/>
        <v>2.0211519999999994</v>
      </c>
      <c r="H199" s="206">
        <f t="shared" si="95"/>
        <v>10.10576</v>
      </c>
      <c r="I199" s="207"/>
      <c r="J199" s="208">
        <f t="shared" si="96"/>
        <v>5.9801150000000014</v>
      </c>
      <c r="K199" s="209"/>
      <c r="L199" s="210">
        <f t="shared" si="97"/>
        <v>2.0211519999999994</v>
      </c>
      <c r="M199" s="209"/>
      <c r="N199" s="211">
        <f t="shared" si="98"/>
        <v>0</v>
      </c>
      <c r="O199" s="209"/>
      <c r="P199" s="212">
        <f t="shared" si="99"/>
        <v>0</v>
      </c>
      <c r="Q199" s="207"/>
      <c r="R199" s="213">
        <f t="shared" si="100"/>
        <v>8.0846080000000011</v>
      </c>
      <c r="S199" s="209"/>
      <c r="T199" s="214">
        <f t="shared" si="101"/>
        <v>2.0211519999999994</v>
      </c>
      <c r="U199" s="215">
        <f t="shared" si="102"/>
        <v>8.0012670000000004</v>
      </c>
      <c r="V199" s="37" t="str">
        <f t="shared" si="103"/>
        <v>ok</v>
      </c>
      <c r="W199" s="37" t="str">
        <f t="shared" si="104"/>
        <v>ok</v>
      </c>
      <c r="X199" s="278">
        <f t="shared" si="107"/>
        <v>0.50259050253716386</v>
      </c>
      <c r="Y199" s="278">
        <f t="shared" si="108"/>
        <v>1</v>
      </c>
      <c r="Z199" s="278">
        <f t="shared" si="109"/>
        <v>0.80000000000000016</v>
      </c>
    </row>
    <row r="200" spans="1:26" x14ac:dyDescent="0.25">
      <c r="A200" s="419" t="s">
        <v>98</v>
      </c>
      <c r="B200" s="176" t="s">
        <v>19</v>
      </c>
      <c r="C200" s="177">
        <v>1</v>
      </c>
      <c r="D200" s="184">
        <f>DMG_1*CMD_10</f>
        <v>8.3758750000000006</v>
      </c>
      <c r="E200" s="185">
        <f>OMG_1*CMO_10</f>
        <v>19.987499999999997</v>
      </c>
      <c r="F200" s="186">
        <f t="shared" si="105"/>
        <v>15.989999999999998</v>
      </c>
      <c r="G200" s="187">
        <f t="shared" si="106"/>
        <v>3.9974999999999987</v>
      </c>
      <c r="H200" s="188">
        <f>IF(E200&gt;D200,D200,E200)</f>
        <v>8.3758750000000006</v>
      </c>
      <c r="I200" s="189"/>
      <c r="J200" s="190">
        <f>IF(E200&gt;D200,0,D200-E200)</f>
        <v>0</v>
      </c>
      <c r="K200" s="191"/>
      <c r="L200" s="192">
        <f>IF(E200&gt;D200,IF(F200&gt;H200,0,H200-F200),G200)</f>
        <v>0</v>
      </c>
      <c r="M200" s="191"/>
      <c r="N200" s="193">
        <f>IF(E200&gt;D200,IF(F200&gt;H200,F200-H200,0),0)</f>
        <v>7.6141249999999978</v>
      </c>
      <c r="O200" s="191"/>
      <c r="P200" s="194">
        <f>IF(E200&gt;D200,IF(F200&gt;H200,G200,E200-H200),0)</f>
        <v>3.9974999999999987</v>
      </c>
      <c r="Q200" s="189"/>
      <c r="R200" s="195">
        <f>H200-L200</f>
        <v>8.3758750000000006</v>
      </c>
      <c r="S200" s="191"/>
      <c r="T200" s="196">
        <f>L200+N200+P200</f>
        <v>11.611624999999997</v>
      </c>
      <c r="U200" s="197">
        <f>J200+L200</f>
        <v>0</v>
      </c>
      <c r="V200" s="37" t="str">
        <f>IF(R200+T200=E200,"ok","bad")</f>
        <v>ok</v>
      </c>
      <c r="W200" s="37" t="str">
        <f>IF(U200+R200=D200,"ok","bad")</f>
        <v>ok</v>
      </c>
      <c r="X200" s="278">
        <f t="shared" si="107"/>
        <v>1</v>
      </c>
      <c r="Y200" s="278">
        <f t="shared" si="108"/>
        <v>0.52381957473420893</v>
      </c>
      <c r="Z200" s="278">
        <f t="shared" si="109"/>
        <v>0.4190556597873672</v>
      </c>
    </row>
    <row r="201" spans="1:26" x14ac:dyDescent="0.25">
      <c r="A201" s="420"/>
      <c r="B201" s="178" t="s">
        <v>20</v>
      </c>
      <c r="C201" s="179">
        <v>2</v>
      </c>
      <c r="D201" s="130">
        <f>DMG_2*CMD_10</f>
        <v>6.5767500000000005</v>
      </c>
      <c r="E201" s="131">
        <f>OMG_2*CMO_10</f>
        <v>14.657499999999999</v>
      </c>
      <c r="F201" s="132">
        <f t="shared" si="105"/>
        <v>11.725999999999999</v>
      </c>
      <c r="G201" s="133">
        <f t="shared" si="106"/>
        <v>2.9314999999999993</v>
      </c>
      <c r="H201" s="134">
        <f t="shared" ref="H201:H222" si="110">IF(E201&gt;D201,D201,E201)</f>
        <v>6.5767500000000005</v>
      </c>
      <c r="I201" s="135"/>
      <c r="J201" s="136">
        <f t="shared" ref="J201:J222" si="111">IF(E201&gt;D201,0,D201-E201)</f>
        <v>0</v>
      </c>
      <c r="K201" s="137"/>
      <c r="L201" s="138">
        <f t="shared" ref="L201:L222" si="112">IF(E201&gt;D201,IF(F201&gt;H201,0,H201-F201),G201)</f>
        <v>0</v>
      </c>
      <c r="M201" s="137"/>
      <c r="N201" s="139">
        <f t="shared" ref="N201:N222" si="113">IF(E201&gt;D201,IF(F201&gt;H201,F201-H201,0),0)</f>
        <v>5.1492499999999986</v>
      </c>
      <c r="O201" s="137"/>
      <c r="P201" s="140">
        <f t="shared" ref="P201:P222" si="114">IF(E201&gt;D201,IF(F201&gt;H201,G201,E201-H201),0)</f>
        <v>2.9314999999999993</v>
      </c>
      <c r="Q201" s="135"/>
      <c r="R201" s="104">
        <f t="shared" ref="R201:R222" si="115">H201-L201</f>
        <v>6.5767500000000005</v>
      </c>
      <c r="S201" s="137"/>
      <c r="T201" s="141">
        <f t="shared" ref="T201:T222" si="116">L201+N201+P201</f>
        <v>8.0807499999999983</v>
      </c>
      <c r="U201" s="199">
        <f t="shared" ref="U201:U222" si="117">J201+L201</f>
        <v>0</v>
      </c>
      <c r="V201" s="37" t="str">
        <f t="shared" ref="V201:V222" si="118">IF(R201+T201=E201,"ok","bad")</f>
        <v>ok</v>
      </c>
      <c r="W201" s="37" t="str">
        <f t="shared" ref="W201:W222" si="119">IF(U201+R201=D201,"ok","bad")</f>
        <v>ok</v>
      </c>
      <c r="X201" s="278">
        <f t="shared" si="107"/>
        <v>1</v>
      </c>
      <c r="Y201" s="278">
        <f t="shared" si="108"/>
        <v>0.5608690090397408</v>
      </c>
      <c r="Z201" s="278">
        <f t="shared" si="109"/>
        <v>0.44869520723179268</v>
      </c>
    </row>
    <row r="202" spans="1:26" x14ac:dyDescent="0.25">
      <c r="A202" s="420"/>
      <c r="B202" s="178" t="s">
        <v>21</v>
      </c>
      <c r="C202" s="179">
        <v>3</v>
      </c>
      <c r="D202" s="130">
        <f>DMG_3*CMD_10</f>
        <v>2.8767499999999999</v>
      </c>
      <c r="E202" s="131">
        <f>OMG_3*CMO_10</f>
        <v>5.996249999999999</v>
      </c>
      <c r="F202" s="132">
        <f t="shared" si="105"/>
        <v>4.7969999999999997</v>
      </c>
      <c r="G202" s="133">
        <f t="shared" si="106"/>
        <v>1.1992499999999995</v>
      </c>
      <c r="H202" s="134">
        <f t="shared" si="110"/>
        <v>2.8767499999999999</v>
      </c>
      <c r="I202" s="135"/>
      <c r="J202" s="136">
        <f t="shared" si="111"/>
        <v>0</v>
      </c>
      <c r="K202" s="137"/>
      <c r="L202" s="138">
        <f t="shared" si="112"/>
        <v>0</v>
      </c>
      <c r="M202" s="137"/>
      <c r="N202" s="139">
        <f t="shared" si="113"/>
        <v>1.9202499999999998</v>
      </c>
      <c r="O202" s="137"/>
      <c r="P202" s="140">
        <f t="shared" si="114"/>
        <v>1.1992499999999995</v>
      </c>
      <c r="Q202" s="135"/>
      <c r="R202" s="104">
        <f t="shared" si="115"/>
        <v>2.8767499999999999</v>
      </c>
      <c r="S202" s="137"/>
      <c r="T202" s="141">
        <f t="shared" si="116"/>
        <v>3.1194999999999995</v>
      </c>
      <c r="U202" s="199">
        <f t="shared" si="117"/>
        <v>0</v>
      </c>
      <c r="V202" s="37" t="str">
        <f t="shared" si="118"/>
        <v>ok</v>
      </c>
      <c r="W202" s="37" t="str">
        <f t="shared" si="119"/>
        <v>ok</v>
      </c>
      <c r="X202" s="278">
        <f t="shared" si="107"/>
        <v>1</v>
      </c>
      <c r="Y202" s="278">
        <f t="shared" si="108"/>
        <v>0.5996977277465082</v>
      </c>
      <c r="Z202" s="278">
        <f t="shared" si="109"/>
        <v>0.47975818219720667</v>
      </c>
    </row>
    <row r="203" spans="1:26" x14ac:dyDescent="0.25">
      <c r="A203" s="420"/>
      <c r="B203" s="178" t="s">
        <v>22</v>
      </c>
      <c r="C203" s="179">
        <v>4</v>
      </c>
      <c r="D203" s="130">
        <f>DMG_4*CMD_10</f>
        <v>2.00725</v>
      </c>
      <c r="E203" s="131">
        <f>OMG_4*CMO_10</f>
        <v>8.9943749999999998</v>
      </c>
      <c r="F203" s="132">
        <f t="shared" si="105"/>
        <v>7.1955</v>
      </c>
      <c r="G203" s="133">
        <f t="shared" si="106"/>
        <v>1.7988749999999996</v>
      </c>
      <c r="H203" s="134">
        <f t="shared" si="110"/>
        <v>2.00725</v>
      </c>
      <c r="I203" s="135"/>
      <c r="J203" s="136">
        <f t="shared" si="111"/>
        <v>0</v>
      </c>
      <c r="K203" s="137"/>
      <c r="L203" s="138">
        <f t="shared" si="112"/>
        <v>0</v>
      </c>
      <c r="M203" s="137"/>
      <c r="N203" s="139">
        <f t="shared" si="113"/>
        <v>5.18825</v>
      </c>
      <c r="O203" s="137"/>
      <c r="P203" s="140">
        <f t="shared" si="114"/>
        <v>1.7988749999999996</v>
      </c>
      <c r="Q203" s="135"/>
      <c r="R203" s="104">
        <f t="shared" si="115"/>
        <v>2.00725</v>
      </c>
      <c r="S203" s="137"/>
      <c r="T203" s="141">
        <f t="shared" si="116"/>
        <v>6.9871249999999998</v>
      </c>
      <c r="U203" s="199">
        <f t="shared" si="117"/>
        <v>0</v>
      </c>
      <c r="V203" s="37" t="str">
        <f t="shared" si="118"/>
        <v>ok</v>
      </c>
      <c r="W203" s="37" t="str">
        <f t="shared" si="119"/>
        <v>ok</v>
      </c>
      <c r="X203" s="278">
        <f t="shared" si="107"/>
        <v>1</v>
      </c>
      <c r="Y203" s="278">
        <f t="shared" si="108"/>
        <v>0.27895907164199846</v>
      </c>
      <c r="Z203" s="278">
        <f t="shared" si="109"/>
        <v>0.22316725731359879</v>
      </c>
    </row>
    <row r="204" spans="1:26" x14ac:dyDescent="0.25">
      <c r="A204" s="420"/>
      <c r="B204" s="178" t="s">
        <v>23</v>
      </c>
      <c r="C204" s="179">
        <v>5</v>
      </c>
      <c r="D204" s="130">
        <f>DMG_5*CMD_10</f>
        <v>4.1625000000000005</v>
      </c>
      <c r="E204" s="131">
        <f>OMG_5*CMO_10</f>
        <v>14.657499999999999</v>
      </c>
      <c r="F204" s="132">
        <f t="shared" si="105"/>
        <v>11.725999999999999</v>
      </c>
      <c r="G204" s="133">
        <f t="shared" si="106"/>
        <v>2.9314999999999993</v>
      </c>
      <c r="H204" s="134">
        <f t="shared" si="110"/>
        <v>4.1625000000000005</v>
      </c>
      <c r="I204" s="135"/>
      <c r="J204" s="136">
        <f t="shared" si="111"/>
        <v>0</v>
      </c>
      <c r="K204" s="137"/>
      <c r="L204" s="138">
        <f t="shared" si="112"/>
        <v>0</v>
      </c>
      <c r="M204" s="137"/>
      <c r="N204" s="139">
        <f t="shared" si="113"/>
        <v>7.5634999999999986</v>
      </c>
      <c r="O204" s="137"/>
      <c r="P204" s="140">
        <f t="shared" si="114"/>
        <v>2.9314999999999993</v>
      </c>
      <c r="Q204" s="135"/>
      <c r="R204" s="104">
        <f t="shared" si="115"/>
        <v>4.1625000000000005</v>
      </c>
      <c r="S204" s="137"/>
      <c r="T204" s="141">
        <f t="shared" si="116"/>
        <v>10.494999999999997</v>
      </c>
      <c r="U204" s="199">
        <f t="shared" si="117"/>
        <v>0</v>
      </c>
      <c r="V204" s="37" t="str">
        <f t="shared" si="118"/>
        <v>ok</v>
      </c>
      <c r="W204" s="37" t="str">
        <f t="shared" si="119"/>
        <v>ok</v>
      </c>
      <c r="X204" s="278">
        <f t="shared" si="107"/>
        <v>1</v>
      </c>
      <c r="Y204" s="278">
        <f t="shared" si="108"/>
        <v>0.35498038546819044</v>
      </c>
      <c r="Z204" s="278">
        <f t="shared" si="109"/>
        <v>0.28398430837455235</v>
      </c>
    </row>
    <row r="205" spans="1:26" x14ac:dyDescent="0.25">
      <c r="A205" s="420"/>
      <c r="B205" s="178" t="s">
        <v>19</v>
      </c>
      <c r="C205" s="179">
        <v>8</v>
      </c>
      <c r="D205" s="130">
        <f>DMG_6*CMD_10</f>
        <v>13.366250000000001</v>
      </c>
      <c r="E205" s="131">
        <f>OMG_6*CMO_10</f>
        <v>10.25</v>
      </c>
      <c r="F205" s="132">
        <f t="shared" si="105"/>
        <v>8.2000000000000011</v>
      </c>
      <c r="G205" s="133">
        <f t="shared" si="106"/>
        <v>2.0499999999999994</v>
      </c>
      <c r="H205" s="134">
        <f t="shared" si="110"/>
        <v>10.25</v>
      </c>
      <c r="I205" s="135"/>
      <c r="J205" s="136">
        <f t="shared" si="111"/>
        <v>3.1162500000000009</v>
      </c>
      <c r="K205" s="137"/>
      <c r="L205" s="138">
        <f t="shared" si="112"/>
        <v>2.0499999999999994</v>
      </c>
      <c r="M205" s="137"/>
      <c r="N205" s="139">
        <f t="shared" si="113"/>
        <v>0</v>
      </c>
      <c r="O205" s="137"/>
      <c r="P205" s="140">
        <f t="shared" si="114"/>
        <v>0</v>
      </c>
      <c r="Q205" s="135"/>
      <c r="R205" s="104">
        <f t="shared" si="115"/>
        <v>8.2000000000000011</v>
      </c>
      <c r="S205" s="137"/>
      <c r="T205" s="141">
        <f t="shared" si="116"/>
        <v>2.0499999999999994</v>
      </c>
      <c r="U205" s="199">
        <f t="shared" si="117"/>
        <v>5.1662499999999998</v>
      </c>
      <c r="V205" s="37" t="str">
        <f t="shared" si="118"/>
        <v>ok</v>
      </c>
      <c r="W205" s="37" t="str">
        <f t="shared" si="119"/>
        <v>ok</v>
      </c>
      <c r="X205" s="278">
        <f t="shared" si="107"/>
        <v>0.61348545777611529</v>
      </c>
      <c r="Y205" s="278">
        <f t="shared" si="108"/>
        <v>1</v>
      </c>
      <c r="Z205" s="278">
        <f t="shared" si="109"/>
        <v>0.80000000000000016</v>
      </c>
    </row>
    <row r="206" spans="1:26" x14ac:dyDescent="0.25">
      <c r="A206" s="420"/>
      <c r="B206" s="178" t="s">
        <v>20</v>
      </c>
      <c r="C206" s="179">
        <v>9</v>
      </c>
      <c r="D206" s="130">
        <f>DMG_7*CMD_10</f>
        <v>10.841000000000001</v>
      </c>
      <c r="E206" s="131">
        <f>OMG_7*CMO_10</f>
        <v>10.50625</v>
      </c>
      <c r="F206" s="132">
        <f t="shared" si="105"/>
        <v>8.4049999999999994</v>
      </c>
      <c r="G206" s="133">
        <f t="shared" si="106"/>
        <v>2.1012499999999994</v>
      </c>
      <c r="H206" s="134">
        <f t="shared" si="110"/>
        <v>10.50625</v>
      </c>
      <c r="I206" s="135"/>
      <c r="J206" s="136">
        <f t="shared" si="111"/>
        <v>0.33475000000000144</v>
      </c>
      <c r="K206" s="137"/>
      <c r="L206" s="138">
        <f t="shared" si="112"/>
        <v>2.1012499999999994</v>
      </c>
      <c r="M206" s="137"/>
      <c r="N206" s="139">
        <f t="shared" si="113"/>
        <v>0</v>
      </c>
      <c r="O206" s="137"/>
      <c r="P206" s="140">
        <f t="shared" si="114"/>
        <v>0</v>
      </c>
      <c r="Q206" s="135"/>
      <c r="R206" s="104">
        <f t="shared" si="115"/>
        <v>8.4050000000000011</v>
      </c>
      <c r="S206" s="137"/>
      <c r="T206" s="141">
        <f t="shared" si="116"/>
        <v>2.1012499999999994</v>
      </c>
      <c r="U206" s="199">
        <f t="shared" si="117"/>
        <v>2.4360000000000008</v>
      </c>
      <c r="V206" s="37" t="str">
        <f t="shared" si="118"/>
        <v>ok</v>
      </c>
      <c r="W206" s="37" t="str">
        <f t="shared" si="119"/>
        <v>ok</v>
      </c>
      <c r="X206" s="278">
        <f t="shared" si="107"/>
        <v>0.77529748178212343</v>
      </c>
      <c r="Y206" s="278">
        <f t="shared" si="108"/>
        <v>1.0000000000000002</v>
      </c>
      <c r="Z206" s="278">
        <f t="shared" si="109"/>
        <v>0.80000000000000016</v>
      </c>
    </row>
    <row r="207" spans="1:26" x14ac:dyDescent="0.25">
      <c r="A207" s="420"/>
      <c r="B207" s="178" t="s">
        <v>21</v>
      </c>
      <c r="C207" s="179">
        <v>10</v>
      </c>
      <c r="D207" s="130">
        <f>DMG_8*CMD_10</f>
        <v>6.2668750000000006</v>
      </c>
      <c r="E207" s="131">
        <f>OMG_8*CMO_10</f>
        <v>5.6374999999999993</v>
      </c>
      <c r="F207" s="132">
        <f t="shared" si="105"/>
        <v>4.51</v>
      </c>
      <c r="G207" s="133">
        <f t="shared" si="106"/>
        <v>1.1274999999999995</v>
      </c>
      <c r="H207" s="134">
        <f t="shared" si="110"/>
        <v>5.6374999999999993</v>
      </c>
      <c r="I207" s="135"/>
      <c r="J207" s="136">
        <f t="shared" si="111"/>
        <v>0.62937500000000135</v>
      </c>
      <c r="K207" s="137"/>
      <c r="L207" s="138">
        <f t="shared" si="112"/>
        <v>1.1274999999999995</v>
      </c>
      <c r="M207" s="137"/>
      <c r="N207" s="139">
        <f t="shared" si="113"/>
        <v>0</v>
      </c>
      <c r="O207" s="137"/>
      <c r="P207" s="140">
        <f t="shared" si="114"/>
        <v>0</v>
      </c>
      <c r="Q207" s="135"/>
      <c r="R207" s="104">
        <f t="shared" si="115"/>
        <v>4.51</v>
      </c>
      <c r="S207" s="137"/>
      <c r="T207" s="141">
        <f t="shared" si="116"/>
        <v>1.1274999999999995</v>
      </c>
      <c r="U207" s="199">
        <f t="shared" si="117"/>
        <v>1.7568750000000009</v>
      </c>
      <c r="V207" s="37" t="str">
        <f t="shared" si="118"/>
        <v>ok</v>
      </c>
      <c r="W207" s="37" t="str">
        <f t="shared" si="119"/>
        <v>ok</v>
      </c>
      <c r="X207" s="278">
        <f t="shared" si="107"/>
        <v>0.71965692629899258</v>
      </c>
      <c r="Y207" s="278">
        <f t="shared" si="108"/>
        <v>1</v>
      </c>
      <c r="Z207" s="278">
        <f t="shared" si="109"/>
        <v>0.8</v>
      </c>
    </row>
    <row r="208" spans="1:26" x14ac:dyDescent="0.25">
      <c r="A208" s="420"/>
      <c r="B208" s="178" t="s">
        <v>22</v>
      </c>
      <c r="C208" s="179">
        <v>11</v>
      </c>
      <c r="D208" s="130">
        <f>DMG_9*CMD_10</f>
        <v>5.0597500000000002</v>
      </c>
      <c r="E208" s="131">
        <f>OMG_9*CMO_10</f>
        <v>7.1749999999999989</v>
      </c>
      <c r="F208" s="132">
        <f t="shared" si="105"/>
        <v>5.7399999999999993</v>
      </c>
      <c r="G208" s="133">
        <f t="shared" si="106"/>
        <v>1.4349999999999994</v>
      </c>
      <c r="H208" s="134">
        <f t="shared" si="110"/>
        <v>5.0597500000000002</v>
      </c>
      <c r="I208" s="135"/>
      <c r="J208" s="136">
        <f t="shared" si="111"/>
        <v>0</v>
      </c>
      <c r="K208" s="137"/>
      <c r="L208" s="138">
        <f t="shared" si="112"/>
        <v>0</v>
      </c>
      <c r="M208" s="137"/>
      <c r="N208" s="139">
        <f t="shared" si="113"/>
        <v>0.68024999999999913</v>
      </c>
      <c r="O208" s="137"/>
      <c r="P208" s="140">
        <f t="shared" si="114"/>
        <v>1.4349999999999994</v>
      </c>
      <c r="Q208" s="135"/>
      <c r="R208" s="104">
        <f t="shared" si="115"/>
        <v>5.0597500000000002</v>
      </c>
      <c r="S208" s="137"/>
      <c r="T208" s="141">
        <f t="shared" si="116"/>
        <v>2.1152499999999987</v>
      </c>
      <c r="U208" s="199">
        <f t="shared" si="117"/>
        <v>0</v>
      </c>
      <c r="V208" s="37" t="str">
        <f t="shared" si="118"/>
        <v>ok</v>
      </c>
      <c r="W208" s="37" t="str">
        <f t="shared" si="119"/>
        <v>ok</v>
      </c>
      <c r="X208" s="278">
        <f t="shared" si="107"/>
        <v>1</v>
      </c>
      <c r="Y208" s="278">
        <f t="shared" si="108"/>
        <v>0.88148954703832771</v>
      </c>
      <c r="Z208" s="278">
        <f t="shared" si="109"/>
        <v>0.70519163763066217</v>
      </c>
    </row>
    <row r="209" spans="1:26" x14ac:dyDescent="0.25">
      <c r="A209" s="420"/>
      <c r="B209" s="178" t="s">
        <v>23</v>
      </c>
      <c r="C209" s="179">
        <v>12</v>
      </c>
      <c r="D209" s="130">
        <f>DMG_10*CMD_10</f>
        <v>9.6385000000000005</v>
      </c>
      <c r="E209" s="131">
        <f>OMG_10*CMO_10</f>
        <v>9.7374999999999989</v>
      </c>
      <c r="F209" s="132">
        <f t="shared" si="105"/>
        <v>7.7899999999999991</v>
      </c>
      <c r="G209" s="133">
        <f t="shared" si="106"/>
        <v>1.9474999999999993</v>
      </c>
      <c r="H209" s="134">
        <f t="shared" si="110"/>
        <v>9.6385000000000005</v>
      </c>
      <c r="I209" s="135"/>
      <c r="J209" s="136">
        <f t="shared" si="111"/>
        <v>0</v>
      </c>
      <c r="K209" s="137"/>
      <c r="L209" s="138">
        <f t="shared" si="112"/>
        <v>1.8485000000000014</v>
      </c>
      <c r="M209" s="137"/>
      <c r="N209" s="139">
        <f t="shared" si="113"/>
        <v>0</v>
      </c>
      <c r="O209" s="137"/>
      <c r="P209" s="140">
        <f t="shared" si="114"/>
        <v>9.8999999999998423E-2</v>
      </c>
      <c r="Q209" s="135"/>
      <c r="R209" s="104">
        <f t="shared" si="115"/>
        <v>7.7899999999999991</v>
      </c>
      <c r="S209" s="137"/>
      <c r="T209" s="141">
        <f t="shared" si="116"/>
        <v>1.9474999999999998</v>
      </c>
      <c r="U209" s="199">
        <f t="shared" si="117"/>
        <v>1.8485000000000014</v>
      </c>
      <c r="V209" s="37" t="str">
        <f t="shared" si="118"/>
        <v>ok</v>
      </c>
      <c r="W209" s="37" t="str">
        <f t="shared" si="119"/>
        <v>ok</v>
      </c>
      <c r="X209" s="278">
        <f t="shared" si="107"/>
        <v>0.80821704622088486</v>
      </c>
      <c r="Y209" s="278">
        <f t="shared" si="108"/>
        <v>1</v>
      </c>
      <c r="Z209" s="278">
        <f t="shared" si="109"/>
        <v>0.8</v>
      </c>
    </row>
    <row r="210" spans="1:26" x14ac:dyDescent="0.25">
      <c r="A210" s="420"/>
      <c r="B210" s="178" t="s">
        <v>19</v>
      </c>
      <c r="C210" s="179">
        <v>15</v>
      </c>
      <c r="D210" s="130">
        <f>DMG_11*CMD_10</f>
        <v>8.3758750000000006</v>
      </c>
      <c r="E210" s="131">
        <f>OMG_11*CMO_10</f>
        <v>15.374999999999998</v>
      </c>
      <c r="F210" s="132">
        <f t="shared" si="105"/>
        <v>12.299999999999999</v>
      </c>
      <c r="G210" s="133">
        <f t="shared" si="106"/>
        <v>3.0749999999999988</v>
      </c>
      <c r="H210" s="134">
        <f t="shared" si="110"/>
        <v>8.3758750000000006</v>
      </c>
      <c r="I210" s="135"/>
      <c r="J210" s="136">
        <f t="shared" si="111"/>
        <v>0</v>
      </c>
      <c r="K210" s="137"/>
      <c r="L210" s="138">
        <f t="shared" si="112"/>
        <v>0</v>
      </c>
      <c r="M210" s="137"/>
      <c r="N210" s="139">
        <f t="shared" si="113"/>
        <v>3.9241249999999983</v>
      </c>
      <c r="O210" s="137"/>
      <c r="P210" s="140">
        <f t="shared" si="114"/>
        <v>3.0749999999999988</v>
      </c>
      <c r="Q210" s="135"/>
      <c r="R210" s="104">
        <f t="shared" si="115"/>
        <v>8.3758750000000006</v>
      </c>
      <c r="S210" s="137"/>
      <c r="T210" s="141">
        <f t="shared" si="116"/>
        <v>6.9991249999999976</v>
      </c>
      <c r="U210" s="199">
        <f t="shared" si="117"/>
        <v>0</v>
      </c>
      <c r="V210" s="37" t="str">
        <f t="shared" si="118"/>
        <v>ok</v>
      </c>
      <c r="W210" s="37" t="str">
        <f t="shared" si="119"/>
        <v>ok</v>
      </c>
      <c r="X210" s="278">
        <f t="shared" si="107"/>
        <v>1</v>
      </c>
      <c r="Y210" s="278">
        <f t="shared" si="108"/>
        <v>0.6809654471544716</v>
      </c>
      <c r="Z210" s="278">
        <f t="shared" si="109"/>
        <v>0.54477235772357735</v>
      </c>
    </row>
    <row r="211" spans="1:26" x14ac:dyDescent="0.25">
      <c r="A211" s="420"/>
      <c r="B211" s="178" t="s">
        <v>20</v>
      </c>
      <c r="C211" s="179">
        <v>16</v>
      </c>
      <c r="D211" s="130">
        <f>DMG_12*CMD_10</f>
        <v>6.5767500000000005</v>
      </c>
      <c r="E211" s="131">
        <f>OMG_12*CMO_10</f>
        <v>11.7875</v>
      </c>
      <c r="F211" s="132">
        <f t="shared" si="105"/>
        <v>9.43</v>
      </c>
      <c r="G211" s="133">
        <f t="shared" si="106"/>
        <v>2.3574999999999995</v>
      </c>
      <c r="H211" s="134">
        <f t="shared" si="110"/>
        <v>6.5767500000000005</v>
      </c>
      <c r="I211" s="135"/>
      <c r="J211" s="136">
        <f t="shared" si="111"/>
        <v>0</v>
      </c>
      <c r="K211" s="137"/>
      <c r="L211" s="138">
        <f t="shared" si="112"/>
        <v>0</v>
      </c>
      <c r="M211" s="137"/>
      <c r="N211" s="139">
        <f t="shared" si="113"/>
        <v>2.8532499999999992</v>
      </c>
      <c r="O211" s="137"/>
      <c r="P211" s="140">
        <f t="shared" si="114"/>
        <v>2.3574999999999995</v>
      </c>
      <c r="Q211" s="135"/>
      <c r="R211" s="104">
        <f t="shared" si="115"/>
        <v>6.5767500000000005</v>
      </c>
      <c r="S211" s="137"/>
      <c r="T211" s="141">
        <f t="shared" si="116"/>
        <v>5.2107499999999991</v>
      </c>
      <c r="U211" s="199">
        <f t="shared" si="117"/>
        <v>0</v>
      </c>
      <c r="V211" s="37" t="str">
        <f t="shared" si="118"/>
        <v>ok</v>
      </c>
      <c r="W211" s="37" t="str">
        <f t="shared" si="119"/>
        <v>ok</v>
      </c>
      <c r="X211" s="278">
        <f t="shared" si="107"/>
        <v>1</v>
      </c>
      <c r="Y211" s="278">
        <f t="shared" si="108"/>
        <v>0.69742841993637339</v>
      </c>
      <c r="Z211" s="278">
        <f t="shared" si="109"/>
        <v>0.55794273594909871</v>
      </c>
    </row>
    <row r="212" spans="1:26" x14ac:dyDescent="0.25">
      <c r="A212" s="420"/>
      <c r="B212" s="178" t="s">
        <v>21</v>
      </c>
      <c r="C212" s="179">
        <v>17</v>
      </c>
      <c r="D212" s="130">
        <f>DMG_13*CMD_10</f>
        <v>2.8767499999999999</v>
      </c>
      <c r="E212" s="131">
        <f>OMG_13*CMO_10</f>
        <v>5.6374999999999993</v>
      </c>
      <c r="F212" s="132">
        <f t="shared" si="105"/>
        <v>4.51</v>
      </c>
      <c r="G212" s="133">
        <f t="shared" si="106"/>
        <v>1.1274999999999995</v>
      </c>
      <c r="H212" s="134">
        <f t="shared" si="110"/>
        <v>2.8767499999999999</v>
      </c>
      <c r="I212" s="135"/>
      <c r="J212" s="136">
        <f t="shared" si="111"/>
        <v>0</v>
      </c>
      <c r="K212" s="137"/>
      <c r="L212" s="138">
        <f t="shared" si="112"/>
        <v>0</v>
      </c>
      <c r="M212" s="137"/>
      <c r="N212" s="139">
        <f t="shared" si="113"/>
        <v>1.6332499999999999</v>
      </c>
      <c r="O212" s="137"/>
      <c r="P212" s="140">
        <f t="shared" si="114"/>
        <v>1.1274999999999995</v>
      </c>
      <c r="Q212" s="135"/>
      <c r="R212" s="104">
        <f t="shared" si="115"/>
        <v>2.8767499999999999</v>
      </c>
      <c r="S212" s="137"/>
      <c r="T212" s="141">
        <f t="shared" si="116"/>
        <v>2.7607499999999994</v>
      </c>
      <c r="U212" s="199">
        <f t="shared" si="117"/>
        <v>0</v>
      </c>
      <c r="V212" s="37" t="str">
        <f t="shared" si="118"/>
        <v>ok</v>
      </c>
      <c r="W212" s="37" t="str">
        <f t="shared" si="119"/>
        <v>ok</v>
      </c>
      <c r="X212" s="278">
        <f t="shared" si="107"/>
        <v>1</v>
      </c>
      <c r="Y212" s="278">
        <f t="shared" si="108"/>
        <v>0.63786031042128599</v>
      </c>
      <c r="Z212" s="278">
        <f t="shared" si="109"/>
        <v>0.5102882483370289</v>
      </c>
    </row>
    <row r="213" spans="1:26" x14ac:dyDescent="0.25">
      <c r="A213" s="420"/>
      <c r="B213" s="178" t="s">
        <v>22</v>
      </c>
      <c r="C213" s="179">
        <v>18</v>
      </c>
      <c r="D213" s="130">
        <f>DMG_14*CMD_10</f>
        <v>2.00725</v>
      </c>
      <c r="E213" s="131">
        <f>OMG_14*CMO_10</f>
        <v>9.4812499999999993</v>
      </c>
      <c r="F213" s="132">
        <f t="shared" si="105"/>
        <v>7.585</v>
      </c>
      <c r="G213" s="133">
        <f t="shared" si="106"/>
        <v>1.8962499999999995</v>
      </c>
      <c r="H213" s="134">
        <f t="shared" si="110"/>
        <v>2.00725</v>
      </c>
      <c r="I213" s="135"/>
      <c r="J213" s="136">
        <f t="shared" si="111"/>
        <v>0</v>
      </c>
      <c r="K213" s="137"/>
      <c r="L213" s="138">
        <f t="shared" si="112"/>
        <v>0</v>
      </c>
      <c r="M213" s="137"/>
      <c r="N213" s="139">
        <f t="shared" si="113"/>
        <v>5.57775</v>
      </c>
      <c r="O213" s="137"/>
      <c r="P213" s="140">
        <f t="shared" si="114"/>
        <v>1.8962499999999995</v>
      </c>
      <c r="Q213" s="135"/>
      <c r="R213" s="104">
        <f t="shared" si="115"/>
        <v>2.00725</v>
      </c>
      <c r="S213" s="137"/>
      <c r="T213" s="141">
        <f t="shared" si="116"/>
        <v>7.4739999999999993</v>
      </c>
      <c r="U213" s="199">
        <f t="shared" si="117"/>
        <v>0</v>
      </c>
      <c r="V213" s="37" t="str">
        <f t="shared" si="118"/>
        <v>ok</v>
      </c>
      <c r="W213" s="37" t="str">
        <f t="shared" si="119"/>
        <v>ok</v>
      </c>
      <c r="X213" s="278">
        <f t="shared" si="107"/>
        <v>1</v>
      </c>
      <c r="Y213" s="278">
        <f t="shared" si="108"/>
        <v>0.26463414634146343</v>
      </c>
      <c r="Z213" s="278">
        <f t="shared" si="109"/>
        <v>0.21170731707317075</v>
      </c>
    </row>
    <row r="214" spans="1:26" x14ac:dyDescent="0.25">
      <c r="A214" s="420"/>
      <c r="B214" s="178" t="s">
        <v>23</v>
      </c>
      <c r="C214" s="179">
        <v>19</v>
      </c>
      <c r="D214" s="130">
        <f>DMG_15*CMD_10</f>
        <v>4.1625000000000005</v>
      </c>
      <c r="E214" s="131">
        <f>OMG_15*CMO_10</f>
        <v>11.274999999999999</v>
      </c>
      <c r="F214" s="132">
        <f t="shared" si="105"/>
        <v>9.02</v>
      </c>
      <c r="G214" s="133">
        <f t="shared" si="106"/>
        <v>2.254999999999999</v>
      </c>
      <c r="H214" s="134">
        <f t="shared" si="110"/>
        <v>4.1625000000000005</v>
      </c>
      <c r="I214" s="135"/>
      <c r="J214" s="136">
        <f t="shared" si="111"/>
        <v>0</v>
      </c>
      <c r="K214" s="137"/>
      <c r="L214" s="138">
        <f t="shared" si="112"/>
        <v>0</v>
      </c>
      <c r="M214" s="137"/>
      <c r="N214" s="139">
        <f t="shared" si="113"/>
        <v>4.857499999999999</v>
      </c>
      <c r="O214" s="137"/>
      <c r="P214" s="140">
        <f t="shared" si="114"/>
        <v>2.254999999999999</v>
      </c>
      <c r="Q214" s="135"/>
      <c r="R214" s="104">
        <f t="shared" si="115"/>
        <v>4.1625000000000005</v>
      </c>
      <c r="S214" s="137"/>
      <c r="T214" s="141">
        <f t="shared" si="116"/>
        <v>7.112499999999998</v>
      </c>
      <c r="U214" s="199">
        <f t="shared" si="117"/>
        <v>0</v>
      </c>
      <c r="V214" s="37" t="str">
        <f t="shared" si="118"/>
        <v>ok</v>
      </c>
      <c r="W214" s="37" t="str">
        <f t="shared" si="119"/>
        <v>ok</v>
      </c>
      <c r="X214" s="278">
        <f t="shared" si="107"/>
        <v>1</v>
      </c>
      <c r="Y214" s="278">
        <f t="shared" si="108"/>
        <v>0.46147450110864752</v>
      </c>
      <c r="Z214" s="278">
        <f t="shared" si="109"/>
        <v>0.36917960088691804</v>
      </c>
    </row>
    <row r="215" spans="1:26" x14ac:dyDescent="0.25">
      <c r="A215" s="420"/>
      <c r="B215" s="178" t="s">
        <v>19</v>
      </c>
      <c r="C215" s="179">
        <v>22</v>
      </c>
      <c r="D215" s="130">
        <f>DMG_16*CMD_10</f>
        <v>16.705500000000001</v>
      </c>
      <c r="E215" s="131">
        <f>OMG_16*CMO_10</f>
        <v>12.684374999999999</v>
      </c>
      <c r="F215" s="132">
        <f t="shared" si="105"/>
        <v>10.147500000000001</v>
      </c>
      <c r="G215" s="133">
        <f t="shared" si="106"/>
        <v>2.5368749999999993</v>
      </c>
      <c r="H215" s="134">
        <f t="shared" si="110"/>
        <v>12.684374999999999</v>
      </c>
      <c r="I215" s="135"/>
      <c r="J215" s="136">
        <f t="shared" si="111"/>
        <v>4.0211250000000014</v>
      </c>
      <c r="K215" s="137"/>
      <c r="L215" s="138">
        <f t="shared" si="112"/>
        <v>2.5368749999999993</v>
      </c>
      <c r="M215" s="137"/>
      <c r="N215" s="139">
        <f t="shared" si="113"/>
        <v>0</v>
      </c>
      <c r="O215" s="137"/>
      <c r="P215" s="140">
        <f t="shared" si="114"/>
        <v>0</v>
      </c>
      <c r="Q215" s="135"/>
      <c r="R215" s="104">
        <f t="shared" si="115"/>
        <v>10.147500000000001</v>
      </c>
      <c r="S215" s="137"/>
      <c r="T215" s="141">
        <f t="shared" si="116"/>
        <v>2.5368749999999993</v>
      </c>
      <c r="U215" s="199">
        <f t="shared" si="117"/>
        <v>6.5580000000000007</v>
      </c>
      <c r="V215" s="37" t="str">
        <f t="shared" si="118"/>
        <v>ok</v>
      </c>
      <c r="W215" s="37" t="str">
        <f t="shared" si="119"/>
        <v>ok</v>
      </c>
      <c r="X215" s="278">
        <f t="shared" si="107"/>
        <v>0.60743467720211908</v>
      </c>
      <c r="Y215" s="278">
        <f t="shared" si="108"/>
        <v>1</v>
      </c>
      <c r="Z215" s="278">
        <f t="shared" si="109"/>
        <v>0.80000000000000016</v>
      </c>
    </row>
    <row r="216" spans="1:26" x14ac:dyDescent="0.25">
      <c r="A216" s="420"/>
      <c r="B216" s="178" t="s">
        <v>20</v>
      </c>
      <c r="C216" s="179">
        <v>23</v>
      </c>
      <c r="D216" s="130">
        <f>DMG_17*CMD_10</f>
        <v>13.5975</v>
      </c>
      <c r="E216" s="131">
        <f>OMG_17*CMO_10</f>
        <v>8.0359999999999996</v>
      </c>
      <c r="F216" s="132">
        <f t="shared" si="105"/>
        <v>6.4287999999999998</v>
      </c>
      <c r="G216" s="133">
        <f t="shared" si="106"/>
        <v>1.6071999999999995</v>
      </c>
      <c r="H216" s="134">
        <f t="shared" si="110"/>
        <v>8.0359999999999996</v>
      </c>
      <c r="I216" s="135"/>
      <c r="J216" s="136">
        <f t="shared" si="111"/>
        <v>5.5615000000000006</v>
      </c>
      <c r="K216" s="137"/>
      <c r="L216" s="138">
        <f t="shared" si="112"/>
        <v>1.6071999999999995</v>
      </c>
      <c r="M216" s="137"/>
      <c r="N216" s="139">
        <f t="shared" si="113"/>
        <v>0</v>
      </c>
      <c r="O216" s="137"/>
      <c r="P216" s="140">
        <f t="shared" si="114"/>
        <v>0</v>
      </c>
      <c r="Q216" s="135"/>
      <c r="R216" s="104">
        <f t="shared" si="115"/>
        <v>6.4287999999999998</v>
      </c>
      <c r="S216" s="137"/>
      <c r="T216" s="141">
        <f t="shared" si="116"/>
        <v>1.6071999999999995</v>
      </c>
      <c r="U216" s="199">
        <f t="shared" si="117"/>
        <v>7.1687000000000003</v>
      </c>
      <c r="V216" s="37" t="str">
        <f t="shared" si="118"/>
        <v>ok</v>
      </c>
      <c r="W216" s="37" t="str">
        <f t="shared" si="119"/>
        <v>ok</v>
      </c>
      <c r="X216" s="278">
        <f t="shared" si="107"/>
        <v>0.47279279279279279</v>
      </c>
      <c r="Y216" s="278">
        <f t="shared" si="108"/>
        <v>1</v>
      </c>
      <c r="Z216" s="278">
        <f t="shared" si="109"/>
        <v>0.8</v>
      </c>
    </row>
    <row r="217" spans="1:26" x14ac:dyDescent="0.25">
      <c r="A217" s="420"/>
      <c r="B217" s="178" t="s">
        <v>21</v>
      </c>
      <c r="C217" s="179">
        <v>24</v>
      </c>
      <c r="D217" s="130">
        <f>DMG_18*CMD_10</f>
        <v>7.8347500000000005</v>
      </c>
      <c r="E217" s="131">
        <f>OMG_18*CMO_10</f>
        <v>3.8078749999999997</v>
      </c>
      <c r="F217" s="132">
        <f t="shared" si="105"/>
        <v>3.0463</v>
      </c>
      <c r="G217" s="133">
        <f t="shared" si="106"/>
        <v>0.76157499999999978</v>
      </c>
      <c r="H217" s="134">
        <f t="shared" si="110"/>
        <v>3.8078749999999997</v>
      </c>
      <c r="I217" s="135"/>
      <c r="J217" s="136">
        <f t="shared" si="111"/>
        <v>4.0268750000000004</v>
      </c>
      <c r="K217" s="137"/>
      <c r="L217" s="138">
        <f t="shared" si="112"/>
        <v>0.76157499999999978</v>
      </c>
      <c r="M217" s="137"/>
      <c r="N217" s="139">
        <f t="shared" si="113"/>
        <v>0</v>
      </c>
      <c r="O217" s="137"/>
      <c r="P217" s="140">
        <f t="shared" si="114"/>
        <v>0</v>
      </c>
      <c r="Q217" s="135"/>
      <c r="R217" s="104">
        <f t="shared" si="115"/>
        <v>3.0463</v>
      </c>
      <c r="S217" s="137"/>
      <c r="T217" s="141">
        <f t="shared" si="116"/>
        <v>0.76157499999999978</v>
      </c>
      <c r="U217" s="199">
        <f t="shared" si="117"/>
        <v>4.7884500000000001</v>
      </c>
      <c r="V217" s="37" t="str">
        <f t="shared" si="118"/>
        <v>ok</v>
      </c>
      <c r="W217" s="37" t="str">
        <f t="shared" si="119"/>
        <v>ok</v>
      </c>
      <c r="X217" s="278">
        <f t="shared" si="107"/>
        <v>0.38881904336449791</v>
      </c>
      <c r="Y217" s="278">
        <f t="shared" si="108"/>
        <v>1</v>
      </c>
      <c r="Z217" s="278">
        <f t="shared" si="109"/>
        <v>0.8</v>
      </c>
    </row>
    <row r="218" spans="1:26" x14ac:dyDescent="0.25">
      <c r="A218" s="420"/>
      <c r="B218" s="178" t="s">
        <v>22</v>
      </c>
      <c r="C218" s="179">
        <v>25</v>
      </c>
      <c r="D218" s="130">
        <f>DMG_19*CMD_10</f>
        <v>6.4148750000000003</v>
      </c>
      <c r="E218" s="131">
        <f>OMG_19*CMO_10</f>
        <v>5.0737499999999995</v>
      </c>
      <c r="F218" s="132">
        <f t="shared" si="105"/>
        <v>4.0590000000000002</v>
      </c>
      <c r="G218" s="133">
        <f t="shared" si="106"/>
        <v>1.0147499999999996</v>
      </c>
      <c r="H218" s="134">
        <f t="shared" si="110"/>
        <v>5.0737499999999995</v>
      </c>
      <c r="I218" s="135"/>
      <c r="J218" s="136">
        <f t="shared" si="111"/>
        <v>1.3411250000000008</v>
      </c>
      <c r="K218" s="137"/>
      <c r="L218" s="138">
        <f t="shared" si="112"/>
        <v>1.0147499999999996</v>
      </c>
      <c r="M218" s="137"/>
      <c r="N218" s="139">
        <f t="shared" si="113"/>
        <v>0</v>
      </c>
      <c r="O218" s="137"/>
      <c r="P218" s="140">
        <f t="shared" si="114"/>
        <v>0</v>
      </c>
      <c r="Q218" s="135"/>
      <c r="R218" s="104">
        <f t="shared" si="115"/>
        <v>4.0590000000000002</v>
      </c>
      <c r="S218" s="137"/>
      <c r="T218" s="141">
        <f t="shared" si="116"/>
        <v>1.0147499999999996</v>
      </c>
      <c r="U218" s="199">
        <f t="shared" si="117"/>
        <v>2.3558750000000002</v>
      </c>
      <c r="V218" s="37" t="str">
        <f t="shared" si="118"/>
        <v>ok</v>
      </c>
      <c r="W218" s="37" t="str">
        <f t="shared" si="119"/>
        <v>ok</v>
      </c>
      <c r="X218" s="278">
        <f t="shared" si="107"/>
        <v>0.63274810499035439</v>
      </c>
      <c r="Y218" s="278">
        <f t="shared" si="108"/>
        <v>1</v>
      </c>
      <c r="Z218" s="278">
        <f t="shared" si="109"/>
        <v>0.80000000000000016</v>
      </c>
    </row>
    <row r="219" spans="1:26" x14ac:dyDescent="0.25">
      <c r="A219" s="420"/>
      <c r="B219" s="178" t="s">
        <v>23</v>
      </c>
      <c r="C219" s="179">
        <v>26</v>
      </c>
      <c r="D219" s="130">
        <f>DMG_20*CMD_10</f>
        <v>12.048125000000001</v>
      </c>
      <c r="E219" s="131">
        <f>OMG_20*CMO_10</f>
        <v>8.0359999999999996</v>
      </c>
      <c r="F219" s="132">
        <f t="shared" si="105"/>
        <v>6.4287999999999998</v>
      </c>
      <c r="G219" s="133">
        <f t="shared" si="106"/>
        <v>1.6071999999999995</v>
      </c>
      <c r="H219" s="134">
        <f t="shared" si="110"/>
        <v>8.0359999999999996</v>
      </c>
      <c r="I219" s="135"/>
      <c r="J219" s="136">
        <f t="shared" si="111"/>
        <v>4.0121250000000011</v>
      </c>
      <c r="K219" s="137"/>
      <c r="L219" s="138">
        <f t="shared" si="112"/>
        <v>1.6071999999999995</v>
      </c>
      <c r="M219" s="137"/>
      <c r="N219" s="139">
        <f t="shared" si="113"/>
        <v>0</v>
      </c>
      <c r="O219" s="137"/>
      <c r="P219" s="140">
        <f t="shared" si="114"/>
        <v>0</v>
      </c>
      <c r="Q219" s="135"/>
      <c r="R219" s="104">
        <f t="shared" si="115"/>
        <v>6.4287999999999998</v>
      </c>
      <c r="S219" s="137"/>
      <c r="T219" s="141">
        <f t="shared" si="116"/>
        <v>1.6071999999999995</v>
      </c>
      <c r="U219" s="199">
        <f t="shared" si="117"/>
        <v>5.6193250000000008</v>
      </c>
      <c r="V219" s="37" t="str">
        <f t="shared" si="118"/>
        <v>ok</v>
      </c>
      <c r="W219" s="37" t="str">
        <f t="shared" si="119"/>
        <v>ok</v>
      </c>
      <c r="X219" s="278">
        <f t="shared" si="107"/>
        <v>0.53359340146288314</v>
      </c>
      <c r="Y219" s="278">
        <f t="shared" si="108"/>
        <v>1</v>
      </c>
      <c r="Z219" s="278">
        <f t="shared" si="109"/>
        <v>0.8</v>
      </c>
    </row>
    <row r="220" spans="1:26" x14ac:dyDescent="0.25">
      <c r="A220" s="420"/>
      <c r="B220" s="178" t="s">
        <v>19</v>
      </c>
      <c r="C220" s="179">
        <v>29</v>
      </c>
      <c r="D220" s="130">
        <f>DMG_21*CMD_10</f>
        <v>20.044750000000004</v>
      </c>
      <c r="E220" s="131">
        <f>OMG_21*CMO_10</f>
        <v>15.374999999999998</v>
      </c>
      <c r="F220" s="132">
        <f t="shared" si="105"/>
        <v>12.299999999999999</v>
      </c>
      <c r="G220" s="133">
        <f t="shared" si="106"/>
        <v>3.0749999999999988</v>
      </c>
      <c r="H220" s="134">
        <f t="shared" si="110"/>
        <v>15.374999999999998</v>
      </c>
      <c r="I220" s="135"/>
      <c r="J220" s="136">
        <f t="shared" si="111"/>
        <v>4.6697500000000058</v>
      </c>
      <c r="K220" s="137"/>
      <c r="L220" s="138">
        <f t="shared" si="112"/>
        <v>3.0749999999999988</v>
      </c>
      <c r="M220" s="137"/>
      <c r="N220" s="139">
        <f t="shared" si="113"/>
        <v>0</v>
      </c>
      <c r="O220" s="137"/>
      <c r="P220" s="140">
        <f t="shared" si="114"/>
        <v>0</v>
      </c>
      <c r="Q220" s="135"/>
      <c r="R220" s="104">
        <f t="shared" si="115"/>
        <v>12.299999999999999</v>
      </c>
      <c r="S220" s="137"/>
      <c r="T220" s="141">
        <f t="shared" si="116"/>
        <v>3.0749999999999988</v>
      </c>
      <c r="U220" s="199">
        <f t="shared" si="117"/>
        <v>7.7447500000000051</v>
      </c>
      <c r="V220" s="37" t="str">
        <f t="shared" si="118"/>
        <v>ok</v>
      </c>
      <c r="W220" s="37" t="str">
        <f t="shared" si="119"/>
        <v>ok</v>
      </c>
      <c r="X220" s="278">
        <f t="shared" si="107"/>
        <v>0.61362700956609573</v>
      </c>
      <c r="Y220" s="278">
        <f t="shared" si="108"/>
        <v>1</v>
      </c>
      <c r="Z220" s="278">
        <f t="shared" si="109"/>
        <v>0.8</v>
      </c>
    </row>
    <row r="221" spans="1:26" x14ac:dyDescent="0.25">
      <c r="A221" s="420"/>
      <c r="B221" s="178" t="s">
        <v>20</v>
      </c>
      <c r="C221" s="179">
        <v>30</v>
      </c>
      <c r="D221" s="130">
        <f>DMG_22*CMD_10</f>
        <v>16.261499999999998</v>
      </c>
      <c r="E221" s="131">
        <f>OMG_22*CMO_10</f>
        <v>10.762499999999999</v>
      </c>
      <c r="F221" s="132">
        <f t="shared" si="105"/>
        <v>8.61</v>
      </c>
      <c r="G221" s="133">
        <f t="shared" si="106"/>
        <v>2.1524999999999994</v>
      </c>
      <c r="H221" s="134">
        <f t="shared" si="110"/>
        <v>10.762499999999999</v>
      </c>
      <c r="I221" s="135"/>
      <c r="J221" s="136">
        <f t="shared" si="111"/>
        <v>5.4989999999999988</v>
      </c>
      <c r="K221" s="137"/>
      <c r="L221" s="138">
        <f t="shared" si="112"/>
        <v>2.1524999999999994</v>
      </c>
      <c r="M221" s="137"/>
      <c r="N221" s="139">
        <f t="shared" si="113"/>
        <v>0</v>
      </c>
      <c r="O221" s="137"/>
      <c r="P221" s="140">
        <f t="shared" si="114"/>
        <v>0</v>
      </c>
      <c r="Q221" s="135"/>
      <c r="R221" s="104">
        <f t="shared" si="115"/>
        <v>8.61</v>
      </c>
      <c r="S221" s="137"/>
      <c r="T221" s="141">
        <f t="shared" si="116"/>
        <v>2.1524999999999994</v>
      </c>
      <c r="U221" s="199">
        <f t="shared" si="117"/>
        <v>7.6514999999999986</v>
      </c>
      <c r="V221" s="37" t="str">
        <f t="shared" si="118"/>
        <v>ok</v>
      </c>
      <c r="W221" s="37" t="str">
        <f t="shared" si="119"/>
        <v>ok</v>
      </c>
      <c r="X221" s="278">
        <f t="shared" si="107"/>
        <v>0.52947145097315751</v>
      </c>
      <c r="Y221" s="278">
        <f t="shared" si="108"/>
        <v>1</v>
      </c>
      <c r="Z221" s="278">
        <f t="shared" si="109"/>
        <v>0.8</v>
      </c>
    </row>
    <row r="222" spans="1:26" ht="15.75" thickBot="1" x14ac:dyDescent="0.3">
      <c r="A222" s="421"/>
      <c r="B222" s="180" t="s">
        <v>21</v>
      </c>
      <c r="C222" s="181">
        <v>31</v>
      </c>
      <c r="D222" s="202">
        <f>DMG_23*CMD_10</f>
        <v>9.4026250000000005</v>
      </c>
      <c r="E222" s="203">
        <f>OMG_23*CMO_10</f>
        <v>5.125</v>
      </c>
      <c r="F222" s="204">
        <f t="shared" si="105"/>
        <v>4.1000000000000005</v>
      </c>
      <c r="G222" s="205">
        <f t="shared" si="106"/>
        <v>1.0249999999999997</v>
      </c>
      <c r="H222" s="206">
        <f t="shared" si="110"/>
        <v>5.125</v>
      </c>
      <c r="I222" s="207"/>
      <c r="J222" s="208">
        <f t="shared" si="111"/>
        <v>4.2776250000000005</v>
      </c>
      <c r="K222" s="209"/>
      <c r="L222" s="210">
        <f t="shared" si="112"/>
        <v>1.0249999999999997</v>
      </c>
      <c r="M222" s="209"/>
      <c r="N222" s="211">
        <f t="shared" si="113"/>
        <v>0</v>
      </c>
      <c r="O222" s="209"/>
      <c r="P222" s="212">
        <f t="shared" si="114"/>
        <v>0</v>
      </c>
      <c r="Q222" s="207"/>
      <c r="R222" s="213">
        <f t="shared" si="115"/>
        <v>4.1000000000000005</v>
      </c>
      <c r="S222" s="209"/>
      <c r="T222" s="214">
        <f t="shared" si="116"/>
        <v>1.0249999999999997</v>
      </c>
      <c r="U222" s="215">
        <f t="shared" si="117"/>
        <v>5.3026249999999999</v>
      </c>
      <c r="V222" s="37" t="str">
        <f t="shared" si="118"/>
        <v>ok</v>
      </c>
      <c r="W222" s="37" t="str">
        <f t="shared" si="119"/>
        <v>ok</v>
      </c>
      <c r="X222" s="278">
        <f t="shared" si="107"/>
        <v>0.4360484439185866</v>
      </c>
      <c r="Y222" s="278">
        <f t="shared" si="108"/>
        <v>1</v>
      </c>
      <c r="Z222" s="278">
        <f t="shared" si="109"/>
        <v>0.80000000000000016</v>
      </c>
    </row>
    <row r="223" spans="1:26" x14ac:dyDescent="0.25">
      <c r="A223" s="419" t="s">
        <v>99</v>
      </c>
      <c r="B223" s="176" t="s">
        <v>22</v>
      </c>
      <c r="C223" s="241">
        <v>1</v>
      </c>
      <c r="D223" s="238">
        <f>DMG_1*CMD_11</f>
        <v>6.9361300000000004</v>
      </c>
      <c r="E223" s="185">
        <f>OMG_1*CMO_11</f>
        <v>29.327999999999999</v>
      </c>
      <c r="F223" s="186">
        <f t="shared" si="105"/>
        <v>23.462400000000002</v>
      </c>
      <c r="G223" s="187">
        <f t="shared" si="106"/>
        <v>5.8655999999999988</v>
      </c>
      <c r="H223" s="188">
        <f>IF(E223&gt;D223,D223,E223)</f>
        <v>6.9361300000000004</v>
      </c>
      <c r="I223" s="189"/>
      <c r="J223" s="190">
        <f>IF(E223&gt;D223,0,D223-E223)</f>
        <v>0</v>
      </c>
      <c r="K223" s="191"/>
      <c r="L223" s="192">
        <f>IF(E223&gt;D223,IF(F223&gt;H223,0,H223-F223),G223)</f>
        <v>0</v>
      </c>
      <c r="M223" s="191"/>
      <c r="N223" s="193">
        <f>IF(E223&gt;D223,IF(F223&gt;H223,F223-H223,0),0)</f>
        <v>16.526270000000004</v>
      </c>
      <c r="O223" s="191"/>
      <c r="P223" s="194">
        <f>IF(E223&gt;D223,IF(F223&gt;H223,G223,E223-H223),0)</f>
        <v>5.8655999999999988</v>
      </c>
      <c r="Q223" s="189"/>
      <c r="R223" s="195">
        <f>H223-L223</f>
        <v>6.9361300000000004</v>
      </c>
      <c r="S223" s="191"/>
      <c r="T223" s="196">
        <f>L223+N223+P223</f>
        <v>22.391870000000004</v>
      </c>
      <c r="U223" s="197">
        <f>J223+L223</f>
        <v>0</v>
      </c>
      <c r="V223" s="37" t="str">
        <f>IF(R223+T223=E223,"ok","bad")</f>
        <v>ok</v>
      </c>
      <c r="W223" s="37" t="str">
        <f>IF(U223+R223=D223,"ok","bad")</f>
        <v>ok</v>
      </c>
      <c r="X223" s="278">
        <f t="shared" si="107"/>
        <v>1</v>
      </c>
      <c r="Y223" s="278">
        <f t="shared" si="108"/>
        <v>0.29562747204037099</v>
      </c>
      <c r="Z223" s="278">
        <f t="shared" si="109"/>
        <v>0.2365019776322968</v>
      </c>
    </row>
    <row r="224" spans="1:26" x14ac:dyDescent="0.25">
      <c r="A224" s="420"/>
      <c r="B224" s="178" t="s">
        <v>23</v>
      </c>
      <c r="C224" s="129">
        <v>2</v>
      </c>
      <c r="D224" s="239">
        <f>DMG_2*CMD_11</f>
        <v>5.4462600000000005</v>
      </c>
      <c r="E224" s="131">
        <f>OMG_2*CMO_11</f>
        <v>21.507200000000001</v>
      </c>
      <c r="F224" s="132">
        <f t="shared" si="105"/>
        <v>17.205760000000001</v>
      </c>
      <c r="G224" s="133">
        <f t="shared" si="106"/>
        <v>4.3014399999999995</v>
      </c>
      <c r="H224" s="134">
        <f t="shared" ref="H224:H244" si="120">IF(E224&gt;D224,D224,E224)</f>
        <v>5.4462600000000005</v>
      </c>
      <c r="I224" s="135"/>
      <c r="J224" s="136">
        <f t="shared" ref="J224:J244" si="121">IF(E224&gt;D224,0,D224-E224)</f>
        <v>0</v>
      </c>
      <c r="K224" s="137"/>
      <c r="L224" s="138">
        <f t="shared" ref="L224:L244" si="122">IF(E224&gt;D224,IF(F224&gt;H224,0,H224-F224),G224)</f>
        <v>0</v>
      </c>
      <c r="M224" s="137"/>
      <c r="N224" s="139">
        <f t="shared" ref="N224:N244" si="123">IF(E224&gt;D224,IF(F224&gt;H224,F224-H224,0),0)</f>
        <v>11.759500000000001</v>
      </c>
      <c r="O224" s="137"/>
      <c r="P224" s="140">
        <f t="shared" ref="P224:P244" si="124">IF(E224&gt;D224,IF(F224&gt;H224,G224,E224-H224),0)</f>
        <v>4.3014399999999995</v>
      </c>
      <c r="Q224" s="135"/>
      <c r="R224" s="104">
        <f t="shared" ref="R224:R244" si="125">H224-L224</f>
        <v>5.4462600000000005</v>
      </c>
      <c r="S224" s="137"/>
      <c r="T224" s="141">
        <f t="shared" ref="T224:T244" si="126">L224+N224+P224</f>
        <v>16.060940000000002</v>
      </c>
      <c r="U224" s="199">
        <f t="shared" ref="U224:U244" si="127">J224+L224</f>
        <v>0</v>
      </c>
      <c r="V224" s="37" t="str">
        <f t="shared" ref="V224:V244" si="128">IF(R224+T224=E224,"ok","bad")</f>
        <v>ok</v>
      </c>
      <c r="W224" s="37" t="str">
        <f t="shared" ref="W224:W244" si="129">IF(U224+R224=D224,"ok","bad")</f>
        <v>ok</v>
      </c>
      <c r="X224" s="278">
        <f t="shared" si="107"/>
        <v>1</v>
      </c>
      <c r="Y224" s="278">
        <f t="shared" si="108"/>
        <v>0.31653702016069035</v>
      </c>
      <c r="Z224" s="278">
        <f t="shared" si="109"/>
        <v>0.25322961612855233</v>
      </c>
    </row>
    <row r="225" spans="1:26" x14ac:dyDescent="0.25">
      <c r="A225" s="420"/>
      <c r="B225" s="178" t="s">
        <v>19</v>
      </c>
      <c r="C225" s="129">
        <v>5</v>
      </c>
      <c r="D225" s="239">
        <f>DMG_3*CMD_11</f>
        <v>2.38226</v>
      </c>
      <c r="E225" s="131">
        <f>OMG_3*CMO_11</f>
        <v>8.7983999999999991</v>
      </c>
      <c r="F225" s="132">
        <f t="shared" si="105"/>
        <v>7.0387199999999996</v>
      </c>
      <c r="G225" s="133">
        <f t="shared" si="106"/>
        <v>1.7596799999999995</v>
      </c>
      <c r="H225" s="134">
        <f t="shared" si="120"/>
        <v>2.38226</v>
      </c>
      <c r="I225" s="135"/>
      <c r="J225" s="136">
        <f t="shared" si="121"/>
        <v>0</v>
      </c>
      <c r="K225" s="137"/>
      <c r="L225" s="138">
        <f t="shared" si="122"/>
        <v>0</v>
      </c>
      <c r="M225" s="137"/>
      <c r="N225" s="139">
        <f t="shared" si="123"/>
        <v>4.6564599999999992</v>
      </c>
      <c r="O225" s="137"/>
      <c r="P225" s="140">
        <f t="shared" si="124"/>
        <v>1.7596799999999995</v>
      </c>
      <c r="Q225" s="135"/>
      <c r="R225" s="104">
        <f t="shared" si="125"/>
        <v>2.38226</v>
      </c>
      <c r="S225" s="137"/>
      <c r="T225" s="141">
        <f t="shared" si="126"/>
        <v>6.4161399999999986</v>
      </c>
      <c r="U225" s="199">
        <f t="shared" si="127"/>
        <v>0</v>
      </c>
      <c r="V225" s="37" t="str">
        <f t="shared" si="128"/>
        <v>ok</v>
      </c>
      <c r="W225" s="37" t="str">
        <f t="shared" si="129"/>
        <v>ok</v>
      </c>
      <c r="X225" s="278">
        <f t="shared" si="107"/>
        <v>1</v>
      </c>
      <c r="Y225" s="278">
        <f t="shared" si="108"/>
        <v>0.33845074104382616</v>
      </c>
      <c r="Z225" s="278">
        <f t="shared" si="109"/>
        <v>0.27076059283506093</v>
      </c>
    </row>
    <row r="226" spans="1:26" x14ac:dyDescent="0.25">
      <c r="A226" s="420"/>
      <c r="B226" s="178" t="s">
        <v>20</v>
      </c>
      <c r="C226" s="129">
        <v>6</v>
      </c>
      <c r="D226" s="239">
        <f>DMG_4*CMD_11</f>
        <v>1.66222</v>
      </c>
      <c r="E226" s="131">
        <f>OMG_4*CMO_11</f>
        <v>13.197600000000001</v>
      </c>
      <c r="F226" s="132">
        <f t="shared" si="105"/>
        <v>10.558080000000002</v>
      </c>
      <c r="G226" s="133">
        <f t="shared" si="106"/>
        <v>2.6395199999999996</v>
      </c>
      <c r="H226" s="134">
        <f t="shared" si="120"/>
        <v>1.66222</v>
      </c>
      <c r="I226" s="135"/>
      <c r="J226" s="136">
        <f t="shared" si="121"/>
        <v>0</v>
      </c>
      <c r="K226" s="137"/>
      <c r="L226" s="138">
        <f t="shared" si="122"/>
        <v>0</v>
      </c>
      <c r="M226" s="137"/>
      <c r="N226" s="139">
        <f t="shared" si="123"/>
        <v>8.8958600000000025</v>
      </c>
      <c r="O226" s="137"/>
      <c r="P226" s="140">
        <f t="shared" si="124"/>
        <v>2.6395199999999996</v>
      </c>
      <c r="Q226" s="135"/>
      <c r="R226" s="104">
        <f t="shared" si="125"/>
        <v>1.66222</v>
      </c>
      <c r="S226" s="137"/>
      <c r="T226" s="141">
        <f t="shared" si="126"/>
        <v>11.535380000000002</v>
      </c>
      <c r="U226" s="199">
        <f t="shared" si="127"/>
        <v>0</v>
      </c>
      <c r="V226" s="37" t="str">
        <f t="shared" si="128"/>
        <v>ok</v>
      </c>
      <c r="W226" s="37" t="str">
        <f t="shared" si="129"/>
        <v>ok</v>
      </c>
      <c r="X226" s="278">
        <f t="shared" si="107"/>
        <v>1</v>
      </c>
      <c r="Y226" s="278">
        <f t="shared" si="108"/>
        <v>0.15743582166454503</v>
      </c>
      <c r="Z226" s="278">
        <f t="shared" si="109"/>
        <v>0.12594865733163604</v>
      </c>
    </row>
    <row r="227" spans="1:26" x14ac:dyDescent="0.25">
      <c r="A227" s="420"/>
      <c r="B227" s="178" t="s">
        <v>21</v>
      </c>
      <c r="C227" s="129">
        <v>7</v>
      </c>
      <c r="D227" s="239">
        <f>DMG_5*CMD_11</f>
        <v>3.4470000000000001</v>
      </c>
      <c r="E227" s="131">
        <f>OMG_5*CMO_11</f>
        <v>21.507200000000001</v>
      </c>
      <c r="F227" s="132">
        <f t="shared" si="105"/>
        <v>17.205760000000001</v>
      </c>
      <c r="G227" s="133">
        <f t="shared" si="106"/>
        <v>4.3014399999999995</v>
      </c>
      <c r="H227" s="134">
        <f t="shared" si="120"/>
        <v>3.4470000000000001</v>
      </c>
      <c r="I227" s="135"/>
      <c r="J227" s="136">
        <f t="shared" si="121"/>
        <v>0</v>
      </c>
      <c r="K227" s="137"/>
      <c r="L227" s="138">
        <f t="shared" si="122"/>
        <v>0</v>
      </c>
      <c r="M227" s="137"/>
      <c r="N227" s="139">
        <f t="shared" si="123"/>
        <v>13.758760000000002</v>
      </c>
      <c r="O227" s="137"/>
      <c r="P227" s="140">
        <f t="shared" si="124"/>
        <v>4.3014399999999995</v>
      </c>
      <c r="Q227" s="135"/>
      <c r="R227" s="104">
        <f t="shared" si="125"/>
        <v>3.4470000000000001</v>
      </c>
      <c r="S227" s="137"/>
      <c r="T227" s="141">
        <f t="shared" si="126"/>
        <v>18.060200000000002</v>
      </c>
      <c r="U227" s="199">
        <f t="shared" si="127"/>
        <v>0</v>
      </c>
      <c r="V227" s="37" t="str">
        <f t="shared" si="128"/>
        <v>ok</v>
      </c>
      <c r="W227" s="37" t="str">
        <f t="shared" si="129"/>
        <v>ok</v>
      </c>
      <c r="X227" s="278">
        <f t="shared" si="107"/>
        <v>1</v>
      </c>
      <c r="Y227" s="278">
        <f t="shared" si="108"/>
        <v>0.20033988617765211</v>
      </c>
      <c r="Z227" s="278">
        <f t="shared" si="109"/>
        <v>0.1602719089421217</v>
      </c>
    </row>
    <row r="228" spans="1:26" x14ac:dyDescent="0.25">
      <c r="A228" s="420"/>
      <c r="B228" s="178" t="s">
        <v>22</v>
      </c>
      <c r="C228" s="129">
        <v>8</v>
      </c>
      <c r="D228" s="239">
        <f>DMG_6*CMD_11</f>
        <v>11.0687</v>
      </c>
      <c r="E228" s="131">
        <f>OMG_6*CMO_11</f>
        <v>15.04</v>
      </c>
      <c r="F228" s="132">
        <f t="shared" si="105"/>
        <v>12.032</v>
      </c>
      <c r="G228" s="133">
        <f t="shared" si="106"/>
        <v>3.0079999999999991</v>
      </c>
      <c r="H228" s="134">
        <f t="shared" si="120"/>
        <v>11.0687</v>
      </c>
      <c r="I228" s="135"/>
      <c r="J228" s="136">
        <f t="shared" si="121"/>
        <v>0</v>
      </c>
      <c r="K228" s="137"/>
      <c r="L228" s="138">
        <f t="shared" si="122"/>
        <v>0</v>
      </c>
      <c r="M228" s="137"/>
      <c r="N228" s="139">
        <f t="shared" si="123"/>
        <v>0.96330000000000027</v>
      </c>
      <c r="O228" s="137"/>
      <c r="P228" s="140">
        <f t="shared" si="124"/>
        <v>3.0079999999999991</v>
      </c>
      <c r="Q228" s="135"/>
      <c r="R228" s="104">
        <f t="shared" si="125"/>
        <v>11.0687</v>
      </c>
      <c r="S228" s="137"/>
      <c r="T228" s="141">
        <f t="shared" si="126"/>
        <v>3.9712999999999994</v>
      </c>
      <c r="U228" s="199">
        <f t="shared" si="127"/>
        <v>0</v>
      </c>
      <c r="V228" s="37" t="str">
        <f t="shared" si="128"/>
        <v>ok</v>
      </c>
      <c r="W228" s="37" t="str">
        <f t="shared" si="129"/>
        <v>ok</v>
      </c>
      <c r="X228" s="278">
        <f t="shared" si="107"/>
        <v>1</v>
      </c>
      <c r="Y228" s="278">
        <f t="shared" si="108"/>
        <v>0.91993849734042554</v>
      </c>
      <c r="Z228" s="278">
        <f t="shared" si="109"/>
        <v>0.73595079787234041</v>
      </c>
    </row>
    <row r="229" spans="1:26" x14ac:dyDescent="0.25">
      <c r="A229" s="420"/>
      <c r="B229" s="178" t="s">
        <v>23</v>
      </c>
      <c r="C229" s="129">
        <v>9</v>
      </c>
      <c r="D229" s="239">
        <f>DMG_7*CMD_11</f>
        <v>8.9775200000000002</v>
      </c>
      <c r="E229" s="131">
        <f>OMG_7*CMO_11</f>
        <v>15.416</v>
      </c>
      <c r="F229" s="132">
        <f t="shared" si="105"/>
        <v>12.332800000000001</v>
      </c>
      <c r="G229" s="133">
        <f t="shared" si="106"/>
        <v>3.0831999999999993</v>
      </c>
      <c r="H229" s="134">
        <f t="shared" si="120"/>
        <v>8.9775200000000002</v>
      </c>
      <c r="I229" s="135"/>
      <c r="J229" s="136">
        <f t="shared" si="121"/>
        <v>0</v>
      </c>
      <c r="K229" s="137"/>
      <c r="L229" s="138">
        <f t="shared" si="122"/>
        <v>0</v>
      </c>
      <c r="M229" s="137"/>
      <c r="N229" s="139">
        <f t="shared" si="123"/>
        <v>3.3552800000000005</v>
      </c>
      <c r="O229" s="137"/>
      <c r="P229" s="140">
        <f t="shared" si="124"/>
        <v>3.0831999999999993</v>
      </c>
      <c r="Q229" s="135"/>
      <c r="R229" s="104">
        <f t="shared" si="125"/>
        <v>8.9775200000000002</v>
      </c>
      <c r="S229" s="137"/>
      <c r="T229" s="141">
        <f t="shared" si="126"/>
        <v>6.4384800000000002</v>
      </c>
      <c r="U229" s="199">
        <f t="shared" si="127"/>
        <v>0</v>
      </c>
      <c r="V229" s="37" t="str">
        <f t="shared" si="128"/>
        <v>ok</v>
      </c>
      <c r="W229" s="37" t="str">
        <f t="shared" si="129"/>
        <v>ok</v>
      </c>
      <c r="X229" s="278">
        <f t="shared" si="107"/>
        <v>1</v>
      </c>
      <c r="Y229" s="278">
        <f t="shared" si="108"/>
        <v>0.72793850544888428</v>
      </c>
      <c r="Z229" s="278">
        <f t="shared" si="109"/>
        <v>0.58235080435910747</v>
      </c>
    </row>
    <row r="230" spans="1:26" x14ac:dyDescent="0.25">
      <c r="A230" s="420"/>
      <c r="B230" s="178" t="s">
        <v>19</v>
      </c>
      <c r="C230" s="129">
        <v>12</v>
      </c>
      <c r="D230" s="239">
        <f>DMG_8*CMD_11</f>
        <v>5.1896500000000003</v>
      </c>
      <c r="E230" s="131">
        <f>OMG_8*CMO_11</f>
        <v>8.2720000000000002</v>
      </c>
      <c r="F230" s="132">
        <f t="shared" si="105"/>
        <v>6.6176000000000004</v>
      </c>
      <c r="G230" s="133">
        <f t="shared" si="106"/>
        <v>1.6543999999999996</v>
      </c>
      <c r="H230" s="134">
        <f t="shared" si="120"/>
        <v>5.1896500000000003</v>
      </c>
      <c r="I230" s="135"/>
      <c r="J230" s="136">
        <f t="shared" si="121"/>
        <v>0</v>
      </c>
      <c r="K230" s="137"/>
      <c r="L230" s="138">
        <f t="shared" si="122"/>
        <v>0</v>
      </c>
      <c r="M230" s="137"/>
      <c r="N230" s="139">
        <f t="shared" si="123"/>
        <v>1.4279500000000001</v>
      </c>
      <c r="O230" s="137"/>
      <c r="P230" s="140">
        <f t="shared" si="124"/>
        <v>1.6543999999999996</v>
      </c>
      <c r="Q230" s="135"/>
      <c r="R230" s="104">
        <f t="shared" si="125"/>
        <v>5.1896500000000003</v>
      </c>
      <c r="S230" s="137"/>
      <c r="T230" s="141">
        <f t="shared" si="126"/>
        <v>3.0823499999999999</v>
      </c>
      <c r="U230" s="199">
        <f t="shared" si="127"/>
        <v>0</v>
      </c>
      <c r="V230" s="37" t="str">
        <f t="shared" si="128"/>
        <v>ok</v>
      </c>
      <c r="W230" s="37" t="str">
        <f t="shared" si="129"/>
        <v>ok</v>
      </c>
      <c r="X230" s="278">
        <f t="shared" si="107"/>
        <v>1</v>
      </c>
      <c r="Y230" s="278">
        <f t="shared" si="108"/>
        <v>0.7842193544487428</v>
      </c>
      <c r="Z230" s="278">
        <f t="shared" si="109"/>
        <v>0.6273754835589942</v>
      </c>
    </row>
    <row r="231" spans="1:26" x14ac:dyDescent="0.25">
      <c r="A231" s="420"/>
      <c r="B231" s="178" t="s">
        <v>20</v>
      </c>
      <c r="C231" s="129">
        <v>13</v>
      </c>
      <c r="D231" s="239">
        <f>DMG_9*CMD_11</f>
        <v>4.1900199999999996</v>
      </c>
      <c r="E231" s="131">
        <f>OMG_9*CMO_11</f>
        <v>10.528</v>
      </c>
      <c r="F231" s="132">
        <f t="shared" si="105"/>
        <v>8.4224000000000014</v>
      </c>
      <c r="G231" s="133">
        <f t="shared" si="106"/>
        <v>2.1055999999999995</v>
      </c>
      <c r="H231" s="134">
        <f t="shared" si="120"/>
        <v>4.1900199999999996</v>
      </c>
      <c r="I231" s="135"/>
      <c r="J231" s="136">
        <f t="shared" si="121"/>
        <v>0</v>
      </c>
      <c r="K231" s="137"/>
      <c r="L231" s="138">
        <f t="shared" si="122"/>
        <v>0</v>
      </c>
      <c r="M231" s="137"/>
      <c r="N231" s="139">
        <f t="shared" si="123"/>
        <v>4.2323800000000018</v>
      </c>
      <c r="O231" s="137"/>
      <c r="P231" s="140">
        <f t="shared" si="124"/>
        <v>2.1055999999999995</v>
      </c>
      <c r="Q231" s="135"/>
      <c r="R231" s="104">
        <f t="shared" si="125"/>
        <v>4.1900199999999996</v>
      </c>
      <c r="S231" s="137"/>
      <c r="T231" s="141">
        <f t="shared" si="126"/>
        <v>6.3379800000000017</v>
      </c>
      <c r="U231" s="199">
        <f t="shared" si="127"/>
        <v>0</v>
      </c>
      <c r="V231" s="37" t="str">
        <f t="shared" si="128"/>
        <v>ok</v>
      </c>
      <c r="W231" s="37" t="str">
        <f t="shared" si="129"/>
        <v>ok</v>
      </c>
      <c r="X231" s="278">
        <f t="shared" si="107"/>
        <v>1</v>
      </c>
      <c r="Y231" s="278">
        <f t="shared" si="108"/>
        <v>0.49748527735562298</v>
      </c>
      <c r="Z231" s="278">
        <f t="shared" si="109"/>
        <v>0.39798822188449845</v>
      </c>
    </row>
    <row r="232" spans="1:26" x14ac:dyDescent="0.25">
      <c r="A232" s="420"/>
      <c r="B232" s="178" t="s">
        <v>21</v>
      </c>
      <c r="C232" s="129">
        <v>14</v>
      </c>
      <c r="D232" s="239">
        <f>DMG_10*CMD_11</f>
        <v>7.9817200000000001</v>
      </c>
      <c r="E232" s="131">
        <f>OMG_10*CMO_11</f>
        <v>14.288</v>
      </c>
      <c r="F232" s="132">
        <f t="shared" si="105"/>
        <v>11.430400000000001</v>
      </c>
      <c r="G232" s="133">
        <f t="shared" si="106"/>
        <v>2.8575999999999993</v>
      </c>
      <c r="H232" s="134">
        <f t="shared" si="120"/>
        <v>7.9817200000000001</v>
      </c>
      <c r="I232" s="135"/>
      <c r="J232" s="136">
        <f t="shared" si="121"/>
        <v>0</v>
      </c>
      <c r="K232" s="137"/>
      <c r="L232" s="138">
        <f t="shared" si="122"/>
        <v>0</v>
      </c>
      <c r="M232" s="137"/>
      <c r="N232" s="139">
        <f t="shared" si="123"/>
        <v>3.4486800000000004</v>
      </c>
      <c r="O232" s="137"/>
      <c r="P232" s="140">
        <f t="shared" si="124"/>
        <v>2.8575999999999993</v>
      </c>
      <c r="Q232" s="135"/>
      <c r="R232" s="104">
        <f t="shared" si="125"/>
        <v>7.9817200000000001</v>
      </c>
      <c r="S232" s="137"/>
      <c r="T232" s="141">
        <f t="shared" si="126"/>
        <v>6.3062799999999992</v>
      </c>
      <c r="U232" s="199">
        <f t="shared" si="127"/>
        <v>0</v>
      </c>
      <c r="V232" s="37" t="str">
        <f t="shared" si="128"/>
        <v>ok</v>
      </c>
      <c r="W232" s="37" t="str">
        <f t="shared" si="129"/>
        <v>ok</v>
      </c>
      <c r="X232" s="278">
        <f t="shared" si="107"/>
        <v>1</v>
      </c>
      <c r="Y232" s="278">
        <f t="shared" si="108"/>
        <v>0.69828877379619259</v>
      </c>
      <c r="Z232" s="278">
        <f t="shared" si="109"/>
        <v>0.55863101903695411</v>
      </c>
    </row>
    <row r="233" spans="1:26" x14ac:dyDescent="0.25">
      <c r="A233" s="420"/>
      <c r="B233" s="178" t="s">
        <v>22</v>
      </c>
      <c r="C233" s="129">
        <v>15</v>
      </c>
      <c r="D233" s="239">
        <f>DMG_11*CMD_11</f>
        <v>6.9361300000000004</v>
      </c>
      <c r="E233" s="131">
        <f>OMG_11*CMO_11</f>
        <v>22.56</v>
      </c>
      <c r="F233" s="132">
        <f t="shared" si="105"/>
        <v>18.047999999999998</v>
      </c>
      <c r="G233" s="133">
        <f t="shared" si="106"/>
        <v>4.5119999999999987</v>
      </c>
      <c r="H233" s="134">
        <f t="shared" si="120"/>
        <v>6.9361300000000004</v>
      </c>
      <c r="I233" s="135"/>
      <c r="J233" s="136">
        <f t="shared" si="121"/>
        <v>0</v>
      </c>
      <c r="K233" s="137"/>
      <c r="L233" s="138">
        <f t="shared" si="122"/>
        <v>0</v>
      </c>
      <c r="M233" s="137"/>
      <c r="N233" s="139">
        <f t="shared" si="123"/>
        <v>11.111869999999998</v>
      </c>
      <c r="O233" s="137"/>
      <c r="P233" s="140">
        <f t="shared" si="124"/>
        <v>4.5119999999999987</v>
      </c>
      <c r="Q233" s="135"/>
      <c r="R233" s="104">
        <f t="shared" si="125"/>
        <v>6.9361300000000004</v>
      </c>
      <c r="S233" s="137"/>
      <c r="T233" s="141">
        <f t="shared" si="126"/>
        <v>15.623869999999997</v>
      </c>
      <c r="U233" s="199">
        <f t="shared" si="127"/>
        <v>0</v>
      </c>
      <c r="V233" s="37" t="str">
        <f t="shared" si="128"/>
        <v>ok</v>
      </c>
      <c r="W233" s="37" t="str">
        <f t="shared" si="129"/>
        <v>ok</v>
      </c>
      <c r="X233" s="278">
        <f t="shared" si="107"/>
        <v>1</v>
      </c>
      <c r="Y233" s="278">
        <f t="shared" si="108"/>
        <v>0.38431571365248235</v>
      </c>
      <c r="Z233" s="278">
        <f t="shared" si="109"/>
        <v>0.30745257092198586</v>
      </c>
    </row>
    <row r="234" spans="1:26" x14ac:dyDescent="0.25">
      <c r="A234" s="420"/>
      <c r="B234" s="178" t="s">
        <v>23</v>
      </c>
      <c r="C234" s="129">
        <v>16</v>
      </c>
      <c r="D234" s="239">
        <f>DMG_12*CMD_11</f>
        <v>5.4462600000000005</v>
      </c>
      <c r="E234" s="131">
        <f>OMG_12*CMO_11</f>
        <v>17.295999999999999</v>
      </c>
      <c r="F234" s="132">
        <f t="shared" si="105"/>
        <v>13.8368</v>
      </c>
      <c r="G234" s="133">
        <f t="shared" si="106"/>
        <v>3.4591999999999992</v>
      </c>
      <c r="H234" s="134">
        <f t="shared" si="120"/>
        <v>5.4462600000000005</v>
      </c>
      <c r="I234" s="135"/>
      <c r="J234" s="136">
        <f t="shared" si="121"/>
        <v>0</v>
      </c>
      <c r="K234" s="137"/>
      <c r="L234" s="138">
        <f t="shared" si="122"/>
        <v>0</v>
      </c>
      <c r="M234" s="137"/>
      <c r="N234" s="139">
        <f t="shared" si="123"/>
        <v>8.3905399999999997</v>
      </c>
      <c r="O234" s="137"/>
      <c r="P234" s="140">
        <f t="shared" si="124"/>
        <v>3.4591999999999992</v>
      </c>
      <c r="Q234" s="135"/>
      <c r="R234" s="104">
        <f t="shared" si="125"/>
        <v>5.4462600000000005</v>
      </c>
      <c r="S234" s="137"/>
      <c r="T234" s="141">
        <f t="shared" si="126"/>
        <v>11.849739999999999</v>
      </c>
      <c r="U234" s="199">
        <f t="shared" si="127"/>
        <v>0</v>
      </c>
      <c r="V234" s="37" t="str">
        <f t="shared" si="128"/>
        <v>ok</v>
      </c>
      <c r="W234" s="37" t="str">
        <f t="shared" si="129"/>
        <v>ok</v>
      </c>
      <c r="X234" s="278">
        <f t="shared" si="107"/>
        <v>1</v>
      </c>
      <c r="Y234" s="278">
        <f t="shared" si="108"/>
        <v>0.39360690333024978</v>
      </c>
      <c r="Z234" s="278">
        <f t="shared" si="109"/>
        <v>0.31488552266419984</v>
      </c>
    </row>
    <row r="235" spans="1:26" x14ac:dyDescent="0.25">
      <c r="A235" s="420"/>
      <c r="B235" s="178" t="s">
        <v>19</v>
      </c>
      <c r="C235" s="129">
        <v>19</v>
      </c>
      <c r="D235" s="239">
        <f>DMG_13*CMD_11</f>
        <v>2.38226</v>
      </c>
      <c r="E235" s="131">
        <f>OMG_13*CMO_11</f>
        <v>8.2720000000000002</v>
      </c>
      <c r="F235" s="132">
        <f t="shared" si="105"/>
        <v>6.6176000000000004</v>
      </c>
      <c r="G235" s="133">
        <f t="shared" si="106"/>
        <v>1.6543999999999996</v>
      </c>
      <c r="H235" s="134">
        <f t="shared" si="120"/>
        <v>2.38226</v>
      </c>
      <c r="I235" s="135"/>
      <c r="J235" s="136">
        <f t="shared" si="121"/>
        <v>0</v>
      </c>
      <c r="K235" s="137"/>
      <c r="L235" s="138">
        <f t="shared" si="122"/>
        <v>0</v>
      </c>
      <c r="M235" s="137"/>
      <c r="N235" s="139">
        <f t="shared" si="123"/>
        <v>4.2353400000000008</v>
      </c>
      <c r="O235" s="137"/>
      <c r="P235" s="140">
        <f t="shared" si="124"/>
        <v>1.6543999999999996</v>
      </c>
      <c r="Q235" s="135"/>
      <c r="R235" s="104">
        <f t="shared" si="125"/>
        <v>2.38226</v>
      </c>
      <c r="S235" s="137"/>
      <c r="T235" s="141">
        <f t="shared" si="126"/>
        <v>5.8897400000000006</v>
      </c>
      <c r="U235" s="199">
        <f t="shared" si="127"/>
        <v>0</v>
      </c>
      <c r="V235" s="37" t="str">
        <f t="shared" si="128"/>
        <v>ok</v>
      </c>
      <c r="W235" s="37" t="str">
        <f t="shared" si="129"/>
        <v>ok</v>
      </c>
      <c r="X235" s="278">
        <f t="shared" si="107"/>
        <v>1</v>
      </c>
      <c r="Y235" s="278">
        <f t="shared" si="108"/>
        <v>0.35998851547388783</v>
      </c>
      <c r="Z235" s="278">
        <f t="shared" si="109"/>
        <v>0.28799081237911023</v>
      </c>
    </row>
    <row r="236" spans="1:26" x14ac:dyDescent="0.25">
      <c r="A236" s="420"/>
      <c r="B236" s="178" t="s">
        <v>20</v>
      </c>
      <c r="C236" s="129">
        <v>20</v>
      </c>
      <c r="D236" s="239">
        <f>DMG_14*CMD_11</f>
        <v>1.66222</v>
      </c>
      <c r="E236" s="131">
        <f>OMG_14*CMO_11</f>
        <v>13.912000000000001</v>
      </c>
      <c r="F236" s="132">
        <f t="shared" si="105"/>
        <v>11.129600000000002</v>
      </c>
      <c r="G236" s="133">
        <f t="shared" si="106"/>
        <v>2.7823999999999995</v>
      </c>
      <c r="H236" s="134">
        <f t="shared" si="120"/>
        <v>1.66222</v>
      </c>
      <c r="I236" s="135"/>
      <c r="J236" s="136">
        <f t="shared" si="121"/>
        <v>0</v>
      </c>
      <c r="K236" s="137"/>
      <c r="L236" s="138">
        <f t="shared" si="122"/>
        <v>0</v>
      </c>
      <c r="M236" s="137"/>
      <c r="N236" s="139">
        <f t="shared" si="123"/>
        <v>9.4673800000000021</v>
      </c>
      <c r="O236" s="137"/>
      <c r="P236" s="140">
        <f t="shared" si="124"/>
        <v>2.7823999999999995</v>
      </c>
      <c r="Q236" s="135"/>
      <c r="R236" s="104">
        <f t="shared" si="125"/>
        <v>1.66222</v>
      </c>
      <c r="S236" s="137"/>
      <c r="T236" s="141">
        <f t="shared" si="126"/>
        <v>12.249780000000001</v>
      </c>
      <c r="U236" s="199">
        <f t="shared" si="127"/>
        <v>0</v>
      </c>
      <c r="V236" s="37" t="str">
        <f t="shared" si="128"/>
        <v>ok</v>
      </c>
      <c r="W236" s="37" t="str">
        <f t="shared" si="129"/>
        <v>ok</v>
      </c>
      <c r="X236" s="278">
        <f t="shared" si="107"/>
        <v>1</v>
      </c>
      <c r="Y236" s="278">
        <f t="shared" si="108"/>
        <v>0.1493512794709603</v>
      </c>
      <c r="Z236" s="278">
        <f t="shared" si="109"/>
        <v>0.11948102357676825</v>
      </c>
    </row>
    <row r="237" spans="1:26" x14ac:dyDescent="0.25">
      <c r="A237" s="420"/>
      <c r="B237" s="178" t="s">
        <v>21</v>
      </c>
      <c r="C237" s="129">
        <v>21</v>
      </c>
      <c r="D237" s="239">
        <f>DMG_15*CMD_11</f>
        <v>3.4470000000000001</v>
      </c>
      <c r="E237" s="131">
        <f>OMG_15*CMO_11</f>
        <v>16.544</v>
      </c>
      <c r="F237" s="132">
        <f t="shared" si="105"/>
        <v>13.235200000000001</v>
      </c>
      <c r="G237" s="133">
        <f t="shared" si="106"/>
        <v>3.3087999999999993</v>
      </c>
      <c r="H237" s="134">
        <f t="shared" si="120"/>
        <v>3.4470000000000001</v>
      </c>
      <c r="I237" s="135"/>
      <c r="J237" s="136">
        <f t="shared" si="121"/>
        <v>0</v>
      </c>
      <c r="K237" s="137"/>
      <c r="L237" s="138">
        <f t="shared" si="122"/>
        <v>0</v>
      </c>
      <c r="M237" s="137"/>
      <c r="N237" s="139">
        <f t="shared" si="123"/>
        <v>9.7881999999999998</v>
      </c>
      <c r="O237" s="137"/>
      <c r="P237" s="140">
        <f t="shared" si="124"/>
        <v>3.3087999999999993</v>
      </c>
      <c r="Q237" s="135"/>
      <c r="R237" s="104">
        <f t="shared" si="125"/>
        <v>3.4470000000000001</v>
      </c>
      <c r="S237" s="137"/>
      <c r="T237" s="141">
        <f t="shared" si="126"/>
        <v>13.097</v>
      </c>
      <c r="U237" s="199">
        <f t="shared" si="127"/>
        <v>0</v>
      </c>
      <c r="V237" s="37" t="str">
        <f t="shared" si="128"/>
        <v>ok</v>
      </c>
      <c r="W237" s="37" t="str">
        <f t="shared" si="129"/>
        <v>ok</v>
      </c>
      <c r="X237" s="278">
        <f t="shared" si="107"/>
        <v>1</v>
      </c>
      <c r="Y237" s="278">
        <f t="shared" si="108"/>
        <v>0.26044185203094777</v>
      </c>
      <c r="Z237" s="278">
        <f t="shared" si="109"/>
        <v>0.20835348162475822</v>
      </c>
    </row>
    <row r="238" spans="1:26" x14ac:dyDescent="0.25">
      <c r="A238" s="420"/>
      <c r="B238" s="178" t="s">
        <v>22</v>
      </c>
      <c r="C238" s="129">
        <v>22</v>
      </c>
      <c r="D238" s="239">
        <f>DMG_16*CMD_11</f>
        <v>13.833959999999999</v>
      </c>
      <c r="E238" s="131">
        <f>OMG_16*CMO_11</f>
        <v>18.611999999999998</v>
      </c>
      <c r="F238" s="132">
        <f t="shared" si="105"/>
        <v>14.8896</v>
      </c>
      <c r="G238" s="133">
        <f t="shared" si="106"/>
        <v>3.722399999999999</v>
      </c>
      <c r="H238" s="134">
        <f t="shared" si="120"/>
        <v>13.833959999999999</v>
      </c>
      <c r="I238" s="135"/>
      <c r="J238" s="136">
        <f t="shared" si="121"/>
        <v>0</v>
      </c>
      <c r="K238" s="137"/>
      <c r="L238" s="138">
        <f t="shared" si="122"/>
        <v>0</v>
      </c>
      <c r="M238" s="137"/>
      <c r="N238" s="139">
        <f t="shared" si="123"/>
        <v>1.0556400000000004</v>
      </c>
      <c r="O238" s="137"/>
      <c r="P238" s="140">
        <f t="shared" si="124"/>
        <v>3.722399999999999</v>
      </c>
      <c r="Q238" s="135"/>
      <c r="R238" s="104">
        <f t="shared" si="125"/>
        <v>13.833959999999999</v>
      </c>
      <c r="S238" s="137"/>
      <c r="T238" s="141">
        <f t="shared" si="126"/>
        <v>4.778039999999999</v>
      </c>
      <c r="U238" s="199">
        <f t="shared" si="127"/>
        <v>0</v>
      </c>
      <c r="V238" s="37" t="str">
        <f t="shared" si="128"/>
        <v>ok</v>
      </c>
      <c r="W238" s="37" t="str">
        <f t="shared" si="129"/>
        <v>ok</v>
      </c>
      <c r="X238" s="278">
        <f t="shared" si="107"/>
        <v>1</v>
      </c>
      <c r="Y238" s="278">
        <f t="shared" si="108"/>
        <v>0.92910219213410705</v>
      </c>
      <c r="Z238" s="278">
        <f t="shared" si="109"/>
        <v>0.74328175370728566</v>
      </c>
    </row>
    <row r="239" spans="1:26" x14ac:dyDescent="0.25">
      <c r="A239" s="420"/>
      <c r="B239" s="178" t="s">
        <v>23</v>
      </c>
      <c r="C239" s="129">
        <v>23</v>
      </c>
      <c r="D239" s="239">
        <f>DMG_17*CMD_11</f>
        <v>11.260199999999999</v>
      </c>
      <c r="E239" s="131">
        <f>OMG_17*CMO_11</f>
        <v>11.791359999999999</v>
      </c>
      <c r="F239" s="132">
        <f t="shared" si="105"/>
        <v>9.4330879999999997</v>
      </c>
      <c r="G239" s="133">
        <f t="shared" si="106"/>
        <v>2.3582719999999995</v>
      </c>
      <c r="H239" s="134">
        <f t="shared" si="120"/>
        <v>11.260199999999999</v>
      </c>
      <c r="I239" s="135"/>
      <c r="J239" s="136">
        <f t="shared" si="121"/>
        <v>0</v>
      </c>
      <c r="K239" s="137"/>
      <c r="L239" s="138">
        <f t="shared" si="122"/>
        <v>1.8271119999999996</v>
      </c>
      <c r="M239" s="137"/>
      <c r="N239" s="139">
        <f t="shared" si="123"/>
        <v>0</v>
      </c>
      <c r="O239" s="137"/>
      <c r="P239" s="140">
        <f t="shared" si="124"/>
        <v>0.53115999999999985</v>
      </c>
      <c r="Q239" s="135"/>
      <c r="R239" s="104">
        <f t="shared" si="125"/>
        <v>9.4330879999999997</v>
      </c>
      <c r="S239" s="137"/>
      <c r="T239" s="141">
        <f t="shared" si="126"/>
        <v>2.3582719999999995</v>
      </c>
      <c r="U239" s="199">
        <f t="shared" si="127"/>
        <v>1.8271119999999996</v>
      </c>
      <c r="V239" s="37" t="str">
        <f t="shared" si="128"/>
        <v>ok</v>
      </c>
      <c r="W239" s="37" t="str">
        <f t="shared" si="129"/>
        <v>ok</v>
      </c>
      <c r="X239" s="278">
        <f t="shared" si="107"/>
        <v>0.83773716275021759</v>
      </c>
      <c r="Y239" s="278">
        <f t="shared" si="108"/>
        <v>1</v>
      </c>
      <c r="Z239" s="278">
        <f t="shared" si="109"/>
        <v>0.8</v>
      </c>
    </row>
    <row r="240" spans="1:26" x14ac:dyDescent="0.25">
      <c r="A240" s="420"/>
      <c r="B240" s="178" t="s">
        <v>19</v>
      </c>
      <c r="C240" s="129">
        <v>26</v>
      </c>
      <c r="D240" s="239">
        <f>DMG_18*CMD_11</f>
        <v>6.4880200000000006</v>
      </c>
      <c r="E240" s="131">
        <f>OMG_18*CMO_11</f>
        <v>5.5873599999999994</v>
      </c>
      <c r="F240" s="132">
        <f t="shared" si="105"/>
        <v>4.4698880000000001</v>
      </c>
      <c r="G240" s="133">
        <f t="shared" si="106"/>
        <v>1.1174719999999996</v>
      </c>
      <c r="H240" s="134">
        <f t="shared" si="120"/>
        <v>5.5873599999999994</v>
      </c>
      <c r="I240" s="135"/>
      <c r="J240" s="136">
        <f t="shared" si="121"/>
        <v>0.90066000000000113</v>
      </c>
      <c r="K240" s="137"/>
      <c r="L240" s="138">
        <f t="shared" si="122"/>
        <v>1.1174719999999996</v>
      </c>
      <c r="M240" s="137"/>
      <c r="N240" s="139">
        <f t="shared" si="123"/>
        <v>0</v>
      </c>
      <c r="O240" s="137"/>
      <c r="P240" s="140">
        <f t="shared" si="124"/>
        <v>0</v>
      </c>
      <c r="Q240" s="135"/>
      <c r="R240" s="104">
        <f t="shared" si="125"/>
        <v>4.4698880000000001</v>
      </c>
      <c r="S240" s="137"/>
      <c r="T240" s="141">
        <f t="shared" si="126"/>
        <v>1.1174719999999996</v>
      </c>
      <c r="U240" s="199">
        <f t="shared" si="127"/>
        <v>2.0181320000000005</v>
      </c>
      <c r="V240" s="37" t="str">
        <f t="shared" si="128"/>
        <v>ok</v>
      </c>
      <c r="W240" s="37" t="str">
        <f t="shared" si="129"/>
        <v>ok</v>
      </c>
      <c r="X240" s="278">
        <f t="shared" si="107"/>
        <v>0.68894485528712912</v>
      </c>
      <c r="Y240" s="278">
        <f t="shared" si="108"/>
        <v>1</v>
      </c>
      <c r="Z240" s="278">
        <f t="shared" si="109"/>
        <v>0.8</v>
      </c>
    </row>
    <row r="241" spans="1:26" x14ac:dyDescent="0.25">
      <c r="A241" s="420"/>
      <c r="B241" s="178" t="s">
        <v>20</v>
      </c>
      <c r="C241" s="129">
        <v>27</v>
      </c>
      <c r="D241" s="239">
        <f>DMG_19*CMD_11</f>
        <v>5.3122099999999994</v>
      </c>
      <c r="E241" s="131">
        <f>OMG_19*CMO_11</f>
        <v>7.4447999999999999</v>
      </c>
      <c r="F241" s="132">
        <f t="shared" si="105"/>
        <v>5.9558400000000002</v>
      </c>
      <c r="G241" s="133">
        <f t="shared" si="106"/>
        <v>1.4889599999999996</v>
      </c>
      <c r="H241" s="134">
        <f t="shared" si="120"/>
        <v>5.3122099999999994</v>
      </c>
      <c r="I241" s="135"/>
      <c r="J241" s="136">
        <f t="shared" si="121"/>
        <v>0</v>
      </c>
      <c r="K241" s="137"/>
      <c r="L241" s="138">
        <f t="shared" si="122"/>
        <v>0</v>
      </c>
      <c r="M241" s="137"/>
      <c r="N241" s="139">
        <f t="shared" si="123"/>
        <v>0.64363000000000081</v>
      </c>
      <c r="O241" s="137"/>
      <c r="P241" s="140">
        <f t="shared" si="124"/>
        <v>1.4889599999999996</v>
      </c>
      <c r="Q241" s="135"/>
      <c r="R241" s="104">
        <f t="shared" si="125"/>
        <v>5.3122099999999994</v>
      </c>
      <c r="S241" s="137"/>
      <c r="T241" s="141">
        <f t="shared" si="126"/>
        <v>2.1325900000000004</v>
      </c>
      <c r="U241" s="199">
        <f t="shared" si="127"/>
        <v>0</v>
      </c>
      <c r="V241" s="37" t="str">
        <f t="shared" si="128"/>
        <v>ok</v>
      </c>
      <c r="W241" s="37" t="str">
        <f t="shared" si="129"/>
        <v>ok</v>
      </c>
      <c r="X241" s="278">
        <f t="shared" si="107"/>
        <v>1</v>
      </c>
      <c r="Y241" s="278">
        <f t="shared" si="108"/>
        <v>0.8919329599183321</v>
      </c>
      <c r="Z241" s="278">
        <f t="shared" si="109"/>
        <v>0.71354636793466575</v>
      </c>
    </row>
    <row r="242" spans="1:26" x14ac:dyDescent="0.25">
      <c r="A242" s="420"/>
      <c r="B242" s="178" t="s">
        <v>21</v>
      </c>
      <c r="C242" s="129">
        <v>28</v>
      </c>
      <c r="D242" s="239">
        <f>DMG_20*CMD_11</f>
        <v>9.97715</v>
      </c>
      <c r="E242" s="131">
        <f>OMG_20*CMO_11</f>
        <v>11.791359999999999</v>
      </c>
      <c r="F242" s="132">
        <f t="shared" si="105"/>
        <v>9.4330879999999997</v>
      </c>
      <c r="G242" s="133">
        <f t="shared" si="106"/>
        <v>2.3582719999999995</v>
      </c>
      <c r="H242" s="134">
        <f t="shared" si="120"/>
        <v>9.97715</v>
      </c>
      <c r="I242" s="135"/>
      <c r="J242" s="136">
        <f t="shared" si="121"/>
        <v>0</v>
      </c>
      <c r="K242" s="137"/>
      <c r="L242" s="138">
        <f t="shared" si="122"/>
        <v>0.54406200000000027</v>
      </c>
      <c r="M242" s="137"/>
      <c r="N242" s="139">
        <f t="shared" si="123"/>
        <v>0</v>
      </c>
      <c r="O242" s="137"/>
      <c r="P242" s="140">
        <f t="shared" si="124"/>
        <v>1.8142099999999992</v>
      </c>
      <c r="Q242" s="135"/>
      <c r="R242" s="104">
        <f t="shared" si="125"/>
        <v>9.4330879999999997</v>
      </c>
      <c r="S242" s="137"/>
      <c r="T242" s="141">
        <f t="shared" si="126"/>
        <v>2.3582719999999995</v>
      </c>
      <c r="U242" s="199">
        <f t="shared" si="127"/>
        <v>0.54406200000000027</v>
      </c>
      <c r="V242" s="37" t="str">
        <f t="shared" si="128"/>
        <v>ok</v>
      </c>
      <c r="W242" s="37" t="str">
        <f t="shared" si="129"/>
        <v>ok</v>
      </c>
      <c r="X242" s="278">
        <f t="shared" si="107"/>
        <v>0.94546919711540867</v>
      </c>
      <c r="Y242" s="278">
        <f t="shared" si="108"/>
        <v>1</v>
      </c>
      <c r="Z242" s="278">
        <f t="shared" si="109"/>
        <v>0.8</v>
      </c>
    </row>
    <row r="243" spans="1:26" x14ac:dyDescent="0.25">
      <c r="A243" s="420"/>
      <c r="B243" s="178" t="s">
        <v>22</v>
      </c>
      <c r="C243" s="129">
        <v>29</v>
      </c>
      <c r="D243" s="239">
        <f>DMG_21*CMD_11</f>
        <v>16.599220000000003</v>
      </c>
      <c r="E243" s="131">
        <f>OMG_21*CMO_11</f>
        <v>22.56</v>
      </c>
      <c r="F243" s="132">
        <f t="shared" si="105"/>
        <v>18.047999999999998</v>
      </c>
      <c r="G243" s="133">
        <f t="shared" si="106"/>
        <v>4.5119999999999987</v>
      </c>
      <c r="H243" s="134">
        <f t="shared" si="120"/>
        <v>16.599220000000003</v>
      </c>
      <c r="I243" s="135"/>
      <c r="J243" s="136">
        <f t="shared" si="121"/>
        <v>0</v>
      </c>
      <c r="K243" s="137"/>
      <c r="L243" s="138">
        <f t="shared" si="122"/>
        <v>0</v>
      </c>
      <c r="M243" s="137"/>
      <c r="N243" s="139">
        <f t="shared" si="123"/>
        <v>1.4487799999999957</v>
      </c>
      <c r="O243" s="137"/>
      <c r="P243" s="140">
        <f t="shared" si="124"/>
        <v>4.5119999999999987</v>
      </c>
      <c r="Q243" s="135"/>
      <c r="R243" s="104">
        <f t="shared" si="125"/>
        <v>16.599220000000003</v>
      </c>
      <c r="S243" s="137"/>
      <c r="T243" s="141">
        <f t="shared" si="126"/>
        <v>5.9607799999999944</v>
      </c>
      <c r="U243" s="199">
        <f t="shared" si="127"/>
        <v>0</v>
      </c>
      <c r="V243" s="37" t="str">
        <f t="shared" si="128"/>
        <v>ok</v>
      </c>
      <c r="W243" s="37" t="str">
        <f t="shared" si="129"/>
        <v>ok</v>
      </c>
      <c r="X243" s="278">
        <f t="shared" si="107"/>
        <v>1</v>
      </c>
      <c r="Y243" s="278">
        <f t="shared" si="108"/>
        <v>0.91972628546099311</v>
      </c>
      <c r="Z243" s="278">
        <f t="shared" si="109"/>
        <v>0.73578102836879444</v>
      </c>
    </row>
    <row r="244" spans="1:26" ht="15.75" thickBot="1" x14ac:dyDescent="0.3">
      <c r="A244" s="421"/>
      <c r="B244" s="180" t="s">
        <v>23</v>
      </c>
      <c r="C244" s="237">
        <v>30</v>
      </c>
      <c r="D244" s="240">
        <f>DMG_22*CMD_11</f>
        <v>13.466279999999999</v>
      </c>
      <c r="E244" s="203">
        <f>OMG_22*CMO_11</f>
        <v>15.792</v>
      </c>
      <c r="F244" s="204">
        <f t="shared" si="105"/>
        <v>12.633600000000001</v>
      </c>
      <c r="G244" s="205">
        <f t="shared" si="106"/>
        <v>3.1583999999999994</v>
      </c>
      <c r="H244" s="206">
        <f t="shared" si="120"/>
        <v>13.466279999999999</v>
      </c>
      <c r="I244" s="207"/>
      <c r="J244" s="208">
        <f t="shared" si="121"/>
        <v>0</v>
      </c>
      <c r="K244" s="209"/>
      <c r="L244" s="210">
        <f t="shared" si="122"/>
        <v>0.83267999999999809</v>
      </c>
      <c r="M244" s="209"/>
      <c r="N244" s="211">
        <f t="shared" si="123"/>
        <v>0</v>
      </c>
      <c r="O244" s="209"/>
      <c r="P244" s="212">
        <f t="shared" si="124"/>
        <v>2.3257200000000005</v>
      </c>
      <c r="Q244" s="207"/>
      <c r="R244" s="213">
        <f t="shared" si="125"/>
        <v>12.633600000000001</v>
      </c>
      <c r="S244" s="209"/>
      <c r="T244" s="214">
        <f t="shared" si="126"/>
        <v>3.1583999999999985</v>
      </c>
      <c r="U244" s="215">
        <f t="shared" si="127"/>
        <v>0.83267999999999809</v>
      </c>
      <c r="V244" s="37" t="str">
        <f t="shared" si="128"/>
        <v>ok</v>
      </c>
      <c r="W244" s="37" t="str">
        <f t="shared" si="129"/>
        <v>ok</v>
      </c>
      <c r="X244" s="278">
        <f t="shared" si="107"/>
        <v>0.93816555128810641</v>
      </c>
      <c r="Y244" s="278">
        <f t="shared" si="108"/>
        <v>1</v>
      </c>
      <c r="Z244" s="278">
        <f t="shared" si="109"/>
        <v>0.8</v>
      </c>
    </row>
    <row r="245" spans="1:26" x14ac:dyDescent="0.25">
      <c r="A245" s="419" t="s">
        <v>100</v>
      </c>
      <c r="B245" s="176" t="s">
        <v>19</v>
      </c>
      <c r="C245" s="241">
        <v>3</v>
      </c>
      <c r="D245" s="238">
        <f>DMG_1*CMD_12</f>
        <v>5.1794599999999997</v>
      </c>
      <c r="E245" s="185">
        <f>OMG_1*CMO_12</f>
        <v>39.194999999999993</v>
      </c>
      <c r="F245" s="186">
        <f t="shared" si="105"/>
        <v>31.355999999999995</v>
      </c>
      <c r="G245" s="187">
        <f t="shared" si="106"/>
        <v>7.8389999999999969</v>
      </c>
      <c r="H245" s="188">
        <f>IF(E245&gt;D245,D245,E245)</f>
        <v>5.1794599999999997</v>
      </c>
      <c r="I245" s="189"/>
      <c r="J245" s="190">
        <f>IF(E245&gt;D245,0,D245-E245)</f>
        <v>0</v>
      </c>
      <c r="K245" s="191"/>
      <c r="L245" s="192">
        <f>IF(E245&gt;D245,IF(F245&gt;H245,0,H245-F245),G245)</f>
        <v>0</v>
      </c>
      <c r="M245" s="191"/>
      <c r="N245" s="193">
        <f>IF(E245&gt;D245,IF(F245&gt;H245,F245-H245,0),0)</f>
        <v>26.176539999999996</v>
      </c>
      <c r="O245" s="191"/>
      <c r="P245" s="194">
        <f>IF(E245&gt;D245,IF(F245&gt;H245,G245,E245-H245),0)</f>
        <v>7.8389999999999969</v>
      </c>
      <c r="Q245" s="189"/>
      <c r="R245" s="195">
        <f>H245-L245</f>
        <v>5.1794599999999997</v>
      </c>
      <c r="S245" s="191"/>
      <c r="T245" s="196">
        <f>L245+N245+P245</f>
        <v>34.015539999999994</v>
      </c>
      <c r="U245" s="197">
        <f>J245+L245</f>
        <v>0</v>
      </c>
      <c r="V245" s="37" t="str">
        <f>IF(R245+T245=E245,"ok","bad")</f>
        <v>ok</v>
      </c>
      <c r="W245" s="37" t="str">
        <f>IF(U245+R245=D245,"ok","bad")</f>
        <v>ok</v>
      </c>
      <c r="X245" s="278">
        <f t="shared" si="107"/>
        <v>1</v>
      </c>
      <c r="Y245" s="278">
        <f t="shared" si="108"/>
        <v>0.16518242122719737</v>
      </c>
      <c r="Z245" s="278">
        <f t="shared" si="109"/>
        <v>0.13214593698175789</v>
      </c>
    </row>
    <row r="246" spans="1:26" x14ac:dyDescent="0.25">
      <c r="A246" s="420"/>
      <c r="B246" s="178" t="s">
        <v>20</v>
      </c>
      <c r="C246" s="129">
        <v>4</v>
      </c>
      <c r="D246" s="239">
        <f>DMG_2*CMD_12</f>
        <v>4.0669199999999996</v>
      </c>
      <c r="E246" s="131">
        <f>OMG_2*CMO_12</f>
        <v>28.742999999999999</v>
      </c>
      <c r="F246" s="132">
        <f t="shared" si="105"/>
        <v>22.994399999999999</v>
      </c>
      <c r="G246" s="133">
        <f t="shared" si="106"/>
        <v>5.7485999999999988</v>
      </c>
      <c r="H246" s="134">
        <f t="shared" ref="H246:H265" si="130">IF(E246&gt;D246,D246,E246)</f>
        <v>4.0669199999999996</v>
      </c>
      <c r="I246" s="135"/>
      <c r="J246" s="136">
        <f t="shared" ref="J246:J265" si="131">IF(E246&gt;D246,0,D246-E246)</f>
        <v>0</v>
      </c>
      <c r="K246" s="137"/>
      <c r="L246" s="138">
        <f t="shared" ref="L246:L265" si="132">IF(E246&gt;D246,IF(F246&gt;H246,0,H246-F246),G246)</f>
        <v>0</v>
      </c>
      <c r="M246" s="137"/>
      <c r="N246" s="139">
        <f t="shared" ref="N246:N265" si="133">IF(E246&gt;D246,IF(F246&gt;H246,F246-H246,0),0)</f>
        <v>18.927479999999999</v>
      </c>
      <c r="O246" s="137"/>
      <c r="P246" s="140">
        <f t="shared" ref="P246:P265" si="134">IF(E246&gt;D246,IF(F246&gt;H246,G246,E246-H246),0)</f>
        <v>5.7485999999999988</v>
      </c>
      <c r="Q246" s="135"/>
      <c r="R246" s="104">
        <f t="shared" ref="R246:R265" si="135">H246-L246</f>
        <v>4.0669199999999996</v>
      </c>
      <c r="S246" s="137"/>
      <c r="T246" s="141">
        <f t="shared" ref="T246:T265" si="136">L246+N246+P246</f>
        <v>24.676079999999999</v>
      </c>
      <c r="U246" s="199">
        <f t="shared" ref="U246:U265" si="137">J246+L246</f>
        <v>0</v>
      </c>
      <c r="V246" s="37" t="str">
        <f t="shared" ref="V246:V265" si="138">IF(R246+T246=E246,"ok","bad")</f>
        <v>ok</v>
      </c>
      <c r="W246" s="37" t="str">
        <f t="shared" ref="W246:W265" si="139">IF(U246+R246=D246,"ok","bad")</f>
        <v>ok</v>
      </c>
      <c r="X246" s="278">
        <f t="shared" si="107"/>
        <v>1</v>
      </c>
      <c r="Y246" s="278">
        <f t="shared" si="108"/>
        <v>0.17686567164179104</v>
      </c>
      <c r="Z246" s="278">
        <f t="shared" si="109"/>
        <v>0.14149253731343284</v>
      </c>
    </row>
    <row r="247" spans="1:26" x14ac:dyDescent="0.25">
      <c r="A247" s="420"/>
      <c r="B247" s="178" t="s">
        <v>21</v>
      </c>
      <c r="C247" s="129">
        <v>5</v>
      </c>
      <c r="D247" s="239">
        <f>DMG_3*CMD_12</f>
        <v>1.7789199999999998</v>
      </c>
      <c r="E247" s="131">
        <f>OMG_3*CMO_12</f>
        <v>11.758499999999998</v>
      </c>
      <c r="F247" s="132">
        <f t="shared" si="105"/>
        <v>9.4067999999999987</v>
      </c>
      <c r="G247" s="133">
        <f t="shared" si="106"/>
        <v>2.3516999999999992</v>
      </c>
      <c r="H247" s="134">
        <f t="shared" si="130"/>
        <v>1.7789199999999998</v>
      </c>
      <c r="I247" s="135"/>
      <c r="J247" s="136">
        <f t="shared" si="131"/>
        <v>0</v>
      </c>
      <c r="K247" s="137"/>
      <c r="L247" s="138">
        <f t="shared" si="132"/>
        <v>0</v>
      </c>
      <c r="M247" s="137"/>
      <c r="N247" s="139">
        <f t="shared" si="133"/>
        <v>7.6278799999999993</v>
      </c>
      <c r="O247" s="137"/>
      <c r="P247" s="140">
        <f t="shared" si="134"/>
        <v>2.3516999999999992</v>
      </c>
      <c r="Q247" s="135"/>
      <c r="R247" s="104">
        <f t="shared" si="135"/>
        <v>1.7789199999999998</v>
      </c>
      <c r="S247" s="137"/>
      <c r="T247" s="141">
        <f t="shared" si="136"/>
        <v>9.9795799999999986</v>
      </c>
      <c r="U247" s="199">
        <f t="shared" si="137"/>
        <v>0</v>
      </c>
      <c r="V247" s="37" t="str">
        <f t="shared" si="138"/>
        <v>ok</v>
      </c>
      <c r="W247" s="37" t="str">
        <f t="shared" si="139"/>
        <v>ok</v>
      </c>
      <c r="X247" s="278">
        <f t="shared" si="107"/>
        <v>1</v>
      </c>
      <c r="Y247" s="278">
        <f t="shared" si="108"/>
        <v>0.18911000552791599</v>
      </c>
      <c r="Z247" s="278">
        <f t="shared" si="109"/>
        <v>0.15128800442233278</v>
      </c>
    </row>
    <row r="248" spans="1:26" x14ac:dyDescent="0.25">
      <c r="A248" s="420"/>
      <c r="B248" s="178" t="s">
        <v>22</v>
      </c>
      <c r="C248" s="129">
        <v>6</v>
      </c>
      <c r="D248" s="239">
        <f>DMG_4*CMD_12</f>
        <v>1.2412399999999999</v>
      </c>
      <c r="E248" s="131">
        <f>OMG_4*CMO_12</f>
        <v>17.63775</v>
      </c>
      <c r="F248" s="132">
        <f t="shared" si="105"/>
        <v>14.110200000000001</v>
      </c>
      <c r="G248" s="133">
        <f t="shared" si="106"/>
        <v>3.5275499999999993</v>
      </c>
      <c r="H248" s="134">
        <f t="shared" si="130"/>
        <v>1.2412399999999999</v>
      </c>
      <c r="I248" s="135"/>
      <c r="J248" s="136">
        <f t="shared" si="131"/>
        <v>0</v>
      </c>
      <c r="K248" s="137"/>
      <c r="L248" s="138">
        <f t="shared" si="132"/>
        <v>0</v>
      </c>
      <c r="M248" s="137"/>
      <c r="N248" s="139">
        <f t="shared" si="133"/>
        <v>12.868960000000001</v>
      </c>
      <c r="O248" s="137"/>
      <c r="P248" s="140">
        <f t="shared" si="134"/>
        <v>3.5275499999999993</v>
      </c>
      <c r="Q248" s="135"/>
      <c r="R248" s="104">
        <f t="shared" si="135"/>
        <v>1.2412399999999999</v>
      </c>
      <c r="S248" s="137"/>
      <c r="T248" s="141">
        <f t="shared" si="136"/>
        <v>16.396509999999999</v>
      </c>
      <c r="U248" s="199">
        <f t="shared" si="137"/>
        <v>0</v>
      </c>
      <c r="V248" s="37" t="str">
        <f t="shared" si="138"/>
        <v>ok</v>
      </c>
      <c r="W248" s="37" t="str">
        <f t="shared" si="139"/>
        <v>ok</v>
      </c>
      <c r="X248" s="278">
        <f t="shared" si="107"/>
        <v>1</v>
      </c>
      <c r="Y248" s="278">
        <f t="shared" si="108"/>
        <v>8.7967569559609354E-2</v>
      </c>
      <c r="Z248" s="278">
        <f t="shared" si="109"/>
        <v>7.0374055647687478E-2</v>
      </c>
    </row>
    <row r="249" spans="1:26" x14ac:dyDescent="0.25">
      <c r="A249" s="420"/>
      <c r="B249" s="178" t="s">
        <v>23</v>
      </c>
      <c r="C249" s="129">
        <v>7</v>
      </c>
      <c r="D249" s="239">
        <f>DMG_5*CMD_12</f>
        <v>2.5739999999999998</v>
      </c>
      <c r="E249" s="131">
        <f>OMG_5*CMO_12</f>
        <v>28.742999999999999</v>
      </c>
      <c r="F249" s="132">
        <f t="shared" si="105"/>
        <v>22.994399999999999</v>
      </c>
      <c r="G249" s="133">
        <f t="shared" si="106"/>
        <v>5.7485999999999988</v>
      </c>
      <c r="H249" s="134">
        <f t="shared" si="130"/>
        <v>2.5739999999999998</v>
      </c>
      <c r="I249" s="135"/>
      <c r="J249" s="136">
        <f t="shared" si="131"/>
        <v>0</v>
      </c>
      <c r="K249" s="137"/>
      <c r="L249" s="138">
        <f t="shared" si="132"/>
        <v>0</v>
      </c>
      <c r="M249" s="137"/>
      <c r="N249" s="139">
        <f t="shared" si="133"/>
        <v>20.420400000000001</v>
      </c>
      <c r="O249" s="137"/>
      <c r="P249" s="140">
        <f t="shared" si="134"/>
        <v>5.7485999999999988</v>
      </c>
      <c r="Q249" s="135"/>
      <c r="R249" s="104">
        <f t="shared" si="135"/>
        <v>2.5739999999999998</v>
      </c>
      <c r="S249" s="137"/>
      <c r="T249" s="141">
        <f t="shared" si="136"/>
        <v>26.169</v>
      </c>
      <c r="U249" s="199">
        <f t="shared" si="137"/>
        <v>0</v>
      </c>
      <c r="V249" s="37" t="str">
        <f t="shared" si="138"/>
        <v>ok</v>
      </c>
      <c r="W249" s="37" t="str">
        <f t="shared" si="139"/>
        <v>ok</v>
      </c>
      <c r="X249" s="278">
        <f t="shared" si="107"/>
        <v>1</v>
      </c>
      <c r="Y249" s="278">
        <f t="shared" si="108"/>
        <v>0.11194029850746269</v>
      </c>
      <c r="Z249" s="278">
        <f t="shared" si="109"/>
        <v>8.9552238805970144E-2</v>
      </c>
    </row>
    <row r="250" spans="1:26" x14ac:dyDescent="0.25">
      <c r="A250" s="420"/>
      <c r="B250" s="178" t="s">
        <v>19</v>
      </c>
      <c r="C250" s="129">
        <v>10</v>
      </c>
      <c r="D250" s="239">
        <f>DMG_6*CMD_12</f>
        <v>8.2653999999999996</v>
      </c>
      <c r="E250" s="131">
        <f>OMG_6*CMO_12</f>
        <v>20.099999999999998</v>
      </c>
      <c r="F250" s="132">
        <f t="shared" si="105"/>
        <v>16.079999999999998</v>
      </c>
      <c r="G250" s="133">
        <f t="shared" si="106"/>
        <v>4.0199999999999987</v>
      </c>
      <c r="H250" s="134">
        <f t="shared" si="130"/>
        <v>8.2653999999999996</v>
      </c>
      <c r="I250" s="135"/>
      <c r="J250" s="136">
        <f t="shared" si="131"/>
        <v>0</v>
      </c>
      <c r="K250" s="137"/>
      <c r="L250" s="138">
        <f t="shared" si="132"/>
        <v>0</v>
      </c>
      <c r="M250" s="137"/>
      <c r="N250" s="139">
        <f t="shared" si="133"/>
        <v>7.8145999999999987</v>
      </c>
      <c r="O250" s="137"/>
      <c r="P250" s="140">
        <f t="shared" si="134"/>
        <v>4.0199999999999987</v>
      </c>
      <c r="Q250" s="135"/>
      <c r="R250" s="104">
        <f t="shared" si="135"/>
        <v>8.2653999999999996</v>
      </c>
      <c r="S250" s="137"/>
      <c r="T250" s="141">
        <f t="shared" si="136"/>
        <v>11.834599999999998</v>
      </c>
      <c r="U250" s="199">
        <f t="shared" si="137"/>
        <v>0</v>
      </c>
      <c r="V250" s="37" t="str">
        <f t="shared" si="138"/>
        <v>ok</v>
      </c>
      <c r="W250" s="37" t="str">
        <f t="shared" si="139"/>
        <v>ok</v>
      </c>
      <c r="X250" s="278">
        <f t="shared" si="107"/>
        <v>1</v>
      </c>
      <c r="Y250" s="278">
        <f t="shared" si="108"/>
        <v>0.51401741293532344</v>
      </c>
      <c r="Z250" s="278">
        <f t="shared" si="109"/>
        <v>0.4112139303482587</v>
      </c>
    </row>
    <row r="251" spans="1:26" x14ac:dyDescent="0.25">
      <c r="A251" s="420"/>
      <c r="B251" s="178" t="s">
        <v>20</v>
      </c>
      <c r="C251" s="129">
        <v>11</v>
      </c>
      <c r="D251" s="239">
        <f>DMG_7*CMD_12</f>
        <v>6.7038399999999996</v>
      </c>
      <c r="E251" s="131">
        <f>OMG_7*CMO_12</f>
        <v>20.602499999999999</v>
      </c>
      <c r="F251" s="132">
        <f t="shared" si="105"/>
        <v>16.481999999999999</v>
      </c>
      <c r="G251" s="133">
        <f t="shared" si="106"/>
        <v>4.1204999999999989</v>
      </c>
      <c r="H251" s="134">
        <f t="shared" si="130"/>
        <v>6.7038399999999996</v>
      </c>
      <c r="I251" s="135"/>
      <c r="J251" s="136">
        <f t="shared" si="131"/>
        <v>0</v>
      </c>
      <c r="K251" s="137"/>
      <c r="L251" s="138">
        <f t="shared" si="132"/>
        <v>0</v>
      </c>
      <c r="M251" s="137"/>
      <c r="N251" s="139">
        <f t="shared" si="133"/>
        <v>9.7781599999999997</v>
      </c>
      <c r="O251" s="137"/>
      <c r="P251" s="140">
        <f t="shared" si="134"/>
        <v>4.1204999999999989</v>
      </c>
      <c r="Q251" s="135"/>
      <c r="R251" s="104">
        <f t="shared" si="135"/>
        <v>6.7038399999999996</v>
      </c>
      <c r="S251" s="137"/>
      <c r="T251" s="141">
        <f t="shared" si="136"/>
        <v>13.89866</v>
      </c>
      <c r="U251" s="199">
        <f t="shared" si="137"/>
        <v>0</v>
      </c>
      <c r="V251" s="37" t="str">
        <f t="shared" si="138"/>
        <v>ok</v>
      </c>
      <c r="W251" s="37" t="str">
        <f t="shared" si="139"/>
        <v>ok</v>
      </c>
      <c r="X251" s="278">
        <f t="shared" si="107"/>
        <v>1</v>
      </c>
      <c r="Y251" s="278">
        <f t="shared" si="108"/>
        <v>0.40673704647494235</v>
      </c>
      <c r="Z251" s="278">
        <f t="shared" si="109"/>
        <v>0.32538963717995389</v>
      </c>
    </row>
    <row r="252" spans="1:26" x14ac:dyDescent="0.25">
      <c r="A252" s="420"/>
      <c r="B252" s="178" t="s">
        <v>21</v>
      </c>
      <c r="C252" s="129">
        <v>12</v>
      </c>
      <c r="D252" s="239">
        <f>DMG_8*CMD_12</f>
        <v>3.8752999999999997</v>
      </c>
      <c r="E252" s="131">
        <f>OMG_8*CMO_12</f>
        <v>11.055</v>
      </c>
      <c r="F252" s="132">
        <f t="shared" si="105"/>
        <v>8.8439999999999994</v>
      </c>
      <c r="G252" s="133">
        <f t="shared" si="106"/>
        <v>2.2109999999999994</v>
      </c>
      <c r="H252" s="134">
        <f t="shared" si="130"/>
        <v>3.8752999999999997</v>
      </c>
      <c r="I252" s="135"/>
      <c r="J252" s="136">
        <f t="shared" si="131"/>
        <v>0</v>
      </c>
      <c r="K252" s="137"/>
      <c r="L252" s="138">
        <f t="shared" si="132"/>
        <v>0</v>
      </c>
      <c r="M252" s="137"/>
      <c r="N252" s="139">
        <f t="shared" si="133"/>
        <v>4.9687000000000001</v>
      </c>
      <c r="O252" s="137"/>
      <c r="P252" s="140">
        <f t="shared" si="134"/>
        <v>2.2109999999999994</v>
      </c>
      <c r="Q252" s="135"/>
      <c r="R252" s="104">
        <f t="shared" si="135"/>
        <v>3.8752999999999997</v>
      </c>
      <c r="S252" s="137"/>
      <c r="T252" s="141">
        <f t="shared" si="136"/>
        <v>7.1796999999999995</v>
      </c>
      <c r="U252" s="199">
        <f t="shared" si="137"/>
        <v>0</v>
      </c>
      <c r="V252" s="37" t="str">
        <f t="shared" si="138"/>
        <v>ok</v>
      </c>
      <c r="W252" s="37" t="str">
        <f t="shared" si="139"/>
        <v>ok</v>
      </c>
      <c r="X252" s="278">
        <f t="shared" si="107"/>
        <v>1</v>
      </c>
      <c r="Y252" s="278">
        <f t="shared" si="108"/>
        <v>0.43818407960199007</v>
      </c>
      <c r="Z252" s="278">
        <f t="shared" si="109"/>
        <v>0.350547263681592</v>
      </c>
    </row>
    <row r="253" spans="1:26" x14ac:dyDescent="0.25">
      <c r="A253" s="420"/>
      <c r="B253" s="178" t="s">
        <v>22</v>
      </c>
      <c r="C253" s="129">
        <v>13</v>
      </c>
      <c r="D253" s="239">
        <f>DMG_9*CMD_12</f>
        <v>3.1288399999999994</v>
      </c>
      <c r="E253" s="131">
        <f>OMG_9*CMO_12</f>
        <v>14.069999999999999</v>
      </c>
      <c r="F253" s="132">
        <f t="shared" si="105"/>
        <v>11.256</v>
      </c>
      <c r="G253" s="133">
        <f t="shared" si="106"/>
        <v>2.8139999999999992</v>
      </c>
      <c r="H253" s="134">
        <f t="shared" si="130"/>
        <v>3.1288399999999994</v>
      </c>
      <c r="I253" s="135"/>
      <c r="J253" s="136">
        <f t="shared" si="131"/>
        <v>0</v>
      </c>
      <c r="K253" s="137"/>
      <c r="L253" s="138">
        <f t="shared" si="132"/>
        <v>0</v>
      </c>
      <c r="M253" s="137"/>
      <c r="N253" s="139">
        <f t="shared" si="133"/>
        <v>8.1271599999999999</v>
      </c>
      <c r="O253" s="137"/>
      <c r="P253" s="140">
        <f t="shared" si="134"/>
        <v>2.8139999999999992</v>
      </c>
      <c r="Q253" s="135"/>
      <c r="R253" s="104">
        <f t="shared" si="135"/>
        <v>3.1288399999999994</v>
      </c>
      <c r="S253" s="137"/>
      <c r="T253" s="141">
        <f t="shared" si="136"/>
        <v>10.94116</v>
      </c>
      <c r="U253" s="199">
        <f t="shared" si="137"/>
        <v>0</v>
      </c>
      <c r="V253" s="37" t="str">
        <f t="shared" si="138"/>
        <v>ok</v>
      </c>
      <c r="W253" s="37" t="str">
        <f t="shared" si="139"/>
        <v>ok</v>
      </c>
      <c r="X253" s="278">
        <f t="shared" si="107"/>
        <v>1</v>
      </c>
      <c r="Y253" s="278">
        <f t="shared" si="108"/>
        <v>0.2779708599857853</v>
      </c>
      <c r="Z253" s="278">
        <f t="shared" si="109"/>
        <v>0.22237668798862828</v>
      </c>
    </row>
    <row r="254" spans="1:26" x14ac:dyDescent="0.25">
      <c r="A254" s="420"/>
      <c r="B254" s="178" t="s">
        <v>23</v>
      </c>
      <c r="C254" s="129">
        <v>14</v>
      </c>
      <c r="D254" s="239">
        <f>DMG_10*CMD_12</f>
        <v>5.9602399999999998</v>
      </c>
      <c r="E254" s="131">
        <f>OMG_10*CMO_12</f>
        <v>19.094999999999999</v>
      </c>
      <c r="F254" s="132">
        <f t="shared" si="105"/>
        <v>15.276</v>
      </c>
      <c r="G254" s="133">
        <f t="shared" si="106"/>
        <v>3.8189999999999991</v>
      </c>
      <c r="H254" s="134">
        <f t="shared" si="130"/>
        <v>5.9602399999999998</v>
      </c>
      <c r="I254" s="135"/>
      <c r="J254" s="136">
        <f t="shared" si="131"/>
        <v>0</v>
      </c>
      <c r="K254" s="137"/>
      <c r="L254" s="138">
        <f t="shared" si="132"/>
        <v>0</v>
      </c>
      <c r="M254" s="137"/>
      <c r="N254" s="139">
        <f t="shared" si="133"/>
        <v>9.3157600000000009</v>
      </c>
      <c r="O254" s="137"/>
      <c r="P254" s="140">
        <f t="shared" si="134"/>
        <v>3.8189999999999991</v>
      </c>
      <c r="Q254" s="135"/>
      <c r="R254" s="104">
        <f t="shared" si="135"/>
        <v>5.9602399999999998</v>
      </c>
      <c r="S254" s="137"/>
      <c r="T254" s="141">
        <f t="shared" si="136"/>
        <v>13.13476</v>
      </c>
      <c r="U254" s="199">
        <f t="shared" si="137"/>
        <v>0</v>
      </c>
      <c r="V254" s="37" t="str">
        <f t="shared" si="138"/>
        <v>ok</v>
      </c>
      <c r="W254" s="37" t="str">
        <f t="shared" si="139"/>
        <v>ok</v>
      </c>
      <c r="X254" s="278">
        <f t="shared" si="107"/>
        <v>1</v>
      </c>
      <c r="Y254" s="278">
        <f t="shared" si="108"/>
        <v>0.39017020162346161</v>
      </c>
      <c r="Z254" s="278">
        <f t="shared" si="109"/>
        <v>0.31213616129876931</v>
      </c>
    </row>
    <row r="255" spans="1:26" x14ac:dyDescent="0.25">
      <c r="A255" s="420"/>
      <c r="B255" s="178" t="s">
        <v>19</v>
      </c>
      <c r="C255" s="129">
        <v>17</v>
      </c>
      <c r="D255" s="239">
        <f>DMG_11*CMD_12</f>
        <v>5.1794599999999997</v>
      </c>
      <c r="E255" s="131">
        <f>OMG_11*CMO_12</f>
        <v>30.15</v>
      </c>
      <c r="F255" s="132">
        <f t="shared" si="105"/>
        <v>24.12</v>
      </c>
      <c r="G255" s="133">
        <f t="shared" si="106"/>
        <v>6.0299999999999985</v>
      </c>
      <c r="H255" s="134">
        <f t="shared" si="130"/>
        <v>5.1794599999999997</v>
      </c>
      <c r="I255" s="135"/>
      <c r="J255" s="136">
        <f t="shared" si="131"/>
        <v>0</v>
      </c>
      <c r="K255" s="137"/>
      <c r="L255" s="138">
        <f t="shared" si="132"/>
        <v>0</v>
      </c>
      <c r="M255" s="137"/>
      <c r="N255" s="139">
        <f t="shared" si="133"/>
        <v>18.940540000000002</v>
      </c>
      <c r="O255" s="137"/>
      <c r="P255" s="140">
        <f t="shared" si="134"/>
        <v>6.0299999999999985</v>
      </c>
      <c r="Q255" s="135"/>
      <c r="R255" s="104">
        <f t="shared" si="135"/>
        <v>5.1794599999999997</v>
      </c>
      <c r="S255" s="137"/>
      <c r="T255" s="141">
        <f t="shared" si="136"/>
        <v>24.97054</v>
      </c>
      <c r="U255" s="199">
        <f t="shared" si="137"/>
        <v>0</v>
      </c>
      <c r="V255" s="37" t="str">
        <f t="shared" si="138"/>
        <v>ok</v>
      </c>
      <c r="W255" s="37" t="str">
        <f t="shared" si="139"/>
        <v>ok</v>
      </c>
      <c r="X255" s="278">
        <f t="shared" si="107"/>
        <v>1</v>
      </c>
      <c r="Y255" s="278">
        <f t="shared" si="108"/>
        <v>0.21473714759535653</v>
      </c>
      <c r="Z255" s="278">
        <f t="shared" si="109"/>
        <v>0.17178971807628524</v>
      </c>
    </row>
    <row r="256" spans="1:26" x14ac:dyDescent="0.25">
      <c r="A256" s="420"/>
      <c r="B256" s="178" t="s">
        <v>20</v>
      </c>
      <c r="C256" s="129">
        <v>18</v>
      </c>
      <c r="D256" s="239">
        <f>DMG_12*CMD_12</f>
        <v>4.0669199999999996</v>
      </c>
      <c r="E256" s="131">
        <f>OMG_12*CMO_12</f>
        <v>23.114999999999998</v>
      </c>
      <c r="F256" s="132">
        <f t="shared" si="105"/>
        <v>18.492000000000001</v>
      </c>
      <c r="G256" s="133">
        <f t="shared" si="106"/>
        <v>4.6229999999999984</v>
      </c>
      <c r="H256" s="134">
        <f t="shared" si="130"/>
        <v>4.0669199999999996</v>
      </c>
      <c r="I256" s="135"/>
      <c r="J256" s="136">
        <f t="shared" si="131"/>
        <v>0</v>
      </c>
      <c r="K256" s="137"/>
      <c r="L256" s="138">
        <f t="shared" si="132"/>
        <v>0</v>
      </c>
      <c r="M256" s="137"/>
      <c r="N256" s="139">
        <f t="shared" si="133"/>
        <v>14.425080000000001</v>
      </c>
      <c r="O256" s="137"/>
      <c r="P256" s="140">
        <f t="shared" si="134"/>
        <v>4.6229999999999984</v>
      </c>
      <c r="Q256" s="135"/>
      <c r="R256" s="104">
        <f t="shared" si="135"/>
        <v>4.0669199999999996</v>
      </c>
      <c r="S256" s="137"/>
      <c r="T256" s="141">
        <f t="shared" si="136"/>
        <v>19.048079999999999</v>
      </c>
      <c r="U256" s="199">
        <f t="shared" si="137"/>
        <v>0</v>
      </c>
      <c r="V256" s="37" t="str">
        <f t="shared" si="138"/>
        <v>ok</v>
      </c>
      <c r="W256" s="37" t="str">
        <f t="shared" si="139"/>
        <v>ok</v>
      </c>
      <c r="X256" s="278">
        <f t="shared" si="107"/>
        <v>1</v>
      </c>
      <c r="Y256" s="278">
        <f t="shared" si="108"/>
        <v>0.21992861778066189</v>
      </c>
      <c r="Z256" s="278">
        <f t="shared" si="109"/>
        <v>0.17594289422452952</v>
      </c>
    </row>
    <row r="257" spans="1:30" x14ac:dyDescent="0.25">
      <c r="A257" s="420"/>
      <c r="B257" s="178" t="s">
        <v>21</v>
      </c>
      <c r="C257" s="129">
        <v>19</v>
      </c>
      <c r="D257" s="239">
        <f>DMG_13*CMD_12</f>
        <v>1.7789199999999998</v>
      </c>
      <c r="E257" s="131">
        <f>OMG_13*CMO_12</f>
        <v>11.055</v>
      </c>
      <c r="F257" s="132">
        <f t="shared" si="105"/>
        <v>8.8439999999999994</v>
      </c>
      <c r="G257" s="133">
        <f t="shared" si="106"/>
        <v>2.2109999999999994</v>
      </c>
      <c r="H257" s="134">
        <f t="shared" si="130"/>
        <v>1.7789199999999998</v>
      </c>
      <c r="I257" s="135"/>
      <c r="J257" s="136">
        <f t="shared" si="131"/>
        <v>0</v>
      </c>
      <c r="K257" s="137"/>
      <c r="L257" s="138">
        <f t="shared" si="132"/>
        <v>0</v>
      </c>
      <c r="M257" s="137"/>
      <c r="N257" s="139">
        <f t="shared" si="133"/>
        <v>7.06508</v>
      </c>
      <c r="O257" s="137"/>
      <c r="P257" s="140">
        <f t="shared" si="134"/>
        <v>2.2109999999999994</v>
      </c>
      <c r="Q257" s="135"/>
      <c r="R257" s="104">
        <f t="shared" si="135"/>
        <v>1.7789199999999998</v>
      </c>
      <c r="S257" s="137"/>
      <c r="T257" s="141">
        <f t="shared" si="136"/>
        <v>9.2760800000000003</v>
      </c>
      <c r="U257" s="199">
        <f t="shared" si="137"/>
        <v>0</v>
      </c>
      <c r="V257" s="37" t="str">
        <f t="shared" si="138"/>
        <v>ok</v>
      </c>
      <c r="W257" s="37" t="str">
        <f t="shared" si="139"/>
        <v>ok</v>
      </c>
      <c r="X257" s="278">
        <f t="shared" si="107"/>
        <v>1</v>
      </c>
      <c r="Y257" s="278">
        <f t="shared" si="108"/>
        <v>0.20114427860696518</v>
      </c>
      <c r="Z257" s="278">
        <f t="shared" si="109"/>
        <v>0.16091542288557212</v>
      </c>
    </row>
    <row r="258" spans="1:30" x14ac:dyDescent="0.25">
      <c r="A258" s="420"/>
      <c r="B258" s="178" t="s">
        <v>22</v>
      </c>
      <c r="C258" s="129">
        <v>20</v>
      </c>
      <c r="D258" s="239">
        <f>DMG_14*CMD_12</f>
        <v>1.2412399999999999</v>
      </c>
      <c r="E258" s="131">
        <f>OMG_14*CMO_12</f>
        <v>18.592499999999998</v>
      </c>
      <c r="F258" s="132">
        <f t="shared" si="105"/>
        <v>14.873999999999999</v>
      </c>
      <c r="G258" s="133">
        <f t="shared" si="106"/>
        <v>3.7184999999999988</v>
      </c>
      <c r="H258" s="134">
        <f t="shared" si="130"/>
        <v>1.2412399999999999</v>
      </c>
      <c r="I258" s="135"/>
      <c r="J258" s="136">
        <f t="shared" si="131"/>
        <v>0</v>
      </c>
      <c r="K258" s="137"/>
      <c r="L258" s="138">
        <f t="shared" si="132"/>
        <v>0</v>
      </c>
      <c r="M258" s="137"/>
      <c r="N258" s="139">
        <f t="shared" si="133"/>
        <v>13.632759999999999</v>
      </c>
      <c r="O258" s="137"/>
      <c r="P258" s="140">
        <f t="shared" si="134"/>
        <v>3.7184999999999988</v>
      </c>
      <c r="Q258" s="135"/>
      <c r="R258" s="104">
        <f t="shared" si="135"/>
        <v>1.2412399999999999</v>
      </c>
      <c r="S258" s="137"/>
      <c r="T258" s="141">
        <f t="shared" si="136"/>
        <v>17.351259999999996</v>
      </c>
      <c r="U258" s="199">
        <f t="shared" si="137"/>
        <v>0</v>
      </c>
      <c r="V258" s="37" t="str">
        <f t="shared" si="138"/>
        <v>ok</v>
      </c>
      <c r="W258" s="37" t="str">
        <f t="shared" si="139"/>
        <v>ok</v>
      </c>
      <c r="X258" s="278">
        <f t="shared" si="107"/>
        <v>1</v>
      </c>
      <c r="Y258" s="278">
        <f t="shared" si="108"/>
        <v>8.345031598762942E-2</v>
      </c>
      <c r="Z258" s="278">
        <f t="shared" si="109"/>
        <v>6.6760252790103544E-2</v>
      </c>
    </row>
    <row r="259" spans="1:30" x14ac:dyDescent="0.25">
      <c r="A259" s="420"/>
      <c r="B259" s="178" t="s">
        <v>23</v>
      </c>
      <c r="C259" s="129">
        <v>21</v>
      </c>
      <c r="D259" s="239">
        <f>DMG_15*CMD_12</f>
        <v>2.5739999999999998</v>
      </c>
      <c r="E259" s="131">
        <f>OMG_15*CMO_12</f>
        <v>22.11</v>
      </c>
      <c r="F259" s="132">
        <f t="shared" si="105"/>
        <v>17.687999999999999</v>
      </c>
      <c r="G259" s="133">
        <f t="shared" si="106"/>
        <v>4.4219999999999988</v>
      </c>
      <c r="H259" s="134">
        <f t="shared" si="130"/>
        <v>2.5739999999999998</v>
      </c>
      <c r="I259" s="135"/>
      <c r="J259" s="136">
        <f t="shared" si="131"/>
        <v>0</v>
      </c>
      <c r="K259" s="137"/>
      <c r="L259" s="138">
        <f t="shared" si="132"/>
        <v>0</v>
      </c>
      <c r="M259" s="137"/>
      <c r="N259" s="139">
        <f t="shared" si="133"/>
        <v>15.113999999999999</v>
      </c>
      <c r="O259" s="137"/>
      <c r="P259" s="140">
        <f t="shared" si="134"/>
        <v>4.4219999999999988</v>
      </c>
      <c r="Q259" s="135"/>
      <c r="R259" s="104">
        <f t="shared" si="135"/>
        <v>2.5739999999999998</v>
      </c>
      <c r="S259" s="137"/>
      <c r="T259" s="141">
        <f t="shared" si="136"/>
        <v>19.535999999999998</v>
      </c>
      <c r="U259" s="199">
        <f t="shared" si="137"/>
        <v>0</v>
      </c>
      <c r="V259" s="37" t="str">
        <f t="shared" si="138"/>
        <v>ok</v>
      </c>
      <c r="W259" s="37" t="str">
        <f t="shared" si="139"/>
        <v>ok</v>
      </c>
      <c r="X259" s="278">
        <f t="shared" si="107"/>
        <v>1</v>
      </c>
      <c r="Y259" s="278">
        <f t="shared" si="108"/>
        <v>0.1455223880597015</v>
      </c>
      <c r="Z259" s="278">
        <f t="shared" si="109"/>
        <v>0.11641791044776119</v>
      </c>
    </row>
    <row r="260" spans="1:30" x14ac:dyDescent="0.25">
      <c r="A260" s="420"/>
      <c r="B260" s="178" t="s">
        <v>19</v>
      </c>
      <c r="C260" s="129">
        <v>24</v>
      </c>
      <c r="D260" s="239">
        <f>DMG_16*CMD_12</f>
        <v>10.330319999999999</v>
      </c>
      <c r="E260" s="131">
        <f>OMG_16*CMO_12</f>
        <v>24.873749999999998</v>
      </c>
      <c r="F260" s="132">
        <f t="shared" si="105"/>
        <v>19.899000000000001</v>
      </c>
      <c r="G260" s="133">
        <f t="shared" si="106"/>
        <v>4.9747499999999985</v>
      </c>
      <c r="H260" s="134">
        <f t="shared" si="130"/>
        <v>10.330319999999999</v>
      </c>
      <c r="I260" s="135"/>
      <c r="J260" s="136">
        <f t="shared" si="131"/>
        <v>0</v>
      </c>
      <c r="K260" s="137"/>
      <c r="L260" s="138">
        <f t="shared" si="132"/>
        <v>0</v>
      </c>
      <c r="M260" s="137"/>
      <c r="N260" s="139">
        <f t="shared" si="133"/>
        <v>9.5686800000000023</v>
      </c>
      <c r="O260" s="137"/>
      <c r="P260" s="140">
        <f t="shared" si="134"/>
        <v>4.9747499999999985</v>
      </c>
      <c r="Q260" s="135"/>
      <c r="R260" s="104">
        <f t="shared" si="135"/>
        <v>10.330319999999999</v>
      </c>
      <c r="S260" s="137"/>
      <c r="T260" s="141">
        <f t="shared" si="136"/>
        <v>14.543430000000001</v>
      </c>
      <c r="U260" s="199">
        <f t="shared" si="137"/>
        <v>0</v>
      </c>
      <c r="V260" s="37" t="str">
        <f t="shared" si="138"/>
        <v>ok</v>
      </c>
      <c r="W260" s="37" t="str">
        <f t="shared" si="139"/>
        <v>ok</v>
      </c>
      <c r="X260" s="278">
        <f t="shared" si="107"/>
        <v>1</v>
      </c>
      <c r="Y260" s="278">
        <f t="shared" si="108"/>
        <v>0.51913764510779425</v>
      </c>
      <c r="Z260" s="278">
        <f t="shared" si="109"/>
        <v>0.41531011608623547</v>
      </c>
    </row>
    <row r="261" spans="1:30" x14ac:dyDescent="0.25">
      <c r="A261" s="420"/>
      <c r="B261" s="178" t="s">
        <v>20</v>
      </c>
      <c r="C261" s="129">
        <v>25</v>
      </c>
      <c r="D261" s="239">
        <f>DMG_17*CMD_12</f>
        <v>8.4083999999999985</v>
      </c>
      <c r="E261" s="131">
        <f>OMG_17*CMO_12</f>
        <v>15.758399999999998</v>
      </c>
      <c r="F261" s="132">
        <f t="shared" ref="F261:F265" si="140">E261*TC</f>
        <v>12.606719999999999</v>
      </c>
      <c r="G261" s="133">
        <f t="shared" ref="G261:G265" si="141">E261*(1-TC)</f>
        <v>3.1516799999999989</v>
      </c>
      <c r="H261" s="134">
        <f t="shared" si="130"/>
        <v>8.4083999999999985</v>
      </c>
      <c r="I261" s="135"/>
      <c r="J261" s="136">
        <f t="shared" si="131"/>
        <v>0</v>
      </c>
      <c r="K261" s="137"/>
      <c r="L261" s="138">
        <f t="shared" si="132"/>
        <v>0</v>
      </c>
      <c r="M261" s="137"/>
      <c r="N261" s="139">
        <f t="shared" si="133"/>
        <v>4.1983200000000007</v>
      </c>
      <c r="O261" s="137"/>
      <c r="P261" s="140">
        <f t="shared" si="134"/>
        <v>3.1516799999999989</v>
      </c>
      <c r="Q261" s="135"/>
      <c r="R261" s="104">
        <f t="shared" si="135"/>
        <v>8.4083999999999985</v>
      </c>
      <c r="S261" s="137"/>
      <c r="T261" s="141">
        <f t="shared" si="136"/>
        <v>7.35</v>
      </c>
      <c r="U261" s="199">
        <f t="shared" si="137"/>
        <v>0</v>
      </c>
      <c r="V261" s="37" t="str">
        <f t="shared" si="138"/>
        <v>ok</v>
      </c>
      <c r="W261" s="37" t="str">
        <f t="shared" si="139"/>
        <v>ok</v>
      </c>
      <c r="X261" s="278">
        <f t="shared" si="107"/>
        <v>1</v>
      </c>
      <c r="Y261" s="278">
        <f t="shared" si="108"/>
        <v>0.66697761194029848</v>
      </c>
      <c r="Z261" s="278">
        <f t="shared" si="109"/>
        <v>0.53358208955223874</v>
      </c>
    </row>
    <row r="262" spans="1:30" x14ac:dyDescent="0.25">
      <c r="A262" s="420"/>
      <c r="B262" s="178" t="s">
        <v>21</v>
      </c>
      <c r="C262" s="129">
        <v>26</v>
      </c>
      <c r="D262" s="239">
        <f>DMG_18*CMD_12</f>
        <v>4.8448399999999996</v>
      </c>
      <c r="E262" s="131">
        <f>OMG_18*CMO_12</f>
        <v>7.4671499999999993</v>
      </c>
      <c r="F262" s="132">
        <f t="shared" si="140"/>
        <v>5.9737200000000001</v>
      </c>
      <c r="G262" s="133">
        <f t="shared" si="141"/>
        <v>1.4934299999999996</v>
      </c>
      <c r="H262" s="134">
        <f t="shared" si="130"/>
        <v>4.8448399999999996</v>
      </c>
      <c r="I262" s="135"/>
      <c r="J262" s="136">
        <f t="shared" si="131"/>
        <v>0</v>
      </c>
      <c r="K262" s="137"/>
      <c r="L262" s="138">
        <f t="shared" si="132"/>
        <v>0</v>
      </c>
      <c r="M262" s="137"/>
      <c r="N262" s="139">
        <f t="shared" si="133"/>
        <v>1.1288800000000005</v>
      </c>
      <c r="O262" s="137"/>
      <c r="P262" s="140">
        <f t="shared" si="134"/>
        <v>1.4934299999999996</v>
      </c>
      <c r="Q262" s="135"/>
      <c r="R262" s="104">
        <f t="shared" si="135"/>
        <v>4.8448399999999996</v>
      </c>
      <c r="S262" s="137"/>
      <c r="T262" s="141">
        <f t="shared" si="136"/>
        <v>2.6223100000000001</v>
      </c>
      <c r="U262" s="199">
        <f t="shared" si="137"/>
        <v>0</v>
      </c>
      <c r="V262" s="37" t="str">
        <f t="shared" si="138"/>
        <v>ok</v>
      </c>
      <c r="W262" s="37" t="str">
        <f t="shared" si="139"/>
        <v>ok</v>
      </c>
      <c r="X262" s="278">
        <f t="shared" ref="X262:X265" si="142">R262/D262</f>
        <v>1</v>
      </c>
      <c r="Y262" s="278">
        <f t="shared" ref="Y262:Y265" si="143">R262/F262</f>
        <v>0.81102562557334446</v>
      </c>
      <c r="Z262" s="278">
        <f t="shared" ref="Z262:Z265" si="144">R262/E262</f>
        <v>0.64882050045867568</v>
      </c>
    </row>
    <row r="263" spans="1:30" x14ac:dyDescent="0.25">
      <c r="A263" s="420"/>
      <c r="B263" s="178" t="s">
        <v>22</v>
      </c>
      <c r="C263" s="129">
        <v>27</v>
      </c>
      <c r="D263" s="239">
        <f>DMG_19*CMD_12</f>
        <v>3.9668199999999993</v>
      </c>
      <c r="E263" s="131">
        <f>OMG_19*CMO_12</f>
        <v>9.9494999999999987</v>
      </c>
      <c r="F263" s="132">
        <f t="shared" si="140"/>
        <v>7.9595999999999991</v>
      </c>
      <c r="G263" s="133">
        <f t="shared" si="141"/>
        <v>1.9898999999999993</v>
      </c>
      <c r="H263" s="134">
        <f t="shared" si="130"/>
        <v>3.9668199999999993</v>
      </c>
      <c r="I263" s="135"/>
      <c r="J263" s="136">
        <f t="shared" si="131"/>
        <v>0</v>
      </c>
      <c r="K263" s="137"/>
      <c r="L263" s="138">
        <f t="shared" si="132"/>
        <v>0</v>
      </c>
      <c r="M263" s="137"/>
      <c r="N263" s="139">
        <f t="shared" si="133"/>
        <v>3.9927799999999998</v>
      </c>
      <c r="O263" s="137"/>
      <c r="P263" s="140">
        <f t="shared" si="134"/>
        <v>1.9898999999999993</v>
      </c>
      <c r="Q263" s="135"/>
      <c r="R263" s="104">
        <f t="shared" si="135"/>
        <v>3.9668199999999993</v>
      </c>
      <c r="S263" s="137"/>
      <c r="T263" s="141">
        <f t="shared" si="136"/>
        <v>5.9826799999999993</v>
      </c>
      <c r="U263" s="199">
        <f t="shared" si="137"/>
        <v>0</v>
      </c>
      <c r="V263" s="37" t="str">
        <f t="shared" si="138"/>
        <v>ok</v>
      </c>
      <c r="W263" s="37" t="str">
        <f t="shared" si="139"/>
        <v>ok</v>
      </c>
      <c r="X263" s="278">
        <f t="shared" si="142"/>
        <v>1</v>
      </c>
      <c r="Y263" s="278">
        <f t="shared" si="143"/>
        <v>0.49836926478717519</v>
      </c>
      <c r="Z263" s="278">
        <f t="shared" si="144"/>
        <v>0.39869541182974017</v>
      </c>
    </row>
    <row r="264" spans="1:30" x14ac:dyDescent="0.25">
      <c r="A264" s="420"/>
      <c r="B264" s="178" t="s">
        <v>23</v>
      </c>
      <c r="C264" s="129">
        <v>28</v>
      </c>
      <c r="D264" s="239">
        <f>DMG_20*CMD_12</f>
        <v>7.4502999999999995</v>
      </c>
      <c r="E264" s="131">
        <f>OMG_20*CMO_12</f>
        <v>15.758399999999998</v>
      </c>
      <c r="F264" s="132">
        <f t="shared" si="140"/>
        <v>12.606719999999999</v>
      </c>
      <c r="G264" s="133">
        <f t="shared" si="141"/>
        <v>3.1516799999999989</v>
      </c>
      <c r="H264" s="134">
        <f t="shared" si="130"/>
        <v>7.4502999999999995</v>
      </c>
      <c r="I264" s="135"/>
      <c r="J264" s="136">
        <f t="shared" si="131"/>
        <v>0</v>
      </c>
      <c r="K264" s="137"/>
      <c r="L264" s="138">
        <f t="shared" si="132"/>
        <v>0</v>
      </c>
      <c r="M264" s="137"/>
      <c r="N264" s="139">
        <f t="shared" si="133"/>
        <v>5.1564199999999998</v>
      </c>
      <c r="O264" s="137"/>
      <c r="P264" s="140">
        <f t="shared" si="134"/>
        <v>3.1516799999999989</v>
      </c>
      <c r="Q264" s="135"/>
      <c r="R264" s="104">
        <f t="shared" si="135"/>
        <v>7.4502999999999995</v>
      </c>
      <c r="S264" s="137"/>
      <c r="T264" s="141">
        <f t="shared" si="136"/>
        <v>8.3080999999999996</v>
      </c>
      <c r="U264" s="199">
        <f t="shared" si="137"/>
        <v>0</v>
      </c>
      <c r="V264" s="37" t="str">
        <f t="shared" si="138"/>
        <v>ok</v>
      </c>
      <c r="W264" s="37" t="str">
        <f t="shared" si="139"/>
        <v>ok</v>
      </c>
      <c r="X264" s="278">
        <f t="shared" si="142"/>
        <v>1</v>
      </c>
      <c r="Y264" s="278">
        <f t="shared" si="143"/>
        <v>0.5909784622804346</v>
      </c>
      <c r="Z264" s="278">
        <f t="shared" si="144"/>
        <v>0.47278276982434769</v>
      </c>
    </row>
    <row r="265" spans="1:30" ht="15.75" thickBot="1" x14ac:dyDescent="0.3">
      <c r="A265" s="421"/>
      <c r="B265" s="180" t="s">
        <v>19</v>
      </c>
      <c r="C265" s="237">
        <v>31</v>
      </c>
      <c r="D265" s="240">
        <f>DMG_21*CMD_12</f>
        <v>12.395239999999999</v>
      </c>
      <c r="E265" s="203">
        <f>OMG_21*CMO_12</f>
        <v>30.15</v>
      </c>
      <c r="F265" s="204">
        <f t="shared" si="140"/>
        <v>24.12</v>
      </c>
      <c r="G265" s="205">
        <f t="shared" si="141"/>
        <v>6.0299999999999985</v>
      </c>
      <c r="H265" s="206">
        <f t="shared" si="130"/>
        <v>12.395239999999999</v>
      </c>
      <c r="I265" s="207"/>
      <c r="J265" s="208">
        <f t="shared" si="131"/>
        <v>0</v>
      </c>
      <c r="K265" s="209"/>
      <c r="L265" s="210">
        <f t="shared" si="132"/>
        <v>0</v>
      </c>
      <c r="M265" s="209"/>
      <c r="N265" s="211">
        <f t="shared" si="133"/>
        <v>11.724760000000002</v>
      </c>
      <c r="O265" s="209"/>
      <c r="P265" s="212">
        <f t="shared" si="134"/>
        <v>6.0299999999999985</v>
      </c>
      <c r="Q265" s="207"/>
      <c r="R265" s="213">
        <f t="shared" si="135"/>
        <v>12.395239999999999</v>
      </c>
      <c r="S265" s="209"/>
      <c r="T265" s="214">
        <f t="shared" si="136"/>
        <v>17.754760000000001</v>
      </c>
      <c r="U265" s="215">
        <f t="shared" si="137"/>
        <v>0</v>
      </c>
      <c r="V265" s="37" t="str">
        <f t="shared" si="138"/>
        <v>ok</v>
      </c>
      <c r="W265" s="37" t="str">
        <f t="shared" si="139"/>
        <v>ok</v>
      </c>
      <c r="X265" s="278">
        <f t="shared" si="142"/>
        <v>1</v>
      </c>
      <c r="Y265" s="278">
        <f t="shared" si="143"/>
        <v>0.51389883913764511</v>
      </c>
      <c r="Z265" s="278">
        <f t="shared" si="144"/>
        <v>0.4111190713101161</v>
      </c>
    </row>
    <row r="266" spans="1:30" x14ac:dyDescent="0.25"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</row>
    <row r="267" spans="1:30" ht="15.75" thickBot="1" x14ac:dyDescent="0.3"/>
    <row r="268" spans="1:30" ht="75.75" thickBot="1" x14ac:dyDescent="0.3">
      <c r="A268" s="175">
        <v>2018</v>
      </c>
      <c r="B268" s="216"/>
      <c r="C268" s="217"/>
      <c r="D268" s="218" t="s">
        <v>40</v>
      </c>
      <c r="E268" s="219" t="s">
        <v>41</v>
      </c>
      <c r="F268" s="220" t="s">
        <v>42</v>
      </c>
      <c r="G268" s="221" t="s">
        <v>43</v>
      </c>
      <c r="H268" s="222" t="s">
        <v>44</v>
      </c>
      <c r="I268" s="223"/>
      <c r="J268" s="224" t="s">
        <v>45</v>
      </c>
      <c r="K268" s="225"/>
      <c r="L268" s="226" t="s">
        <v>46</v>
      </c>
      <c r="M268" s="225"/>
      <c r="N268" s="227" t="s">
        <v>47</v>
      </c>
      <c r="O268" s="225"/>
      <c r="P268" s="228" t="s">
        <v>48</v>
      </c>
      <c r="Q268" s="223"/>
      <c r="R268" s="229" t="s">
        <v>49</v>
      </c>
      <c r="S268" s="225"/>
      <c r="T268" s="230" t="s">
        <v>50</v>
      </c>
      <c r="U268" s="231" t="s">
        <v>51</v>
      </c>
      <c r="V268" s="32" t="s">
        <v>52</v>
      </c>
      <c r="X268" s="409" t="s">
        <v>176</v>
      </c>
      <c r="Y268" s="409" t="s">
        <v>178</v>
      </c>
      <c r="Z268" s="409" t="s">
        <v>177</v>
      </c>
      <c r="AA268" s="410"/>
      <c r="AB268" s="409"/>
      <c r="AC268" s="409"/>
      <c r="AD268" s="409"/>
    </row>
    <row r="269" spans="1:30" x14ac:dyDescent="0.25">
      <c r="B269" s="246" t="s">
        <v>74</v>
      </c>
      <c r="C269" s="247">
        <v>1</v>
      </c>
      <c r="D269" s="184">
        <f>SUM(D5:D27)</f>
        <v>114.96351999999999</v>
      </c>
      <c r="E269" s="185">
        <f>SUM(E5:E27)</f>
        <v>460.11224999999985</v>
      </c>
      <c r="F269" s="186">
        <f>SUM(F5:F27)</f>
        <v>368.08980000000003</v>
      </c>
      <c r="G269" s="187">
        <f>SUM(G5:G27)</f>
        <v>92.022449999999949</v>
      </c>
      <c r="H269" s="188">
        <f>SUM(H5:H27)</f>
        <v>114.96351999999999</v>
      </c>
      <c r="I269" s="189"/>
      <c r="J269" s="190">
        <f>SUM(J5:J27)</f>
        <v>0</v>
      </c>
      <c r="K269" s="191"/>
      <c r="L269" s="192">
        <f>SUM(L5:L27)</f>
        <v>0</v>
      </c>
      <c r="M269" s="191"/>
      <c r="N269" s="193">
        <f>SUM(N5:N27)</f>
        <v>253.12627999999998</v>
      </c>
      <c r="O269" s="191"/>
      <c r="P269" s="194">
        <f>SUM(P5:P27)</f>
        <v>92.022449999999949</v>
      </c>
      <c r="Q269" s="189"/>
      <c r="R269" s="195">
        <f>SUM(R5:R27)</f>
        <v>114.96351999999999</v>
      </c>
      <c r="S269" s="191"/>
      <c r="T269" s="196">
        <f>SUM(T5:T27)</f>
        <v>345.14872999999994</v>
      </c>
      <c r="U269" s="197">
        <f>SUM(U5:U27)</f>
        <v>0</v>
      </c>
      <c r="V269" s="37" t="str">
        <f t="shared" ref="V269:V280" si="145">IF(R269+T269=E269,"ok","bad")</f>
        <v>ok</v>
      </c>
      <c r="W269" s="37" t="str">
        <f t="shared" ref="W269:W280" si="146">IF(U269+R269=D269,"ok","bad")</f>
        <v>ok</v>
      </c>
      <c r="X269" s="278">
        <f>AVERAGE(X5:X27)</f>
        <v>1</v>
      </c>
      <c r="Y269" s="278">
        <f>AVERAGE(Y5:Y27)</f>
        <v>0.34632248812945754</v>
      </c>
      <c r="Z269" s="278">
        <f>AVERAGE(Z5:Z27)</f>
        <v>0.27705799050356605</v>
      </c>
    </row>
    <row r="270" spans="1:30" x14ac:dyDescent="0.25">
      <c r="B270" s="163" t="s">
        <v>75</v>
      </c>
      <c r="C270" s="129">
        <v>2</v>
      </c>
      <c r="D270" s="130">
        <f>SUM(D28:D47)</f>
        <v>149.93329</v>
      </c>
      <c r="E270" s="131">
        <f>SUM(E28:E47)</f>
        <v>280.05658</v>
      </c>
      <c r="F270" s="132">
        <f>SUM(F28:F47)</f>
        <v>224.04526400000003</v>
      </c>
      <c r="G270" s="133">
        <f>SUM(G28:G47)</f>
        <v>56.011316000000001</v>
      </c>
      <c r="H270" s="134">
        <f>SUM(H28:H47)</f>
        <v>144.42309999999998</v>
      </c>
      <c r="I270" s="135"/>
      <c r="J270" s="136">
        <f>SUM(J28:J47)</f>
        <v>5.5101900000000041</v>
      </c>
      <c r="K270" s="137"/>
      <c r="L270" s="138">
        <f>SUM(L28:L47)</f>
        <v>10.561505999999996</v>
      </c>
      <c r="M270" s="137"/>
      <c r="N270" s="139">
        <f>SUM(N28:N47)</f>
        <v>90.183670000000006</v>
      </c>
      <c r="O270" s="137"/>
      <c r="P270" s="140">
        <f>SUM(P28:P47)</f>
        <v>45.449809999999992</v>
      </c>
      <c r="Q270" s="135"/>
      <c r="R270" s="104">
        <f>SUM(R28:R47)</f>
        <v>133.861594</v>
      </c>
      <c r="S270" s="137"/>
      <c r="T270" s="141">
        <f>SUM(T28:T47)</f>
        <v>146.194986</v>
      </c>
      <c r="U270" s="199">
        <f>SUM(U28:U47)</f>
        <v>16.071696000000003</v>
      </c>
      <c r="V270" s="37" t="str">
        <f t="shared" si="145"/>
        <v>ok</v>
      </c>
      <c r="W270" s="37" t="str">
        <f t="shared" si="146"/>
        <v>ok</v>
      </c>
      <c r="X270" s="278">
        <f>AVERAGE(X28:X47)</f>
        <v>0.92860034262315272</v>
      </c>
      <c r="Y270" s="278">
        <f>AVERAGE(Y28:Y47)</f>
        <v>0.65028545329797416</v>
      </c>
      <c r="Z270" s="278">
        <f>AVERAGE(Z28:Z47)</f>
        <v>0.52022836263837946</v>
      </c>
      <c r="AA270" s="411"/>
      <c r="AB270" s="278"/>
      <c r="AC270" s="412"/>
      <c r="AD270" s="278"/>
    </row>
    <row r="271" spans="1:30" x14ac:dyDescent="0.25">
      <c r="B271" s="163" t="s">
        <v>76</v>
      </c>
      <c r="C271" s="129">
        <v>3</v>
      </c>
      <c r="D271" s="130">
        <f>SUM(D48:D69)</f>
        <v>220.07451000000003</v>
      </c>
      <c r="E271" s="131">
        <f>SUM(E48:E69)</f>
        <v>186.96714</v>
      </c>
      <c r="F271" s="132">
        <f>SUM(F48:F69)</f>
        <v>149.573712</v>
      </c>
      <c r="G271" s="133">
        <f>SUM(G48:G69)</f>
        <v>37.393427999999986</v>
      </c>
      <c r="H271" s="134">
        <f>SUM(H48:H69)</f>
        <v>145.77610000000001</v>
      </c>
      <c r="I271" s="135"/>
      <c r="J271" s="136">
        <f>SUM(J48:J69)</f>
        <v>74.298410000000004</v>
      </c>
      <c r="K271" s="137"/>
      <c r="L271" s="138">
        <f>SUM(L48:L69)</f>
        <v>17.801687999999999</v>
      </c>
      <c r="M271" s="137"/>
      <c r="N271" s="139">
        <f>SUM(N48:N69)</f>
        <v>21.599299999999999</v>
      </c>
      <c r="O271" s="137"/>
      <c r="P271" s="140">
        <f>SUM(P48:P69)</f>
        <v>19.591739999999994</v>
      </c>
      <c r="Q271" s="135"/>
      <c r="R271" s="104">
        <f>SUM(R48:R69)</f>
        <v>127.97441200000002</v>
      </c>
      <c r="S271" s="137"/>
      <c r="T271" s="141">
        <f>SUM(T48:T69)</f>
        <v>58.992727999999978</v>
      </c>
      <c r="U271" s="199">
        <f>SUM(U48:U69)</f>
        <v>92.100098000000017</v>
      </c>
      <c r="V271" s="37" t="str">
        <f t="shared" si="145"/>
        <v>ok</v>
      </c>
      <c r="W271" s="37" t="str">
        <f t="shared" si="146"/>
        <v>ok</v>
      </c>
      <c r="X271" s="278">
        <f>AVERAGE(X48:X69)</f>
        <v>0.70466999404861186</v>
      </c>
      <c r="Y271" s="278">
        <f>AVERAGE(Y48:Y69)</f>
        <v>0.87275513919699776</v>
      </c>
      <c r="Z271" s="278">
        <f>AVERAGE(Z48:Z69)</f>
        <v>0.6982041113575983</v>
      </c>
      <c r="AA271" s="411"/>
      <c r="AB271" s="278"/>
      <c r="AC271" s="412"/>
      <c r="AD271" s="278"/>
    </row>
    <row r="272" spans="1:30" x14ac:dyDescent="0.25">
      <c r="B272" s="163" t="s">
        <v>77</v>
      </c>
      <c r="C272" s="129">
        <v>4</v>
      </c>
      <c r="D272" s="130">
        <f>SUM(D70:D90)</f>
        <v>315.03186000000005</v>
      </c>
      <c r="E272" s="131">
        <f>SUM(E70:E90)</f>
        <v>147.09728000000001</v>
      </c>
      <c r="F272" s="132">
        <f>SUM(F70:F90)</f>
        <v>117.67782399999997</v>
      </c>
      <c r="G272" s="133">
        <f>SUM(G70:G90)</f>
        <v>29.41945599999999</v>
      </c>
      <c r="H272" s="134">
        <f>SUM(H70:H90)</f>
        <v>139.48792</v>
      </c>
      <c r="I272" s="135"/>
      <c r="J272" s="136">
        <f>SUM(J70:J90)</f>
        <v>175.54393999999999</v>
      </c>
      <c r="K272" s="137"/>
      <c r="L272" s="138">
        <f>SUM(L70:L90)</f>
        <v>24.846095999999992</v>
      </c>
      <c r="M272" s="137"/>
      <c r="N272" s="139">
        <f>SUM(N70:N90)</f>
        <v>3.0360000000000023</v>
      </c>
      <c r="O272" s="137"/>
      <c r="P272" s="140">
        <f>SUM(P70:P90)</f>
        <v>4.5733599999999992</v>
      </c>
      <c r="Q272" s="135"/>
      <c r="R272" s="104">
        <f>SUM(R70:R90)</f>
        <v>114.64182399999999</v>
      </c>
      <c r="S272" s="137"/>
      <c r="T272" s="141">
        <f>SUM(T70:T90)</f>
        <v>32.455455999999991</v>
      </c>
      <c r="U272" s="199">
        <f>SUM(U70:U90)</f>
        <v>200.39003599999998</v>
      </c>
      <c r="V272" s="37" t="str">
        <f t="shared" si="145"/>
        <v>ok</v>
      </c>
      <c r="W272" s="37" t="str">
        <f t="shared" si="146"/>
        <v>ok</v>
      </c>
      <c r="X272" s="278">
        <f>AVERAGE(X70:X90)</f>
        <v>0.48305879394199824</v>
      </c>
      <c r="Y272" s="278">
        <f>AVERAGE(Y70:Y90)</f>
        <v>0.97271711646711656</v>
      </c>
      <c r="Z272" s="278">
        <f>AVERAGE(Z70:Z90)</f>
        <v>0.77817369317369345</v>
      </c>
      <c r="AA272" s="411"/>
      <c r="AB272" s="278"/>
      <c r="AC272" s="412"/>
      <c r="AD272" s="278"/>
    </row>
    <row r="273" spans="2:30" x14ac:dyDescent="0.25">
      <c r="B273" s="163" t="s">
        <v>78</v>
      </c>
      <c r="C273" s="129">
        <v>5</v>
      </c>
      <c r="D273" s="130">
        <f>SUM(D91:D113)</f>
        <v>460.06540999999993</v>
      </c>
      <c r="E273" s="131">
        <f>SUM(E91:E113)</f>
        <v>114.91584000000003</v>
      </c>
      <c r="F273" s="132">
        <f>SUM(F91:F113)</f>
        <v>91.932671999999997</v>
      </c>
      <c r="G273" s="133">
        <f>SUM(G91:G113)</f>
        <v>22.983167999999996</v>
      </c>
      <c r="H273" s="134">
        <f>SUM(H91:H113)</f>
        <v>114.90393000000003</v>
      </c>
      <c r="I273" s="135"/>
      <c r="J273" s="136">
        <f>SUM(J91:J113)</f>
        <v>345.16148000000004</v>
      </c>
      <c r="K273" s="137"/>
      <c r="L273" s="138">
        <f>SUM(L91:L113)</f>
        <v>22.971257999999995</v>
      </c>
      <c r="M273" s="137"/>
      <c r="N273" s="139">
        <f>SUM(N91:N113)</f>
        <v>0</v>
      </c>
      <c r="O273" s="137"/>
      <c r="P273" s="140">
        <f>SUM(P91:P113)</f>
        <v>1.1909999999999421E-2</v>
      </c>
      <c r="Q273" s="135"/>
      <c r="R273" s="104">
        <f>SUM(R91:R113)</f>
        <v>91.932671999999997</v>
      </c>
      <c r="S273" s="137"/>
      <c r="T273" s="141">
        <f>SUM(T91:T113)</f>
        <v>22.983167999999996</v>
      </c>
      <c r="U273" s="199">
        <f>SUM(U91:U113)</f>
        <v>368.13273800000002</v>
      </c>
      <c r="V273" s="37" t="str">
        <f t="shared" si="145"/>
        <v>ok</v>
      </c>
      <c r="W273" s="37" t="str">
        <f t="shared" si="146"/>
        <v>ok</v>
      </c>
      <c r="X273" s="278">
        <f>AVERAGE(X91:X113)</f>
        <v>0.28092234067676453</v>
      </c>
      <c r="Y273" s="278">
        <f>AVERAGE(Y91:Y113)</f>
        <v>1</v>
      </c>
      <c r="Z273" s="278">
        <f>AVERAGE(Z91:Z113)</f>
        <v>0.80000000000000027</v>
      </c>
      <c r="AA273" s="411"/>
      <c r="AB273" s="278"/>
      <c r="AC273" s="412"/>
      <c r="AD273" s="278"/>
    </row>
    <row r="274" spans="2:30" x14ac:dyDescent="0.25">
      <c r="B274" s="163" t="s">
        <v>79</v>
      </c>
      <c r="C274" s="129">
        <v>6</v>
      </c>
      <c r="D274" s="130">
        <f>SUM(D114:D134)</f>
        <v>210.02123999999998</v>
      </c>
      <c r="E274" s="131">
        <f>SUM(E114:E134)</f>
        <v>189.09522500000003</v>
      </c>
      <c r="F274" s="132">
        <f>SUM(F114:F134)</f>
        <v>151.27618000000004</v>
      </c>
      <c r="G274" s="133">
        <f>SUM(G114:G134)</f>
        <v>37.819044999999996</v>
      </c>
      <c r="H274" s="134">
        <f>SUM(H114:H134)</f>
        <v>144.32768999999996</v>
      </c>
      <c r="I274" s="135"/>
      <c r="J274" s="136">
        <f>SUM(J114:J134)</f>
        <v>65.693549999999988</v>
      </c>
      <c r="K274" s="137"/>
      <c r="L274" s="138">
        <f>SUM(L114:L134)</f>
        <v>16.931249999999991</v>
      </c>
      <c r="M274" s="137"/>
      <c r="N274" s="139">
        <f>SUM(N114:N134)</f>
        <v>23.879740000000012</v>
      </c>
      <c r="O274" s="137"/>
      <c r="P274" s="140">
        <f>SUM(P114:P134)</f>
        <v>20.887794999999997</v>
      </c>
      <c r="Q274" s="135"/>
      <c r="R274" s="104">
        <f>SUM(R114:R134)</f>
        <v>127.39643999999997</v>
      </c>
      <c r="S274" s="137"/>
      <c r="T274" s="141">
        <f>SUM(T114:T134)</f>
        <v>61.698785000000008</v>
      </c>
      <c r="U274" s="199">
        <f>SUM(U114:U134)</f>
        <v>82.624799999999993</v>
      </c>
      <c r="V274" s="37" t="str">
        <f t="shared" si="145"/>
        <v>ok</v>
      </c>
      <c r="W274" s="37" t="str">
        <f t="shared" si="146"/>
        <v>ok</v>
      </c>
      <c r="X274" s="278">
        <f>AVERAGE(X114:X134)</f>
        <v>0.72436137262535816</v>
      </c>
      <c r="Y274" s="278">
        <f>AVERAGE(Y114:Y134)</f>
        <v>0.86136868362362795</v>
      </c>
      <c r="Z274" s="278">
        <f>AVERAGE(Z114:Z134)</f>
        <v>0.68909494689890249</v>
      </c>
      <c r="AA274" s="411"/>
      <c r="AB274" s="278"/>
      <c r="AC274" s="412"/>
      <c r="AD274" s="278"/>
    </row>
    <row r="275" spans="2:30" x14ac:dyDescent="0.25">
      <c r="B275" s="163" t="s">
        <v>80</v>
      </c>
      <c r="C275" s="129">
        <v>7</v>
      </c>
      <c r="D275" s="130">
        <f>SUM(D135:D156)</f>
        <v>109.91655599999997</v>
      </c>
      <c r="E275" s="131">
        <f>SUM(E135:E156)</f>
        <v>220.10333499999996</v>
      </c>
      <c r="F275" s="132">
        <f>SUM(F135:F156)</f>
        <v>176.08266800000001</v>
      </c>
      <c r="G275" s="133">
        <f>SUM(G135:G156)</f>
        <v>44.020666999999996</v>
      </c>
      <c r="H275" s="134">
        <f>SUM(H135:H156)</f>
        <v>108.84613299999999</v>
      </c>
      <c r="I275" s="135"/>
      <c r="J275" s="136">
        <f>SUM(J135:J156)</f>
        <v>1.0704230000000003</v>
      </c>
      <c r="K275" s="137"/>
      <c r="L275" s="138">
        <f>SUM(L135:L156)</f>
        <v>4.324488999999998</v>
      </c>
      <c r="M275" s="137"/>
      <c r="N275" s="139">
        <f>SUM(N135:N156)</f>
        <v>71.561023999999989</v>
      </c>
      <c r="O275" s="137"/>
      <c r="P275" s="140">
        <f>SUM(P135:P156)</f>
        <v>39.696177999999989</v>
      </c>
      <c r="Q275" s="135"/>
      <c r="R275" s="104">
        <f>SUM(R135:R156)</f>
        <v>104.52164399999999</v>
      </c>
      <c r="S275" s="137"/>
      <c r="T275" s="141">
        <f>SUM(T135:T156)</f>
        <v>115.58169099999998</v>
      </c>
      <c r="U275" s="199">
        <f>SUM(U135:U156)</f>
        <v>5.3949119999999979</v>
      </c>
      <c r="V275" s="37" t="str">
        <f t="shared" si="145"/>
        <v>ok</v>
      </c>
      <c r="W275" s="37" t="str">
        <f t="shared" si="146"/>
        <v>ok</v>
      </c>
      <c r="X275" s="278">
        <f>AVERAGE(X135:X156)</f>
        <v>0.96310678683450135</v>
      </c>
      <c r="Y275" s="278">
        <f>AVERAGE(Y135:Y156)</f>
        <v>0.63031531174340028</v>
      </c>
      <c r="Z275" s="278">
        <f>AVERAGE(Z135:Z156)</f>
        <v>0.50425224939472046</v>
      </c>
      <c r="AA275" s="411"/>
      <c r="AB275" s="278"/>
      <c r="AC275" s="412"/>
      <c r="AD275" s="278"/>
    </row>
    <row r="276" spans="2:30" x14ac:dyDescent="0.25">
      <c r="B276" s="163" t="s">
        <v>81</v>
      </c>
      <c r="C276" s="129">
        <v>8</v>
      </c>
      <c r="D276" s="130">
        <f>SUM(D157:D179)</f>
        <v>114.96351999999999</v>
      </c>
      <c r="E276" s="131">
        <f>SUM(E157:E179)</f>
        <v>310.40743500000002</v>
      </c>
      <c r="F276" s="132">
        <f>SUM(F157:F179)</f>
        <v>248.32594799999998</v>
      </c>
      <c r="G276" s="133">
        <f>SUM(G157:G179)</f>
        <v>62.081486999999981</v>
      </c>
      <c r="H276" s="134">
        <f>SUM(H157:H179)</f>
        <v>114.96351999999999</v>
      </c>
      <c r="I276" s="135"/>
      <c r="J276" s="136">
        <f>SUM(J157:J179)</f>
        <v>0</v>
      </c>
      <c r="K276" s="137"/>
      <c r="L276" s="138">
        <f>SUM(L157:L179)</f>
        <v>0.49740400000000129</v>
      </c>
      <c r="M276" s="137"/>
      <c r="N276" s="139">
        <f>SUM(N157:N179)</f>
        <v>133.85983200000001</v>
      </c>
      <c r="O276" s="137"/>
      <c r="P276" s="140">
        <f>SUM(P157:P179)</f>
        <v>61.584082999999978</v>
      </c>
      <c r="Q276" s="135"/>
      <c r="R276" s="104">
        <f>SUM(R157:R179)</f>
        <v>114.46611599999999</v>
      </c>
      <c r="S276" s="137"/>
      <c r="T276" s="141">
        <f>SUM(T157:T179)</f>
        <v>195.94131899999999</v>
      </c>
      <c r="U276" s="199">
        <f>SUM(U157:U179)</f>
        <v>0.49740400000000129</v>
      </c>
      <c r="V276" s="37" t="str">
        <f t="shared" si="145"/>
        <v>ok</v>
      </c>
      <c r="W276" s="37" t="str">
        <f t="shared" si="146"/>
        <v>ok</v>
      </c>
      <c r="X276" s="278">
        <f>AVERAGE(X157:X179)</f>
        <v>0.99530647508733994</v>
      </c>
      <c r="Y276" s="278">
        <f>AVERAGE(Y157:Y179)</f>
        <v>0.50808707987200075</v>
      </c>
      <c r="Z276" s="278">
        <f>AVERAGE(Z157:Z179)</f>
        <v>0.40646966389760059</v>
      </c>
      <c r="AA276" s="411"/>
      <c r="AB276" s="278"/>
      <c r="AC276" s="412"/>
      <c r="AD276" s="278"/>
    </row>
    <row r="277" spans="2:30" x14ac:dyDescent="0.25">
      <c r="B277" s="163" t="s">
        <v>82</v>
      </c>
      <c r="C277" s="129">
        <v>9</v>
      </c>
      <c r="D277" s="130">
        <f>SUM(D180:D199)</f>
        <v>199.96502500000003</v>
      </c>
      <c r="E277" s="131">
        <f>SUM(E180:E199)</f>
        <v>249.995105</v>
      </c>
      <c r="F277" s="132">
        <f>SUM(F180:F199)</f>
        <v>199.99608400000002</v>
      </c>
      <c r="G277" s="133">
        <f>SUM(G180:G199)</f>
        <v>49.999020999999992</v>
      </c>
      <c r="H277" s="134">
        <f>SUM(H180:H199)</f>
        <v>163.60893000000002</v>
      </c>
      <c r="I277" s="135"/>
      <c r="J277" s="136">
        <f>SUM(J180:J199)</f>
        <v>36.35609500000001</v>
      </c>
      <c r="K277" s="137"/>
      <c r="L277" s="138">
        <f>SUM(L180:L199)</f>
        <v>18.553865999999996</v>
      </c>
      <c r="M277" s="137"/>
      <c r="N277" s="139">
        <f>SUM(N180:N199)</f>
        <v>54.941020000000002</v>
      </c>
      <c r="O277" s="137"/>
      <c r="P277" s="140">
        <f>SUM(P180:P199)</f>
        <v>31.445154999999996</v>
      </c>
      <c r="Q277" s="135"/>
      <c r="R277" s="104">
        <f>SUM(R180:R199)</f>
        <v>145.05506400000002</v>
      </c>
      <c r="S277" s="137"/>
      <c r="T277" s="141">
        <f>SUM(T180:T199)</f>
        <v>104.94004099999999</v>
      </c>
      <c r="U277" s="199">
        <f>SUM(U180:U199)</f>
        <v>54.909961000000003</v>
      </c>
      <c r="V277" s="37" t="str">
        <f t="shared" si="145"/>
        <v>ok</v>
      </c>
      <c r="W277" s="37" t="str">
        <f t="shared" si="146"/>
        <v>ok</v>
      </c>
      <c r="X277" s="278">
        <f>AVERAGE(X180:X199)</f>
        <v>0.81147297218985504</v>
      </c>
      <c r="Y277" s="278">
        <f>AVERAGE(Y180:Y199)</f>
        <v>0.76543642688744851</v>
      </c>
      <c r="Z277" s="278">
        <f>AVERAGE(Z180:Z199)</f>
        <v>0.61234914150995912</v>
      </c>
      <c r="AA277" s="411"/>
      <c r="AB277" s="278"/>
      <c r="AC277" s="412"/>
      <c r="AD277" s="278"/>
    </row>
    <row r="278" spans="2:30" x14ac:dyDescent="0.25">
      <c r="B278" s="163" t="s">
        <v>83</v>
      </c>
      <c r="C278" s="129">
        <v>10</v>
      </c>
      <c r="D278" s="130">
        <f>SUM(D200:D222)</f>
        <v>195.48025000000001</v>
      </c>
      <c r="E278" s="131">
        <f>SUM(E200:E222)</f>
        <v>230.05612499999992</v>
      </c>
      <c r="F278" s="132">
        <f>SUM(F200:F222)</f>
        <v>184.04490000000001</v>
      </c>
      <c r="G278" s="133">
        <f>SUM(G200:G222)</f>
        <v>46.011224999999975</v>
      </c>
      <c r="H278" s="134">
        <f>SUM(H200:H222)</f>
        <v>157.99074999999999</v>
      </c>
      <c r="I278" s="135"/>
      <c r="J278" s="136">
        <f>SUM(J200:J222)</f>
        <v>37.489500000000021</v>
      </c>
      <c r="K278" s="137"/>
      <c r="L278" s="138">
        <f>SUM(L200:L222)</f>
        <v>20.907349999999994</v>
      </c>
      <c r="M278" s="137"/>
      <c r="N278" s="139">
        <f>SUM(N200:N222)</f>
        <v>46.961499999999987</v>
      </c>
      <c r="O278" s="137"/>
      <c r="P278" s="140">
        <f>SUM(P200:P222)</f>
        <v>25.103874999999988</v>
      </c>
      <c r="Q278" s="135"/>
      <c r="R278" s="104">
        <f>SUM(R200:R222)</f>
        <v>137.08339999999998</v>
      </c>
      <c r="S278" s="137"/>
      <c r="T278" s="141">
        <f>SUM(T200:T222)</f>
        <v>92.972724999999997</v>
      </c>
      <c r="U278" s="199">
        <f>SUM(U200:U222)</f>
        <v>58.396850000000008</v>
      </c>
      <c r="V278" s="37" t="str">
        <f t="shared" si="145"/>
        <v>ok</v>
      </c>
      <c r="W278" s="37" t="str">
        <f t="shared" si="146"/>
        <v>ok</v>
      </c>
      <c r="X278" s="278">
        <f>AVERAGE(X200:X222)</f>
        <v>0.78831268853689596</v>
      </c>
      <c r="Y278" s="278">
        <f>AVERAGE(Y200:Y222)</f>
        <v>0.78009470176657469</v>
      </c>
      <c r="Z278" s="278">
        <f>AVERAGE(Z200:Z222)</f>
        <v>0.62407576141325993</v>
      </c>
      <c r="AA278" s="411"/>
      <c r="AB278" s="278"/>
      <c r="AC278" s="412"/>
      <c r="AD278" s="278"/>
    </row>
    <row r="279" spans="2:30" x14ac:dyDescent="0.25">
      <c r="B279" s="163" t="s">
        <v>84</v>
      </c>
      <c r="C279" s="129">
        <v>11</v>
      </c>
      <c r="D279" s="130">
        <f>SUM(D223:D244)</f>
        <v>154.09239000000002</v>
      </c>
      <c r="E279" s="131">
        <f>SUM(E223:E244)</f>
        <v>330.04527999999993</v>
      </c>
      <c r="F279" s="132">
        <f>SUM(F223:F244)</f>
        <v>264.036224</v>
      </c>
      <c r="G279" s="133">
        <f>SUM(G223:G244)</f>
        <v>66.009055999999987</v>
      </c>
      <c r="H279" s="134">
        <f>SUM(H223:H244)</f>
        <v>153.19173000000004</v>
      </c>
      <c r="I279" s="135"/>
      <c r="J279" s="136">
        <f>SUM(J223:J244)</f>
        <v>0.90066000000000113</v>
      </c>
      <c r="K279" s="137"/>
      <c r="L279" s="138">
        <f>SUM(L223:L244)</f>
        <v>4.3213259999999973</v>
      </c>
      <c r="M279" s="137"/>
      <c r="N279" s="139">
        <f>SUM(N223:N244)</f>
        <v>115.16582000000001</v>
      </c>
      <c r="O279" s="137"/>
      <c r="P279" s="140">
        <f>SUM(P223:P244)</f>
        <v>61.687729999999988</v>
      </c>
      <c r="Q279" s="135"/>
      <c r="R279" s="104">
        <f>SUM(R223:R244)</f>
        <v>148.87040400000001</v>
      </c>
      <c r="S279" s="137"/>
      <c r="T279" s="141">
        <f>SUM(T223:T244)</f>
        <v>181.17487599999998</v>
      </c>
      <c r="U279" s="199">
        <f>SUM(U223:U244)</f>
        <v>5.2219859999999985</v>
      </c>
      <c r="V279" s="37" t="str">
        <f t="shared" si="145"/>
        <v>ok</v>
      </c>
      <c r="W279" s="37" t="str">
        <f t="shared" si="146"/>
        <v>ok</v>
      </c>
      <c r="X279" s="278">
        <f>AVERAGE(X223:X244)</f>
        <v>0.97319621665640288</v>
      </c>
      <c r="Y279" s="278">
        <f>AVERAGE(Y223:Y244)</f>
        <v>0.60112395686131415</v>
      </c>
      <c r="Z279" s="278">
        <f>AVERAGE(Z223:Z244)</f>
        <v>0.48089916548905154</v>
      </c>
      <c r="AA279" s="411"/>
      <c r="AB279" s="278"/>
      <c r="AC279" s="412"/>
      <c r="AD279" s="278"/>
    </row>
    <row r="280" spans="2:30" ht="15.75" thickBot="1" x14ac:dyDescent="0.3">
      <c r="B280" s="164" t="s">
        <v>85</v>
      </c>
      <c r="C280" s="165">
        <v>12</v>
      </c>
      <c r="D280" s="202">
        <f>SUM(D245:D265)</f>
        <v>105.01061999999999</v>
      </c>
      <c r="E280" s="203">
        <f>SUM(E245:E265)</f>
        <v>419.97944999999993</v>
      </c>
      <c r="F280" s="204">
        <f>SUM(F245:F265)</f>
        <v>335.98355999999995</v>
      </c>
      <c r="G280" s="205">
        <f>SUM(G245:G265)</f>
        <v>83.995889999999989</v>
      </c>
      <c r="H280" s="206">
        <f>SUM(H245:H265)</f>
        <v>105.01061999999999</v>
      </c>
      <c r="I280" s="207"/>
      <c r="J280" s="208">
        <f>SUM(J245:J265)</f>
        <v>0</v>
      </c>
      <c r="K280" s="209"/>
      <c r="L280" s="210">
        <f>SUM(L245:L265)</f>
        <v>0</v>
      </c>
      <c r="M280" s="209"/>
      <c r="N280" s="211">
        <f>SUM(N245:N265)</f>
        <v>230.97293999999999</v>
      </c>
      <c r="O280" s="209"/>
      <c r="P280" s="212">
        <f>SUM(P245:P265)</f>
        <v>83.995889999999989</v>
      </c>
      <c r="Q280" s="207"/>
      <c r="R280" s="213">
        <f>SUM(R245:R265)</f>
        <v>105.01061999999999</v>
      </c>
      <c r="S280" s="209"/>
      <c r="T280" s="214">
        <f>SUM(T245:T265)</f>
        <v>314.96883000000003</v>
      </c>
      <c r="U280" s="215">
        <f>SUM(U245:U265)</f>
        <v>0</v>
      </c>
      <c r="V280" s="37" t="str">
        <f t="shared" si="145"/>
        <v>ok</v>
      </c>
      <c r="W280" s="37" t="str">
        <f t="shared" si="146"/>
        <v>ok</v>
      </c>
      <c r="X280" s="278">
        <f>AVERAGE(X245:X265)</f>
        <v>1</v>
      </c>
      <c r="Y280" s="278">
        <f>AVERAGE(Y245:Y265)</f>
        <v>0.34396741733059449</v>
      </c>
      <c r="Z280" s="278">
        <f>AVERAGE(Z245:Z265)</f>
        <v>0.27517393386447569</v>
      </c>
      <c r="AA280" s="411"/>
      <c r="AB280" s="278"/>
      <c r="AC280" s="412"/>
      <c r="AD280" s="278"/>
    </row>
    <row r="281" spans="2:30" ht="15.75" thickBot="1" x14ac:dyDescent="0.3">
      <c r="B281" s="248" t="s">
        <v>103</v>
      </c>
      <c r="C281" s="165"/>
      <c r="D281" s="257">
        <f>SUM(D269:D280)</f>
        <v>2349.5181910000001</v>
      </c>
      <c r="E281" s="258">
        <f>SUM(E269:E280)</f>
        <v>3138.8310449999999</v>
      </c>
      <c r="F281" s="259">
        <f>SUM(F269:F280)</f>
        <v>2511.0648360000005</v>
      </c>
      <c r="G281" s="260">
        <f>SUM(G269:G280)</f>
        <v>627.76620899999989</v>
      </c>
      <c r="H281" s="261">
        <f>SUM(H269:H280)</f>
        <v>1607.4939430000002</v>
      </c>
      <c r="I281" s="262"/>
      <c r="J281" s="263">
        <f>SUM(J269:J280)</f>
        <v>742.02424800000006</v>
      </c>
      <c r="K281" s="264"/>
      <c r="L281" s="265">
        <f>SUM(L269:L280)</f>
        <v>141.71623299999996</v>
      </c>
      <c r="M281" s="264"/>
      <c r="N281" s="266">
        <f>SUM(N269:N280)</f>
        <v>1045.2871259999999</v>
      </c>
      <c r="O281" s="264"/>
      <c r="P281" s="267">
        <f>SUM(P269:P280)</f>
        <v>486.04997599999984</v>
      </c>
      <c r="Q281" s="262"/>
      <c r="R281" s="268">
        <f>SUM(R269:R280)</f>
        <v>1465.7777100000001</v>
      </c>
      <c r="S281" s="264"/>
      <c r="T281" s="269">
        <f>SUM(T269:T280)</f>
        <v>1673.0533350000001</v>
      </c>
      <c r="U281" s="270">
        <f>SUM(U269:U280)</f>
        <v>883.74048099999982</v>
      </c>
      <c r="V281" s="37"/>
      <c r="W281" s="37"/>
    </row>
    <row r="282" spans="2:30" x14ac:dyDescent="0.25">
      <c r="B282" s="431" t="s">
        <v>104</v>
      </c>
      <c r="C282" s="432"/>
      <c r="D282" s="250">
        <f>AVERAGE(D269:D280)</f>
        <v>195.79318258333333</v>
      </c>
      <c r="E282" s="250">
        <f>AVERAGE(E269:E280)</f>
        <v>261.56925374999997</v>
      </c>
      <c r="F282" s="250"/>
      <c r="G282" s="250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  <c r="R282" s="250">
        <f>AVERAGE(R269:R280)</f>
        <v>122.14814250000001</v>
      </c>
      <c r="S282" s="251"/>
      <c r="T282" s="251"/>
      <c r="U282" s="252"/>
      <c r="V282" s="37"/>
      <c r="W282" s="37"/>
      <c r="X282" s="278">
        <f>AVERAGE(X269:X280)</f>
        <v>0.80441733193507348</v>
      </c>
      <c r="Y282" s="278">
        <f>AVERAGE(Y269:Y280)</f>
        <v>0.69437281459804223</v>
      </c>
      <c r="Z282" s="278">
        <f>AVERAGE(Z269:Z280)</f>
        <v>0.55549825167843403</v>
      </c>
    </row>
    <row r="283" spans="2:30" ht="15.75" thickBot="1" x14ac:dyDescent="0.3">
      <c r="B283" s="433" t="s">
        <v>105</v>
      </c>
      <c r="C283" s="434"/>
      <c r="D283" s="253">
        <f>D281/COUNT(C5:C265)</f>
        <v>9.0019854061302684</v>
      </c>
      <c r="E283" s="253">
        <f>E281/COUNT(C5:C265)</f>
        <v>12.026172586206895</v>
      </c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>
        <f>R281/COUNT(C5:C265)</f>
        <v>5.616006551724138</v>
      </c>
      <c r="S283" s="254"/>
      <c r="T283" s="254"/>
      <c r="U283" s="255"/>
      <c r="X283" s="414">
        <f>AVERAGE(X5:X265)</f>
        <v>0.80361360283129135</v>
      </c>
      <c r="Y283" s="413">
        <f>AVERAGE(Y5:Y265)</f>
        <v>0.69325452239792718</v>
      </c>
      <c r="Z283" s="413">
        <f>AVERAGE(Z5:Z265)</f>
        <v>0.55460361791834123</v>
      </c>
    </row>
    <row r="284" spans="2:30" x14ac:dyDescent="0.25"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</row>
    <row r="287" spans="2:30" x14ac:dyDescent="0.25">
      <c r="C287" s="75"/>
    </row>
    <row r="288" spans="2:30" x14ac:dyDescent="0.25">
      <c r="C288" s="75"/>
    </row>
    <row r="289" spans="3:3" x14ac:dyDescent="0.25">
      <c r="C289" s="75"/>
    </row>
  </sheetData>
  <mergeCells count="14">
    <mergeCell ref="A114:A134"/>
    <mergeCell ref="A5:A27"/>
    <mergeCell ref="A28:A47"/>
    <mergeCell ref="A48:A69"/>
    <mergeCell ref="A70:A90"/>
    <mergeCell ref="A91:A113"/>
    <mergeCell ref="B282:C282"/>
    <mergeCell ref="B283:C283"/>
    <mergeCell ref="A135:A156"/>
    <mergeCell ref="A157:A179"/>
    <mergeCell ref="A180:A199"/>
    <mergeCell ref="A200:A222"/>
    <mergeCell ref="A223:A244"/>
    <mergeCell ref="A245:A265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E31" sqref="E31"/>
    </sheetView>
  </sheetViews>
  <sheetFormatPr baseColWidth="10" defaultRowHeight="15" x14ac:dyDescent="0.25"/>
  <sheetData>
    <row r="1" spans="1:17" x14ac:dyDescent="0.25">
      <c r="A1" s="2" t="s">
        <v>29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4" customFormat="1" x14ac:dyDescent="0.25">
      <c r="B2" s="5" t="s">
        <v>0</v>
      </c>
      <c r="C2" s="11" t="s">
        <v>15</v>
      </c>
    </row>
    <row r="3" spans="1:17" x14ac:dyDescent="0.25">
      <c r="A3">
        <v>1</v>
      </c>
      <c r="B3" t="s">
        <v>19</v>
      </c>
      <c r="C3">
        <v>18.11</v>
      </c>
    </row>
    <row r="4" spans="1:17" x14ac:dyDescent="0.25">
      <c r="A4">
        <v>2</v>
      </c>
      <c r="B4" t="s">
        <v>20</v>
      </c>
      <c r="C4">
        <v>14.22</v>
      </c>
    </row>
    <row r="5" spans="1:17" x14ac:dyDescent="0.25">
      <c r="A5">
        <v>3</v>
      </c>
      <c r="B5" t="s">
        <v>21</v>
      </c>
      <c r="C5">
        <v>6.22</v>
      </c>
    </row>
    <row r="6" spans="1:17" x14ac:dyDescent="0.25">
      <c r="A6">
        <v>4</v>
      </c>
      <c r="B6" t="s">
        <v>22</v>
      </c>
      <c r="C6">
        <v>4.34</v>
      </c>
    </row>
    <row r="7" spans="1:17" x14ac:dyDescent="0.25">
      <c r="A7">
        <v>5</v>
      </c>
      <c r="B7" t="s">
        <v>23</v>
      </c>
      <c r="C7">
        <v>9</v>
      </c>
    </row>
    <row r="8" spans="1:17" x14ac:dyDescent="0.25">
      <c r="A8">
        <v>6</v>
      </c>
      <c r="B8" t="s">
        <v>11</v>
      </c>
    </row>
    <row r="9" spans="1:17" x14ac:dyDescent="0.25">
      <c r="A9">
        <v>7</v>
      </c>
      <c r="B9" t="s">
        <v>12</v>
      </c>
    </row>
    <row r="10" spans="1:17" x14ac:dyDescent="0.25">
      <c r="A10">
        <v>8</v>
      </c>
      <c r="B10" t="s">
        <v>19</v>
      </c>
      <c r="C10">
        <v>28.9</v>
      </c>
    </row>
    <row r="11" spans="1:17" x14ac:dyDescent="0.25">
      <c r="A11">
        <v>9</v>
      </c>
      <c r="B11" t="s">
        <v>20</v>
      </c>
      <c r="C11">
        <v>23.44</v>
      </c>
    </row>
    <row r="12" spans="1:17" x14ac:dyDescent="0.25">
      <c r="A12">
        <v>10</v>
      </c>
      <c r="B12" t="s">
        <v>21</v>
      </c>
      <c r="C12">
        <v>13.55</v>
      </c>
    </row>
    <row r="13" spans="1:17" x14ac:dyDescent="0.25">
      <c r="A13">
        <v>11</v>
      </c>
      <c r="B13" t="s">
        <v>22</v>
      </c>
      <c r="C13">
        <v>10.94</v>
      </c>
    </row>
    <row r="14" spans="1:17" x14ac:dyDescent="0.25">
      <c r="A14">
        <v>12</v>
      </c>
      <c r="B14" t="s">
        <v>23</v>
      </c>
      <c r="C14">
        <v>20.84</v>
      </c>
    </row>
    <row r="15" spans="1:17" x14ac:dyDescent="0.25">
      <c r="A15">
        <v>13</v>
      </c>
      <c r="B15" t="s">
        <v>11</v>
      </c>
    </row>
    <row r="16" spans="1:17" x14ac:dyDescent="0.25">
      <c r="A16">
        <v>14</v>
      </c>
      <c r="B16" t="s">
        <v>12</v>
      </c>
    </row>
    <row r="17" spans="1:3" x14ac:dyDescent="0.25">
      <c r="A17">
        <v>15</v>
      </c>
      <c r="B17" t="s">
        <v>19</v>
      </c>
      <c r="C17">
        <v>18.11</v>
      </c>
    </row>
    <row r="18" spans="1:3" x14ac:dyDescent="0.25">
      <c r="A18">
        <v>16</v>
      </c>
      <c r="B18" t="s">
        <v>20</v>
      </c>
      <c r="C18">
        <v>14.22</v>
      </c>
    </row>
    <row r="19" spans="1:3" x14ac:dyDescent="0.25">
      <c r="A19">
        <v>17</v>
      </c>
      <c r="B19" t="s">
        <v>21</v>
      </c>
      <c r="C19">
        <v>6.22</v>
      </c>
    </row>
    <row r="20" spans="1:3" x14ac:dyDescent="0.25">
      <c r="A20">
        <v>18</v>
      </c>
      <c r="B20" t="s">
        <v>22</v>
      </c>
      <c r="C20">
        <v>4.34</v>
      </c>
    </row>
    <row r="21" spans="1:3" x14ac:dyDescent="0.25">
      <c r="A21">
        <v>19</v>
      </c>
      <c r="B21" t="s">
        <v>23</v>
      </c>
      <c r="C21">
        <v>9</v>
      </c>
    </row>
    <row r="22" spans="1:3" x14ac:dyDescent="0.25">
      <c r="A22">
        <v>20</v>
      </c>
      <c r="B22" t="s">
        <v>11</v>
      </c>
    </row>
    <row r="23" spans="1:3" x14ac:dyDescent="0.25">
      <c r="A23">
        <v>21</v>
      </c>
      <c r="B23" t="s">
        <v>12</v>
      </c>
    </row>
    <row r="24" spans="1:3" x14ac:dyDescent="0.25">
      <c r="A24">
        <v>22</v>
      </c>
      <c r="B24" t="s">
        <v>19</v>
      </c>
      <c r="C24">
        <v>36.119999999999997</v>
      </c>
    </row>
    <row r="25" spans="1:3" x14ac:dyDescent="0.25">
      <c r="A25">
        <v>23</v>
      </c>
      <c r="B25" t="s">
        <v>20</v>
      </c>
      <c r="C25">
        <v>29.4</v>
      </c>
    </row>
    <row r="26" spans="1:3" x14ac:dyDescent="0.25">
      <c r="A26">
        <v>24</v>
      </c>
      <c r="B26" t="s">
        <v>21</v>
      </c>
      <c r="C26">
        <v>16.940000000000001</v>
      </c>
    </row>
    <row r="27" spans="1:3" x14ac:dyDescent="0.25">
      <c r="A27">
        <v>25</v>
      </c>
      <c r="B27" t="s">
        <v>22</v>
      </c>
      <c r="C27">
        <v>13.87</v>
      </c>
    </row>
    <row r="28" spans="1:3" x14ac:dyDescent="0.25">
      <c r="A28">
        <v>26</v>
      </c>
      <c r="B28" t="s">
        <v>23</v>
      </c>
      <c r="C28">
        <v>26.05</v>
      </c>
    </row>
    <row r="29" spans="1:3" x14ac:dyDescent="0.25">
      <c r="A29">
        <v>27</v>
      </c>
      <c r="B29" t="s">
        <v>11</v>
      </c>
    </row>
    <row r="30" spans="1:3" x14ac:dyDescent="0.25">
      <c r="A30">
        <v>28</v>
      </c>
      <c r="B30" t="s">
        <v>12</v>
      </c>
    </row>
    <row r="31" spans="1:3" x14ac:dyDescent="0.25">
      <c r="A31">
        <v>29</v>
      </c>
      <c r="B31" t="s">
        <v>19</v>
      </c>
      <c r="C31">
        <v>43.34</v>
      </c>
    </row>
    <row r="32" spans="1:3" x14ac:dyDescent="0.25">
      <c r="A32">
        <v>30</v>
      </c>
      <c r="B32" t="s">
        <v>20</v>
      </c>
      <c r="C32">
        <v>35.159999999999997</v>
      </c>
    </row>
    <row r="33" spans="1:3" x14ac:dyDescent="0.25">
      <c r="A33">
        <v>31</v>
      </c>
      <c r="B33" t="s">
        <v>21</v>
      </c>
      <c r="C33">
        <v>20.329999999999998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9" workbookViewId="0">
      <selection activeCell="A3" sqref="A3:B33"/>
    </sheetView>
  </sheetViews>
  <sheetFormatPr baseColWidth="10" defaultRowHeight="15" x14ac:dyDescent="0.25"/>
  <cols>
    <col min="3" max="6" width="18.42578125" customWidth="1"/>
  </cols>
  <sheetData>
    <row r="1" spans="1:17" x14ac:dyDescent="0.25">
      <c r="A1" s="2" t="s">
        <v>30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45" x14ac:dyDescent="0.25">
      <c r="A2" s="4"/>
      <c r="B2" s="5" t="s">
        <v>0</v>
      </c>
      <c r="C2" s="9" t="s">
        <v>25</v>
      </c>
      <c r="D2" s="14" t="s">
        <v>26</v>
      </c>
      <c r="E2" s="13" t="s">
        <v>27</v>
      </c>
      <c r="F2" s="15" t="s">
        <v>28</v>
      </c>
    </row>
    <row r="3" spans="1:17" x14ac:dyDescent="0.25">
      <c r="A3">
        <v>1</v>
      </c>
      <c r="B3" t="s">
        <v>19</v>
      </c>
      <c r="C3">
        <v>19.5</v>
      </c>
      <c r="D3">
        <v>13</v>
      </c>
      <c r="E3">
        <v>6.5</v>
      </c>
      <c r="F3">
        <f>SUM(C3:E3)</f>
        <v>39</v>
      </c>
    </row>
    <row r="4" spans="1:17" x14ac:dyDescent="0.25">
      <c r="A4">
        <v>2</v>
      </c>
      <c r="B4" t="s">
        <v>20</v>
      </c>
      <c r="C4">
        <v>15.6</v>
      </c>
      <c r="D4">
        <v>9.1</v>
      </c>
      <c r="E4">
        <v>3.9</v>
      </c>
      <c r="F4">
        <f t="shared" ref="F4:F33" si="0">SUM(C4:E4)</f>
        <v>28.599999999999998</v>
      </c>
    </row>
    <row r="5" spans="1:17" x14ac:dyDescent="0.25">
      <c r="A5">
        <v>3</v>
      </c>
      <c r="B5" t="s">
        <v>21</v>
      </c>
      <c r="C5">
        <v>6.5</v>
      </c>
      <c r="D5">
        <v>2.6</v>
      </c>
      <c r="E5">
        <v>2.6</v>
      </c>
      <c r="F5">
        <f t="shared" si="0"/>
        <v>11.7</v>
      </c>
    </row>
    <row r="6" spans="1:17" x14ac:dyDescent="0.25">
      <c r="A6">
        <v>4</v>
      </c>
      <c r="B6" t="s">
        <v>22</v>
      </c>
      <c r="C6">
        <v>9.75</v>
      </c>
      <c r="D6">
        <v>5.2</v>
      </c>
      <c r="E6">
        <v>2.6</v>
      </c>
      <c r="F6">
        <f t="shared" si="0"/>
        <v>17.55</v>
      </c>
    </row>
    <row r="7" spans="1:17" x14ac:dyDescent="0.25">
      <c r="A7">
        <v>5</v>
      </c>
      <c r="B7" t="s">
        <v>23</v>
      </c>
      <c r="C7">
        <v>19.5</v>
      </c>
      <c r="D7">
        <v>6.5</v>
      </c>
      <c r="E7">
        <v>2.6</v>
      </c>
      <c r="F7">
        <f t="shared" si="0"/>
        <v>28.6</v>
      </c>
    </row>
    <row r="8" spans="1:17" x14ac:dyDescent="0.25">
      <c r="A8">
        <v>6</v>
      </c>
      <c r="B8" t="s">
        <v>11</v>
      </c>
    </row>
    <row r="9" spans="1:17" x14ac:dyDescent="0.25">
      <c r="A9">
        <v>7</v>
      </c>
      <c r="B9" t="s">
        <v>12</v>
      </c>
    </row>
    <row r="10" spans="1:17" x14ac:dyDescent="0.25">
      <c r="A10">
        <v>8</v>
      </c>
      <c r="B10" t="s">
        <v>19</v>
      </c>
      <c r="C10">
        <v>15</v>
      </c>
      <c r="D10">
        <v>5</v>
      </c>
      <c r="E10">
        <v>5</v>
      </c>
      <c r="F10">
        <f t="shared" si="0"/>
        <v>25</v>
      </c>
    </row>
    <row r="11" spans="1:17" x14ac:dyDescent="0.25">
      <c r="A11">
        <v>9</v>
      </c>
      <c r="B11" t="s">
        <v>20</v>
      </c>
      <c r="C11">
        <v>13</v>
      </c>
      <c r="D11">
        <v>4.5</v>
      </c>
      <c r="E11">
        <v>3</v>
      </c>
      <c r="F11">
        <f t="shared" si="0"/>
        <v>20.5</v>
      </c>
    </row>
    <row r="12" spans="1:17" x14ac:dyDescent="0.25">
      <c r="A12">
        <v>10</v>
      </c>
      <c r="B12" t="s">
        <v>21</v>
      </c>
      <c r="C12">
        <v>6</v>
      </c>
      <c r="D12">
        <v>3</v>
      </c>
      <c r="E12">
        <v>2</v>
      </c>
      <c r="F12">
        <f t="shared" si="0"/>
        <v>11</v>
      </c>
    </row>
    <row r="13" spans="1:17" x14ac:dyDescent="0.25">
      <c r="A13">
        <v>11</v>
      </c>
      <c r="B13" t="s">
        <v>22</v>
      </c>
      <c r="C13">
        <v>9.5</v>
      </c>
      <c r="D13">
        <v>2.5</v>
      </c>
      <c r="E13">
        <v>2</v>
      </c>
      <c r="F13">
        <f t="shared" si="0"/>
        <v>14</v>
      </c>
    </row>
    <row r="14" spans="1:17" x14ac:dyDescent="0.25">
      <c r="A14">
        <v>12</v>
      </c>
      <c r="B14" t="s">
        <v>23</v>
      </c>
      <c r="C14">
        <v>15</v>
      </c>
      <c r="D14">
        <v>2</v>
      </c>
      <c r="E14">
        <v>2</v>
      </c>
      <c r="F14">
        <f t="shared" si="0"/>
        <v>19</v>
      </c>
    </row>
    <row r="15" spans="1:17" x14ac:dyDescent="0.25">
      <c r="A15">
        <v>13</v>
      </c>
      <c r="B15" t="s">
        <v>11</v>
      </c>
    </row>
    <row r="16" spans="1:17" x14ac:dyDescent="0.25">
      <c r="A16">
        <v>14</v>
      </c>
      <c r="B16" t="s">
        <v>12</v>
      </c>
    </row>
    <row r="17" spans="1:6" x14ac:dyDescent="0.25">
      <c r="A17">
        <v>15</v>
      </c>
      <c r="B17" t="s">
        <v>19</v>
      </c>
      <c r="C17">
        <v>15</v>
      </c>
      <c r="D17">
        <v>10</v>
      </c>
      <c r="E17">
        <v>5</v>
      </c>
      <c r="F17">
        <f t="shared" si="0"/>
        <v>30</v>
      </c>
    </row>
    <row r="18" spans="1:6" x14ac:dyDescent="0.25">
      <c r="A18">
        <v>16</v>
      </c>
      <c r="B18" t="s">
        <v>20</v>
      </c>
      <c r="C18">
        <v>12</v>
      </c>
      <c r="D18">
        <v>8</v>
      </c>
      <c r="E18">
        <v>3</v>
      </c>
      <c r="F18">
        <f t="shared" si="0"/>
        <v>23</v>
      </c>
    </row>
    <row r="19" spans="1:6" x14ac:dyDescent="0.25">
      <c r="A19">
        <v>17</v>
      </c>
      <c r="B19" t="s">
        <v>21</v>
      </c>
      <c r="C19">
        <v>5</v>
      </c>
      <c r="D19">
        <v>4</v>
      </c>
      <c r="E19">
        <v>2</v>
      </c>
      <c r="F19">
        <f t="shared" si="0"/>
        <v>11</v>
      </c>
    </row>
    <row r="20" spans="1:6" x14ac:dyDescent="0.25">
      <c r="A20">
        <v>18</v>
      </c>
      <c r="B20" t="s">
        <v>22</v>
      </c>
      <c r="C20">
        <v>11.5</v>
      </c>
      <c r="D20">
        <v>5</v>
      </c>
      <c r="E20">
        <v>2</v>
      </c>
      <c r="F20">
        <f t="shared" si="0"/>
        <v>18.5</v>
      </c>
    </row>
    <row r="21" spans="1:6" x14ac:dyDescent="0.25">
      <c r="A21">
        <v>19</v>
      </c>
      <c r="B21" t="s">
        <v>23</v>
      </c>
      <c r="C21">
        <v>15</v>
      </c>
      <c r="D21">
        <v>5</v>
      </c>
      <c r="E21">
        <v>2</v>
      </c>
      <c r="F21">
        <f t="shared" si="0"/>
        <v>22</v>
      </c>
    </row>
    <row r="22" spans="1:6" x14ac:dyDescent="0.25">
      <c r="A22">
        <v>20</v>
      </c>
      <c r="B22" t="s">
        <v>11</v>
      </c>
    </row>
    <row r="23" spans="1:6" x14ac:dyDescent="0.25">
      <c r="A23">
        <v>21</v>
      </c>
      <c r="B23" t="s">
        <v>12</v>
      </c>
    </row>
    <row r="24" spans="1:6" x14ac:dyDescent="0.25">
      <c r="A24">
        <v>22</v>
      </c>
      <c r="B24" t="s">
        <v>19</v>
      </c>
      <c r="C24">
        <v>12.38</v>
      </c>
      <c r="D24">
        <v>4.13</v>
      </c>
      <c r="E24">
        <v>4.13</v>
      </c>
      <c r="F24">
        <f t="shared" si="0"/>
        <v>20.64</v>
      </c>
    </row>
    <row r="25" spans="1:6" x14ac:dyDescent="0.25">
      <c r="A25">
        <v>23</v>
      </c>
      <c r="B25" t="s">
        <v>20</v>
      </c>
      <c r="C25">
        <v>10.73</v>
      </c>
      <c r="D25">
        <v>2.48</v>
      </c>
      <c r="E25">
        <v>2.48</v>
      </c>
      <c r="F25">
        <f t="shared" si="0"/>
        <v>15.690000000000001</v>
      </c>
    </row>
    <row r="26" spans="1:6" x14ac:dyDescent="0.25">
      <c r="A26">
        <v>24</v>
      </c>
      <c r="B26" t="s">
        <v>21</v>
      </c>
      <c r="C26">
        <v>4.13</v>
      </c>
      <c r="D26">
        <v>1.65</v>
      </c>
      <c r="E26">
        <v>1.65</v>
      </c>
      <c r="F26">
        <f t="shared" si="0"/>
        <v>7.43</v>
      </c>
    </row>
    <row r="27" spans="1:6" x14ac:dyDescent="0.25">
      <c r="A27">
        <v>25</v>
      </c>
      <c r="B27" t="s">
        <v>22</v>
      </c>
      <c r="C27">
        <v>6.6</v>
      </c>
      <c r="D27">
        <v>1.65</v>
      </c>
      <c r="E27">
        <v>1.65</v>
      </c>
      <c r="F27">
        <f t="shared" si="0"/>
        <v>9.9</v>
      </c>
    </row>
    <row r="28" spans="1:6" x14ac:dyDescent="0.25">
      <c r="A28">
        <v>26</v>
      </c>
      <c r="B28" t="s">
        <v>23</v>
      </c>
      <c r="C28">
        <v>12.38</v>
      </c>
      <c r="D28">
        <v>1.65</v>
      </c>
      <c r="E28">
        <v>1.65</v>
      </c>
      <c r="F28">
        <f t="shared" si="0"/>
        <v>15.680000000000001</v>
      </c>
    </row>
    <row r="29" spans="1:6" x14ac:dyDescent="0.25">
      <c r="A29">
        <v>27</v>
      </c>
      <c r="B29" t="s">
        <v>11</v>
      </c>
    </row>
    <row r="30" spans="1:6" x14ac:dyDescent="0.25">
      <c r="A30">
        <v>28</v>
      </c>
      <c r="B30" t="s">
        <v>12</v>
      </c>
    </row>
    <row r="31" spans="1:6" x14ac:dyDescent="0.25">
      <c r="A31">
        <v>29</v>
      </c>
      <c r="B31" t="s">
        <v>19</v>
      </c>
      <c r="C31">
        <v>15</v>
      </c>
      <c r="D31">
        <v>10</v>
      </c>
      <c r="E31">
        <v>5</v>
      </c>
      <c r="F31">
        <f t="shared" si="0"/>
        <v>30</v>
      </c>
    </row>
    <row r="32" spans="1:6" x14ac:dyDescent="0.25">
      <c r="A32">
        <v>30</v>
      </c>
      <c r="B32" t="s">
        <v>20</v>
      </c>
      <c r="C32">
        <v>10</v>
      </c>
      <c r="D32">
        <v>8</v>
      </c>
      <c r="E32">
        <v>3</v>
      </c>
      <c r="F32">
        <f t="shared" si="0"/>
        <v>21</v>
      </c>
    </row>
    <row r="33" spans="1:6" x14ac:dyDescent="0.25">
      <c r="A33">
        <v>31</v>
      </c>
      <c r="B33" t="s">
        <v>21</v>
      </c>
      <c r="C33">
        <v>5</v>
      </c>
      <c r="D33">
        <v>3</v>
      </c>
      <c r="E33">
        <v>2</v>
      </c>
      <c r="F33">
        <f t="shared" si="0"/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22" workbookViewId="0">
      <selection activeCell="D54" sqref="D54"/>
    </sheetView>
  </sheetViews>
  <sheetFormatPr baseColWidth="10" defaultRowHeight="15" x14ac:dyDescent="0.25"/>
  <cols>
    <col min="5" max="5" width="12.7109375" customWidth="1"/>
  </cols>
  <sheetData>
    <row r="1" spans="1:17" x14ac:dyDescent="0.25">
      <c r="A1" s="2" t="s">
        <v>31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45" x14ac:dyDescent="0.25">
      <c r="C2" t="s">
        <v>32</v>
      </c>
      <c r="D2" s="16" t="s">
        <v>33</v>
      </c>
      <c r="E2" s="12" t="s">
        <v>34</v>
      </c>
      <c r="F2" s="12" t="s">
        <v>35</v>
      </c>
      <c r="G2" s="16" t="s">
        <v>36</v>
      </c>
    </row>
    <row r="3" spans="1:17" x14ac:dyDescent="0.25">
      <c r="A3">
        <v>1</v>
      </c>
      <c r="B3" t="s">
        <v>19</v>
      </c>
      <c r="C3">
        <f>'2.3.2'!F3</f>
        <v>39</v>
      </c>
      <c r="D3">
        <f>'2.3.1'!C3</f>
        <v>18.11</v>
      </c>
      <c r="E3">
        <f>IF(C3-D3&gt;0,C3-D3,)</f>
        <v>20.89</v>
      </c>
      <c r="F3">
        <f>IF(D3-C3&gt;0,D3-C3,)</f>
        <v>0</v>
      </c>
      <c r="G3">
        <f>IF(C3&lt;D3,C3,D3)</f>
        <v>18.11</v>
      </c>
    </row>
    <row r="4" spans="1:17" x14ac:dyDescent="0.25">
      <c r="A4">
        <v>2</v>
      </c>
      <c r="B4" t="s">
        <v>20</v>
      </c>
      <c r="C4">
        <f>'2.3.2'!F4</f>
        <v>28.599999999999998</v>
      </c>
      <c r="D4">
        <f>'2.3.1'!C4</f>
        <v>14.22</v>
      </c>
      <c r="E4">
        <f t="shared" ref="E4:E13" si="0">IF(C4-D4&gt;0,C4-D4,)</f>
        <v>14.379999999999997</v>
      </c>
      <c r="F4">
        <f t="shared" ref="F4:F33" si="1">IF(D4-C4&gt;0,D4-C4,)</f>
        <v>0</v>
      </c>
      <c r="G4">
        <f t="shared" ref="G4:G33" si="2">IF(C4&lt;D4,C4,D4)</f>
        <v>14.22</v>
      </c>
    </row>
    <row r="5" spans="1:17" x14ac:dyDescent="0.25">
      <c r="A5">
        <v>3</v>
      </c>
      <c r="B5" t="s">
        <v>21</v>
      </c>
      <c r="C5">
        <f>'2.3.2'!F5</f>
        <v>11.7</v>
      </c>
      <c r="D5">
        <f>'2.3.1'!C5</f>
        <v>6.22</v>
      </c>
      <c r="E5">
        <f t="shared" si="0"/>
        <v>5.4799999999999995</v>
      </c>
      <c r="F5">
        <f t="shared" si="1"/>
        <v>0</v>
      </c>
      <c r="G5">
        <f t="shared" si="2"/>
        <v>6.22</v>
      </c>
    </row>
    <row r="6" spans="1:17" x14ac:dyDescent="0.25">
      <c r="A6">
        <v>4</v>
      </c>
      <c r="B6" t="s">
        <v>22</v>
      </c>
      <c r="C6">
        <f>'2.3.2'!F6</f>
        <v>17.55</v>
      </c>
      <c r="D6">
        <f>'2.3.1'!C6</f>
        <v>4.34</v>
      </c>
      <c r="E6">
        <f t="shared" si="0"/>
        <v>13.21</v>
      </c>
      <c r="F6">
        <f t="shared" si="1"/>
        <v>0</v>
      </c>
      <c r="G6">
        <f t="shared" si="2"/>
        <v>4.34</v>
      </c>
    </row>
    <row r="7" spans="1:17" x14ac:dyDescent="0.25">
      <c r="A7">
        <v>5</v>
      </c>
      <c r="B7" t="s">
        <v>23</v>
      </c>
      <c r="C7">
        <f>'2.3.2'!F7</f>
        <v>28.6</v>
      </c>
      <c r="D7">
        <f>'2.3.1'!C7</f>
        <v>9</v>
      </c>
      <c r="E7">
        <f t="shared" si="0"/>
        <v>19.600000000000001</v>
      </c>
      <c r="F7">
        <f t="shared" si="1"/>
        <v>0</v>
      </c>
      <c r="G7">
        <f t="shared" si="2"/>
        <v>9</v>
      </c>
    </row>
    <row r="8" spans="1:17" x14ac:dyDescent="0.25">
      <c r="A8">
        <v>6</v>
      </c>
      <c r="B8" t="s">
        <v>11</v>
      </c>
      <c r="E8">
        <f t="shared" si="0"/>
        <v>0</v>
      </c>
      <c r="F8">
        <f t="shared" si="1"/>
        <v>0</v>
      </c>
      <c r="G8">
        <f t="shared" si="2"/>
        <v>0</v>
      </c>
    </row>
    <row r="9" spans="1:17" x14ac:dyDescent="0.25">
      <c r="A9">
        <v>7</v>
      </c>
      <c r="B9" t="s">
        <v>12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17" x14ac:dyDescent="0.25">
      <c r="A10">
        <v>8</v>
      </c>
      <c r="B10" t="s">
        <v>19</v>
      </c>
      <c r="C10">
        <f>'2.3.2'!F10</f>
        <v>25</v>
      </c>
      <c r="D10">
        <f>'2.3.1'!C10</f>
        <v>28.9</v>
      </c>
      <c r="E10">
        <f t="shared" si="0"/>
        <v>0</v>
      </c>
      <c r="F10">
        <f t="shared" si="1"/>
        <v>3.8999999999999986</v>
      </c>
      <c r="G10">
        <f t="shared" si="2"/>
        <v>25</v>
      </c>
    </row>
    <row r="11" spans="1:17" x14ac:dyDescent="0.25">
      <c r="A11">
        <v>9</v>
      </c>
      <c r="B11" t="s">
        <v>20</v>
      </c>
      <c r="C11">
        <f>'2.3.2'!F11</f>
        <v>20.5</v>
      </c>
      <c r="D11">
        <f>'2.3.1'!C11</f>
        <v>23.44</v>
      </c>
      <c r="E11">
        <f t="shared" si="0"/>
        <v>0</v>
      </c>
      <c r="F11">
        <f t="shared" si="1"/>
        <v>2.9400000000000013</v>
      </c>
      <c r="G11">
        <f t="shared" si="2"/>
        <v>20.5</v>
      </c>
    </row>
    <row r="12" spans="1:17" x14ac:dyDescent="0.25">
      <c r="A12">
        <v>10</v>
      </c>
      <c r="B12" t="s">
        <v>21</v>
      </c>
      <c r="C12">
        <f>'2.3.2'!F12</f>
        <v>11</v>
      </c>
      <c r="D12">
        <f>'2.3.1'!C12</f>
        <v>13.55</v>
      </c>
      <c r="E12">
        <f t="shared" si="0"/>
        <v>0</v>
      </c>
      <c r="F12">
        <f t="shared" si="1"/>
        <v>2.5500000000000007</v>
      </c>
      <c r="G12">
        <f t="shared" si="2"/>
        <v>11</v>
      </c>
    </row>
    <row r="13" spans="1:17" x14ac:dyDescent="0.25">
      <c r="A13">
        <v>11</v>
      </c>
      <c r="B13" t="s">
        <v>22</v>
      </c>
      <c r="C13">
        <f>'2.3.2'!F13</f>
        <v>14</v>
      </c>
      <c r="D13">
        <f>'2.3.1'!C13</f>
        <v>10.94</v>
      </c>
      <c r="E13">
        <f t="shared" si="0"/>
        <v>3.0600000000000005</v>
      </c>
      <c r="F13">
        <f t="shared" si="1"/>
        <v>0</v>
      </c>
      <c r="G13">
        <f t="shared" si="2"/>
        <v>10.94</v>
      </c>
    </row>
    <row r="14" spans="1:17" x14ac:dyDescent="0.25">
      <c r="A14">
        <v>12</v>
      </c>
      <c r="B14" t="s">
        <v>23</v>
      </c>
      <c r="C14">
        <f>'2.3.2'!F14</f>
        <v>19</v>
      </c>
      <c r="D14">
        <f>'2.3.1'!C14</f>
        <v>20.84</v>
      </c>
      <c r="E14">
        <f t="shared" ref="E14:E33" si="3">IF(C14-D14&gt;0,C14-D14,)</f>
        <v>0</v>
      </c>
      <c r="F14">
        <f t="shared" si="1"/>
        <v>1.8399999999999999</v>
      </c>
      <c r="G14">
        <f t="shared" si="2"/>
        <v>19</v>
      </c>
    </row>
    <row r="15" spans="1:17" x14ac:dyDescent="0.25">
      <c r="A15">
        <v>13</v>
      </c>
      <c r="B15" t="s">
        <v>11</v>
      </c>
      <c r="E15">
        <f t="shared" si="3"/>
        <v>0</v>
      </c>
      <c r="F15">
        <f t="shared" si="1"/>
        <v>0</v>
      </c>
      <c r="G15">
        <f t="shared" si="2"/>
        <v>0</v>
      </c>
    </row>
    <row r="16" spans="1:17" x14ac:dyDescent="0.25">
      <c r="A16">
        <v>14</v>
      </c>
      <c r="B16" t="s">
        <v>12</v>
      </c>
      <c r="E16">
        <f t="shared" si="3"/>
        <v>0</v>
      </c>
      <c r="F16">
        <f t="shared" si="1"/>
        <v>0</v>
      </c>
      <c r="G16">
        <f t="shared" si="2"/>
        <v>0</v>
      </c>
    </row>
    <row r="17" spans="1:7" x14ac:dyDescent="0.25">
      <c r="A17">
        <v>15</v>
      </c>
      <c r="B17" t="s">
        <v>19</v>
      </c>
      <c r="C17">
        <f>'2.3.2'!F17</f>
        <v>30</v>
      </c>
      <c r="D17">
        <f>'2.3.1'!C17</f>
        <v>18.11</v>
      </c>
      <c r="E17">
        <f t="shared" si="3"/>
        <v>11.89</v>
      </c>
      <c r="F17">
        <f t="shared" si="1"/>
        <v>0</v>
      </c>
      <c r="G17">
        <f t="shared" si="2"/>
        <v>18.11</v>
      </c>
    </row>
    <row r="18" spans="1:7" x14ac:dyDescent="0.25">
      <c r="A18">
        <v>16</v>
      </c>
      <c r="B18" t="s">
        <v>20</v>
      </c>
      <c r="C18">
        <f>'2.3.2'!F18</f>
        <v>23</v>
      </c>
      <c r="D18">
        <f>'2.3.1'!C18</f>
        <v>14.22</v>
      </c>
      <c r="E18">
        <f t="shared" si="3"/>
        <v>8.7799999999999994</v>
      </c>
      <c r="F18">
        <f t="shared" si="1"/>
        <v>0</v>
      </c>
      <c r="G18">
        <f t="shared" si="2"/>
        <v>14.22</v>
      </c>
    </row>
    <row r="19" spans="1:7" x14ac:dyDescent="0.25">
      <c r="A19">
        <v>17</v>
      </c>
      <c r="B19" t="s">
        <v>21</v>
      </c>
      <c r="C19">
        <f>'2.3.2'!F19</f>
        <v>11</v>
      </c>
      <c r="D19">
        <f>'2.3.1'!C19</f>
        <v>6.22</v>
      </c>
      <c r="E19">
        <f t="shared" si="3"/>
        <v>4.78</v>
      </c>
      <c r="F19">
        <f t="shared" si="1"/>
        <v>0</v>
      </c>
      <c r="G19">
        <f t="shared" si="2"/>
        <v>6.22</v>
      </c>
    </row>
    <row r="20" spans="1:7" x14ac:dyDescent="0.25">
      <c r="A20">
        <v>18</v>
      </c>
      <c r="B20" t="s">
        <v>22</v>
      </c>
      <c r="C20">
        <f>'2.3.2'!F20</f>
        <v>18.5</v>
      </c>
      <c r="D20">
        <f>'2.3.1'!C20</f>
        <v>4.34</v>
      </c>
      <c r="E20">
        <f t="shared" si="3"/>
        <v>14.16</v>
      </c>
      <c r="F20">
        <f t="shared" si="1"/>
        <v>0</v>
      </c>
      <c r="G20">
        <f t="shared" si="2"/>
        <v>4.34</v>
      </c>
    </row>
    <row r="21" spans="1:7" x14ac:dyDescent="0.25">
      <c r="A21">
        <v>19</v>
      </c>
      <c r="B21" t="s">
        <v>23</v>
      </c>
      <c r="C21">
        <f>'2.3.2'!F21</f>
        <v>22</v>
      </c>
      <c r="D21">
        <f>'2.3.1'!C21</f>
        <v>9</v>
      </c>
      <c r="E21">
        <f t="shared" si="3"/>
        <v>13</v>
      </c>
      <c r="F21">
        <f t="shared" si="1"/>
        <v>0</v>
      </c>
      <c r="G21">
        <f t="shared" si="2"/>
        <v>9</v>
      </c>
    </row>
    <row r="22" spans="1:7" x14ac:dyDescent="0.25">
      <c r="A22">
        <v>20</v>
      </c>
      <c r="B22" t="s">
        <v>11</v>
      </c>
      <c r="E22">
        <f t="shared" si="3"/>
        <v>0</v>
      </c>
      <c r="F22">
        <f t="shared" si="1"/>
        <v>0</v>
      </c>
      <c r="G22">
        <f t="shared" si="2"/>
        <v>0</v>
      </c>
    </row>
    <row r="23" spans="1:7" x14ac:dyDescent="0.25">
      <c r="A23">
        <v>21</v>
      </c>
      <c r="B23" t="s">
        <v>12</v>
      </c>
      <c r="E23">
        <f t="shared" si="3"/>
        <v>0</v>
      </c>
      <c r="F23">
        <f t="shared" si="1"/>
        <v>0</v>
      </c>
      <c r="G23">
        <f t="shared" si="2"/>
        <v>0</v>
      </c>
    </row>
    <row r="24" spans="1:7" x14ac:dyDescent="0.25">
      <c r="A24">
        <v>22</v>
      </c>
      <c r="B24" t="s">
        <v>19</v>
      </c>
      <c r="C24">
        <f>'2.3.2'!F24</f>
        <v>20.64</v>
      </c>
      <c r="D24">
        <f>'2.3.1'!C24</f>
        <v>36.119999999999997</v>
      </c>
      <c r="E24">
        <f t="shared" si="3"/>
        <v>0</v>
      </c>
      <c r="F24">
        <f t="shared" si="1"/>
        <v>15.479999999999997</v>
      </c>
      <c r="G24">
        <f t="shared" si="2"/>
        <v>20.64</v>
      </c>
    </row>
    <row r="25" spans="1:7" x14ac:dyDescent="0.25">
      <c r="A25">
        <v>23</v>
      </c>
      <c r="B25" t="s">
        <v>20</v>
      </c>
      <c r="C25">
        <f>'2.3.2'!F25</f>
        <v>15.690000000000001</v>
      </c>
      <c r="D25">
        <f>'2.3.1'!C25</f>
        <v>29.4</v>
      </c>
      <c r="E25">
        <f t="shared" si="3"/>
        <v>0</v>
      </c>
      <c r="F25">
        <f t="shared" si="1"/>
        <v>13.709999999999997</v>
      </c>
      <c r="G25">
        <f t="shared" si="2"/>
        <v>15.690000000000001</v>
      </c>
    </row>
    <row r="26" spans="1:7" x14ac:dyDescent="0.25">
      <c r="A26">
        <v>24</v>
      </c>
      <c r="B26" t="s">
        <v>21</v>
      </c>
      <c r="C26">
        <f>'2.3.2'!F26</f>
        <v>7.43</v>
      </c>
      <c r="D26">
        <f>'2.3.1'!C26</f>
        <v>16.940000000000001</v>
      </c>
      <c r="E26">
        <f t="shared" si="3"/>
        <v>0</v>
      </c>
      <c r="F26">
        <f t="shared" si="1"/>
        <v>9.5100000000000016</v>
      </c>
      <c r="G26">
        <f t="shared" si="2"/>
        <v>7.43</v>
      </c>
    </row>
    <row r="27" spans="1:7" x14ac:dyDescent="0.25">
      <c r="A27">
        <v>25</v>
      </c>
      <c r="B27" t="s">
        <v>22</v>
      </c>
      <c r="C27">
        <f>'2.3.2'!F27</f>
        <v>9.9</v>
      </c>
      <c r="D27">
        <f>'2.3.1'!C27</f>
        <v>13.87</v>
      </c>
      <c r="E27">
        <f t="shared" si="3"/>
        <v>0</v>
      </c>
      <c r="F27">
        <f t="shared" si="1"/>
        <v>3.9699999999999989</v>
      </c>
      <c r="G27">
        <f t="shared" si="2"/>
        <v>9.9</v>
      </c>
    </row>
    <row r="28" spans="1:7" x14ac:dyDescent="0.25">
      <c r="A28">
        <v>26</v>
      </c>
      <c r="B28" t="s">
        <v>23</v>
      </c>
      <c r="C28">
        <f>'2.3.2'!F28</f>
        <v>15.680000000000001</v>
      </c>
      <c r="D28">
        <f>'2.3.1'!C28</f>
        <v>26.05</v>
      </c>
      <c r="E28">
        <f t="shared" si="3"/>
        <v>0</v>
      </c>
      <c r="F28">
        <f t="shared" si="1"/>
        <v>10.37</v>
      </c>
      <c r="G28">
        <f t="shared" si="2"/>
        <v>15.680000000000001</v>
      </c>
    </row>
    <row r="29" spans="1:7" x14ac:dyDescent="0.25">
      <c r="A29">
        <v>27</v>
      </c>
      <c r="B29" t="s">
        <v>11</v>
      </c>
      <c r="E29">
        <f t="shared" si="3"/>
        <v>0</v>
      </c>
      <c r="F29">
        <f t="shared" si="1"/>
        <v>0</v>
      </c>
      <c r="G29">
        <f t="shared" si="2"/>
        <v>0</v>
      </c>
    </row>
    <row r="30" spans="1:7" x14ac:dyDescent="0.25">
      <c r="A30">
        <v>28</v>
      </c>
      <c r="B30" t="s">
        <v>12</v>
      </c>
      <c r="E30">
        <f t="shared" si="3"/>
        <v>0</v>
      </c>
      <c r="F30">
        <f t="shared" si="1"/>
        <v>0</v>
      </c>
      <c r="G30">
        <f t="shared" si="2"/>
        <v>0</v>
      </c>
    </row>
    <row r="31" spans="1:7" x14ac:dyDescent="0.25">
      <c r="A31">
        <v>29</v>
      </c>
      <c r="B31" t="s">
        <v>19</v>
      </c>
      <c r="C31">
        <f>'2.3.2'!F31</f>
        <v>30</v>
      </c>
      <c r="D31">
        <f>'2.3.1'!C31</f>
        <v>43.34</v>
      </c>
      <c r="E31">
        <f t="shared" si="3"/>
        <v>0</v>
      </c>
      <c r="F31">
        <f t="shared" si="1"/>
        <v>13.340000000000003</v>
      </c>
      <c r="G31">
        <f t="shared" si="2"/>
        <v>30</v>
      </c>
    </row>
    <row r="32" spans="1:7" x14ac:dyDescent="0.25">
      <c r="A32">
        <v>30</v>
      </c>
      <c r="B32" t="s">
        <v>20</v>
      </c>
      <c r="C32">
        <f>'2.3.2'!F32</f>
        <v>21</v>
      </c>
      <c r="D32">
        <f>'2.3.1'!C32</f>
        <v>35.159999999999997</v>
      </c>
      <c r="E32">
        <f t="shared" si="3"/>
        <v>0</v>
      </c>
      <c r="F32">
        <f t="shared" si="1"/>
        <v>14.159999999999997</v>
      </c>
      <c r="G32">
        <f t="shared" si="2"/>
        <v>21</v>
      </c>
    </row>
    <row r="33" spans="1:7" x14ac:dyDescent="0.25">
      <c r="A33">
        <v>31</v>
      </c>
      <c r="B33" t="s">
        <v>21</v>
      </c>
      <c r="C33">
        <f>'2.3.2'!F33</f>
        <v>10</v>
      </c>
      <c r="D33">
        <f>'2.3.1'!C33</f>
        <v>20.329999999999998</v>
      </c>
      <c r="E33">
        <f t="shared" si="3"/>
        <v>0</v>
      </c>
      <c r="F33">
        <f t="shared" si="1"/>
        <v>10.329999999999998</v>
      </c>
      <c r="G33">
        <f t="shared" si="2"/>
        <v>10</v>
      </c>
    </row>
    <row r="101" spans="4:6" x14ac:dyDescent="0.25">
      <c r="D101" t="s">
        <v>38</v>
      </c>
      <c r="E101" t="s">
        <v>39</v>
      </c>
      <c r="F101" t="s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opLeftCell="A135" zoomScale="80" zoomScaleNormal="80" workbookViewId="0">
      <selection activeCell="H226" sqref="H226"/>
    </sheetView>
  </sheetViews>
  <sheetFormatPr baseColWidth="10" defaultRowHeight="15" x14ac:dyDescent="0.25"/>
  <cols>
    <col min="8" max="8" width="11.42578125" customWidth="1"/>
    <col min="9" max="9" width="1" customWidth="1"/>
    <col min="11" max="11" width="0.85546875" customWidth="1"/>
    <col min="13" max="13" width="0.85546875" customWidth="1"/>
    <col min="15" max="15" width="0.85546875" customWidth="1"/>
    <col min="17" max="17" width="0.85546875" customWidth="1"/>
    <col min="18" max="18" width="11.42578125" customWidth="1"/>
    <col min="19" max="19" width="0.85546875" customWidth="1"/>
  </cols>
  <sheetData>
    <row r="1" spans="1:23" x14ac:dyDescent="0.25">
      <c r="A1" s="2" t="s">
        <v>31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3" spans="1:23" x14ac:dyDescent="0.25">
      <c r="D3" s="415" t="s">
        <v>55</v>
      </c>
      <c r="E3" s="415"/>
      <c r="F3" s="415"/>
      <c r="G3" s="71">
        <v>0.8</v>
      </c>
    </row>
    <row r="4" spans="1:23" ht="15.75" thickBot="1" x14ac:dyDescent="0.3"/>
    <row r="5" spans="1:23" ht="51.75" thickBot="1" x14ac:dyDescent="0.3">
      <c r="B5" s="17"/>
      <c r="C5" s="18"/>
      <c r="D5" s="19" t="s">
        <v>40</v>
      </c>
      <c r="E5" s="20" t="s">
        <v>41</v>
      </c>
      <c r="F5" s="21" t="s">
        <v>42</v>
      </c>
      <c r="G5" s="22" t="s">
        <v>43</v>
      </c>
      <c r="H5" s="23" t="s">
        <v>44</v>
      </c>
      <c r="I5" s="24"/>
      <c r="J5" s="25" t="s">
        <v>45</v>
      </c>
      <c r="K5" s="26"/>
      <c r="L5" s="27" t="s">
        <v>46</v>
      </c>
      <c r="M5" s="26"/>
      <c r="N5" s="28" t="s">
        <v>47</v>
      </c>
      <c r="O5" s="26"/>
      <c r="P5" s="29" t="s">
        <v>48</v>
      </c>
      <c r="Q5" s="24"/>
      <c r="R5" s="30" t="s">
        <v>49</v>
      </c>
      <c r="S5" s="26"/>
      <c r="T5" s="70" t="s">
        <v>50</v>
      </c>
      <c r="U5" s="31" t="s">
        <v>51</v>
      </c>
      <c r="V5" s="32" t="s">
        <v>52</v>
      </c>
      <c r="W5" s="32"/>
    </row>
    <row r="6" spans="1:23" ht="4.5" customHeight="1" x14ac:dyDescent="0.25">
      <c r="B6" s="33"/>
      <c r="C6" s="34"/>
      <c r="D6" s="35"/>
      <c r="E6" s="35"/>
      <c r="F6" s="35"/>
      <c r="G6" s="35"/>
      <c r="H6" s="34"/>
      <c r="I6" s="34"/>
      <c r="J6" s="34"/>
      <c r="K6" s="34"/>
      <c r="L6" s="34"/>
      <c r="M6" s="34"/>
      <c r="N6" s="34"/>
      <c r="O6" s="34"/>
      <c r="P6" s="34"/>
      <c r="Q6" s="34"/>
      <c r="R6" s="36"/>
      <c r="S6" s="34"/>
      <c r="T6" s="34"/>
      <c r="U6" s="34"/>
      <c r="V6" s="37"/>
      <c r="W6" s="37"/>
    </row>
    <row r="7" spans="1:23" x14ac:dyDescent="0.25">
      <c r="B7" s="38" t="s">
        <v>19</v>
      </c>
      <c r="C7" s="39">
        <v>1</v>
      </c>
      <c r="D7" s="40">
        <v>18.11</v>
      </c>
      <c r="E7" s="41">
        <v>39</v>
      </c>
      <c r="F7" s="42">
        <f>E7*TC</f>
        <v>31.200000000000003</v>
      </c>
      <c r="G7" s="43">
        <f>E7*(1-TC)</f>
        <v>7.799999999999998</v>
      </c>
      <c r="H7" s="44">
        <f>IF(E7&gt;D7,D7,E7)</f>
        <v>18.11</v>
      </c>
      <c r="I7" s="34"/>
      <c r="J7" s="45">
        <f>IF(E7&gt;D7,0,D7-E7)</f>
        <v>0</v>
      </c>
      <c r="K7" s="46"/>
      <c r="L7" s="47">
        <f>IF(E7&gt;D7,IF(F7&gt;H7,0,H7-F7),G7)</f>
        <v>0</v>
      </c>
      <c r="M7" s="46"/>
      <c r="N7" s="48">
        <f>IF(E7&gt;D7,IF(F7&gt;H7,F7-H7,0),0)</f>
        <v>13.090000000000003</v>
      </c>
      <c r="O7" s="46"/>
      <c r="P7" s="49">
        <f>IF(E7&gt;D7,IF(F7&gt;H7,G7,E7-H7),0)</f>
        <v>7.799999999999998</v>
      </c>
      <c r="Q7" s="34"/>
      <c r="R7" s="50">
        <f>H7-L7</f>
        <v>18.11</v>
      </c>
      <c r="S7" s="46"/>
      <c r="T7" s="72">
        <f>L7+N7+P7</f>
        <v>20.89</v>
      </c>
      <c r="U7" s="51">
        <f>J7+L7</f>
        <v>0</v>
      </c>
      <c r="V7" s="37" t="str">
        <f>IF(R7+T7=E7,"ok","bad")</f>
        <v>ok</v>
      </c>
      <c r="W7" s="37" t="str">
        <f>IF(U7+R7=D7,"ok","bad")</f>
        <v>ok</v>
      </c>
    </row>
    <row r="8" spans="1:23" x14ac:dyDescent="0.25">
      <c r="B8" s="38" t="s">
        <v>20</v>
      </c>
      <c r="C8" s="39">
        <v>2</v>
      </c>
      <c r="D8" s="40">
        <v>14.22</v>
      </c>
      <c r="E8" s="41">
        <v>28.6</v>
      </c>
      <c r="F8" s="42">
        <f>E8*TC</f>
        <v>22.880000000000003</v>
      </c>
      <c r="G8" s="43">
        <f>E8*(1-TC)</f>
        <v>5.7199999999999989</v>
      </c>
      <c r="H8" s="44">
        <f t="shared" ref="H8:H37" si="0">IF(E8&gt;D8,D8,E8)</f>
        <v>14.22</v>
      </c>
      <c r="I8" s="34"/>
      <c r="J8" s="45">
        <f t="shared" ref="J8:J37" si="1">IF(E8&gt;D8,0,D8-E8)</f>
        <v>0</v>
      </c>
      <c r="K8" s="46"/>
      <c r="L8" s="47">
        <f t="shared" ref="L8:L37" si="2">IF(E8&gt;D8,IF(F8&gt;H8,0,H8-F8),G8)</f>
        <v>0</v>
      </c>
      <c r="M8" s="46"/>
      <c r="N8" s="48">
        <f t="shared" ref="N8:N37" si="3">IF(E8&gt;D8,IF(F8&gt;H8,F8-H8,0),0)</f>
        <v>8.6600000000000019</v>
      </c>
      <c r="O8" s="46"/>
      <c r="P8" s="49">
        <f t="shared" ref="P8:P37" si="4">IF(E8&gt;D8,IF(F8&gt;H8,G8,E8-H8),0)</f>
        <v>5.7199999999999989</v>
      </c>
      <c r="Q8" s="34"/>
      <c r="R8" s="50">
        <f t="shared" ref="R8:R37" si="5">H8-L8</f>
        <v>14.22</v>
      </c>
      <c r="S8" s="46"/>
      <c r="T8" s="72">
        <f t="shared" ref="T8:T37" si="6">L8+N8+P8</f>
        <v>14.38</v>
      </c>
      <c r="U8" s="51">
        <f t="shared" ref="U8:U37" si="7">J8+L8</f>
        <v>0</v>
      </c>
      <c r="V8" s="37" t="str">
        <f t="shared" ref="V8:V39" si="8">IF(R8+T8=E8,"ok","bad")</f>
        <v>ok</v>
      </c>
      <c r="W8" s="37" t="str">
        <f t="shared" ref="W8:W39" si="9">IF(U8+R8=D8,"ok","bad")</f>
        <v>ok</v>
      </c>
    </row>
    <row r="9" spans="1:23" x14ac:dyDescent="0.25">
      <c r="B9" s="38" t="s">
        <v>21</v>
      </c>
      <c r="C9" s="39">
        <v>3</v>
      </c>
      <c r="D9" s="40">
        <v>6.22</v>
      </c>
      <c r="E9" s="41">
        <v>11.7</v>
      </c>
      <c r="F9" s="42">
        <f>E9*TC</f>
        <v>9.36</v>
      </c>
      <c r="G9" s="43">
        <f>E9*(1-TC)</f>
        <v>2.3399999999999994</v>
      </c>
      <c r="H9" s="44">
        <f t="shared" si="0"/>
        <v>6.22</v>
      </c>
      <c r="I9" s="34"/>
      <c r="J9" s="45">
        <f t="shared" si="1"/>
        <v>0</v>
      </c>
      <c r="K9" s="46"/>
      <c r="L9" s="47">
        <f t="shared" si="2"/>
        <v>0</v>
      </c>
      <c r="M9" s="46"/>
      <c r="N9" s="48">
        <f t="shared" si="3"/>
        <v>3.1399999999999997</v>
      </c>
      <c r="O9" s="46"/>
      <c r="P9" s="49">
        <f t="shared" si="4"/>
        <v>2.3399999999999994</v>
      </c>
      <c r="Q9" s="34"/>
      <c r="R9" s="50">
        <f t="shared" si="5"/>
        <v>6.22</v>
      </c>
      <c r="S9" s="46"/>
      <c r="T9" s="72">
        <f t="shared" si="6"/>
        <v>5.4799999999999986</v>
      </c>
      <c r="U9" s="51">
        <f t="shared" si="7"/>
        <v>0</v>
      </c>
      <c r="V9" s="37" t="str">
        <f t="shared" si="8"/>
        <v>ok</v>
      </c>
      <c r="W9" s="37" t="str">
        <f t="shared" si="9"/>
        <v>ok</v>
      </c>
    </row>
    <row r="10" spans="1:23" x14ac:dyDescent="0.25">
      <c r="B10" s="38" t="s">
        <v>22</v>
      </c>
      <c r="C10" s="39">
        <v>4</v>
      </c>
      <c r="D10" s="40">
        <v>4.34</v>
      </c>
      <c r="E10" s="41">
        <v>17.55</v>
      </c>
      <c r="F10" s="42">
        <f>E10*TC</f>
        <v>14.040000000000001</v>
      </c>
      <c r="G10" s="43">
        <f>E10*(1-TC)</f>
        <v>3.5099999999999993</v>
      </c>
      <c r="H10" s="44">
        <f t="shared" si="0"/>
        <v>4.34</v>
      </c>
      <c r="I10" s="34"/>
      <c r="J10" s="45">
        <f t="shared" si="1"/>
        <v>0</v>
      </c>
      <c r="K10" s="46"/>
      <c r="L10" s="47">
        <f t="shared" si="2"/>
        <v>0</v>
      </c>
      <c r="M10" s="46"/>
      <c r="N10" s="48">
        <f t="shared" si="3"/>
        <v>9.7000000000000011</v>
      </c>
      <c r="O10" s="46"/>
      <c r="P10" s="49">
        <f t="shared" si="4"/>
        <v>3.5099999999999993</v>
      </c>
      <c r="Q10" s="34"/>
      <c r="R10" s="50">
        <f t="shared" si="5"/>
        <v>4.34</v>
      </c>
      <c r="S10" s="46"/>
      <c r="T10" s="72">
        <f t="shared" si="6"/>
        <v>13.21</v>
      </c>
      <c r="U10" s="51">
        <f t="shared" si="7"/>
        <v>0</v>
      </c>
      <c r="V10" s="37" t="str">
        <f t="shared" si="8"/>
        <v>ok</v>
      </c>
      <c r="W10" s="37" t="str">
        <f t="shared" si="9"/>
        <v>ok</v>
      </c>
    </row>
    <row r="11" spans="1:23" x14ac:dyDescent="0.25">
      <c r="B11" s="38" t="s">
        <v>23</v>
      </c>
      <c r="C11" s="39">
        <v>5</v>
      </c>
      <c r="D11" s="40">
        <v>9</v>
      </c>
      <c r="E11" s="41">
        <v>28.6</v>
      </c>
      <c r="F11" s="42">
        <f>E11*TC</f>
        <v>22.880000000000003</v>
      </c>
      <c r="G11" s="43">
        <f>E11*(1-TC)</f>
        <v>5.7199999999999989</v>
      </c>
      <c r="H11" s="44">
        <f t="shared" si="0"/>
        <v>9</v>
      </c>
      <c r="I11" s="34"/>
      <c r="J11" s="45">
        <f t="shared" si="1"/>
        <v>0</v>
      </c>
      <c r="K11" s="46"/>
      <c r="L11" s="47">
        <f t="shared" si="2"/>
        <v>0</v>
      </c>
      <c r="M11" s="46"/>
      <c r="N11" s="48">
        <f t="shared" si="3"/>
        <v>13.880000000000003</v>
      </c>
      <c r="O11" s="46"/>
      <c r="P11" s="49">
        <f t="shared" si="4"/>
        <v>5.7199999999999989</v>
      </c>
      <c r="Q11" s="34"/>
      <c r="R11" s="50">
        <f t="shared" si="5"/>
        <v>9</v>
      </c>
      <c r="S11" s="46"/>
      <c r="T11" s="72">
        <f t="shared" si="6"/>
        <v>19.600000000000001</v>
      </c>
      <c r="U11" s="51">
        <f t="shared" si="7"/>
        <v>0</v>
      </c>
      <c r="V11" s="37" t="str">
        <f t="shared" si="8"/>
        <v>ok</v>
      </c>
      <c r="W11" s="37" t="str">
        <f t="shared" si="9"/>
        <v>ok</v>
      </c>
    </row>
    <row r="12" spans="1:23" x14ac:dyDescent="0.25">
      <c r="B12" s="52" t="s">
        <v>11</v>
      </c>
      <c r="C12" s="53">
        <v>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37"/>
      <c r="W12" s="37"/>
    </row>
    <row r="13" spans="1:23" x14ac:dyDescent="0.25">
      <c r="B13" s="52" t="s">
        <v>12</v>
      </c>
      <c r="C13" s="53">
        <v>7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37"/>
      <c r="W13" s="37"/>
    </row>
    <row r="14" spans="1:23" x14ac:dyDescent="0.25">
      <c r="B14" s="38" t="s">
        <v>19</v>
      </c>
      <c r="C14" s="39">
        <v>8</v>
      </c>
      <c r="D14" s="40">
        <v>28.9</v>
      </c>
      <c r="E14" s="41">
        <v>20</v>
      </c>
      <c r="F14" s="42">
        <f>E14*TC</f>
        <v>16</v>
      </c>
      <c r="G14" s="43">
        <f>E14*(1-TC)</f>
        <v>3.9999999999999991</v>
      </c>
      <c r="H14" s="44">
        <f t="shared" si="0"/>
        <v>20</v>
      </c>
      <c r="I14" s="34"/>
      <c r="J14" s="45">
        <f t="shared" si="1"/>
        <v>8.8999999999999986</v>
      </c>
      <c r="K14" s="46"/>
      <c r="L14" s="47">
        <f t="shared" si="2"/>
        <v>3.9999999999999991</v>
      </c>
      <c r="M14" s="46"/>
      <c r="N14" s="48">
        <f t="shared" si="3"/>
        <v>0</v>
      </c>
      <c r="O14" s="46"/>
      <c r="P14" s="49">
        <f t="shared" si="4"/>
        <v>0</v>
      </c>
      <c r="Q14" s="34"/>
      <c r="R14" s="50">
        <f t="shared" si="5"/>
        <v>16</v>
      </c>
      <c r="S14" s="46"/>
      <c r="T14" s="72">
        <f t="shared" si="6"/>
        <v>3.9999999999999991</v>
      </c>
      <c r="U14" s="51">
        <f t="shared" si="7"/>
        <v>12.899999999999999</v>
      </c>
      <c r="V14" s="37" t="str">
        <f t="shared" si="8"/>
        <v>ok</v>
      </c>
      <c r="W14" s="37" t="str">
        <f t="shared" si="9"/>
        <v>ok</v>
      </c>
    </row>
    <row r="15" spans="1:23" x14ac:dyDescent="0.25">
      <c r="B15" s="38" t="s">
        <v>20</v>
      </c>
      <c r="C15" s="39">
        <v>9</v>
      </c>
      <c r="D15" s="40">
        <v>23.44</v>
      </c>
      <c r="E15" s="41">
        <v>20.5</v>
      </c>
      <c r="F15" s="42">
        <f>E15*TC</f>
        <v>16.400000000000002</v>
      </c>
      <c r="G15" s="43">
        <f>E15*(1-TC)</f>
        <v>4.0999999999999988</v>
      </c>
      <c r="H15" s="44">
        <f t="shared" si="0"/>
        <v>20.5</v>
      </c>
      <c r="I15" s="34"/>
      <c r="J15" s="45">
        <f t="shared" si="1"/>
        <v>2.9400000000000013</v>
      </c>
      <c r="K15" s="46"/>
      <c r="L15" s="47">
        <f t="shared" si="2"/>
        <v>4.0999999999999988</v>
      </c>
      <c r="M15" s="46"/>
      <c r="N15" s="48">
        <f t="shared" si="3"/>
        <v>0</v>
      </c>
      <c r="O15" s="46"/>
      <c r="P15" s="49">
        <f t="shared" si="4"/>
        <v>0</v>
      </c>
      <c r="Q15" s="34"/>
      <c r="R15" s="50">
        <f t="shared" si="5"/>
        <v>16.400000000000002</v>
      </c>
      <c r="S15" s="46"/>
      <c r="T15" s="72">
        <f t="shared" si="6"/>
        <v>4.0999999999999988</v>
      </c>
      <c r="U15" s="51">
        <f t="shared" si="7"/>
        <v>7.04</v>
      </c>
      <c r="V15" s="37" t="str">
        <f t="shared" si="8"/>
        <v>ok</v>
      </c>
      <c r="W15" s="37" t="str">
        <f t="shared" si="9"/>
        <v>ok</v>
      </c>
    </row>
    <row r="16" spans="1:23" x14ac:dyDescent="0.25">
      <c r="B16" s="38" t="s">
        <v>21</v>
      </c>
      <c r="C16" s="39">
        <v>10</v>
      </c>
      <c r="D16" s="40">
        <v>13.55</v>
      </c>
      <c r="E16" s="41">
        <v>11</v>
      </c>
      <c r="F16" s="42">
        <f>E16*TC</f>
        <v>8.8000000000000007</v>
      </c>
      <c r="G16" s="43">
        <f>E16*(1-TC)</f>
        <v>2.1999999999999993</v>
      </c>
      <c r="H16" s="44">
        <f t="shared" si="0"/>
        <v>11</v>
      </c>
      <c r="I16" s="34"/>
      <c r="J16" s="45">
        <f t="shared" si="1"/>
        <v>2.5500000000000007</v>
      </c>
      <c r="K16" s="46"/>
      <c r="L16" s="47">
        <f t="shared" si="2"/>
        <v>2.1999999999999993</v>
      </c>
      <c r="M16" s="46"/>
      <c r="N16" s="48">
        <f t="shared" si="3"/>
        <v>0</v>
      </c>
      <c r="O16" s="46"/>
      <c r="P16" s="49">
        <f t="shared" si="4"/>
        <v>0</v>
      </c>
      <c r="Q16" s="34"/>
      <c r="R16" s="50">
        <f t="shared" si="5"/>
        <v>8.8000000000000007</v>
      </c>
      <c r="S16" s="46"/>
      <c r="T16" s="72">
        <f t="shared" si="6"/>
        <v>2.1999999999999993</v>
      </c>
      <c r="U16" s="51">
        <f t="shared" si="7"/>
        <v>4.75</v>
      </c>
      <c r="V16" s="37" t="str">
        <f t="shared" si="8"/>
        <v>ok</v>
      </c>
      <c r="W16" s="37" t="str">
        <f t="shared" si="9"/>
        <v>ok</v>
      </c>
    </row>
    <row r="17" spans="2:23" x14ac:dyDescent="0.25">
      <c r="B17" s="38" t="s">
        <v>22</v>
      </c>
      <c r="C17" s="39">
        <v>11</v>
      </c>
      <c r="D17" s="40">
        <v>10.94</v>
      </c>
      <c r="E17" s="41">
        <v>14</v>
      </c>
      <c r="F17" s="42">
        <f>E17*TC</f>
        <v>11.200000000000001</v>
      </c>
      <c r="G17" s="43">
        <f>E17*(1-TC)</f>
        <v>2.7999999999999994</v>
      </c>
      <c r="H17" s="44">
        <f t="shared" si="0"/>
        <v>10.94</v>
      </c>
      <c r="I17" s="34"/>
      <c r="J17" s="45">
        <f t="shared" si="1"/>
        <v>0</v>
      </c>
      <c r="K17" s="46"/>
      <c r="L17" s="47">
        <f t="shared" si="2"/>
        <v>0</v>
      </c>
      <c r="M17" s="46"/>
      <c r="N17" s="48">
        <f t="shared" si="3"/>
        <v>0.26000000000000156</v>
      </c>
      <c r="O17" s="46"/>
      <c r="P17" s="49">
        <f t="shared" si="4"/>
        <v>2.7999999999999994</v>
      </c>
      <c r="Q17" s="34"/>
      <c r="R17" s="50">
        <f t="shared" si="5"/>
        <v>10.94</v>
      </c>
      <c r="S17" s="46"/>
      <c r="T17" s="72">
        <f t="shared" si="6"/>
        <v>3.0600000000000009</v>
      </c>
      <c r="U17" s="51">
        <f t="shared" si="7"/>
        <v>0</v>
      </c>
      <c r="V17" s="37" t="str">
        <f t="shared" si="8"/>
        <v>ok</v>
      </c>
      <c r="W17" s="37" t="str">
        <f t="shared" si="9"/>
        <v>ok</v>
      </c>
    </row>
    <row r="18" spans="2:23" x14ac:dyDescent="0.25">
      <c r="B18" s="38" t="s">
        <v>23</v>
      </c>
      <c r="C18" s="39">
        <v>12</v>
      </c>
      <c r="D18" s="40">
        <v>20.84</v>
      </c>
      <c r="E18" s="41">
        <v>19</v>
      </c>
      <c r="F18" s="42">
        <f>E18*TC</f>
        <v>15.200000000000001</v>
      </c>
      <c r="G18" s="43">
        <f>E18*(1-TC)</f>
        <v>3.7999999999999989</v>
      </c>
      <c r="H18" s="44">
        <f t="shared" si="0"/>
        <v>19</v>
      </c>
      <c r="I18" s="34"/>
      <c r="J18" s="45">
        <f t="shared" si="1"/>
        <v>1.8399999999999999</v>
      </c>
      <c r="K18" s="46"/>
      <c r="L18" s="47">
        <f t="shared" si="2"/>
        <v>3.7999999999999989</v>
      </c>
      <c r="M18" s="46"/>
      <c r="N18" s="48">
        <f t="shared" si="3"/>
        <v>0</v>
      </c>
      <c r="O18" s="46"/>
      <c r="P18" s="49">
        <f t="shared" si="4"/>
        <v>0</v>
      </c>
      <c r="Q18" s="34"/>
      <c r="R18" s="50">
        <f t="shared" si="5"/>
        <v>15.200000000000001</v>
      </c>
      <c r="S18" s="46"/>
      <c r="T18" s="72">
        <f t="shared" si="6"/>
        <v>3.7999999999999989</v>
      </c>
      <c r="U18" s="51">
        <f t="shared" si="7"/>
        <v>5.6399999999999988</v>
      </c>
      <c r="V18" s="37" t="str">
        <f t="shared" si="8"/>
        <v>ok</v>
      </c>
      <c r="W18" s="37" t="str">
        <f t="shared" si="9"/>
        <v>ok</v>
      </c>
    </row>
    <row r="19" spans="2:23" x14ac:dyDescent="0.25">
      <c r="B19" s="52" t="s">
        <v>11</v>
      </c>
      <c r="C19" s="53">
        <v>13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37"/>
      <c r="W19" s="37"/>
    </row>
    <row r="20" spans="2:23" x14ac:dyDescent="0.25">
      <c r="B20" s="52" t="s">
        <v>12</v>
      </c>
      <c r="C20" s="53">
        <v>14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37"/>
      <c r="W20" s="37"/>
    </row>
    <row r="21" spans="2:23" x14ac:dyDescent="0.25">
      <c r="B21" s="38" t="s">
        <v>19</v>
      </c>
      <c r="C21" s="39">
        <v>15</v>
      </c>
      <c r="D21" s="40">
        <v>18.11</v>
      </c>
      <c r="E21" s="41">
        <v>30</v>
      </c>
      <c r="F21" s="42">
        <f>E21*TC</f>
        <v>24</v>
      </c>
      <c r="G21" s="43">
        <f>E21*(1-TC)</f>
        <v>5.9999999999999982</v>
      </c>
      <c r="H21" s="44">
        <f t="shared" si="0"/>
        <v>18.11</v>
      </c>
      <c r="I21" s="34"/>
      <c r="J21" s="45">
        <f t="shared" si="1"/>
        <v>0</v>
      </c>
      <c r="K21" s="46"/>
      <c r="L21" s="47">
        <f t="shared" si="2"/>
        <v>0</v>
      </c>
      <c r="M21" s="46"/>
      <c r="N21" s="48">
        <f t="shared" si="3"/>
        <v>5.8900000000000006</v>
      </c>
      <c r="O21" s="46"/>
      <c r="P21" s="49">
        <f t="shared" si="4"/>
        <v>5.9999999999999982</v>
      </c>
      <c r="Q21" s="34"/>
      <c r="R21" s="50">
        <f t="shared" si="5"/>
        <v>18.11</v>
      </c>
      <c r="S21" s="46"/>
      <c r="T21" s="72">
        <f t="shared" si="6"/>
        <v>11.889999999999999</v>
      </c>
      <c r="U21" s="51">
        <f t="shared" si="7"/>
        <v>0</v>
      </c>
      <c r="V21" s="37" t="str">
        <f t="shared" si="8"/>
        <v>ok</v>
      </c>
      <c r="W21" s="37" t="str">
        <f t="shared" si="9"/>
        <v>ok</v>
      </c>
    </row>
    <row r="22" spans="2:23" x14ac:dyDescent="0.25">
      <c r="B22" s="38" t="s">
        <v>20</v>
      </c>
      <c r="C22" s="39">
        <v>16</v>
      </c>
      <c r="D22" s="40">
        <v>14.22</v>
      </c>
      <c r="E22" s="41">
        <v>23</v>
      </c>
      <c r="F22" s="42">
        <f>E22*TC</f>
        <v>18.400000000000002</v>
      </c>
      <c r="G22" s="43">
        <f>E22*(1-TC)</f>
        <v>4.5999999999999988</v>
      </c>
      <c r="H22" s="44">
        <f t="shared" si="0"/>
        <v>14.22</v>
      </c>
      <c r="I22" s="34"/>
      <c r="J22" s="45">
        <f t="shared" si="1"/>
        <v>0</v>
      </c>
      <c r="K22" s="46"/>
      <c r="L22" s="47">
        <f t="shared" si="2"/>
        <v>0</v>
      </c>
      <c r="M22" s="46"/>
      <c r="N22" s="48">
        <f t="shared" si="3"/>
        <v>4.1800000000000015</v>
      </c>
      <c r="O22" s="46"/>
      <c r="P22" s="49">
        <f t="shared" si="4"/>
        <v>4.5999999999999988</v>
      </c>
      <c r="Q22" s="34"/>
      <c r="R22" s="50">
        <f t="shared" si="5"/>
        <v>14.22</v>
      </c>
      <c r="S22" s="46"/>
      <c r="T22" s="72">
        <f t="shared" si="6"/>
        <v>8.7800000000000011</v>
      </c>
      <c r="U22" s="51">
        <f t="shared" si="7"/>
        <v>0</v>
      </c>
      <c r="V22" s="37" t="str">
        <f t="shared" si="8"/>
        <v>ok</v>
      </c>
      <c r="W22" s="37" t="str">
        <f t="shared" si="9"/>
        <v>ok</v>
      </c>
    </row>
    <row r="23" spans="2:23" x14ac:dyDescent="0.25">
      <c r="B23" s="38" t="s">
        <v>21</v>
      </c>
      <c r="C23" s="39">
        <v>17</v>
      </c>
      <c r="D23" s="40">
        <v>6.22</v>
      </c>
      <c r="E23" s="41">
        <v>11</v>
      </c>
      <c r="F23" s="42">
        <f>E23*TC</f>
        <v>8.8000000000000007</v>
      </c>
      <c r="G23" s="43">
        <f>E23*(1-TC)</f>
        <v>2.1999999999999993</v>
      </c>
      <c r="H23" s="44">
        <f t="shared" si="0"/>
        <v>6.22</v>
      </c>
      <c r="I23" s="34"/>
      <c r="J23" s="45">
        <f t="shared" si="1"/>
        <v>0</v>
      </c>
      <c r="K23" s="46"/>
      <c r="L23" s="47">
        <f t="shared" si="2"/>
        <v>0</v>
      </c>
      <c r="M23" s="46"/>
      <c r="N23" s="48">
        <f t="shared" si="3"/>
        <v>2.580000000000001</v>
      </c>
      <c r="O23" s="46"/>
      <c r="P23" s="49">
        <f t="shared" si="4"/>
        <v>2.1999999999999993</v>
      </c>
      <c r="Q23" s="34"/>
      <c r="R23" s="50">
        <f t="shared" si="5"/>
        <v>6.22</v>
      </c>
      <c r="S23" s="46"/>
      <c r="T23" s="72">
        <f t="shared" si="6"/>
        <v>4.78</v>
      </c>
      <c r="U23" s="51">
        <f t="shared" si="7"/>
        <v>0</v>
      </c>
      <c r="V23" s="37" t="str">
        <f t="shared" si="8"/>
        <v>ok</v>
      </c>
      <c r="W23" s="37" t="str">
        <f t="shared" si="9"/>
        <v>ok</v>
      </c>
    </row>
    <row r="24" spans="2:23" x14ac:dyDescent="0.25">
      <c r="B24" s="38" t="s">
        <v>22</v>
      </c>
      <c r="C24" s="39">
        <v>18</v>
      </c>
      <c r="D24" s="40">
        <v>4.34</v>
      </c>
      <c r="E24" s="41">
        <v>18.5</v>
      </c>
      <c r="F24" s="42">
        <f>E24*TC</f>
        <v>14.8</v>
      </c>
      <c r="G24" s="43">
        <f>E24*(1-TC)</f>
        <v>3.6999999999999993</v>
      </c>
      <c r="H24" s="44">
        <f t="shared" si="0"/>
        <v>4.34</v>
      </c>
      <c r="I24" s="34"/>
      <c r="J24" s="45">
        <f t="shared" si="1"/>
        <v>0</v>
      </c>
      <c r="K24" s="46"/>
      <c r="L24" s="47">
        <f t="shared" si="2"/>
        <v>0</v>
      </c>
      <c r="M24" s="46"/>
      <c r="N24" s="48">
        <f t="shared" si="3"/>
        <v>10.46</v>
      </c>
      <c r="O24" s="46"/>
      <c r="P24" s="49">
        <f t="shared" si="4"/>
        <v>3.6999999999999993</v>
      </c>
      <c r="Q24" s="34"/>
      <c r="R24" s="50">
        <f t="shared" si="5"/>
        <v>4.34</v>
      </c>
      <c r="S24" s="46"/>
      <c r="T24" s="72">
        <f t="shared" si="6"/>
        <v>14.16</v>
      </c>
      <c r="U24" s="51">
        <f t="shared" si="7"/>
        <v>0</v>
      </c>
      <c r="V24" s="37" t="str">
        <f t="shared" si="8"/>
        <v>ok</v>
      </c>
      <c r="W24" s="37" t="str">
        <f t="shared" si="9"/>
        <v>ok</v>
      </c>
    </row>
    <row r="25" spans="2:23" x14ac:dyDescent="0.25">
      <c r="B25" s="38" t="s">
        <v>23</v>
      </c>
      <c r="C25" s="39">
        <v>19</v>
      </c>
      <c r="D25" s="40">
        <v>9</v>
      </c>
      <c r="E25" s="41">
        <v>22</v>
      </c>
      <c r="F25" s="42">
        <f>E25*TC</f>
        <v>17.600000000000001</v>
      </c>
      <c r="G25" s="43">
        <f>E25*(1-TC)</f>
        <v>4.3999999999999986</v>
      </c>
      <c r="H25" s="44">
        <f t="shared" si="0"/>
        <v>9</v>
      </c>
      <c r="I25" s="34"/>
      <c r="J25" s="45">
        <f t="shared" si="1"/>
        <v>0</v>
      </c>
      <c r="K25" s="46"/>
      <c r="L25" s="47">
        <f t="shared" si="2"/>
        <v>0</v>
      </c>
      <c r="M25" s="46"/>
      <c r="N25" s="48">
        <f t="shared" si="3"/>
        <v>8.6000000000000014</v>
      </c>
      <c r="O25" s="46"/>
      <c r="P25" s="49">
        <f t="shared" si="4"/>
        <v>4.3999999999999986</v>
      </c>
      <c r="Q25" s="34"/>
      <c r="R25" s="50">
        <f t="shared" si="5"/>
        <v>9</v>
      </c>
      <c r="S25" s="46"/>
      <c r="T25" s="72">
        <f t="shared" si="6"/>
        <v>13</v>
      </c>
      <c r="U25" s="51">
        <f t="shared" si="7"/>
        <v>0</v>
      </c>
      <c r="V25" s="37" t="str">
        <f t="shared" si="8"/>
        <v>ok</v>
      </c>
      <c r="W25" s="37" t="str">
        <f t="shared" si="9"/>
        <v>ok</v>
      </c>
    </row>
    <row r="26" spans="2:23" x14ac:dyDescent="0.25">
      <c r="B26" s="52" t="s">
        <v>11</v>
      </c>
      <c r="C26" s="53">
        <v>20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37"/>
      <c r="W26" s="37"/>
    </row>
    <row r="27" spans="2:23" x14ac:dyDescent="0.25">
      <c r="B27" s="52" t="s">
        <v>12</v>
      </c>
      <c r="C27" s="53">
        <v>21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37"/>
      <c r="W27" s="37"/>
    </row>
    <row r="28" spans="2:23" x14ac:dyDescent="0.25">
      <c r="B28" s="38" t="s">
        <v>19</v>
      </c>
      <c r="C28" s="39">
        <v>22</v>
      </c>
      <c r="D28" s="40">
        <v>36.119999999999997</v>
      </c>
      <c r="E28" s="41">
        <v>24.75</v>
      </c>
      <c r="F28" s="42">
        <f>E28*TC</f>
        <v>19.8</v>
      </c>
      <c r="G28" s="43">
        <f>E28*(1-TC)</f>
        <v>4.9499999999999993</v>
      </c>
      <c r="H28" s="44">
        <f t="shared" si="0"/>
        <v>24.75</v>
      </c>
      <c r="I28" s="34"/>
      <c r="J28" s="45">
        <f t="shared" si="1"/>
        <v>11.369999999999997</v>
      </c>
      <c r="K28" s="46"/>
      <c r="L28" s="47">
        <f t="shared" si="2"/>
        <v>4.9499999999999993</v>
      </c>
      <c r="M28" s="46"/>
      <c r="N28" s="48">
        <f t="shared" si="3"/>
        <v>0</v>
      </c>
      <c r="O28" s="46"/>
      <c r="P28" s="49">
        <f t="shared" si="4"/>
        <v>0</v>
      </c>
      <c r="Q28" s="34"/>
      <c r="R28" s="50">
        <f t="shared" si="5"/>
        <v>19.8</v>
      </c>
      <c r="S28" s="46"/>
      <c r="T28" s="72">
        <f t="shared" si="6"/>
        <v>4.9499999999999993</v>
      </c>
      <c r="U28" s="51">
        <f t="shared" si="7"/>
        <v>16.319999999999997</v>
      </c>
      <c r="V28" s="37" t="str">
        <f t="shared" si="8"/>
        <v>ok</v>
      </c>
      <c r="W28" s="37" t="str">
        <f t="shared" si="9"/>
        <v>ok</v>
      </c>
    </row>
    <row r="29" spans="2:23" x14ac:dyDescent="0.25">
      <c r="B29" s="38" t="s">
        <v>20</v>
      </c>
      <c r="C29" s="39">
        <v>23</v>
      </c>
      <c r="D29" s="40">
        <v>29.4</v>
      </c>
      <c r="E29" s="41">
        <v>15.68</v>
      </c>
      <c r="F29" s="42">
        <f>E29*TC</f>
        <v>12.544</v>
      </c>
      <c r="G29" s="43">
        <f>E29*(1-TC)</f>
        <v>3.1359999999999992</v>
      </c>
      <c r="H29" s="44">
        <f t="shared" si="0"/>
        <v>15.68</v>
      </c>
      <c r="I29" s="34"/>
      <c r="J29" s="45">
        <f t="shared" si="1"/>
        <v>13.719999999999999</v>
      </c>
      <c r="K29" s="46"/>
      <c r="L29" s="47">
        <f t="shared" si="2"/>
        <v>3.1359999999999992</v>
      </c>
      <c r="M29" s="46"/>
      <c r="N29" s="48">
        <f t="shared" si="3"/>
        <v>0</v>
      </c>
      <c r="O29" s="46"/>
      <c r="P29" s="49">
        <f t="shared" si="4"/>
        <v>0</v>
      </c>
      <c r="Q29" s="34"/>
      <c r="R29" s="50">
        <f t="shared" si="5"/>
        <v>12.544</v>
      </c>
      <c r="S29" s="46"/>
      <c r="T29" s="72">
        <f t="shared" si="6"/>
        <v>3.1359999999999992</v>
      </c>
      <c r="U29" s="51">
        <f t="shared" si="7"/>
        <v>16.855999999999998</v>
      </c>
      <c r="V29" s="37" t="str">
        <f t="shared" si="8"/>
        <v>ok</v>
      </c>
      <c r="W29" s="37" t="str">
        <f t="shared" si="9"/>
        <v>ok</v>
      </c>
    </row>
    <row r="30" spans="2:23" x14ac:dyDescent="0.25">
      <c r="B30" s="38" t="s">
        <v>21</v>
      </c>
      <c r="C30" s="39">
        <v>24</v>
      </c>
      <c r="D30" s="40">
        <v>16.940000000000001</v>
      </c>
      <c r="E30" s="41">
        <v>7.43</v>
      </c>
      <c r="F30" s="42">
        <f>E30*TC</f>
        <v>5.944</v>
      </c>
      <c r="G30" s="43">
        <f>E30*(1-TC)</f>
        <v>1.4859999999999995</v>
      </c>
      <c r="H30" s="44">
        <f t="shared" si="0"/>
        <v>7.43</v>
      </c>
      <c r="I30" s="34"/>
      <c r="J30" s="45">
        <f t="shared" si="1"/>
        <v>9.5100000000000016</v>
      </c>
      <c r="K30" s="46"/>
      <c r="L30" s="47">
        <f t="shared" si="2"/>
        <v>1.4859999999999995</v>
      </c>
      <c r="M30" s="46"/>
      <c r="N30" s="48">
        <f t="shared" si="3"/>
        <v>0</v>
      </c>
      <c r="O30" s="46"/>
      <c r="P30" s="49">
        <f t="shared" si="4"/>
        <v>0</v>
      </c>
      <c r="Q30" s="34"/>
      <c r="R30" s="50">
        <f t="shared" si="5"/>
        <v>5.944</v>
      </c>
      <c r="S30" s="46"/>
      <c r="T30" s="72">
        <f t="shared" si="6"/>
        <v>1.4859999999999995</v>
      </c>
      <c r="U30" s="51">
        <f t="shared" si="7"/>
        <v>10.996</v>
      </c>
      <c r="V30" s="37" t="str">
        <f t="shared" si="8"/>
        <v>ok</v>
      </c>
      <c r="W30" s="37" t="str">
        <f t="shared" si="9"/>
        <v>ok</v>
      </c>
    </row>
    <row r="31" spans="2:23" x14ac:dyDescent="0.25">
      <c r="B31" s="38" t="s">
        <v>22</v>
      </c>
      <c r="C31" s="39">
        <v>25</v>
      </c>
      <c r="D31" s="40">
        <v>13.87</v>
      </c>
      <c r="E31" s="41">
        <v>9.9</v>
      </c>
      <c r="F31" s="42">
        <f>E31*TC</f>
        <v>7.9200000000000008</v>
      </c>
      <c r="G31" s="43">
        <f>E31*(1-TC)</f>
        <v>1.9799999999999995</v>
      </c>
      <c r="H31" s="44">
        <f t="shared" si="0"/>
        <v>9.9</v>
      </c>
      <c r="I31" s="34"/>
      <c r="J31" s="45">
        <f t="shared" si="1"/>
        <v>3.9699999999999989</v>
      </c>
      <c r="K31" s="46"/>
      <c r="L31" s="47">
        <f t="shared" si="2"/>
        <v>1.9799999999999995</v>
      </c>
      <c r="M31" s="46"/>
      <c r="N31" s="48">
        <f t="shared" si="3"/>
        <v>0</v>
      </c>
      <c r="O31" s="46"/>
      <c r="P31" s="49">
        <f t="shared" si="4"/>
        <v>0</v>
      </c>
      <c r="Q31" s="34"/>
      <c r="R31" s="50">
        <f t="shared" si="5"/>
        <v>7.9200000000000008</v>
      </c>
      <c r="S31" s="46"/>
      <c r="T31" s="72">
        <f t="shared" si="6"/>
        <v>1.9799999999999995</v>
      </c>
      <c r="U31" s="51">
        <f t="shared" si="7"/>
        <v>5.9499999999999984</v>
      </c>
      <c r="V31" s="37" t="str">
        <f t="shared" si="8"/>
        <v>ok</v>
      </c>
      <c r="W31" s="37" t="str">
        <f t="shared" si="9"/>
        <v>ok</v>
      </c>
    </row>
    <row r="32" spans="2:23" x14ac:dyDescent="0.25">
      <c r="B32" s="38" t="s">
        <v>23</v>
      </c>
      <c r="C32" s="39">
        <v>26</v>
      </c>
      <c r="D32" s="40">
        <v>26.05</v>
      </c>
      <c r="E32" s="41">
        <v>15.68</v>
      </c>
      <c r="F32" s="42">
        <f>E32*TC</f>
        <v>12.544</v>
      </c>
      <c r="G32" s="43">
        <f>E32*(1-TC)</f>
        <v>3.1359999999999992</v>
      </c>
      <c r="H32" s="44">
        <f t="shared" si="0"/>
        <v>15.68</v>
      </c>
      <c r="I32" s="34"/>
      <c r="J32" s="45">
        <f t="shared" si="1"/>
        <v>10.370000000000001</v>
      </c>
      <c r="K32" s="46"/>
      <c r="L32" s="47">
        <f t="shared" si="2"/>
        <v>3.1359999999999992</v>
      </c>
      <c r="M32" s="46"/>
      <c r="N32" s="48">
        <f t="shared" si="3"/>
        <v>0</v>
      </c>
      <c r="O32" s="46"/>
      <c r="P32" s="49">
        <f t="shared" si="4"/>
        <v>0</v>
      </c>
      <c r="Q32" s="34"/>
      <c r="R32" s="50">
        <f t="shared" si="5"/>
        <v>12.544</v>
      </c>
      <c r="S32" s="46"/>
      <c r="T32" s="72">
        <f t="shared" si="6"/>
        <v>3.1359999999999992</v>
      </c>
      <c r="U32" s="51">
        <f t="shared" si="7"/>
        <v>13.506</v>
      </c>
      <c r="V32" s="37" t="str">
        <f t="shared" si="8"/>
        <v>ok</v>
      </c>
      <c r="W32" s="37" t="str">
        <f t="shared" si="9"/>
        <v>ok</v>
      </c>
    </row>
    <row r="33" spans="2:23" x14ac:dyDescent="0.25">
      <c r="B33" s="52" t="s">
        <v>11</v>
      </c>
      <c r="C33" s="53">
        <v>27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37"/>
      <c r="W33" s="37"/>
    </row>
    <row r="34" spans="2:23" x14ac:dyDescent="0.25">
      <c r="B34" s="52" t="s">
        <v>12</v>
      </c>
      <c r="C34" s="53">
        <v>28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37"/>
      <c r="W34" s="37"/>
    </row>
    <row r="35" spans="2:23" x14ac:dyDescent="0.25">
      <c r="B35" s="38" t="s">
        <v>19</v>
      </c>
      <c r="C35" s="39">
        <v>29</v>
      </c>
      <c r="D35" s="40">
        <v>43.34</v>
      </c>
      <c r="E35" s="41">
        <v>30</v>
      </c>
      <c r="F35" s="42">
        <f>E35*TC</f>
        <v>24</v>
      </c>
      <c r="G35" s="43">
        <f>E35*(1-TC)</f>
        <v>5.9999999999999982</v>
      </c>
      <c r="H35" s="44">
        <f t="shared" si="0"/>
        <v>30</v>
      </c>
      <c r="I35" s="34"/>
      <c r="J35" s="45">
        <f t="shared" si="1"/>
        <v>13.340000000000003</v>
      </c>
      <c r="K35" s="46"/>
      <c r="L35" s="47">
        <f t="shared" si="2"/>
        <v>5.9999999999999982</v>
      </c>
      <c r="M35" s="46"/>
      <c r="N35" s="48">
        <f t="shared" si="3"/>
        <v>0</v>
      </c>
      <c r="O35" s="46"/>
      <c r="P35" s="49">
        <f t="shared" si="4"/>
        <v>0</v>
      </c>
      <c r="Q35" s="34"/>
      <c r="R35" s="50">
        <f t="shared" si="5"/>
        <v>24</v>
      </c>
      <c r="S35" s="46"/>
      <c r="T35" s="72">
        <f t="shared" si="6"/>
        <v>5.9999999999999982</v>
      </c>
      <c r="U35" s="51">
        <f t="shared" si="7"/>
        <v>19.340000000000003</v>
      </c>
      <c r="V35" s="37" t="str">
        <f t="shared" si="8"/>
        <v>ok</v>
      </c>
      <c r="W35" s="37" t="str">
        <f t="shared" si="9"/>
        <v>ok</v>
      </c>
    </row>
    <row r="36" spans="2:23" x14ac:dyDescent="0.25">
      <c r="B36" s="38" t="s">
        <v>20</v>
      </c>
      <c r="C36" s="39">
        <v>30</v>
      </c>
      <c r="D36" s="40">
        <v>35.159999999999997</v>
      </c>
      <c r="E36" s="41">
        <v>21</v>
      </c>
      <c r="F36" s="42">
        <f>E36*TC</f>
        <v>16.8</v>
      </c>
      <c r="G36" s="43">
        <f>E36*(1-TC)</f>
        <v>4.1999999999999993</v>
      </c>
      <c r="H36" s="44">
        <f t="shared" si="0"/>
        <v>21</v>
      </c>
      <c r="I36" s="34"/>
      <c r="J36" s="45">
        <f t="shared" si="1"/>
        <v>14.159999999999997</v>
      </c>
      <c r="K36" s="46"/>
      <c r="L36" s="47">
        <f t="shared" si="2"/>
        <v>4.1999999999999993</v>
      </c>
      <c r="M36" s="46"/>
      <c r="N36" s="48">
        <f t="shared" si="3"/>
        <v>0</v>
      </c>
      <c r="O36" s="46"/>
      <c r="P36" s="49">
        <f t="shared" si="4"/>
        <v>0</v>
      </c>
      <c r="Q36" s="34"/>
      <c r="R36" s="50">
        <f t="shared" si="5"/>
        <v>16.8</v>
      </c>
      <c r="S36" s="46"/>
      <c r="T36" s="72">
        <f t="shared" si="6"/>
        <v>4.1999999999999993</v>
      </c>
      <c r="U36" s="51">
        <f t="shared" si="7"/>
        <v>18.359999999999996</v>
      </c>
      <c r="V36" s="37" t="str">
        <f t="shared" si="8"/>
        <v>ok</v>
      </c>
      <c r="W36" s="37" t="str">
        <f t="shared" si="9"/>
        <v>ok</v>
      </c>
    </row>
    <row r="37" spans="2:23" x14ac:dyDescent="0.25">
      <c r="B37" s="38" t="s">
        <v>21</v>
      </c>
      <c r="C37" s="39">
        <v>31</v>
      </c>
      <c r="D37" s="40">
        <v>20.329999999999998</v>
      </c>
      <c r="E37" s="41">
        <v>10</v>
      </c>
      <c r="F37" s="42">
        <f>E37*TC</f>
        <v>8</v>
      </c>
      <c r="G37" s="43">
        <f>E37*(1-TC)</f>
        <v>1.9999999999999996</v>
      </c>
      <c r="H37" s="44">
        <f t="shared" si="0"/>
        <v>10</v>
      </c>
      <c r="I37" s="34"/>
      <c r="J37" s="45">
        <f t="shared" si="1"/>
        <v>10.329999999999998</v>
      </c>
      <c r="K37" s="46"/>
      <c r="L37" s="47">
        <f t="shared" si="2"/>
        <v>1.9999999999999996</v>
      </c>
      <c r="M37" s="46"/>
      <c r="N37" s="48">
        <f t="shared" si="3"/>
        <v>0</v>
      </c>
      <c r="O37" s="46"/>
      <c r="P37" s="49">
        <f t="shared" si="4"/>
        <v>0</v>
      </c>
      <c r="Q37" s="34"/>
      <c r="R37" s="50">
        <f t="shared" si="5"/>
        <v>8</v>
      </c>
      <c r="S37" s="46"/>
      <c r="T37" s="72">
        <f t="shared" si="6"/>
        <v>1.9999999999999996</v>
      </c>
      <c r="U37" s="51">
        <f t="shared" si="7"/>
        <v>12.329999999999998</v>
      </c>
      <c r="V37" s="37" t="str">
        <f t="shared" si="8"/>
        <v>ok</v>
      </c>
      <c r="W37" s="37" t="str">
        <f t="shared" si="9"/>
        <v>ok</v>
      </c>
    </row>
    <row r="38" spans="2:23" ht="5.25" customHeight="1" x14ac:dyDescent="0.25"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55"/>
      <c r="Q38" s="34"/>
      <c r="R38" s="36"/>
      <c r="S38" s="34"/>
      <c r="T38" s="34"/>
      <c r="U38" s="34"/>
      <c r="V38" s="37"/>
      <c r="W38" s="37" t="str">
        <f t="shared" si="9"/>
        <v>ok</v>
      </c>
    </row>
    <row r="39" spans="2:23" ht="15.75" thickBot="1" x14ac:dyDescent="0.3">
      <c r="B39" s="56" t="s">
        <v>53</v>
      </c>
      <c r="C39" s="57"/>
      <c r="D39" s="58">
        <f>SUM(D7:D37)</f>
        <v>422.66</v>
      </c>
      <c r="E39" s="59">
        <f>SUM(E7:E37)</f>
        <v>448.89</v>
      </c>
      <c r="F39" s="60">
        <f>SUM(F7:F37)</f>
        <v>359.11200000000002</v>
      </c>
      <c r="G39" s="61">
        <f>SUM(G7:G37)</f>
        <v>89.777999999999977</v>
      </c>
      <c r="H39" s="62">
        <f>SUM(H7:H37)</f>
        <v>319.66000000000003</v>
      </c>
      <c r="I39" s="63"/>
      <c r="J39" s="64">
        <f>SUM(J7:J37)</f>
        <v>103</v>
      </c>
      <c r="K39" s="65"/>
      <c r="L39" s="66">
        <f>SUM(L7:L37)</f>
        <v>40.988</v>
      </c>
      <c r="M39" s="65"/>
      <c r="N39" s="67">
        <f>SUM(N7:N37)</f>
        <v>80.440000000000026</v>
      </c>
      <c r="O39" s="65"/>
      <c r="P39" s="68">
        <f>SUM(P7:P37)</f>
        <v>48.79</v>
      </c>
      <c r="Q39" s="63"/>
      <c r="R39" s="69">
        <f>SUM(R7:R37)</f>
        <v>278.67200000000003</v>
      </c>
      <c r="S39" s="65"/>
      <c r="T39" s="72">
        <f>SUM(T7:T37)</f>
        <v>170.21799999999996</v>
      </c>
      <c r="U39" s="51">
        <f>SUM(U7:U37)</f>
        <v>143.988</v>
      </c>
      <c r="V39" s="37" t="str">
        <f t="shared" si="8"/>
        <v>ok</v>
      </c>
      <c r="W39" s="37" t="str">
        <f t="shared" si="9"/>
        <v>ok</v>
      </c>
    </row>
    <row r="40" spans="2:23" s="75" customFormat="1" x14ac:dyDescent="0.25">
      <c r="B40" s="73" t="s">
        <v>54</v>
      </c>
      <c r="C40" s="73"/>
      <c r="D40" s="74">
        <f>AVERAGE(D7:D37)</f>
        <v>18.376521739130435</v>
      </c>
      <c r="E40" s="74">
        <f t="shared" ref="E40:U40" si="10">AVERAGE(E7:E37)</f>
        <v>19.516956521739129</v>
      </c>
      <c r="F40" s="74">
        <f t="shared" si="10"/>
        <v>15.613565217391306</v>
      </c>
      <c r="G40" s="74">
        <f t="shared" si="10"/>
        <v>3.9033913043478252</v>
      </c>
      <c r="H40" s="74">
        <f t="shared" si="10"/>
        <v>13.898260869565219</v>
      </c>
      <c r="I40" s="74"/>
      <c r="J40" s="74">
        <f t="shared" si="10"/>
        <v>4.4782608695652177</v>
      </c>
      <c r="K40" s="74"/>
      <c r="L40" s="74">
        <f t="shared" si="10"/>
        <v>1.7820869565217392</v>
      </c>
      <c r="M40" s="74"/>
      <c r="N40" s="74">
        <f t="shared" si="10"/>
        <v>3.4973913043478273</v>
      </c>
      <c r="O40" s="74"/>
      <c r="P40" s="74">
        <f t="shared" si="10"/>
        <v>2.1213043478260869</v>
      </c>
      <c r="Q40" s="74"/>
      <c r="R40" s="74">
        <f t="shared" si="10"/>
        <v>12.116173913043479</v>
      </c>
      <c r="S40" s="74"/>
      <c r="T40" s="74">
        <f t="shared" si="10"/>
        <v>7.4007826086956507</v>
      </c>
      <c r="U40" s="74">
        <f t="shared" si="10"/>
        <v>6.2603478260869565</v>
      </c>
      <c r="V40" s="73"/>
      <c r="W40" s="73"/>
    </row>
    <row r="96" spans="2:7" x14ac:dyDescent="0.25">
      <c r="B96" t="str">
        <f>L5</f>
        <v>(B) offres non satisfaisantes</v>
      </c>
      <c r="C96">
        <f>L39</f>
        <v>40.988</v>
      </c>
      <c r="F96" t="str">
        <f>R5</f>
        <v>Capacité à 80%</v>
      </c>
      <c r="G96">
        <f>R39</f>
        <v>278.67200000000003</v>
      </c>
    </row>
    <row r="97" spans="2:7" x14ac:dyDescent="0.25">
      <c r="B97" t="str">
        <f>P5</f>
        <v>(C) offres hors demandes</v>
      </c>
      <c r="C97">
        <f>P39</f>
        <v>48.79</v>
      </c>
      <c r="F97" t="str">
        <f>N5</f>
        <v>(D) offres hors demandes</v>
      </c>
      <c r="G97">
        <f>N39</f>
        <v>80.440000000000026</v>
      </c>
    </row>
    <row r="98" spans="2:7" x14ac:dyDescent="0.25">
      <c r="B98" t="str">
        <f>N5</f>
        <v>(D) offres hors demandes</v>
      </c>
      <c r="C98">
        <f>N39</f>
        <v>80.440000000000026</v>
      </c>
    </row>
    <row r="112" spans="2:7" x14ac:dyDescent="0.25">
      <c r="B112" t="str">
        <f>R5</f>
        <v>Capacité à 80%</v>
      </c>
      <c r="C112">
        <f>R39</f>
        <v>278.67200000000003</v>
      </c>
      <c r="F112" t="str">
        <f>F5</f>
        <v>offre à 80%</v>
      </c>
      <c r="G112">
        <f>F39</f>
        <v>359.11200000000002</v>
      </c>
    </row>
    <row r="113" spans="2:7" x14ac:dyDescent="0.25">
      <c r="B113" t="str">
        <f>T5</f>
        <v>offres non placées</v>
      </c>
      <c r="C113">
        <f>T39</f>
        <v>170.21799999999996</v>
      </c>
      <c r="F113" t="str">
        <f>P5</f>
        <v>(C) offres hors demandes</v>
      </c>
      <c r="G113">
        <f>P39</f>
        <v>48.79</v>
      </c>
    </row>
    <row r="114" spans="2:7" x14ac:dyDescent="0.25">
      <c r="F114" t="str">
        <f>L5</f>
        <v>(B) offres non satisfaisantes</v>
      </c>
      <c r="G114">
        <f>L39</f>
        <v>40.988</v>
      </c>
    </row>
    <row r="128" spans="2:7" x14ac:dyDescent="0.25">
      <c r="B128" t="str">
        <f>J5</f>
        <v>(A) demandes hors offres</v>
      </c>
      <c r="C128">
        <f>J39</f>
        <v>103</v>
      </c>
      <c r="F128" t="str">
        <f>R5</f>
        <v>Capacité à 80%</v>
      </c>
      <c r="G128">
        <f>R39</f>
        <v>278.67200000000003</v>
      </c>
    </row>
    <row r="129" spans="2:23" x14ac:dyDescent="0.25">
      <c r="B129" t="str">
        <f>L5</f>
        <v>(B) offres non satisfaisantes</v>
      </c>
      <c r="C129">
        <f>L39</f>
        <v>40.988</v>
      </c>
      <c r="F129" t="str">
        <f>U5</f>
        <v>demandes non satisfaites</v>
      </c>
      <c r="G129">
        <f>U39</f>
        <v>143.988</v>
      </c>
    </row>
    <row r="143" spans="2:23" ht="15.75" thickBot="1" x14ac:dyDescent="0.3"/>
    <row r="144" spans="2:23" ht="51.75" thickBot="1" x14ac:dyDescent="0.3">
      <c r="B144" s="17"/>
      <c r="C144" s="18"/>
      <c r="D144" s="19" t="s">
        <v>40</v>
      </c>
      <c r="E144" s="20" t="s">
        <v>41</v>
      </c>
      <c r="F144" s="21" t="s">
        <v>42</v>
      </c>
      <c r="G144" s="22" t="s">
        <v>43</v>
      </c>
      <c r="H144" s="23" t="s">
        <v>44</v>
      </c>
      <c r="I144" s="24"/>
      <c r="J144" s="25" t="s">
        <v>45</v>
      </c>
      <c r="K144" s="26"/>
      <c r="L144" s="27" t="s">
        <v>46</v>
      </c>
      <c r="M144" s="26"/>
      <c r="N144" s="28" t="s">
        <v>47</v>
      </c>
      <c r="O144" s="26"/>
      <c r="P144" s="29" t="s">
        <v>48</v>
      </c>
      <c r="Q144" s="24"/>
      <c r="R144" s="30" t="s">
        <v>49</v>
      </c>
      <c r="S144" s="26"/>
      <c r="T144" s="70" t="s">
        <v>50</v>
      </c>
      <c r="U144" s="31" t="s">
        <v>51</v>
      </c>
      <c r="V144" s="32" t="s">
        <v>52</v>
      </c>
      <c r="W144" s="32"/>
    </row>
    <row r="145" spans="2:23" ht="4.5" customHeight="1" x14ac:dyDescent="0.25">
      <c r="B145" s="33"/>
      <c r="C145" s="34"/>
      <c r="D145" s="35"/>
      <c r="E145" s="35"/>
      <c r="F145" s="35"/>
      <c r="G145" s="35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6"/>
      <c r="S145" s="34"/>
      <c r="T145" s="34"/>
      <c r="U145" s="34"/>
      <c r="V145" s="37"/>
      <c r="W145" s="37"/>
    </row>
    <row r="146" spans="2:23" x14ac:dyDescent="0.25">
      <c r="B146" s="38" t="s">
        <v>19</v>
      </c>
      <c r="C146" s="39">
        <v>1</v>
      </c>
      <c r="D146" s="40">
        <v>18.11</v>
      </c>
      <c r="E146" s="41">
        <v>39</v>
      </c>
      <c r="F146" s="42">
        <f t="shared" ref="F146:F168" si="11">E146*TC</f>
        <v>31.200000000000003</v>
      </c>
      <c r="G146" s="43">
        <f t="shared" ref="G146:G168" si="12">E146*(1-TC)</f>
        <v>7.799999999999998</v>
      </c>
      <c r="H146" s="44">
        <f>IF(E146&gt;D146,D146,E146)</f>
        <v>18.11</v>
      </c>
      <c r="I146" s="34"/>
      <c r="J146" s="45">
        <f>IF(E146&gt;D146,0,D146-E146)</f>
        <v>0</v>
      </c>
      <c r="K146" s="46"/>
      <c r="L146" s="47">
        <f>IF(E146&gt;D146,IF(F146&gt;H146,0,H146-F146),G146)</f>
        <v>0</v>
      </c>
      <c r="M146" s="46"/>
      <c r="N146" s="48">
        <f>IF(E146&gt;D146,IF(F146&gt;H146,F146-H146,0),0)</f>
        <v>13.090000000000003</v>
      </c>
      <c r="O146" s="46"/>
      <c r="P146" s="49">
        <f>IF(E146&gt;D146,IF(F146&gt;H146,G146,E146-H146),0)</f>
        <v>7.799999999999998</v>
      </c>
      <c r="Q146" s="34"/>
      <c r="R146" s="50">
        <f>H146-L146</f>
        <v>18.11</v>
      </c>
      <c r="S146" s="46"/>
      <c r="T146" s="72">
        <f>L146+N146+P146</f>
        <v>20.89</v>
      </c>
      <c r="U146" s="51">
        <f>J146+L146</f>
        <v>0</v>
      </c>
      <c r="V146" s="37" t="str">
        <f>IF(R146+T146=E146,"ok","bad")</f>
        <v>ok</v>
      </c>
      <c r="W146" s="37" t="str">
        <f>IF(U146+R146=D146,"ok","bad")</f>
        <v>ok</v>
      </c>
    </row>
    <row r="147" spans="2:23" x14ac:dyDescent="0.25">
      <c r="B147" s="38" t="s">
        <v>20</v>
      </c>
      <c r="C147" s="39">
        <v>2</v>
      </c>
      <c r="D147" s="40">
        <v>14.22</v>
      </c>
      <c r="E147" s="41">
        <v>28.6</v>
      </c>
      <c r="F147" s="42">
        <f t="shared" si="11"/>
        <v>22.880000000000003</v>
      </c>
      <c r="G147" s="43">
        <f t="shared" si="12"/>
        <v>5.7199999999999989</v>
      </c>
      <c r="H147" s="44">
        <f t="shared" ref="H147:H150" si="13">IF(E147&gt;D147,D147,E147)</f>
        <v>14.22</v>
      </c>
      <c r="I147" s="34"/>
      <c r="J147" s="45">
        <f t="shared" ref="J147:J150" si="14">IF(E147&gt;D147,0,D147-E147)</f>
        <v>0</v>
      </c>
      <c r="K147" s="46"/>
      <c r="L147" s="47">
        <f t="shared" ref="L147:L150" si="15">IF(E147&gt;D147,IF(F147&gt;H147,0,H147-F147),G147)</f>
        <v>0</v>
      </c>
      <c r="M147" s="46"/>
      <c r="N147" s="48">
        <f t="shared" ref="N147:N150" si="16">IF(E147&gt;D147,IF(F147&gt;H147,F147-H147,0),0)</f>
        <v>8.6600000000000019</v>
      </c>
      <c r="O147" s="46"/>
      <c r="P147" s="49">
        <f t="shared" ref="P147:P150" si="17">IF(E147&gt;D147,IF(F147&gt;H147,G147,E147-H147),0)</f>
        <v>5.7199999999999989</v>
      </c>
      <c r="Q147" s="34"/>
      <c r="R147" s="50">
        <f t="shared" ref="R147:R150" si="18">H147-L147</f>
        <v>14.22</v>
      </c>
      <c r="S147" s="46"/>
      <c r="T147" s="72">
        <f t="shared" ref="T147:T150" si="19">L147+N147+P147</f>
        <v>14.38</v>
      </c>
      <c r="U147" s="51">
        <f t="shared" ref="U147:U150" si="20">J147+L147</f>
        <v>0</v>
      </c>
      <c r="V147" s="37" t="str">
        <f t="shared" ref="V147:V150" si="21">IF(R147+T147=E147,"ok","bad")</f>
        <v>ok</v>
      </c>
      <c r="W147" s="37" t="str">
        <f t="shared" ref="W147:W150" si="22">IF(U147+R147=D147,"ok","bad")</f>
        <v>ok</v>
      </c>
    </row>
    <row r="148" spans="2:23" x14ac:dyDescent="0.25">
      <c r="B148" s="38" t="s">
        <v>21</v>
      </c>
      <c r="C148" s="39">
        <v>3</v>
      </c>
      <c r="D148" s="40">
        <v>6.22</v>
      </c>
      <c r="E148" s="41">
        <v>11.7</v>
      </c>
      <c r="F148" s="42">
        <f t="shared" si="11"/>
        <v>9.36</v>
      </c>
      <c r="G148" s="43">
        <f t="shared" si="12"/>
        <v>2.3399999999999994</v>
      </c>
      <c r="H148" s="44">
        <f t="shared" si="13"/>
        <v>6.22</v>
      </c>
      <c r="I148" s="34"/>
      <c r="J148" s="45">
        <f t="shared" si="14"/>
        <v>0</v>
      </c>
      <c r="K148" s="46"/>
      <c r="L148" s="47">
        <f t="shared" si="15"/>
        <v>0</v>
      </c>
      <c r="M148" s="46"/>
      <c r="N148" s="48">
        <f t="shared" si="16"/>
        <v>3.1399999999999997</v>
      </c>
      <c r="O148" s="46"/>
      <c r="P148" s="49">
        <f t="shared" si="17"/>
        <v>2.3399999999999994</v>
      </c>
      <c r="Q148" s="34"/>
      <c r="R148" s="50">
        <f t="shared" si="18"/>
        <v>6.22</v>
      </c>
      <c r="S148" s="46"/>
      <c r="T148" s="72">
        <f t="shared" si="19"/>
        <v>5.4799999999999986</v>
      </c>
      <c r="U148" s="51">
        <f t="shared" si="20"/>
        <v>0</v>
      </c>
      <c r="V148" s="37" t="str">
        <f t="shared" si="21"/>
        <v>ok</v>
      </c>
      <c r="W148" s="37" t="str">
        <f t="shared" si="22"/>
        <v>ok</v>
      </c>
    </row>
    <row r="149" spans="2:23" x14ac:dyDescent="0.25">
      <c r="B149" s="38" t="s">
        <v>22</v>
      </c>
      <c r="C149" s="39">
        <v>4</v>
      </c>
      <c r="D149" s="40">
        <v>4.34</v>
      </c>
      <c r="E149" s="41">
        <v>17.55</v>
      </c>
      <c r="F149" s="42">
        <f t="shared" si="11"/>
        <v>14.040000000000001</v>
      </c>
      <c r="G149" s="43">
        <f t="shared" si="12"/>
        <v>3.5099999999999993</v>
      </c>
      <c r="H149" s="44">
        <f t="shared" si="13"/>
        <v>4.34</v>
      </c>
      <c r="I149" s="34"/>
      <c r="J149" s="45">
        <f t="shared" si="14"/>
        <v>0</v>
      </c>
      <c r="K149" s="46"/>
      <c r="L149" s="47">
        <f t="shared" si="15"/>
        <v>0</v>
      </c>
      <c r="M149" s="46"/>
      <c r="N149" s="48">
        <f t="shared" si="16"/>
        <v>9.7000000000000011</v>
      </c>
      <c r="O149" s="46"/>
      <c r="P149" s="49">
        <f t="shared" si="17"/>
        <v>3.5099999999999993</v>
      </c>
      <c r="Q149" s="34"/>
      <c r="R149" s="50">
        <f t="shared" si="18"/>
        <v>4.34</v>
      </c>
      <c r="S149" s="46"/>
      <c r="T149" s="72">
        <f t="shared" si="19"/>
        <v>13.21</v>
      </c>
      <c r="U149" s="51">
        <f t="shared" si="20"/>
        <v>0</v>
      </c>
      <c r="V149" s="37" t="str">
        <f t="shared" si="21"/>
        <v>ok</v>
      </c>
      <c r="W149" s="37" t="str">
        <f t="shared" si="22"/>
        <v>ok</v>
      </c>
    </row>
    <row r="150" spans="2:23" x14ac:dyDescent="0.25">
      <c r="B150" s="38" t="s">
        <v>23</v>
      </c>
      <c r="C150" s="39">
        <v>5</v>
      </c>
      <c r="D150" s="40">
        <v>9</v>
      </c>
      <c r="E150" s="41">
        <v>28.6</v>
      </c>
      <c r="F150" s="42">
        <f t="shared" si="11"/>
        <v>22.880000000000003</v>
      </c>
      <c r="G150" s="43">
        <f t="shared" si="12"/>
        <v>5.7199999999999989</v>
      </c>
      <c r="H150" s="44">
        <f t="shared" si="13"/>
        <v>9</v>
      </c>
      <c r="I150" s="34"/>
      <c r="J150" s="45">
        <f t="shared" si="14"/>
        <v>0</v>
      </c>
      <c r="K150" s="46"/>
      <c r="L150" s="47">
        <f t="shared" si="15"/>
        <v>0</v>
      </c>
      <c r="M150" s="46"/>
      <c r="N150" s="48">
        <f t="shared" si="16"/>
        <v>13.880000000000003</v>
      </c>
      <c r="O150" s="46"/>
      <c r="P150" s="49">
        <f t="shared" si="17"/>
        <v>5.7199999999999989</v>
      </c>
      <c r="Q150" s="34"/>
      <c r="R150" s="50">
        <f t="shared" si="18"/>
        <v>9</v>
      </c>
      <c r="S150" s="46"/>
      <c r="T150" s="72">
        <f t="shared" si="19"/>
        <v>19.600000000000001</v>
      </c>
      <c r="U150" s="51">
        <f t="shared" si="20"/>
        <v>0</v>
      </c>
      <c r="V150" s="37" t="str">
        <f t="shared" si="21"/>
        <v>ok</v>
      </c>
      <c r="W150" s="37" t="str">
        <f t="shared" si="22"/>
        <v>ok</v>
      </c>
    </row>
    <row r="151" spans="2:23" x14ac:dyDescent="0.25">
      <c r="B151" s="38" t="s">
        <v>19</v>
      </c>
      <c r="C151" s="39">
        <v>6</v>
      </c>
      <c r="D151" s="40">
        <v>28.9</v>
      </c>
      <c r="E151" s="41">
        <v>20</v>
      </c>
      <c r="F151" s="42">
        <f t="shared" si="11"/>
        <v>16</v>
      </c>
      <c r="G151" s="43">
        <f t="shared" si="12"/>
        <v>3.9999999999999991</v>
      </c>
      <c r="H151" s="44">
        <f t="shared" ref="H151:H155" si="23">IF(E151&gt;D151,D151,E151)</f>
        <v>20</v>
      </c>
      <c r="I151" s="34"/>
      <c r="J151" s="45">
        <f t="shared" ref="J151:J155" si="24">IF(E151&gt;D151,0,D151-E151)</f>
        <v>8.8999999999999986</v>
      </c>
      <c r="K151" s="46"/>
      <c r="L151" s="47">
        <f t="shared" ref="L151:L155" si="25">IF(E151&gt;D151,IF(F151&gt;H151,0,H151-F151),G151)</f>
        <v>3.9999999999999991</v>
      </c>
      <c r="M151" s="46"/>
      <c r="N151" s="48">
        <f t="shared" ref="N151:N155" si="26">IF(E151&gt;D151,IF(F151&gt;H151,F151-H151,0),0)</f>
        <v>0</v>
      </c>
      <c r="O151" s="46"/>
      <c r="P151" s="49">
        <f t="shared" ref="P151:P155" si="27">IF(E151&gt;D151,IF(F151&gt;H151,G151,E151-H151),0)</f>
        <v>0</v>
      </c>
      <c r="Q151" s="34"/>
      <c r="R151" s="50">
        <f t="shared" ref="R151:R155" si="28">H151-L151</f>
        <v>16</v>
      </c>
      <c r="S151" s="46"/>
      <c r="T151" s="72">
        <f t="shared" ref="T151:T155" si="29">L151+N151+P151</f>
        <v>3.9999999999999991</v>
      </c>
      <c r="U151" s="51">
        <f t="shared" ref="U151:U155" si="30">J151+L151</f>
        <v>12.899999999999999</v>
      </c>
      <c r="V151" s="37" t="str">
        <f t="shared" ref="V151:V155" si="31">IF(R151+T151=E151,"ok","bad")</f>
        <v>ok</v>
      </c>
      <c r="W151" s="37" t="str">
        <f t="shared" ref="W151:W155" si="32">IF(U151+R151=D151,"ok","bad")</f>
        <v>ok</v>
      </c>
    </row>
    <row r="152" spans="2:23" x14ac:dyDescent="0.25">
      <c r="B152" s="38" t="s">
        <v>20</v>
      </c>
      <c r="C152" s="39">
        <v>7</v>
      </c>
      <c r="D152" s="40">
        <v>23.44</v>
      </c>
      <c r="E152" s="41">
        <v>20.5</v>
      </c>
      <c r="F152" s="42">
        <f t="shared" si="11"/>
        <v>16.400000000000002</v>
      </c>
      <c r="G152" s="43">
        <f t="shared" si="12"/>
        <v>4.0999999999999988</v>
      </c>
      <c r="H152" s="44">
        <f t="shared" si="23"/>
        <v>20.5</v>
      </c>
      <c r="I152" s="34"/>
      <c r="J152" s="45">
        <f t="shared" si="24"/>
        <v>2.9400000000000013</v>
      </c>
      <c r="K152" s="46"/>
      <c r="L152" s="47">
        <f t="shared" si="25"/>
        <v>4.0999999999999988</v>
      </c>
      <c r="M152" s="46"/>
      <c r="N152" s="48">
        <f t="shared" si="26"/>
        <v>0</v>
      </c>
      <c r="O152" s="46"/>
      <c r="P152" s="49">
        <f t="shared" si="27"/>
        <v>0</v>
      </c>
      <c r="Q152" s="34"/>
      <c r="R152" s="50">
        <f t="shared" si="28"/>
        <v>16.400000000000002</v>
      </c>
      <c r="S152" s="46"/>
      <c r="T152" s="72">
        <f t="shared" si="29"/>
        <v>4.0999999999999988</v>
      </c>
      <c r="U152" s="51">
        <f t="shared" si="30"/>
        <v>7.04</v>
      </c>
      <c r="V152" s="37" t="str">
        <f t="shared" si="31"/>
        <v>ok</v>
      </c>
      <c r="W152" s="37" t="str">
        <f t="shared" si="32"/>
        <v>ok</v>
      </c>
    </row>
    <row r="153" spans="2:23" x14ac:dyDescent="0.25">
      <c r="B153" s="38" t="s">
        <v>21</v>
      </c>
      <c r="C153" s="39">
        <v>8</v>
      </c>
      <c r="D153" s="40">
        <v>13.55</v>
      </c>
      <c r="E153" s="41">
        <v>11</v>
      </c>
      <c r="F153" s="42">
        <f t="shared" si="11"/>
        <v>8.8000000000000007</v>
      </c>
      <c r="G153" s="43">
        <f t="shared" si="12"/>
        <v>2.1999999999999993</v>
      </c>
      <c r="H153" s="44">
        <f t="shared" si="23"/>
        <v>11</v>
      </c>
      <c r="I153" s="34"/>
      <c r="J153" s="45">
        <f t="shared" si="24"/>
        <v>2.5500000000000007</v>
      </c>
      <c r="K153" s="46"/>
      <c r="L153" s="47">
        <f t="shared" si="25"/>
        <v>2.1999999999999993</v>
      </c>
      <c r="M153" s="46"/>
      <c r="N153" s="48">
        <f t="shared" si="26"/>
        <v>0</v>
      </c>
      <c r="O153" s="46"/>
      <c r="P153" s="49">
        <f t="shared" si="27"/>
        <v>0</v>
      </c>
      <c r="Q153" s="34"/>
      <c r="R153" s="50">
        <f t="shared" si="28"/>
        <v>8.8000000000000007</v>
      </c>
      <c r="S153" s="46"/>
      <c r="T153" s="72">
        <f t="shared" si="29"/>
        <v>2.1999999999999993</v>
      </c>
      <c r="U153" s="51">
        <f t="shared" si="30"/>
        <v>4.75</v>
      </c>
      <c r="V153" s="37" t="str">
        <f t="shared" si="31"/>
        <v>ok</v>
      </c>
      <c r="W153" s="37" t="str">
        <f t="shared" si="32"/>
        <v>ok</v>
      </c>
    </row>
    <row r="154" spans="2:23" x14ac:dyDescent="0.25">
      <c r="B154" s="38" t="s">
        <v>22</v>
      </c>
      <c r="C154" s="39">
        <v>9</v>
      </c>
      <c r="D154" s="40">
        <v>10.94</v>
      </c>
      <c r="E154" s="41">
        <v>14</v>
      </c>
      <c r="F154" s="42">
        <f t="shared" si="11"/>
        <v>11.200000000000001</v>
      </c>
      <c r="G154" s="43">
        <f t="shared" si="12"/>
        <v>2.7999999999999994</v>
      </c>
      <c r="H154" s="44">
        <f t="shared" si="23"/>
        <v>10.94</v>
      </c>
      <c r="I154" s="34"/>
      <c r="J154" s="45">
        <f t="shared" si="24"/>
        <v>0</v>
      </c>
      <c r="K154" s="46"/>
      <c r="L154" s="47">
        <f t="shared" si="25"/>
        <v>0</v>
      </c>
      <c r="M154" s="46"/>
      <c r="N154" s="48">
        <f t="shared" si="26"/>
        <v>0.26000000000000156</v>
      </c>
      <c r="O154" s="46"/>
      <c r="P154" s="49">
        <f t="shared" si="27"/>
        <v>2.7999999999999994</v>
      </c>
      <c r="Q154" s="34"/>
      <c r="R154" s="50">
        <f t="shared" si="28"/>
        <v>10.94</v>
      </c>
      <c r="S154" s="46"/>
      <c r="T154" s="72">
        <f t="shared" si="29"/>
        <v>3.0600000000000009</v>
      </c>
      <c r="U154" s="51">
        <f t="shared" si="30"/>
        <v>0</v>
      </c>
      <c r="V154" s="37" t="str">
        <f t="shared" si="31"/>
        <v>ok</v>
      </c>
      <c r="W154" s="37" t="str">
        <f t="shared" si="32"/>
        <v>ok</v>
      </c>
    </row>
    <row r="155" spans="2:23" x14ac:dyDescent="0.25">
      <c r="B155" s="38" t="s">
        <v>23</v>
      </c>
      <c r="C155" s="39">
        <v>10</v>
      </c>
      <c r="D155" s="40">
        <v>20.84</v>
      </c>
      <c r="E155" s="41">
        <v>19</v>
      </c>
      <c r="F155" s="42">
        <f t="shared" si="11"/>
        <v>15.200000000000001</v>
      </c>
      <c r="G155" s="43">
        <f t="shared" si="12"/>
        <v>3.7999999999999989</v>
      </c>
      <c r="H155" s="44">
        <f t="shared" si="23"/>
        <v>19</v>
      </c>
      <c r="I155" s="34"/>
      <c r="J155" s="45">
        <f t="shared" si="24"/>
        <v>1.8399999999999999</v>
      </c>
      <c r="K155" s="46"/>
      <c r="L155" s="47">
        <f t="shared" si="25"/>
        <v>3.7999999999999989</v>
      </c>
      <c r="M155" s="46"/>
      <c r="N155" s="48">
        <f t="shared" si="26"/>
        <v>0</v>
      </c>
      <c r="O155" s="46"/>
      <c r="P155" s="49">
        <f t="shared" si="27"/>
        <v>0</v>
      </c>
      <c r="Q155" s="34"/>
      <c r="R155" s="50">
        <f t="shared" si="28"/>
        <v>15.200000000000001</v>
      </c>
      <c r="S155" s="46"/>
      <c r="T155" s="72">
        <f t="shared" si="29"/>
        <v>3.7999999999999989</v>
      </c>
      <c r="U155" s="51">
        <f t="shared" si="30"/>
        <v>5.6399999999999988</v>
      </c>
      <c r="V155" s="37" t="str">
        <f t="shared" si="31"/>
        <v>ok</v>
      </c>
      <c r="W155" s="37" t="str">
        <f t="shared" si="32"/>
        <v>ok</v>
      </c>
    </row>
    <row r="156" spans="2:23" x14ac:dyDescent="0.25">
      <c r="B156" s="38" t="s">
        <v>19</v>
      </c>
      <c r="C156" s="39">
        <v>11</v>
      </c>
      <c r="D156" s="40">
        <v>18.11</v>
      </c>
      <c r="E156" s="41">
        <v>30</v>
      </c>
      <c r="F156" s="42">
        <f t="shared" si="11"/>
        <v>24</v>
      </c>
      <c r="G156" s="43">
        <f t="shared" si="12"/>
        <v>5.9999999999999982</v>
      </c>
      <c r="H156" s="44">
        <f t="shared" ref="H156:H160" si="33">IF(E156&gt;D156,D156,E156)</f>
        <v>18.11</v>
      </c>
      <c r="I156" s="34"/>
      <c r="J156" s="45">
        <f t="shared" ref="J156:J160" si="34">IF(E156&gt;D156,0,D156-E156)</f>
        <v>0</v>
      </c>
      <c r="K156" s="46"/>
      <c r="L156" s="47">
        <f t="shared" ref="L156:L160" si="35">IF(E156&gt;D156,IF(F156&gt;H156,0,H156-F156),G156)</f>
        <v>0</v>
      </c>
      <c r="M156" s="46"/>
      <c r="N156" s="48">
        <f t="shared" ref="N156:N160" si="36">IF(E156&gt;D156,IF(F156&gt;H156,F156-H156,0),0)</f>
        <v>5.8900000000000006</v>
      </c>
      <c r="O156" s="46"/>
      <c r="P156" s="49">
        <f t="shared" ref="P156:P160" si="37">IF(E156&gt;D156,IF(F156&gt;H156,G156,E156-H156),0)</f>
        <v>5.9999999999999982</v>
      </c>
      <c r="Q156" s="34"/>
      <c r="R156" s="50">
        <f t="shared" ref="R156:R160" si="38">H156-L156</f>
        <v>18.11</v>
      </c>
      <c r="S156" s="46"/>
      <c r="T156" s="72">
        <f t="shared" ref="T156:T160" si="39">L156+N156+P156</f>
        <v>11.889999999999999</v>
      </c>
      <c r="U156" s="51">
        <f t="shared" ref="U156:U160" si="40">J156+L156</f>
        <v>0</v>
      </c>
      <c r="V156" s="37" t="str">
        <f t="shared" ref="V156:V160" si="41">IF(R156+T156=E156,"ok","bad")</f>
        <v>ok</v>
      </c>
      <c r="W156" s="37" t="str">
        <f t="shared" ref="W156:W160" si="42">IF(U156+R156=D156,"ok","bad")</f>
        <v>ok</v>
      </c>
    </row>
    <row r="157" spans="2:23" x14ac:dyDescent="0.25">
      <c r="B157" s="38" t="s">
        <v>20</v>
      </c>
      <c r="C157" s="39">
        <v>12</v>
      </c>
      <c r="D157" s="40">
        <v>14.22</v>
      </c>
      <c r="E157" s="41">
        <v>23</v>
      </c>
      <c r="F157" s="42">
        <f t="shared" si="11"/>
        <v>18.400000000000002</v>
      </c>
      <c r="G157" s="43">
        <f t="shared" si="12"/>
        <v>4.5999999999999988</v>
      </c>
      <c r="H157" s="44">
        <f t="shared" si="33"/>
        <v>14.22</v>
      </c>
      <c r="I157" s="34"/>
      <c r="J157" s="45">
        <f t="shared" si="34"/>
        <v>0</v>
      </c>
      <c r="K157" s="46"/>
      <c r="L157" s="47">
        <f t="shared" si="35"/>
        <v>0</v>
      </c>
      <c r="M157" s="46"/>
      <c r="N157" s="48">
        <f t="shared" si="36"/>
        <v>4.1800000000000015</v>
      </c>
      <c r="O157" s="46"/>
      <c r="P157" s="49">
        <f t="shared" si="37"/>
        <v>4.5999999999999988</v>
      </c>
      <c r="Q157" s="34"/>
      <c r="R157" s="50">
        <f t="shared" si="38"/>
        <v>14.22</v>
      </c>
      <c r="S157" s="46"/>
      <c r="T157" s="72">
        <f t="shared" si="39"/>
        <v>8.7800000000000011</v>
      </c>
      <c r="U157" s="51">
        <f t="shared" si="40"/>
        <v>0</v>
      </c>
      <c r="V157" s="37" t="str">
        <f t="shared" si="41"/>
        <v>ok</v>
      </c>
      <c r="W157" s="37" t="str">
        <f t="shared" si="42"/>
        <v>ok</v>
      </c>
    </row>
    <row r="158" spans="2:23" x14ac:dyDescent="0.25">
      <c r="B158" s="38" t="s">
        <v>21</v>
      </c>
      <c r="C158" s="39">
        <v>13</v>
      </c>
      <c r="D158" s="40">
        <v>6.22</v>
      </c>
      <c r="E158" s="41">
        <v>11</v>
      </c>
      <c r="F158" s="42">
        <f t="shared" si="11"/>
        <v>8.8000000000000007</v>
      </c>
      <c r="G158" s="43">
        <f t="shared" si="12"/>
        <v>2.1999999999999993</v>
      </c>
      <c r="H158" s="44">
        <f t="shared" si="33"/>
        <v>6.22</v>
      </c>
      <c r="I158" s="34"/>
      <c r="J158" s="45">
        <f t="shared" si="34"/>
        <v>0</v>
      </c>
      <c r="K158" s="46"/>
      <c r="L158" s="47">
        <f t="shared" si="35"/>
        <v>0</v>
      </c>
      <c r="M158" s="46"/>
      <c r="N158" s="48">
        <f t="shared" si="36"/>
        <v>2.580000000000001</v>
      </c>
      <c r="O158" s="46"/>
      <c r="P158" s="49">
        <f t="shared" si="37"/>
        <v>2.1999999999999993</v>
      </c>
      <c r="Q158" s="34"/>
      <c r="R158" s="50">
        <f t="shared" si="38"/>
        <v>6.22</v>
      </c>
      <c r="S158" s="46"/>
      <c r="T158" s="72">
        <f t="shared" si="39"/>
        <v>4.78</v>
      </c>
      <c r="U158" s="51">
        <f t="shared" si="40"/>
        <v>0</v>
      </c>
      <c r="V158" s="37" t="str">
        <f t="shared" si="41"/>
        <v>ok</v>
      </c>
      <c r="W158" s="37" t="str">
        <f t="shared" si="42"/>
        <v>ok</v>
      </c>
    </row>
    <row r="159" spans="2:23" x14ac:dyDescent="0.25">
      <c r="B159" s="38" t="s">
        <v>22</v>
      </c>
      <c r="C159" s="39">
        <v>14</v>
      </c>
      <c r="D159" s="40">
        <v>4.34</v>
      </c>
      <c r="E159" s="41">
        <v>18.5</v>
      </c>
      <c r="F159" s="42">
        <f t="shared" si="11"/>
        <v>14.8</v>
      </c>
      <c r="G159" s="43">
        <f t="shared" si="12"/>
        <v>3.6999999999999993</v>
      </c>
      <c r="H159" s="44">
        <f t="shared" si="33"/>
        <v>4.34</v>
      </c>
      <c r="I159" s="34"/>
      <c r="J159" s="45">
        <f t="shared" si="34"/>
        <v>0</v>
      </c>
      <c r="K159" s="46"/>
      <c r="L159" s="47">
        <f t="shared" si="35"/>
        <v>0</v>
      </c>
      <c r="M159" s="46"/>
      <c r="N159" s="48">
        <f t="shared" si="36"/>
        <v>10.46</v>
      </c>
      <c r="O159" s="46"/>
      <c r="P159" s="49">
        <f t="shared" si="37"/>
        <v>3.6999999999999993</v>
      </c>
      <c r="Q159" s="34"/>
      <c r="R159" s="50">
        <f t="shared" si="38"/>
        <v>4.34</v>
      </c>
      <c r="S159" s="46"/>
      <c r="T159" s="72">
        <f t="shared" si="39"/>
        <v>14.16</v>
      </c>
      <c r="U159" s="51">
        <f t="shared" si="40"/>
        <v>0</v>
      </c>
      <c r="V159" s="37" t="str">
        <f t="shared" si="41"/>
        <v>ok</v>
      </c>
      <c r="W159" s="37" t="str">
        <f t="shared" si="42"/>
        <v>ok</v>
      </c>
    </row>
    <row r="160" spans="2:23" x14ac:dyDescent="0.25">
      <c r="B160" s="38" t="s">
        <v>23</v>
      </c>
      <c r="C160" s="39">
        <v>15</v>
      </c>
      <c r="D160" s="40">
        <v>9</v>
      </c>
      <c r="E160" s="41">
        <v>22</v>
      </c>
      <c r="F160" s="42">
        <f t="shared" si="11"/>
        <v>17.600000000000001</v>
      </c>
      <c r="G160" s="43">
        <f t="shared" si="12"/>
        <v>4.3999999999999986</v>
      </c>
      <c r="H160" s="44">
        <f t="shared" si="33"/>
        <v>9</v>
      </c>
      <c r="I160" s="34"/>
      <c r="J160" s="45">
        <f t="shared" si="34"/>
        <v>0</v>
      </c>
      <c r="K160" s="46"/>
      <c r="L160" s="47">
        <f t="shared" si="35"/>
        <v>0</v>
      </c>
      <c r="M160" s="46"/>
      <c r="N160" s="48">
        <f t="shared" si="36"/>
        <v>8.6000000000000014</v>
      </c>
      <c r="O160" s="46"/>
      <c r="P160" s="49">
        <f t="shared" si="37"/>
        <v>4.3999999999999986</v>
      </c>
      <c r="Q160" s="34"/>
      <c r="R160" s="50">
        <f t="shared" si="38"/>
        <v>9</v>
      </c>
      <c r="S160" s="46"/>
      <c r="T160" s="72">
        <f t="shared" si="39"/>
        <v>13</v>
      </c>
      <c r="U160" s="51">
        <f t="shared" si="40"/>
        <v>0</v>
      </c>
      <c r="V160" s="37" t="str">
        <f t="shared" si="41"/>
        <v>ok</v>
      </c>
      <c r="W160" s="37" t="str">
        <f t="shared" si="42"/>
        <v>ok</v>
      </c>
    </row>
    <row r="161" spans="2:23" x14ac:dyDescent="0.25">
      <c r="B161" s="38" t="s">
        <v>19</v>
      </c>
      <c r="C161" s="39">
        <v>16</v>
      </c>
      <c r="D161" s="40">
        <v>36.119999999999997</v>
      </c>
      <c r="E161" s="41">
        <v>24.75</v>
      </c>
      <c r="F161" s="42">
        <f t="shared" si="11"/>
        <v>19.8</v>
      </c>
      <c r="G161" s="43">
        <f t="shared" si="12"/>
        <v>4.9499999999999993</v>
      </c>
      <c r="H161" s="44">
        <f t="shared" ref="H161:H165" si="43">IF(E161&gt;D161,D161,E161)</f>
        <v>24.75</v>
      </c>
      <c r="I161" s="34"/>
      <c r="J161" s="45">
        <f t="shared" ref="J161:J165" si="44">IF(E161&gt;D161,0,D161-E161)</f>
        <v>11.369999999999997</v>
      </c>
      <c r="K161" s="46"/>
      <c r="L161" s="47">
        <f t="shared" ref="L161:L165" si="45">IF(E161&gt;D161,IF(F161&gt;H161,0,H161-F161),G161)</f>
        <v>4.9499999999999993</v>
      </c>
      <c r="M161" s="46"/>
      <c r="N161" s="48">
        <f t="shared" ref="N161:N165" si="46">IF(E161&gt;D161,IF(F161&gt;H161,F161-H161,0),0)</f>
        <v>0</v>
      </c>
      <c r="O161" s="46"/>
      <c r="P161" s="49">
        <f t="shared" ref="P161:P165" si="47">IF(E161&gt;D161,IF(F161&gt;H161,G161,E161-H161),0)</f>
        <v>0</v>
      </c>
      <c r="Q161" s="34"/>
      <c r="R161" s="50">
        <f t="shared" ref="R161:R165" si="48">H161-L161</f>
        <v>19.8</v>
      </c>
      <c r="S161" s="46"/>
      <c r="T161" s="72">
        <f t="shared" ref="T161:T165" si="49">L161+N161+P161</f>
        <v>4.9499999999999993</v>
      </c>
      <c r="U161" s="51">
        <f t="shared" ref="U161:U165" si="50">J161+L161</f>
        <v>16.319999999999997</v>
      </c>
      <c r="V161" s="37" t="str">
        <f t="shared" ref="V161:V165" si="51">IF(R161+T161=E161,"ok","bad")</f>
        <v>ok</v>
      </c>
      <c r="W161" s="37" t="str">
        <f t="shared" ref="W161:W165" si="52">IF(U161+R161=D161,"ok","bad")</f>
        <v>ok</v>
      </c>
    </row>
    <row r="162" spans="2:23" x14ac:dyDescent="0.25">
      <c r="B162" s="38" t="s">
        <v>20</v>
      </c>
      <c r="C162" s="39">
        <v>17</v>
      </c>
      <c r="D162" s="40">
        <v>29.4</v>
      </c>
      <c r="E162" s="41">
        <v>15.68</v>
      </c>
      <c r="F162" s="42">
        <f t="shared" si="11"/>
        <v>12.544</v>
      </c>
      <c r="G162" s="43">
        <f t="shared" si="12"/>
        <v>3.1359999999999992</v>
      </c>
      <c r="H162" s="44">
        <f t="shared" si="43"/>
        <v>15.68</v>
      </c>
      <c r="I162" s="34"/>
      <c r="J162" s="45">
        <f t="shared" si="44"/>
        <v>13.719999999999999</v>
      </c>
      <c r="K162" s="46"/>
      <c r="L162" s="47">
        <f t="shared" si="45"/>
        <v>3.1359999999999992</v>
      </c>
      <c r="M162" s="46"/>
      <c r="N162" s="48">
        <f t="shared" si="46"/>
        <v>0</v>
      </c>
      <c r="O162" s="46"/>
      <c r="P162" s="49">
        <f t="shared" si="47"/>
        <v>0</v>
      </c>
      <c r="Q162" s="34"/>
      <c r="R162" s="50">
        <f t="shared" si="48"/>
        <v>12.544</v>
      </c>
      <c r="S162" s="46"/>
      <c r="T162" s="72">
        <f t="shared" si="49"/>
        <v>3.1359999999999992</v>
      </c>
      <c r="U162" s="51">
        <f t="shared" si="50"/>
        <v>16.855999999999998</v>
      </c>
      <c r="V162" s="37" t="str">
        <f t="shared" si="51"/>
        <v>ok</v>
      </c>
      <c r="W162" s="37" t="str">
        <f t="shared" si="52"/>
        <v>ok</v>
      </c>
    </row>
    <row r="163" spans="2:23" x14ac:dyDescent="0.25">
      <c r="B163" s="38" t="s">
        <v>21</v>
      </c>
      <c r="C163" s="39">
        <v>18</v>
      </c>
      <c r="D163" s="40">
        <v>16.940000000000001</v>
      </c>
      <c r="E163" s="41">
        <v>7.43</v>
      </c>
      <c r="F163" s="42">
        <f t="shared" si="11"/>
        <v>5.944</v>
      </c>
      <c r="G163" s="43">
        <f t="shared" si="12"/>
        <v>1.4859999999999995</v>
      </c>
      <c r="H163" s="44">
        <f t="shared" si="43"/>
        <v>7.43</v>
      </c>
      <c r="I163" s="34"/>
      <c r="J163" s="45">
        <f t="shared" si="44"/>
        <v>9.5100000000000016</v>
      </c>
      <c r="K163" s="46"/>
      <c r="L163" s="47">
        <f t="shared" si="45"/>
        <v>1.4859999999999995</v>
      </c>
      <c r="M163" s="46"/>
      <c r="N163" s="48">
        <f t="shared" si="46"/>
        <v>0</v>
      </c>
      <c r="O163" s="46"/>
      <c r="P163" s="49">
        <f t="shared" si="47"/>
        <v>0</v>
      </c>
      <c r="Q163" s="34"/>
      <c r="R163" s="50">
        <f t="shared" si="48"/>
        <v>5.944</v>
      </c>
      <c r="S163" s="46"/>
      <c r="T163" s="72">
        <f t="shared" si="49"/>
        <v>1.4859999999999995</v>
      </c>
      <c r="U163" s="51">
        <f t="shared" si="50"/>
        <v>10.996</v>
      </c>
      <c r="V163" s="37" t="str">
        <f t="shared" si="51"/>
        <v>ok</v>
      </c>
      <c r="W163" s="37" t="str">
        <f t="shared" si="52"/>
        <v>ok</v>
      </c>
    </row>
    <row r="164" spans="2:23" x14ac:dyDescent="0.25">
      <c r="B164" s="38" t="s">
        <v>22</v>
      </c>
      <c r="C164" s="39">
        <v>19</v>
      </c>
      <c r="D164" s="40">
        <v>13.87</v>
      </c>
      <c r="E164" s="41">
        <v>9.9</v>
      </c>
      <c r="F164" s="42">
        <f t="shared" si="11"/>
        <v>7.9200000000000008</v>
      </c>
      <c r="G164" s="43">
        <f t="shared" si="12"/>
        <v>1.9799999999999995</v>
      </c>
      <c r="H164" s="44">
        <f t="shared" si="43"/>
        <v>9.9</v>
      </c>
      <c r="I164" s="34"/>
      <c r="J164" s="45">
        <f t="shared" si="44"/>
        <v>3.9699999999999989</v>
      </c>
      <c r="K164" s="46"/>
      <c r="L164" s="47">
        <f t="shared" si="45"/>
        <v>1.9799999999999995</v>
      </c>
      <c r="M164" s="46"/>
      <c r="N164" s="48">
        <f t="shared" si="46"/>
        <v>0</v>
      </c>
      <c r="O164" s="46"/>
      <c r="P164" s="49">
        <f t="shared" si="47"/>
        <v>0</v>
      </c>
      <c r="Q164" s="34"/>
      <c r="R164" s="50">
        <f t="shared" si="48"/>
        <v>7.9200000000000008</v>
      </c>
      <c r="S164" s="46"/>
      <c r="T164" s="72">
        <f t="shared" si="49"/>
        <v>1.9799999999999995</v>
      </c>
      <c r="U164" s="51">
        <f t="shared" si="50"/>
        <v>5.9499999999999984</v>
      </c>
      <c r="V164" s="37" t="str">
        <f t="shared" si="51"/>
        <v>ok</v>
      </c>
      <c r="W164" s="37" t="str">
        <f t="shared" si="52"/>
        <v>ok</v>
      </c>
    </row>
    <row r="165" spans="2:23" x14ac:dyDescent="0.25">
      <c r="B165" s="38" t="s">
        <v>23</v>
      </c>
      <c r="C165" s="39">
        <v>20</v>
      </c>
      <c r="D165" s="40">
        <v>26.05</v>
      </c>
      <c r="E165" s="41">
        <v>15.68</v>
      </c>
      <c r="F165" s="42">
        <f t="shared" si="11"/>
        <v>12.544</v>
      </c>
      <c r="G165" s="43">
        <f t="shared" si="12"/>
        <v>3.1359999999999992</v>
      </c>
      <c r="H165" s="44">
        <f t="shared" si="43"/>
        <v>15.68</v>
      </c>
      <c r="I165" s="34"/>
      <c r="J165" s="45">
        <f t="shared" si="44"/>
        <v>10.370000000000001</v>
      </c>
      <c r="K165" s="46"/>
      <c r="L165" s="47">
        <f t="shared" si="45"/>
        <v>3.1359999999999992</v>
      </c>
      <c r="M165" s="46"/>
      <c r="N165" s="48">
        <f t="shared" si="46"/>
        <v>0</v>
      </c>
      <c r="O165" s="46"/>
      <c r="P165" s="49">
        <f t="shared" si="47"/>
        <v>0</v>
      </c>
      <c r="Q165" s="34"/>
      <c r="R165" s="50">
        <f t="shared" si="48"/>
        <v>12.544</v>
      </c>
      <c r="S165" s="46"/>
      <c r="T165" s="72">
        <f t="shared" si="49"/>
        <v>3.1359999999999992</v>
      </c>
      <c r="U165" s="51">
        <f t="shared" si="50"/>
        <v>13.506</v>
      </c>
      <c r="V165" s="37" t="str">
        <f t="shared" si="51"/>
        <v>ok</v>
      </c>
      <c r="W165" s="37" t="str">
        <f t="shared" si="52"/>
        <v>ok</v>
      </c>
    </row>
    <row r="166" spans="2:23" x14ac:dyDescent="0.25">
      <c r="B166" s="38" t="s">
        <v>19</v>
      </c>
      <c r="C166" s="39">
        <v>21</v>
      </c>
      <c r="D166" s="40">
        <v>43.34</v>
      </c>
      <c r="E166" s="41">
        <v>30</v>
      </c>
      <c r="F166" s="42">
        <f t="shared" si="11"/>
        <v>24</v>
      </c>
      <c r="G166" s="43">
        <f t="shared" si="12"/>
        <v>5.9999999999999982</v>
      </c>
      <c r="H166" s="44">
        <f t="shared" ref="H166:H168" si="53">IF(E166&gt;D166,D166,E166)</f>
        <v>30</v>
      </c>
      <c r="I166" s="34"/>
      <c r="J166" s="45">
        <f t="shared" ref="J166:J168" si="54">IF(E166&gt;D166,0,D166-E166)</f>
        <v>13.340000000000003</v>
      </c>
      <c r="K166" s="46"/>
      <c r="L166" s="47">
        <f t="shared" ref="L166:L168" si="55">IF(E166&gt;D166,IF(F166&gt;H166,0,H166-F166),G166)</f>
        <v>5.9999999999999982</v>
      </c>
      <c r="M166" s="46"/>
      <c r="N166" s="48">
        <f t="shared" ref="N166:N168" si="56">IF(E166&gt;D166,IF(F166&gt;H166,F166-H166,0),0)</f>
        <v>0</v>
      </c>
      <c r="O166" s="46"/>
      <c r="P166" s="49">
        <f t="shared" ref="P166:P168" si="57">IF(E166&gt;D166,IF(F166&gt;H166,G166,E166-H166),0)</f>
        <v>0</v>
      </c>
      <c r="Q166" s="34"/>
      <c r="R166" s="50">
        <f t="shared" ref="R166:R168" si="58">H166-L166</f>
        <v>24</v>
      </c>
      <c r="S166" s="46"/>
      <c r="T166" s="72">
        <f t="shared" ref="T166:T168" si="59">L166+N166+P166</f>
        <v>5.9999999999999982</v>
      </c>
      <c r="U166" s="51">
        <f t="shared" ref="U166:U168" si="60">J166+L166</f>
        <v>19.340000000000003</v>
      </c>
      <c r="V166" s="37" t="str">
        <f t="shared" ref="V166:V168" si="61">IF(R166+T166=E166,"ok","bad")</f>
        <v>ok</v>
      </c>
      <c r="W166" s="37" t="str">
        <f t="shared" ref="W166:W170" si="62">IF(U166+R166=D166,"ok","bad")</f>
        <v>ok</v>
      </c>
    </row>
    <row r="167" spans="2:23" x14ac:dyDescent="0.25">
      <c r="B167" s="38" t="s">
        <v>20</v>
      </c>
      <c r="C167" s="39">
        <v>22</v>
      </c>
      <c r="D167" s="40">
        <v>35.159999999999997</v>
      </c>
      <c r="E167" s="41">
        <v>21</v>
      </c>
      <c r="F167" s="42">
        <f t="shared" si="11"/>
        <v>16.8</v>
      </c>
      <c r="G167" s="43">
        <f t="shared" si="12"/>
        <v>4.1999999999999993</v>
      </c>
      <c r="H167" s="44">
        <f t="shared" si="53"/>
        <v>21</v>
      </c>
      <c r="I167" s="34"/>
      <c r="J167" s="45">
        <f t="shared" si="54"/>
        <v>14.159999999999997</v>
      </c>
      <c r="K167" s="46"/>
      <c r="L167" s="47">
        <f t="shared" si="55"/>
        <v>4.1999999999999993</v>
      </c>
      <c r="M167" s="46"/>
      <c r="N167" s="48">
        <f t="shared" si="56"/>
        <v>0</v>
      </c>
      <c r="O167" s="46"/>
      <c r="P167" s="49">
        <f t="shared" si="57"/>
        <v>0</v>
      </c>
      <c r="Q167" s="34"/>
      <c r="R167" s="50">
        <f t="shared" si="58"/>
        <v>16.8</v>
      </c>
      <c r="S167" s="46"/>
      <c r="T167" s="72">
        <f t="shared" si="59"/>
        <v>4.1999999999999993</v>
      </c>
      <c r="U167" s="51">
        <f t="shared" si="60"/>
        <v>18.359999999999996</v>
      </c>
      <c r="V167" s="37" t="str">
        <f t="shared" si="61"/>
        <v>ok</v>
      </c>
      <c r="W167" s="37" t="str">
        <f t="shared" si="62"/>
        <v>ok</v>
      </c>
    </row>
    <row r="168" spans="2:23" x14ac:dyDescent="0.25">
      <c r="B168" s="38" t="s">
        <v>21</v>
      </c>
      <c r="C168" s="39">
        <v>23</v>
      </c>
      <c r="D168" s="40">
        <v>20.329999999999998</v>
      </c>
      <c r="E168" s="41">
        <v>10</v>
      </c>
      <c r="F168" s="42">
        <f t="shared" si="11"/>
        <v>8</v>
      </c>
      <c r="G168" s="43">
        <f t="shared" si="12"/>
        <v>1.9999999999999996</v>
      </c>
      <c r="H168" s="44">
        <f t="shared" si="53"/>
        <v>10</v>
      </c>
      <c r="I168" s="34"/>
      <c r="J168" s="45">
        <f t="shared" si="54"/>
        <v>10.329999999999998</v>
      </c>
      <c r="K168" s="46"/>
      <c r="L168" s="47">
        <f t="shared" si="55"/>
        <v>1.9999999999999996</v>
      </c>
      <c r="M168" s="46"/>
      <c r="N168" s="48">
        <f t="shared" si="56"/>
        <v>0</v>
      </c>
      <c r="O168" s="46"/>
      <c r="P168" s="49">
        <f t="shared" si="57"/>
        <v>0</v>
      </c>
      <c r="Q168" s="34"/>
      <c r="R168" s="50">
        <f t="shared" si="58"/>
        <v>8</v>
      </c>
      <c r="S168" s="46"/>
      <c r="T168" s="72">
        <f t="shared" si="59"/>
        <v>1.9999999999999996</v>
      </c>
      <c r="U168" s="51">
        <f t="shared" si="60"/>
        <v>12.329999999999998</v>
      </c>
      <c r="V168" s="37" t="str">
        <f t="shared" si="61"/>
        <v>ok</v>
      </c>
      <c r="W168" s="37" t="str">
        <f t="shared" si="62"/>
        <v>ok</v>
      </c>
    </row>
    <row r="169" spans="2:23" ht="5.25" customHeight="1" x14ac:dyDescent="0.25">
      <c r="B169" s="33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55"/>
      <c r="Q169" s="34"/>
      <c r="R169" s="36"/>
      <c r="S169" s="34"/>
      <c r="T169" s="34"/>
      <c r="U169" s="34"/>
      <c r="V169" s="37"/>
      <c r="W169" s="37" t="str">
        <f t="shared" si="62"/>
        <v>ok</v>
      </c>
    </row>
    <row r="170" spans="2:23" ht="15.75" thickBot="1" x14ac:dyDescent="0.3">
      <c r="B170" s="56" t="s">
        <v>53</v>
      </c>
      <c r="C170" s="57"/>
      <c r="D170" s="58">
        <f>SUM(D146:D168)</f>
        <v>422.66</v>
      </c>
      <c r="E170" s="59">
        <f>SUM(E146:E168)</f>
        <v>448.89</v>
      </c>
      <c r="F170" s="60">
        <f>SUM(F146:F168)</f>
        <v>359.11200000000002</v>
      </c>
      <c r="G170" s="61">
        <f>SUM(G146:G168)</f>
        <v>89.777999999999977</v>
      </c>
      <c r="H170" s="62">
        <f>SUM(H146:H168)</f>
        <v>319.66000000000003</v>
      </c>
      <c r="I170" s="63"/>
      <c r="J170" s="64">
        <f>SUM(J146:J168)</f>
        <v>103</v>
      </c>
      <c r="K170" s="65"/>
      <c r="L170" s="66">
        <f>SUM(L146:L168)</f>
        <v>40.988</v>
      </c>
      <c r="M170" s="65"/>
      <c r="N170" s="67">
        <f>SUM(N146:N168)</f>
        <v>80.440000000000026</v>
      </c>
      <c r="O170" s="65"/>
      <c r="P170" s="68">
        <f>SUM(P146:P168)</f>
        <v>48.79</v>
      </c>
      <c r="Q170" s="63"/>
      <c r="R170" s="69">
        <f>SUM(R146:R168)</f>
        <v>278.67200000000003</v>
      </c>
      <c r="S170" s="65"/>
      <c r="T170" s="72">
        <f>SUM(T146:T168)</f>
        <v>170.21799999999996</v>
      </c>
      <c r="U170" s="51">
        <f>SUM(U146:U168)</f>
        <v>143.988</v>
      </c>
      <c r="V170" s="37" t="str">
        <f t="shared" ref="V170" si="63">IF(R170+T170=E170,"ok","bad")</f>
        <v>ok</v>
      </c>
      <c r="W170" s="37" t="str">
        <f t="shared" si="62"/>
        <v>ok</v>
      </c>
    </row>
    <row r="171" spans="2:23" s="75" customFormat="1" x14ac:dyDescent="0.25">
      <c r="B171" s="73" t="s">
        <v>54</v>
      </c>
      <c r="C171" s="73"/>
      <c r="D171" s="74">
        <f>AVERAGE(D146:D168)</f>
        <v>18.376521739130435</v>
      </c>
      <c r="E171" s="74">
        <f>AVERAGE(E146:E168)</f>
        <v>19.516956521739129</v>
      </c>
      <c r="F171" s="74">
        <f>AVERAGE(F146:F168)</f>
        <v>15.613565217391306</v>
      </c>
      <c r="G171" s="74">
        <f>AVERAGE(G146:G168)</f>
        <v>3.9033913043478252</v>
      </c>
      <c r="H171" s="74">
        <f>AVERAGE(H146:H168)</f>
        <v>13.898260869565219</v>
      </c>
      <c r="I171" s="74"/>
      <c r="J171" s="74">
        <f>AVERAGE(J146:J168)</f>
        <v>4.4782608695652177</v>
      </c>
      <c r="K171" s="74"/>
      <c r="L171" s="74">
        <f>AVERAGE(L146:L168)</f>
        <v>1.7820869565217392</v>
      </c>
      <c r="M171" s="74"/>
      <c r="N171" s="74">
        <f>AVERAGE(N146:N168)</f>
        <v>3.4973913043478273</v>
      </c>
      <c r="O171" s="74"/>
      <c r="P171" s="74">
        <f>AVERAGE(P146:P168)</f>
        <v>2.1213043478260869</v>
      </c>
      <c r="Q171" s="74"/>
      <c r="R171" s="74">
        <f>AVERAGE(R146:R168)</f>
        <v>12.116173913043479</v>
      </c>
      <c r="S171" s="74"/>
      <c r="T171" s="74">
        <f>AVERAGE(T146:T168)</f>
        <v>7.4007826086956507</v>
      </c>
      <c r="U171" s="74">
        <f>AVERAGE(U146:U168)</f>
        <v>6.2603478260869565</v>
      </c>
      <c r="V171" s="73"/>
      <c r="W171" s="73"/>
    </row>
  </sheetData>
  <mergeCells count="1">
    <mergeCell ref="D3: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"/>
  <sheetViews>
    <sheetView topLeftCell="A88" zoomScale="82" zoomScaleNormal="82" workbookViewId="0">
      <selection activeCell="F11" sqref="F11"/>
    </sheetView>
  </sheetViews>
  <sheetFormatPr baseColWidth="10" defaultRowHeight="15" x14ac:dyDescent="0.25"/>
  <cols>
    <col min="3" max="3" width="3.42578125" bestFit="1" customWidth="1"/>
    <col min="4" max="4" width="11.85546875" customWidth="1"/>
    <col min="9" max="9" width="0.85546875" customWidth="1"/>
    <col min="11" max="11" width="0.85546875" customWidth="1"/>
    <col min="13" max="13" width="0.85546875" customWidth="1"/>
    <col min="15" max="15" width="0.85546875" customWidth="1"/>
    <col min="17" max="17" width="0.85546875" customWidth="1"/>
    <col min="19" max="19" width="0.85546875" customWidth="1"/>
  </cols>
  <sheetData>
    <row r="1" spans="1:23" x14ac:dyDescent="0.25">
      <c r="A1" s="2" t="s">
        <v>56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3" spans="1:23" ht="15.75" thickBot="1" x14ac:dyDescent="0.3"/>
    <row r="4" spans="1:23" ht="51.75" thickBot="1" x14ac:dyDescent="0.3">
      <c r="B4" s="17"/>
      <c r="C4" s="18"/>
      <c r="D4" s="19" t="s">
        <v>40</v>
      </c>
      <c r="E4" s="20" t="s">
        <v>41</v>
      </c>
      <c r="F4" s="21" t="s">
        <v>42</v>
      </c>
      <c r="G4" s="22" t="s">
        <v>43</v>
      </c>
      <c r="H4" s="23" t="s">
        <v>44</v>
      </c>
      <c r="I4" s="24"/>
      <c r="J4" s="25" t="s">
        <v>45</v>
      </c>
      <c r="K4" s="26"/>
      <c r="L4" s="27" t="s">
        <v>46</v>
      </c>
      <c r="M4" s="26"/>
      <c r="N4" s="28" t="s">
        <v>47</v>
      </c>
      <c r="O4" s="26"/>
      <c r="P4" s="29" t="s">
        <v>48</v>
      </c>
      <c r="Q4" s="24"/>
      <c r="R4" s="30" t="s">
        <v>49</v>
      </c>
      <c r="S4" s="26"/>
      <c r="T4" s="70" t="s">
        <v>50</v>
      </c>
      <c r="U4" s="31" t="s">
        <v>51</v>
      </c>
      <c r="V4" s="32" t="s">
        <v>52</v>
      </c>
      <c r="W4" s="32"/>
    </row>
    <row r="5" spans="1:23" ht="4.5" customHeight="1" x14ac:dyDescent="0.25">
      <c r="B5" s="33"/>
      <c r="C5" s="34"/>
      <c r="D5" s="35"/>
      <c r="E5" s="35"/>
      <c r="F5" s="35"/>
      <c r="G5" s="35"/>
      <c r="H5" s="34"/>
      <c r="I5" s="34"/>
      <c r="J5" s="34"/>
      <c r="K5" s="34"/>
      <c r="L5" s="34"/>
      <c r="M5" s="34"/>
      <c r="N5" s="34"/>
      <c r="O5" s="34"/>
      <c r="P5" s="34"/>
      <c r="Q5" s="34"/>
      <c r="R5" s="36"/>
      <c r="S5" s="34"/>
      <c r="T5" s="34"/>
      <c r="U5" s="34"/>
      <c r="V5" s="37"/>
      <c r="W5" s="37"/>
    </row>
    <row r="6" spans="1:23" x14ac:dyDescent="0.25">
      <c r="B6" s="38" t="s">
        <v>19</v>
      </c>
      <c r="C6" s="39">
        <v>1</v>
      </c>
      <c r="D6" s="40">
        <v>18.11</v>
      </c>
      <c r="E6" s="41">
        <v>39</v>
      </c>
      <c r="F6" s="42">
        <f t="shared" ref="F6:F28" si="0">E6*TC</f>
        <v>31.200000000000003</v>
      </c>
      <c r="G6" s="43">
        <f t="shared" ref="G6:G28" si="1">E6*(1-TC)</f>
        <v>7.799999999999998</v>
      </c>
      <c r="H6" s="44">
        <f>IF(E6&gt;D6,D6,E6)</f>
        <v>18.11</v>
      </c>
      <c r="I6" s="34"/>
      <c r="J6" s="45">
        <f>IF(E6&gt;D6,0,D6-E6)</f>
        <v>0</v>
      </c>
      <c r="K6" s="46"/>
      <c r="L6" s="47">
        <f>IF(E6&gt;D6,IF(F6&gt;H6,0,H6-F6),G6)</f>
        <v>0</v>
      </c>
      <c r="M6" s="46"/>
      <c r="N6" s="48">
        <f>IF(E6&gt;D6,IF(F6&gt;H6,F6-H6,0),0)</f>
        <v>13.090000000000003</v>
      </c>
      <c r="O6" s="46"/>
      <c r="P6" s="49">
        <f>IF(E6&gt;D6,IF(F6&gt;H6,G6,E6-H6),0)</f>
        <v>7.799999999999998</v>
      </c>
      <c r="Q6" s="34"/>
      <c r="R6" s="50">
        <f>H6-L6</f>
        <v>18.11</v>
      </c>
      <c r="S6" s="46"/>
      <c r="T6" s="72">
        <f>L6+N6+P6</f>
        <v>20.89</v>
      </c>
      <c r="U6" s="51">
        <f>J6+L6</f>
        <v>0</v>
      </c>
      <c r="V6" s="37" t="str">
        <f>IF(R6+T6=E6,"ok","bad")</f>
        <v>ok</v>
      </c>
      <c r="W6" s="37" t="str">
        <f>IF(U6+R6=D6,"ok","bad")</f>
        <v>ok</v>
      </c>
    </row>
    <row r="7" spans="1:23" x14ac:dyDescent="0.25">
      <c r="B7" s="38" t="s">
        <v>20</v>
      </c>
      <c r="C7" s="39">
        <v>2</v>
      </c>
      <c r="D7" s="40">
        <v>14.22</v>
      </c>
      <c r="E7" s="41">
        <v>28.6</v>
      </c>
      <c r="F7" s="42">
        <f t="shared" si="0"/>
        <v>22.880000000000003</v>
      </c>
      <c r="G7" s="43">
        <f t="shared" si="1"/>
        <v>5.7199999999999989</v>
      </c>
      <c r="H7" s="44">
        <f t="shared" ref="H7:H28" si="2">IF(E7&gt;D7,D7,E7)</f>
        <v>14.22</v>
      </c>
      <c r="I7" s="34"/>
      <c r="J7" s="45">
        <f t="shared" ref="J7:J28" si="3">IF(E7&gt;D7,0,D7-E7)</f>
        <v>0</v>
      </c>
      <c r="K7" s="46"/>
      <c r="L7" s="47">
        <f t="shared" ref="L7:L28" si="4">IF(E7&gt;D7,IF(F7&gt;H7,0,H7-F7),G7)</f>
        <v>0</v>
      </c>
      <c r="M7" s="46"/>
      <c r="N7" s="48">
        <f t="shared" ref="N7:N28" si="5">IF(E7&gt;D7,IF(F7&gt;H7,F7-H7,0),0)</f>
        <v>8.6600000000000019</v>
      </c>
      <c r="O7" s="46"/>
      <c r="P7" s="49">
        <f t="shared" ref="P7:P28" si="6">IF(E7&gt;D7,IF(F7&gt;H7,G7,E7-H7),0)</f>
        <v>5.7199999999999989</v>
      </c>
      <c r="Q7" s="34"/>
      <c r="R7" s="50">
        <f t="shared" ref="R7:R28" si="7">H7-L7</f>
        <v>14.22</v>
      </c>
      <c r="S7" s="46"/>
      <c r="T7" s="72">
        <f t="shared" ref="T7:T28" si="8">L7+N7+P7</f>
        <v>14.38</v>
      </c>
      <c r="U7" s="51">
        <f t="shared" ref="U7:U28" si="9">J7+L7</f>
        <v>0</v>
      </c>
      <c r="V7" s="37" t="str">
        <f t="shared" ref="V7:V28" si="10">IF(R7+T7=E7,"ok","bad")</f>
        <v>ok</v>
      </c>
      <c r="W7" s="37" t="str">
        <f t="shared" ref="W7:W30" si="11">IF(U7+R7=D7,"ok","bad")</f>
        <v>ok</v>
      </c>
    </row>
    <row r="8" spans="1:23" x14ac:dyDescent="0.25">
      <c r="B8" s="38" t="s">
        <v>21</v>
      </c>
      <c r="C8" s="39">
        <v>3</v>
      </c>
      <c r="D8" s="40">
        <v>6.22</v>
      </c>
      <c r="E8" s="41">
        <v>11.7</v>
      </c>
      <c r="F8" s="42">
        <f t="shared" si="0"/>
        <v>9.36</v>
      </c>
      <c r="G8" s="43">
        <f t="shared" si="1"/>
        <v>2.3399999999999994</v>
      </c>
      <c r="H8" s="44">
        <f t="shared" si="2"/>
        <v>6.22</v>
      </c>
      <c r="I8" s="34"/>
      <c r="J8" s="45">
        <f t="shared" si="3"/>
        <v>0</v>
      </c>
      <c r="K8" s="46"/>
      <c r="L8" s="47">
        <f t="shared" si="4"/>
        <v>0</v>
      </c>
      <c r="M8" s="46"/>
      <c r="N8" s="48">
        <f t="shared" si="5"/>
        <v>3.1399999999999997</v>
      </c>
      <c r="O8" s="46"/>
      <c r="P8" s="49">
        <f t="shared" si="6"/>
        <v>2.3399999999999994</v>
      </c>
      <c r="Q8" s="34"/>
      <c r="R8" s="50">
        <f t="shared" si="7"/>
        <v>6.22</v>
      </c>
      <c r="S8" s="46"/>
      <c r="T8" s="72">
        <f t="shared" si="8"/>
        <v>5.4799999999999986</v>
      </c>
      <c r="U8" s="51">
        <f t="shared" si="9"/>
        <v>0</v>
      </c>
      <c r="V8" s="37" t="str">
        <f t="shared" si="10"/>
        <v>ok</v>
      </c>
      <c r="W8" s="37" t="str">
        <f t="shared" si="11"/>
        <v>ok</v>
      </c>
    </row>
    <row r="9" spans="1:23" x14ac:dyDescent="0.25">
      <c r="B9" s="38" t="s">
        <v>22</v>
      </c>
      <c r="C9" s="39">
        <v>4</v>
      </c>
      <c r="D9" s="40">
        <v>4.34</v>
      </c>
      <c r="E9" s="41">
        <v>17.55</v>
      </c>
      <c r="F9" s="42">
        <f t="shared" si="0"/>
        <v>14.040000000000001</v>
      </c>
      <c r="G9" s="43">
        <f t="shared" si="1"/>
        <v>3.5099999999999993</v>
      </c>
      <c r="H9" s="44">
        <f t="shared" si="2"/>
        <v>4.34</v>
      </c>
      <c r="I9" s="34"/>
      <c r="J9" s="45">
        <f t="shared" si="3"/>
        <v>0</v>
      </c>
      <c r="K9" s="46"/>
      <c r="L9" s="47">
        <f t="shared" si="4"/>
        <v>0</v>
      </c>
      <c r="M9" s="46"/>
      <c r="N9" s="48">
        <f t="shared" si="5"/>
        <v>9.7000000000000011</v>
      </c>
      <c r="O9" s="46"/>
      <c r="P9" s="49">
        <f t="shared" si="6"/>
        <v>3.5099999999999993</v>
      </c>
      <c r="Q9" s="34"/>
      <c r="R9" s="50">
        <f t="shared" si="7"/>
        <v>4.34</v>
      </c>
      <c r="S9" s="46"/>
      <c r="T9" s="72">
        <f t="shared" si="8"/>
        <v>13.21</v>
      </c>
      <c r="U9" s="51">
        <f t="shared" si="9"/>
        <v>0</v>
      </c>
      <c r="V9" s="37" t="str">
        <f t="shared" si="10"/>
        <v>ok</v>
      </c>
      <c r="W9" s="37" t="str">
        <f t="shared" si="11"/>
        <v>ok</v>
      </c>
    </row>
    <row r="10" spans="1:23" x14ac:dyDescent="0.25">
      <c r="B10" s="38" t="s">
        <v>23</v>
      </c>
      <c r="C10" s="39">
        <v>5</v>
      </c>
      <c r="D10" s="40">
        <v>9</v>
      </c>
      <c r="E10" s="41">
        <v>28.6</v>
      </c>
      <c r="F10" s="42">
        <f t="shared" si="0"/>
        <v>22.880000000000003</v>
      </c>
      <c r="G10" s="43">
        <f t="shared" si="1"/>
        <v>5.7199999999999989</v>
      </c>
      <c r="H10" s="44">
        <f t="shared" si="2"/>
        <v>9</v>
      </c>
      <c r="I10" s="34"/>
      <c r="J10" s="45">
        <f t="shared" si="3"/>
        <v>0</v>
      </c>
      <c r="K10" s="46"/>
      <c r="L10" s="47">
        <f t="shared" si="4"/>
        <v>0</v>
      </c>
      <c r="M10" s="46"/>
      <c r="N10" s="48">
        <f t="shared" si="5"/>
        <v>13.880000000000003</v>
      </c>
      <c r="O10" s="46"/>
      <c r="P10" s="49">
        <f t="shared" si="6"/>
        <v>5.7199999999999989</v>
      </c>
      <c r="Q10" s="34"/>
      <c r="R10" s="50">
        <f t="shared" si="7"/>
        <v>9</v>
      </c>
      <c r="S10" s="46"/>
      <c r="T10" s="72">
        <f t="shared" si="8"/>
        <v>19.600000000000001</v>
      </c>
      <c r="U10" s="51">
        <f t="shared" si="9"/>
        <v>0</v>
      </c>
      <c r="V10" s="37" t="str">
        <f t="shared" si="10"/>
        <v>ok</v>
      </c>
      <c r="W10" s="37" t="str">
        <f t="shared" si="11"/>
        <v>ok</v>
      </c>
    </row>
    <row r="11" spans="1:23" x14ac:dyDescent="0.25">
      <c r="B11" s="38" t="s">
        <v>19</v>
      </c>
      <c r="C11" s="39">
        <v>6</v>
      </c>
      <c r="D11" s="40">
        <v>28.9</v>
      </c>
      <c r="E11" s="41">
        <v>20</v>
      </c>
      <c r="F11" s="42">
        <f t="shared" si="0"/>
        <v>16</v>
      </c>
      <c r="G11" s="43">
        <f t="shared" si="1"/>
        <v>3.9999999999999991</v>
      </c>
      <c r="H11" s="44">
        <f t="shared" si="2"/>
        <v>20</v>
      </c>
      <c r="I11" s="34"/>
      <c r="J11" s="45">
        <f t="shared" si="3"/>
        <v>8.8999999999999986</v>
      </c>
      <c r="K11" s="46"/>
      <c r="L11" s="47">
        <f t="shared" si="4"/>
        <v>3.9999999999999991</v>
      </c>
      <c r="M11" s="46"/>
      <c r="N11" s="48">
        <f t="shared" si="5"/>
        <v>0</v>
      </c>
      <c r="O11" s="46"/>
      <c r="P11" s="49">
        <f t="shared" si="6"/>
        <v>0</v>
      </c>
      <c r="Q11" s="34"/>
      <c r="R11" s="50">
        <f t="shared" si="7"/>
        <v>16</v>
      </c>
      <c r="S11" s="46"/>
      <c r="T11" s="72">
        <f t="shared" si="8"/>
        <v>3.9999999999999991</v>
      </c>
      <c r="U11" s="51">
        <f t="shared" si="9"/>
        <v>12.899999999999999</v>
      </c>
      <c r="V11" s="37" t="str">
        <f t="shared" si="10"/>
        <v>ok</v>
      </c>
      <c r="W11" s="37" t="str">
        <f t="shared" si="11"/>
        <v>ok</v>
      </c>
    </row>
    <row r="12" spans="1:23" x14ac:dyDescent="0.25">
      <c r="B12" s="38" t="s">
        <v>20</v>
      </c>
      <c r="C12" s="39">
        <v>7</v>
      </c>
      <c r="D12" s="40">
        <v>23.44</v>
      </c>
      <c r="E12" s="41">
        <v>20.5</v>
      </c>
      <c r="F12" s="42">
        <f t="shared" si="0"/>
        <v>16.400000000000002</v>
      </c>
      <c r="G12" s="43">
        <f t="shared" si="1"/>
        <v>4.0999999999999988</v>
      </c>
      <c r="H12" s="44">
        <f t="shared" si="2"/>
        <v>20.5</v>
      </c>
      <c r="I12" s="34"/>
      <c r="J12" s="45">
        <f t="shared" si="3"/>
        <v>2.9400000000000013</v>
      </c>
      <c r="K12" s="46"/>
      <c r="L12" s="47">
        <f t="shared" si="4"/>
        <v>4.0999999999999988</v>
      </c>
      <c r="M12" s="46"/>
      <c r="N12" s="48">
        <f t="shared" si="5"/>
        <v>0</v>
      </c>
      <c r="O12" s="46"/>
      <c r="P12" s="49">
        <f t="shared" si="6"/>
        <v>0</v>
      </c>
      <c r="Q12" s="34"/>
      <c r="R12" s="50">
        <f t="shared" si="7"/>
        <v>16.400000000000002</v>
      </c>
      <c r="S12" s="46"/>
      <c r="T12" s="72">
        <f t="shared" si="8"/>
        <v>4.0999999999999988</v>
      </c>
      <c r="U12" s="51">
        <f t="shared" si="9"/>
        <v>7.04</v>
      </c>
      <c r="V12" s="37" t="str">
        <f t="shared" si="10"/>
        <v>ok</v>
      </c>
      <c r="W12" s="37" t="str">
        <f t="shared" si="11"/>
        <v>ok</v>
      </c>
    </row>
    <row r="13" spans="1:23" x14ac:dyDescent="0.25">
      <c r="B13" s="38" t="s">
        <v>21</v>
      </c>
      <c r="C13" s="39">
        <v>8</v>
      </c>
      <c r="D13" s="40">
        <v>13.55</v>
      </c>
      <c r="E13" s="41">
        <v>11</v>
      </c>
      <c r="F13" s="42">
        <f t="shared" si="0"/>
        <v>8.8000000000000007</v>
      </c>
      <c r="G13" s="43">
        <f t="shared" si="1"/>
        <v>2.1999999999999993</v>
      </c>
      <c r="H13" s="44">
        <f t="shared" si="2"/>
        <v>11</v>
      </c>
      <c r="I13" s="34"/>
      <c r="J13" s="45">
        <f t="shared" si="3"/>
        <v>2.5500000000000007</v>
      </c>
      <c r="K13" s="46"/>
      <c r="L13" s="47">
        <f t="shared" si="4"/>
        <v>2.1999999999999993</v>
      </c>
      <c r="M13" s="46"/>
      <c r="N13" s="48">
        <f t="shared" si="5"/>
        <v>0</v>
      </c>
      <c r="O13" s="46"/>
      <c r="P13" s="49">
        <f t="shared" si="6"/>
        <v>0</v>
      </c>
      <c r="Q13" s="34"/>
      <c r="R13" s="50">
        <f t="shared" si="7"/>
        <v>8.8000000000000007</v>
      </c>
      <c r="S13" s="46"/>
      <c r="T13" s="72">
        <f t="shared" si="8"/>
        <v>2.1999999999999993</v>
      </c>
      <c r="U13" s="51">
        <f t="shared" si="9"/>
        <v>4.75</v>
      </c>
      <c r="V13" s="37" t="str">
        <f t="shared" si="10"/>
        <v>ok</v>
      </c>
      <c r="W13" s="37" t="str">
        <f t="shared" si="11"/>
        <v>ok</v>
      </c>
    </row>
    <row r="14" spans="1:23" x14ac:dyDescent="0.25">
      <c r="B14" s="38" t="s">
        <v>22</v>
      </c>
      <c r="C14" s="39">
        <v>9</v>
      </c>
      <c r="D14" s="40">
        <v>10.94</v>
      </c>
      <c r="E14" s="41">
        <v>14</v>
      </c>
      <c r="F14" s="42">
        <f t="shared" si="0"/>
        <v>11.200000000000001</v>
      </c>
      <c r="G14" s="43">
        <f t="shared" si="1"/>
        <v>2.7999999999999994</v>
      </c>
      <c r="H14" s="44">
        <f t="shared" si="2"/>
        <v>10.94</v>
      </c>
      <c r="I14" s="34"/>
      <c r="J14" s="45">
        <f t="shared" si="3"/>
        <v>0</v>
      </c>
      <c r="K14" s="46"/>
      <c r="L14" s="47">
        <f t="shared" si="4"/>
        <v>0</v>
      </c>
      <c r="M14" s="46"/>
      <c r="N14" s="48">
        <f t="shared" si="5"/>
        <v>0.26000000000000156</v>
      </c>
      <c r="O14" s="46"/>
      <c r="P14" s="49">
        <f t="shared" si="6"/>
        <v>2.7999999999999994</v>
      </c>
      <c r="Q14" s="34"/>
      <c r="R14" s="50">
        <f t="shared" si="7"/>
        <v>10.94</v>
      </c>
      <c r="S14" s="46"/>
      <c r="T14" s="72">
        <f t="shared" si="8"/>
        <v>3.0600000000000009</v>
      </c>
      <c r="U14" s="51">
        <f t="shared" si="9"/>
        <v>0</v>
      </c>
      <c r="V14" s="37" t="str">
        <f t="shared" si="10"/>
        <v>ok</v>
      </c>
      <c r="W14" s="37" t="str">
        <f t="shared" si="11"/>
        <v>ok</v>
      </c>
    </row>
    <row r="15" spans="1:23" x14ac:dyDescent="0.25">
      <c r="B15" s="38" t="s">
        <v>23</v>
      </c>
      <c r="C15" s="39">
        <v>10</v>
      </c>
      <c r="D15" s="40">
        <v>20.84</v>
      </c>
      <c r="E15" s="41">
        <v>19</v>
      </c>
      <c r="F15" s="42">
        <f t="shared" si="0"/>
        <v>15.200000000000001</v>
      </c>
      <c r="G15" s="43">
        <f t="shared" si="1"/>
        <v>3.7999999999999989</v>
      </c>
      <c r="H15" s="44">
        <f t="shared" si="2"/>
        <v>19</v>
      </c>
      <c r="I15" s="34"/>
      <c r="J15" s="45">
        <f t="shared" si="3"/>
        <v>1.8399999999999999</v>
      </c>
      <c r="K15" s="46"/>
      <c r="L15" s="47">
        <f t="shared" si="4"/>
        <v>3.7999999999999989</v>
      </c>
      <c r="M15" s="46"/>
      <c r="N15" s="48">
        <f t="shared" si="5"/>
        <v>0</v>
      </c>
      <c r="O15" s="46"/>
      <c r="P15" s="49">
        <f t="shared" si="6"/>
        <v>0</v>
      </c>
      <c r="Q15" s="34"/>
      <c r="R15" s="50">
        <f t="shared" si="7"/>
        <v>15.200000000000001</v>
      </c>
      <c r="S15" s="46"/>
      <c r="T15" s="72">
        <f t="shared" si="8"/>
        <v>3.7999999999999989</v>
      </c>
      <c r="U15" s="51">
        <f t="shared" si="9"/>
        <v>5.6399999999999988</v>
      </c>
      <c r="V15" s="37" t="str">
        <f t="shared" si="10"/>
        <v>ok</v>
      </c>
      <c r="W15" s="37" t="str">
        <f t="shared" si="11"/>
        <v>ok</v>
      </c>
    </row>
    <row r="16" spans="1:23" x14ac:dyDescent="0.25">
      <c r="B16" s="38" t="s">
        <v>19</v>
      </c>
      <c r="C16" s="39">
        <v>11</v>
      </c>
      <c r="D16" s="40">
        <v>18.11</v>
      </c>
      <c r="E16" s="41">
        <v>30</v>
      </c>
      <c r="F16" s="42">
        <f t="shared" si="0"/>
        <v>24</v>
      </c>
      <c r="G16" s="43">
        <f t="shared" si="1"/>
        <v>5.9999999999999982</v>
      </c>
      <c r="H16" s="44">
        <f t="shared" si="2"/>
        <v>18.11</v>
      </c>
      <c r="I16" s="34"/>
      <c r="J16" s="45">
        <f t="shared" si="3"/>
        <v>0</v>
      </c>
      <c r="K16" s="46"/>
      <c r="L16" s="47">
        <f t="shared" si="4"/>
        <v>0</v>
      </c>
      <c r="M16" s="46"/>
      <c r="N16" s="48">
        <f t="shared" si="5"/>
        <v>5.8900000000000006</v>
      </c>
      <c r="O16" s="46"/>
      <c r="P16" s="49">
        <f t="shared" si="6"/>
        <v>5.9999999999999982</v>
      </c>
      <c r="Q16" s="34"/>
      <c r="R16" s="50">
        <f t="shared" si="7"/>
        <v>18.11</v>
      </c>
      <c r="S16" s="46"/>
      <c r="T16" s="72">
        <f t="shared" si="8"/>
        <v>11.889999999999999</v>
      </c>
      <c r="U16" s="51">
        <f t="shared" si="9"/>
        <v>0</v>
      </c>
      <c r="V16" s="37" t="str">
        <f t="shared" si="10"/>
        <v>ok</v>
      </c>
      <c r="W16" s="37" t="str">
        <f t="shared" si="11"/>
        <v>ok</v>
      </c>
    </row>
    <row r="17" spans="2:23" x14ac:dyDescent="0.25">
      <c r="B17" s="38" t="s">
        <v>20</v>
      </c>
      <c r="C17" s="39">
        <v>12</v>
      </c>
      <c r="D17" s="40">
        <v>14.22</v>
      </c>
      <c r="E17" s="41">
        <v>23</v>
      </c>
      <c r="F17" s="42">
        <f t="shared" si="0"/>
        <v>18.400000000000002</v>
      </c>
      <c r="G17" s="43">
        <f t="shared" si="1"/>
        <v>4.5999999999999988</v>
      </c>
      <c r="H17" s="44">
        <f t="shared" si="2"/>
        <v>14.22</v>
      </c>
      <c r="I17" s="34"/>
      <c r="J17" s="45">
        <f t="shared" si="3"/>
        <v>0</v>
      </c>
      <c r="K17" s="46"/>
      <c r="L17" s="47">
        <f t="shared" si="4"/>
        <v>0</v>
      </c>
      <c r="M17" s="46"/>
      <c r="N17" s="48">
        <f t="shared" si="5"/>
        <v>4.1800000000000015</v>
      </c>
      <c r="O17" s="46"/>
      <c r="P17" s="49">
        <f t="shared" si="6"/>
        <v>4.5999999999999988</v>
      </c>
      <c r="Q17" s="34"/>
      <c r="R17" s="50">
        <f t="shared" si="7"/>
        <v>14.22</v>
      </c>
      <c r="S17" s="46"/>
      <c r="T17" s="72">
        <f t="shared" si="8"/>
        <v>8.7800000000000011</v>
      </c>
      <c r="U17" s="51">
        <f t="shared" si="9"/>
        <v>0</v>
      </c>
      <c r="V17" s="37" t="str">
        <f t="shared" si="10"/>
        <v>ok</v>
      </c>
      <c r="W17" s="37" t="str">
        <f t="shared" si="11"/>
        <v>ok</v>
      </c>
    </row>
    <row r="18" spans="2:23" x14ac:dyDescent="0.25">
      <c r="B18" s="38" t="s">
        <v>21</v>
      </c>
      <c r="C18" s="39">
        <v>13</v>
      </c>
      <c r="D18" s="40">
        <v>6.22</v>
      </c>
      <c r="E18" s="41">
        <v>11</v>
      </c>
      <c r="F18" s="42">
        <f t="shared" si="0"/>
        <v>8.8000000000000007</v>
      </c>
      <c r="G18" s="43">
        <f t="shared" si="1"/>
        <v>2.1999999999999993</v>
      </c>
      <c r="H18" s="44">
        <f t="shared" si="2"/>
        <v>6.22</v>
      </c>
      <c r="I18" s="34"/>
      <c r="J18" s="45">
        <f t="shared" si="3"/>
        <v>0</v>
      </c>
      <c r="K18" s="46"/>
      <c r="L18" s="47">
        <f t="shared" si="4"/>
        <v>0</v>
      </c>
      <c r="M18" s="46"/>
      <c r="N18" s="48">
        <f t="shared" si="5"/>
        <v>2.580000000000001</v>
      </c>
      <c r="O18" s="46"/>
      <c r="P18" s="49">
        <f t="shared" si="6"/>
        <v>2.1999999999999993</v>
      </c>
      <c r="Q18" s="34"/>
      <c r="R18" s="50">
        <f t="shared" si="7"/>
        <v>6.22</v>
      </c>
      <c r="S18" s="46"/>
      <c r="T18" s="72">
        <f t="shared" si="8"/>
        <v>4.78</v>
      </c>
      <c r="U18" s="51">
        <f t="shared" si="9"/>
        <v>0</v>
      </c>
      <c r="V18" s="37" t="str">
        <f t="shared" si="10"/>
        <v>ok</v>
      </c>
      <c r="W18" s="37" t="str">
        <f t="shared" si="11"/>
        <v>ok</v>
      </c>
    </row>
    <row r="19" spans="2:23" x14ac:dyDescent="0.25">
      <c r="B19" s="38" t="s">
        <v>22</v>
      </c>
      <c r="C19" s="39">
        <v>14</v>
      </c>
      <c r="D19" s="40">
        <v>4.34</v>
      </c>
      <c r="E19" s="41">
        <v>18.5</v>
      </c>
      <c r="F19" s="42">
        <f t="shared" si="0"/>
        <v>14.8</v>
      </c>
      <c r="G19" s="43">
        <f t="shared" si="1"/>
        <v>3.6999999999999993</v>
      </c>
      <c r="H19" s="44">
        <f t="shared" si="2"/>
        <v>4.34</v>
      </c>
      <c r="I19" s="34"/>
      <c r="J19" s="45">
        <f t="shared" si="3"/>
        <v>0</v>
      </c>
      <c r="K19" s="46"/>
      <c r="L19" s="47">
        <f t="shared" si="4"/>
        <v>0</v>
      </c>
      <c r="M19" s="46"/>
      <c r="N19" s="48">
        <f t="shared" si="5"/>
        <v>10.46</v>
      </c>
      <c r="O19" s="46"/>
      <c r="P19" s="49">
        <f t="shared" si="6"/>
        <v>3.6999999999999993</v>
      </c>
      <c r="Q19" s="34"/>
      <c r="R19" s="50">
        <f t="shared" si="7"/>
        <v>4.34</v>
      </c>
      <c r="S19" s="46"/>
      <c r="T19" s="72">
        <f t="shared" si="8"/>
        <v>14.16</v>
      </c>
      <c r="U19" s="51">
        <f t="shared" si="9"/>
        <v>0</v>
      </c>
      <c r="V19" s="37" t="str">
        <f t="shared" si="10"/>
        <v>ok</v>
      </c>
      <c r="W19" s="37" t="str">
        <f t="shared" si="11"/>
        <v>ok</v>
      </c>
    </row>
    <row r="20" spans="2:23" x14ac:dyDescent="0.25">
      <c r="B20" s="38" t="s">
        <v>23</v>
      </c>
      <c r="C20" s="39">
        <v>15</v>
      </c>
      <c r="D20" s="40">
        <v>9</v>
      </c>
      <c r="E20" s="41">
        <v>22</v>
      </c>
      <c r="F20" s="42">
        <f t="shared" si="0"/>
        <v>17.600000000000001</v>
      </c>
      <c r="G20" s="43">
        <f t="shared" si="1"/>
        <v>4.3999999999999986</v>
      </c>
      <c r="H20" s="44">
        <f t="shared" si="2"/>
        <v>9</v>
      </c>
      <c r="I20" s="34"/>
      <c r="J20" s="45">
        <f t="shared" si="3"/>
        <v>0</v>
      </c>
      <c r="K20" s="46"/>
      <c r="L20" s="47">
        <f t="shared" si="4"/>
        <v>0</v>
      </c>
      <c r="M20" s="46"/>
      <c r="N20" s="48">
        <f t="shared" si="5"/>
        <v>8.6000000000000014</v>
      </c>
      <c r="O20" s="46"/>
      <c r="P20" s="49">
        <f t="shared" si="6"/>
        <v>4.3999999999999986</v>
      </c>
      <c r="Q20" s="34"/>
      <c r="R20" s="50">
        <f t="shared" si="7"/>
        <v>9</v>
      </c>
      <c r="S20" s="46"/>
      <c r="T20" s="72">
        <f t="shared" si="8"/>
        <v>13</v>
      </c>
      <c r="U20" s="51">
        <f t="shared" si="9"/>
        <v>0</v>
      </c>
      <c r="V20" s="37" t="str">
        <f t="shared" si="10"/>
        <v>ok</v>
      </c>
      <c r="W20" s="37" t="str">
        <f t="shared" si="11"/>
        <v>ok</v>
      </c>
    </row>
    <row r="21" spans="2:23" x14ac:dyDescent="0.25">
      <c r="B21" s="38" t="s">
        <v>19</v>
      </c>
      <c r="C21" s="39">
        <v>16</v>
      </c>
      <c r="D21" s="40">
        <v>36.119999999999997</v>
      </c>
      <c r="E21" s="41">
        <v>24.75</v>
      </c>
      <c r="F21" s="42">
        <f t="shared" si="0"/>
        <v>19.8</v>
      </c>
      <c r="G21" s="43">
        <f t="shared" si="1"/>
        <v>4.9499999999999993</v>
      </c>
      <c r="H21" s="44">
        <f t="shared" si="2"/>
        <v>24.75</v>
      </c>
      <c r="I21" s="34"/>
      <c r="J21" s="45">
        <f t="shared" si="3"/>
        <v>11.369999999999997</v>
      </c>
      <c r="K21" s="46"/>
      <c r="L21" s="47">
        <f t="shared" si="4"/>
        <v>4.9499999999999993</v>
      </c>
      <c r="M21" s="46"/>
      <c r="N21" s="48">
        <f t="shared" si="5"/>
        <v>0</v>
      </c>
      <c r="O21" s="46"/>
      <c r="P21" s="49">
        <f t="shared" si="6"/>
        <v>0</v>
      </c>
      <c r="Q21" s="34"/>
      <c r="R21" s="50">
        <f t="shared" si="7"/>
        <v>19.8</v>
      </c>
      <c r="S21" s="46"/>
      <c r="T21" s="72">
        <f t="shared" si="8"/>
        <v>4.9499999999999993</v>
      </c>
      <c r="U21" s="51">
        <f t="shared" si="9"/>
        <v>16.319999999999997</v>
      </c>
      <c r="V21" s="37" t="str">
        <f t="shared" si="10"/>
        <v>ok</v>
      </c>
      <c r="W21" s="37" t="str">
        <f t="shared" si="11"/>
        <v>ok</v>
      </c>
    </row>
    <row r="22" spans="2:23" x14ac:dyDescent="0.25">
      <c r="B22" s="38" t="s">
        <v>20</v>
      </c>
      <c r="C22" s="39">
        <v>17</v>
      </c>
      <c r="D22" s="40">
        <v>29.4</v>
      </c>
      <c r="E22" s="41">
        <v>15.68</v>
      </c>
      <c r="F22" s="42">
        <f t="shared" si="0"/>
        <v>12.544</v>
      </c>
      <c r="G22" s="43">
        <f t="shared" si="1"/>
        <v>3.1359999999999992</v>
      </c>
      <c r="H22" s="44">
        <f t="shared" si="2"/>
        <v>15.68</v>
      </c>
      <c r="I22" s="34"/>
      <c r="J22" s="45">
        <f t="shared" si="3"/>
        <v>13.719999999999999</v>
      </c>
      <c r="K22" s="46"/>
      <c r="L22" s="47">
        <f t="shared" si="4"/>
        <v>3.1359999999999992</v>
      </c>
      <c r="M22" s="46"/>
      <c r="N22" s="48">
        <f t="shared" si="5"/>
        <v>0</v>
      </c>
      <c r="O22" s="46"/>
      <c r="P22" s="49">
        <f t="shared" si="6"/>
        <v>0</v>
      </c>
      <c r="Q22" s="34"/>
      <c r="R22" s="50">
        <f t="shared" si="7"/>
        <v>12.544</v>
      </c>
      <c r="S22" s="46"/>
      <c r="T22" s="72">
        <f t="shared" si="8"/>
        <v>3.1359999999999992</v>
      </c>
      <c r="U22" s="51">
        <f t="shared" si="9"/>
        <v>16.855999999999998</v>
      </c>
      <c r="V22" s="37" t="str">
        <f t="shared" si="10"/>
        <v>ok</v>
      </c>
      <c r="W22" s="37" t="str">
        <f t="shared" si="11"/>
        <v>ok</v>
      </c>
    </row>
    <row r="23" spans="2:23" x14ac:dyDescent="0.25">
      <c r="B23" s="38" t="s">
        <v>21</v>
      </c>
      <c r="C23" s="39">
        <v>18</v>
      </c>
      <c r="D23" s="40">
        <v>16.940000000000001</v>
      </c>
      <c r="E23" s="41">
        <v>7.43</v>
      </c>
      <c r="F23" s="42">
        <f t="shared" si="0"/>
        <v>5.944</v>
      </c>
      <c r="G23" s="43">
        <f t="shared" si="1"/>
        <v>1.4859999999999995</v>
      </c>
      <c r="H23" s="44">
        <f t="shared" si="2"/>
        <v>7.43</v>
      </c>
      <c r="I23" s="34"/>
      <c r="J23" s="45">
        <f t="shared" si="3"/>
        <v>9.5100000000000016</v>
      </c>
      <c r="K23" s="46"/>
      <c r="L23" s="47">
        <f t="shared" si="4"/>
        <v>1.4859999999999995</v>
      </c>
      <c r="M23" s="46"/>
      <c r="N23" s="48">
        <f t="shared" si="5"/>
        <v>0</v>
      </c>
      <c r="O23" s="46"/>
      <c r="P23" s="49">
        <f t="shared" si="6"/>
        <v>0</v>
      </c>
      <c r="Q23" s="34"/>
      <c r="R23" s="50">
        <f t="shared" si="7"/>
        <v>5.944</v>
      </c>
      <c r="S23" s="46"/>
      <c r="T23" s="72">
        <f t="shared" si="8"/>
        <v>1.4859999999999995</v>
      </c>
      <c r="U23" s="51">
        <f t="shared" si="9"/>
        <v>10.996</v>
      </c>
      <c r="V23" s="37" t="str">
        <f t="shared" si="10"/>
        <v>ok</v>
      </c>
      <c r="W23" s="37" t="str">
        <f t="shared" si="11"/>
        <v>ok</v>
      </c>
    </row>
    <row r="24" spans="2:23" x14ac:dyDescent="0.25">
      <c r="B24" s="38" t="s">
        <v>22</v>
      </c>
      <c r="C24" s="39">
        <v>19</v>
      </c>
      <c r="D24" s="40">
        <v>13.87</v>
      </c>
      <c r="E24" s="41">
        <v>9.9</v>
      </c>
      <c r="F24" s="42">
        <f t="shared" si="0"/>
        <v>7.9200000000000008</v>
      </c>
      <c r="G24" s="43">
        <f t="shared" si="1"/>
        <v>1.9799999999999995</v>
      </c>
      <c r="H24" s="44">
        <f t="shared" si="2"/>
        <v>9.9</v>
      </c>
      <c r="I24" s="34"/>
      <c r="J24" s="45">
        <f t="shared" si="3"/>
        <v>3.9699999999999989</v>
      </c>
      <c r="K24" s="46"/>
      <c r="L24" s="47">
        <f t="shared" si="4"/>
        <v>1.9799999999999995</v>
      </c>
      <c r="M24" s="46"/>
      <c r="N24" s="48">
        <f t="shared" si="5"/>
        <v>0</v>
      </c>
      <c r="O24" s="46"/>
      <c r="P24" s="49">
        <f t="shared" si="6"/>
        <v>0</v>
      </c>
      <c r="Q24" s="34"/>
      <c r="R24" s="50">
        <f t="shared" si="7"/>
        <v>7.9200000000000008</v>
      </c>
      <c r="S24" s="46"/>
      <c r="T24" s="72">
        <f t="shared" si="8"/>
        <v>1.9799999999999995</v>
      </c>
      <c r="U24" s="51">
        <f t="shared" si="9"/>
        <v>5.9499999999999984</v>
      </c>
      <c r="V24" s="37" t="str">
        <f t="shared" si="10"/>
        <v>ok</v>
      </c>
      <c r="W24" s="37" t="str">
        <f t="shared" si="11"/>
        <v>ok</v>
      </c>
    </row>
    <row r="25" spans="2:23" x14ac:dyDescent="0.25">
      <c r="B25" s="38" t="s">
        <v>23</v>
      </c>
      <c r="C25" s="39">
        <v>20</v>
      </c>
      <c r="D25" s="40">
        <v>26.05</v>
      </c>
      <c r="E25" s="41">
        <v>15.68</v>
      </c>
      <c r="F25" s="42">
        <f t="shared" si="0"/>
        <v>12.544</v>
      </c>
      <c r="G25" s="43">
        <f t="shared" si="1"/>
        <v>3.1359999999999992</v>
      </c>
      <c r="H25" s="44">
        <f t="shared" si="2"/>
        <v>15.68</v>
      </c>
      <c r="I25" s="34"/>
      <c r="J25" s="45">
        <f t="shared" si="3"/>
        <v>10.370000000000001</v>
      </c>
      <c r="K25" s="46"/>
      <c r="L25" s="47">
        <f t="shared" si="4"/>
        <v>3.1359999999999992</v>
      </c>
      <c r="M25" s="46"/>
      <c r="N25" s="48">
        <f t="shared" si="5"/>
        <v>0</v>
      </c>
      <c r="O25" s="46"/>
      <c r="P25" s="49">
        <f t="shared" si="6"/>
        <v>0</v>
      </c>
      <c r="Q25" s="34"/>
      <c r="R25" s="50">
        <f t="shared" si="7"/>
        <v>12.544</v>
      </c>
      <c r="S25" s="46"/>
      <c r="T25" s="72">
        <f t="shared" si="8"/>
        <v>3.1359999999999992</v>
      </c>
      <c r="U25" s="51">
        <f t="shared" si="9"/>
        <v>13.506</v>
      </c>
      <c r="V25" s="37" t="str">
        <f t="shared" si="10"/>
        <v>ok</v>
      </c>
      <c r="W25" s="37" t="str">
        <f t="shared" si="11"/>
        <v>ok</v>
      </c>
    </row>
    <row r="26" spans="2:23" x14ac:dyDescent="0.25">
      <c r="B26" s="38" t="s">
        <v>19</v>
      </c>
      <c r="C26" s="39">
        <v>21</v>
      </c>
      <c r="D26" s="40">
        <v>43.34</v>
      </c>
      <c r="E26" s="41">
        <v>30</v>
      </c>
      <c r="F26" s="42">
        <f t="shared" si="0"/>
        <v>24</v>
      </c>
      <c r="G26" s="43">
        <f t="shared" si="1"/>
        <v>5.9999999999999982</v>
      </c>
      <c r="H26" s="44">
        <f t="shared" si="2"/>
        <v>30</v>
      </c>
      <c r="I26" s="34"/>
      <c r="J26" s="45">
        <f t="shared" si="3"/>
        <v>13.340000000000003</v>
      </c>
      <c r="K26" s="46"/>
      <c r="L26" s="47">
        <f t="shared" si="4"/>
        <v>5.9999999999999982</v>
      </c>
      <c r="M26" s="46"/>
      <c r="N26" s="48">
        <f t="shared" si="5"/>
        <v>0</v>
      </c>
      <c r="O26" s="46"/>
      <c r="P26" s="49">
        <f t="shared" si="6"/>
        <v>0</v>
      </c>
      <c r="Q26" s="34"/>
      <c r="R26" s="50">
        <f t="shared" si="7"/>
        <v>24</v>
      </c>
      <c r="S26" s="46"/>
      <c r="T26" s="72">
        <f t="shared" si="8"/>
        <v>5.9999999999999982</v>
      </c>
      <c r="U26" s="51">
        <f t="shared" si="9"/>
        <v>19.340000000000003</v>
      </c>
      <c r="V26" s="37" t="str">
        <f t="shared" si="10"/>
        <v>ok</v>
      </c>
      <c r="W26" s="37" t="str">
        <f t="shared" si="11"/>
        <v>ok</v>
      </c>
    </row>
    <row r="27" spans="2:23" x14ac:dyDescent="0.25">
      <c r="B27" s="38" t="s">
        <v>20</v>
      </c>
      <c r="C27" s="39">
        <v>22</v>
      </c>
      <c r="D27" s="40">
        <v>35.159999999999997</v>
      </c>
      <c r="E27" s="41">
        <v>21</v>
      </c>
      <c r="F27" s="42">
        <f t="shared" si="0"/>
        <v>16.8</v>
      </c>
      <c r="G27" s="43">
        <f t="shared" si="1"/>
        <v>4.1999999999999993</v>
      </c>
      <c r="H27" s="44">
        <f t="shared" si="2"/>
        <v>21</v>
      </c>
      <c r="I27" s="34"/>
      <c r="J27" s="45">
        <f t="shared" si="3"/>
        <v>14.159999999999997</v>
      </c>
      <c r="K27" s="46"/>
      <c r="L27" s="47">
        <f t="shared" si="4"/>
        <v>4.1999999999999993</v>
      </c>
      <c r="M27" s="46"/>
      <c r="N27" s="48">
        <f t="shared" si="5"/>
        <v>0</v>
      </c>
      <c r="O27" s="46"/>
      <c r="P27" s="49">
        <f t="shared" si="6"/>
        <v>0</v>
      </c>
      <c r="Q27" s="34"/>
      <c r="R27" s="50">
        <f t="shared" si="7"/>
        <v>16.8</v>
      </c>
      <c r="S27" s="46"/>
      <c r="T27" s="72">
        <f t="shared" si="8"/>
        <v>4.1999999999999993</v>
      </c>
      <c r="U27" s="51">
        <f t="shared" si="9"/>
        <v>18.359999999999996</v>
      </c>
      <c r="V27" s="37" t="str">
        <f t="shared" si="10"/>
        <v>ok</v>
      </c>
      <c r="W27" s="37" t="str">
        <f t="shared" si="11"/>
        <v>ok</v>
      </c>
    </row>
    <row r="28" spans="2:23" x14ac:dyDescent="0.25">
      <c r="B28" s="38" t="s">
        <v>21</v>
      </c>
      <c r="C28" s="39">
        <v>23</v>
      </c>
      <c r="D28" s="40">
        <v>20.329999999999998</v>
      </c>
      <c r="E28" s="41">
        <v>10</v>
      </c>
      <c r="F28" s="42">
        <f t="shared" si="0"/>
        <v>8</v>
      </c>
      <c r="G28" s="43">
        <f t="shared" si="1"/>
        <v>1.9999999999999996</v>
      </c>
      <c r="H28" s="44">
        <f t="shared" si="2"/>
        <v>10</v>
      </c>
      <c r="I28" s="34"/>
      <c r="J28" s="45">
        <f t="shared" si="3"/>
        <v>10.329999999999998</v>
      </c>
      <c r="K28" s="46"/>
      <c r="L28" s="47">
        <f t="shared" si="4"/>
        <v>1.9999999999999996</v>
      </c>
      <c r="M28" s="46"/>
      <c r="N28" s="48">
        <f t="shared" si="5"/>
        <v>0</v>
      </c>
      <c r="O28" s="46"/>
      <c r="P28" s="49">
        <f t="shared" si="6"/>
        <v>0</v>
      </c>
      <c r="Q28" s="34"/>
      <c r="R28" s="50">
        <f t="shared" si="7"/>
        <v>8</v>
      </c>
      <c r="S28" s="46"/>
      <c r="T28" s="72">
        <f t="shared" si="8"/>
        <v>1.9999999999999996</v>
      </c>
      <c r="U28" s="51">
        <f t="shared" si="9"/>
        <v>12.329999999999998</v>
      </c>
      <c r="V28" s="37" t="str">
        <f t="shared" si="10"/>
        <v>ok</v>
      </c>
      <c r="W28" s="37" t="str">
        <f t="shared" si="11"/>
        <v>ok</v>
      </c>
    </row>
    <row r="29" spans="2:23" ht="5.25" customHeight="1" x14ac:dyDescent="0.25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55"/>
      <c r="Q29" s="34"/>
      <c r="R29" s="36"/>
      <c r="S29" s="34"/>
      <c r="T29" s="34"/>
      <c r="U29" s="34"/>
      <c r="V29" s="37"/>
      <c r="W29" s="37"/>
    </row>
    <row r="30" spans="2:23" ht="15.75" thickBot="1" x14ac:dyDescent="0.3">
      <c r="B30" s="56" t="s">
        <v>53</v>
      </c>
      <c r="C30" s="57"/>
      <c r="D30" s="58">
        <f>SUM(D6:D28)</f>
        <v>422.66</v>
      </c>
      <c r="E30" s="59">
        <f>SUM(E6:E28)</f>
        <v>448.89</v>
      </c>
      <c r="F30" s="60">
        <f>SUM(F6:F28)</f>
        <v>359.11200000000002</v>
      </c>
      <c r="G30" s="61">
        <f>SUM(G6:G28)</f>
        <v>89.777999999999977</v>
      </c>
      <c r="H30" s="62">
        <f>SUM(H6:H28)</f>
        <v>319.66000000000003</v>
      </c>
      <c r="I30" s="63"/>
      <c r="J30" s="64">
        <f>SUM(J6:J28)</f>
        <v>103</v>
      </c>
      <c r="K30" s="65"/>
      <c r="L30" s="66">
        <f>SUM(L6:L28)</f>
        <v>40.988</v>
      </c>
      <c r="M30" s="65"/>
      <c r="N30" s="67">
        <f>SUM(N6:N28)</f>
        <v>80.440000000000026</v>
      </c>
      <c r="O30" s="65"/>
      <c r="P30" s="68">
        <f>SUM(P6:P28)</f>
        <v>48.79</v>
      </c>
      <c r="Q30" s="63"/>
      <c r="R30" s="69">
        <f>SUM(R6:R28)</f>
        <v>278.67200000000003</v>
      </c>
      <c r="S30" s="65"/>
      <c r="T30" s="72">
        <f>SUM(T6:T28)</f>
        <v>170.21799999999996</v>
      </c>
      <c r="U30" s="51">
        <f>SUM(U6:U28)</f>
        <v>143.988</v>
      </c>
      <c r="V30" s="37" t="str">
        <f t="shared" ref="V30" si="12">IF(R30+T30=E30,"ok","bad")</f>
        <v>ok</v>
      </c>
      <c r="W30" s="37" t="str">
        <f t="shared" si="11"/>
        <v>ok</v>
      </c>
    </row>
    <row r="31" spans="2:23" s="75" customFormat="1" x14ac:dyDescent="0.25">
      <c r="B31" s="73" t="s">
        <v>54</v>
      </c>
      <c r="C31" s="73"/>
      <c r="D31" s="74">
        <f>AVERAGE(D6:D28)</f>
        <v>18.376521739130435</v>
      </c>
      <c r="E31" s="74">
        <f>AVERAGE(E6:E28)</f>
        <v>19.516956521739129</v>
      </c>
      <c r="F31" s="74">
        <f>AVERAGE(F6:F28)</f>
        <v>15.613565217391306</v>
      </c>
      <c r="G31" s="74">
        <f>AVERAGE(G6:G28)</f>
        <v>3.9033913043478252</v>
      </c>
      <c r="H31" s="74">
        <f>AVERAGE(H6:H28)</f>
        <v>13.898260869565219</v>
      </c>
      <c r="I31" s="74"/>
      <c r="J31" s="74">
        <f>AVERAGE(J6:J28)</f>
        <v>4.4782608695652177</v>
      </c>
      <c r="K31" s="74"/>
      <c r="L31" s="74">
        <f>AVERAGE(L6:L28)</f>
        <v>1.7820869565217392</v>
      </c>
      <c r="M31" s="74"/>
      <c r="N31" s="74">
        <f>AVERAGE(N6:N28)</f>
        <v>3.4973913043478273</v>
      </c>
      <c r="O31" s="74"/>
      <c r="P31" s="74">
        <f>AVERAGE(P6:P28)</f>
        <v>2.1213043478260869</v>
      </c>
      <c r="Q31" s="74"/>
      <c r="R31" s="74">
        <f>AVERAGE(R6:R28)</f>
        <v>12.116173913043479</v>
      </c>
      <c r="S31" s="74"/>
      <c r="T31" s="74">
        <f>AVERAGE(T6:T28)</f>
        <v>7.4007826086956507</v>
      </c>
      <c r="U31" s="74">
        <f>AVERAGE(U6:U28)</f>
        <v>6.2603478260869565</v>
      </c>
      <c r="V31" s="73"/>
      <c r="W31" s="73"/>
    </row>
    <row r="33" spans="1:23" x14ac:dyDescent="0.25">
      <c r="A33" s="2" t="s">
        <v>57</v>
      </c>
      <c r="B33" s="3"/>
      <c r="C33" s="7"/>
      <c r="D33" s="7"/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5" spans="1:23" x14ac:dyDescent="0.25">
      <c r="A35" s="1" t="s">
        <v>62</v>
      </c>
      <c r="F35" s="1">
        <v>1.7</v>
      </c>
      <c r="G35" s="1" t="s">
        <v>58</v>
      </c>
    </row>
    <row r="36" spans="1:23" x14ac:dyDescent="0.25">
      <c r="A36" s="1" t="s">
        <v>61</v>
      </c>
      <c r="F36" s="1">
        <v>52</v>
      </c>
      <c r="G36" s="1" t="s">
        <v>63</v>
      </c>
    </row>
    <row r="37" spans="1:23" x14ac:dyDescent="0.25">
      <c r="A37" s="1" t="s">
        <v>64</v>
      </c>
      <c r="F37" s="76">
        <f>7/12</f>
        <v>0.58333333333333337</v>
      </c>
    </row>
    <row r="38" spans="1:23" ht="15.75" thickBot="1" x14ac:dyDescent="0.3"/>
    <row r="39" spans="1:23" ht="51.75" thickBot="1" x14ac:dyDescent="0.3">
      <c r="B39" s="17"/>
      <c r="C39" s="18"/>
      <c r="D39" s="19" t="s">
        <v>40</v>
      </c>
      <c r="E39" s="20" t="s">
        <v>41</v>
      </c>
      <c r="F39" s="21" t="s">
        <v>42</v>
      </c>
      <c r="G39" s="22" t="s">
        <v>43</v>
      </c>
      <c r="H39" s="23" t="s">
        <v>44</v>
      </c>
      <c r="I39" s="24"/>
      <c r="J39" s="25" t="s">
        <v>45</v>
      </c>
      <c r="K39" s="26"/>
      <c r="L39" s="27" t="s">
        <v>46</v>
      </c>
      <c r="M39" s="26"/>
      <c r="N39" s="28" t="s">
        <v>47</v>
      </c>
      <c r="O39" s="26"/>
      <c r="P39" s="29" t="s">
        <v>48</v>
      </c>
      <c r="Q39" s="24"/>
      <c r="R39" s="30" t="s">
        <v>49</v>
      </c>
      <c r="S39" s="26"/>
      <c r="T39" s="70" t="s">
        <v>50</v>
      </c>
      <c r="U39" s="31" t="s">
        <v>51</v>
      </c>
      <c r="V39" s="32" t="s">
        <v>52</v>
      </c>
      <c r="W39" s="32"/>
    </row>
    <row r="40" spans="1:23" x14ac:dyDescent="0.25">
      <c r="B40" s="33"/>
      <c r="C40" s="34"/>
      <c r="D40" s="35"/>
      <c r="E40" s="35"/>
      <c r="F40" s="35"/>
      <c r="G40" s="35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6"/>
      <c r="S40" s="34"/>
      <c r="T40" s="34"/>
      <c r="U40" s="34"/>
      <c r="V40" s="37"/>
      <c r="W40" s="37"/>
    </row>
    <row r="41" spans="1:23" x14ac:dyDescent="0.25">
      <c r="B41" s="38" t="s">
        <v>19</v>
      </c>
      <c r="C41" s="39">
        <v>1</v>
      </c>
      <c r="D41" s="40">
        <f t="shared" ref="D41:E63" si="13">D6*DMM</f>
        <v>30.786999999999999</v>
      </c>
      <c r="E41" s="41">
        <f t="shared" si="13"/>
        <v>66.3</v>
      </c>
      <c r="F41" s="42">
        <f t="shared" ref="F41:F63" si="14">E41*TC</f>
        <v>53.04</v>
      </c>
      <c r="G41" s="43">
        <f t="shared" ref="G41:G63" si="15">E41*(1-TC)</f>
        <v>13.259999999999996</v>
      </c>
      <c r="H41" s="44">
        <f>IF(E41&gt;D41,D41,E41)</f>
        <v>30.786999999999999</v>
      </c>
      <c r="I41" s="34"/>
      <c r="J41" s="45">
        <f>IF(E41&gt;D41,0,D41-E41)</f>
        <v>0</v>
      </c>
      <c r="K41" s="46"/>
      <c r="L41" s="47">
        <f>IF(E41&gt;D41,IF(F41&gt;H41,0,H41-F41),G41)</f>
        <v>0</v>
      </c>
      <c r="M41" s="46"/>
      <c r="N41" s="48">
        <f>IF(E41&gt;D41,IF(F41&gt;H41,F41-H41,0),0)</f>
        <v>22.253</v>
      </c>
      <c r="O41" s="46"/>
      <c r="P41" s="49">
        <f>IF(E41&gt;D41,IF(F41&gt;H41,G41,E41-H41),0)</f>
        <v>13.259999999999996</v>
      </c>
      <c r="Q41" s="34"/>
      <c r="R41" s="50">
        <f>H41-L41</f>
        <v>30.786999999999999</v>
      </c>
      <c r="S41" s="46"/>
      <c r="T41" s="72">
        <f>L41+N41+P41</f>
        <v>35.512999999999998</v>
      </c>
      <c r="U41" s="51">
        <f>J41+L41</f>
        <v>0</v>
      </c>
      <c r="V41" s="37" t="str">
        <f>IF(R41+T41=E41,"ok","bad")</f>
        <v>ok</v>
      </c>
      <c r="W41" s="37" t="str">
        <f>IF(U41+R41=D41,"ok","bad")</f>
        <v>ok</v>
      </c>
    </row>
    <row r="42" spans="1:23" x14ac:dyDescent="0.25">
      <c r="B42" s="38" t="s">
        <v>20</v>
      </c>
      <c r="C42" s="39">
        <v>2</v>
      </c>
      <c r="D42" s="40">
        <f t="shared" si="13"/>
        <v>24.173999999999999</v>
      </c>
      <c r="E42" s="41">
        <f t="shared" si="13"/>
        <v>48.620000000000005</v>
      </c>
      <c r="F42" s="42">
        <f t="shared" si="14"/>
        <v>38.896000000000008</v>
      </c>
      <c r="G42" s="43">
        <f t="shared" si="15"/>
        <v>9.7239999999999984</v>
      </c>
      <c r="H42" s="44">
        <f t="shared" ref="H42:H63" si="16">IF(E42&gt;D42,D42,E42)</f>
        <v>24.173999999999999</v>
      </c>
      <c r="I42" s="34"/>
      <c r="J42" s="45">
        <f t="shared" ref="J42:J63" si="17">IF(E42&gt;D42,0,D42-E42)</f>
        <v>0</v>
      </c>
      <c r="K42" s="46"/>
      <c r="L42" s="47">
        <f t="shared" ref="L42:L63" si="18">IF(E42&gt;D42,IF(F42&gt;H42,0,H42-F42),G42)</f>
        <v>0</v>
      </c>
      <c r="M42" s="46"/>
      <c r="N42" s="48">
        <f t="shared" ref="N42:N63" si="19">IF(E42&gt;D42,IF(F42&gt;H42,F42-H42,0),0)</f>
        <v>14.722000000000008</v>
      </c>
      <c r="O42" s="46"/>
      <c r="P42" s="49">
        <f t="shared" ref="P42:P63" si="20">IF(E42&gt;D42,IF(F42&gt;H42,G42,E42-H42),0)</f>
        <v>9.7239999999999984</v>
      </c>
      <c r="Q42" s="34"/>
      <c r="R42" s="50">
        <f t="shared" ref="R42:R63" si="21">H42-L42</f>
        <v>24.173999999999999</v>
      </c>
      <c r="S42" s="46"/>
      <c r="T42" s="72">
        <f t="shared" ref="T42:T63" si="22">L42+N42+P42</f>
        <v>24.446000000000005</v>
      </c>
      <c r="U42" s="51">
        <f t="shared" ref="U42:U63" si="23">J42+L42</f>
        <v>0</v>
      </c>
      <c r="V42" s="37" t="str">
        <f t="shared" ref="V42:V63" si="24">IF(R42+T42=E42,"ok","bad")</f>
        <v>ok</v>
      </c>
      <c r="W42" s="37" t="str">
        <f t="shared" ref="W42:W65" si="25">IF(U42+R42=D42,"ok","bad")</f>
        <v>ok</v>
      </c>
    </row>
    <row r="43" spans="1:23" x14ac:dyDescent="0.25">
      <c r="B43" s="38" t="s">
        <v>21</v>
      </c>
      <c r="C43" s="39">
        <v>3</v>
      </c>
      <c r="D43" s="40">
        <f t="shared" si="13"/>
        <v>10.574</v>
      </c>
      <c r="E43" s="41">
        <f t="shared" si="13"/>
        <v>19.889999999999997</v>
      </c>
      <c r="F43" s="42">
        <f t="shared" si="14"/>
        <v>15.911999999999999</v>
      </c>
      <c r="G43" s="43">
        <f t="shared" si="15"/>
        <v>3.9779999999999984</v>
      </c>
      <c r="H43" s="44">
        <f t="shared" si="16"/>
        <v>10.574</v>
      </c>
      <c r="I43" s="34"/>
      <c r="J43" s="45">
        <f t="shared" si="17"/>
        <v>0</v>
      </c>
      <c r="K43" s="46"/>
      <c r="L43" s="47">
        <f t="shared" si="18"/>
        <v>0</v>
      </c>
      <c r="M43" s="46"/>
      <c r="N43" s="48">
        <f t="shared" si="19"/>
        <v>5.3379999999999992</v>
      </c>
      <c r="O43" s="46"/>
      <c r="P43" s="49">
        <f t="shared" si="20"/>
        <v>3.9779999999999984</v>
      </c>
      <c r="Q43" s="34"/>
      <c r="R43" s="50">
        <f t="shared" si="21"/>
        <v>10.574</v>
      </c>
      <c r="S43" s="46"/>
      <c r="T43" s="72">
        <f t="shared" si="22"/>
        <v>9.3159999999999972</v>
      </c>
      <c r="U43" s="51">
        <f t="shared" si="23"/>
        <v>0</v>
      </c>
      <c r="V43" s="37" t="str">
        <f t="shared" si="24"/>
        <v>ok</v>
      </c>
      <c r="W43" s="37" t="str">
        <f t="shared" si="25"/>
        <v>ok</v>
      </c>
    </row>
    <row r="44" spans="1:23" x14ac:dyDescent="0.25">
      <c r="B44" s="38" t="s">
        <v>22</v>
      </c>
      <c r="C44" s="39">
        <v>4</v>
      </c>
      <c r="D44" s="40">
        <f t="shared" si="13"/>
        <v>7.3779999999999992</v>
      </c>
      <c r="E44" s="41">
        <f t="shared" si="13"/>
        <v>29.835000000000001</v>
      </c>
      <c r="F44" s="42">
        <f t="shared" si="14"/>
        <v>23.868000000000002</v>
      </c>
      <c r="G44" s="43">
        <f t="shared" si="15"/>
        <v>5.9669999999999987</v>
      </c>
      <c r="H44" s="44">
        <f t="shared" si="16"/>
        <v>7.3779999999999992</v>
      </c>
      <c r="I44" s="34"/>
      <c r="J44" s="45">
        <f t="shared" si="17"/>
        <v>0</v>
      </c>
      <c r="K44" s="46"/>
      <c r="L44" s="47">
        <f t="shared" si="18"/>
        <v>0</v>
      </c>
      <c r="M44" s="46"/>
      <c r="N44" s="48">
        <f t="shared" si="19"/>
        <v>16.490000000000002</v>
      </c>
      <c r="O44" s="46"/>
      <c r="P44" s="49">
        <f t="shared" si="20"/>
        <v>5.9669999999999987</v>
      </c>
      <c r="Q44" s="34"/>
      <c r="R44" s="50">
        <f t="shared" si="21"/>
        <v>7.3779999999999992</v>
      </c>
      <c r="S44" s="46"/>
      <c r="T44" s="72">
        <f t="shared" si="22"/>
        <v>22.457000000000001</v>
      </c>
      <c r="U44" s="51">
        <f t="shared" si="23"/>
        <v>0</v>
      </c>
      <c r="V44" s="37" t="str">
        <f t="shared" si="24"/>
        <v>ok</v>
      </c>
      <c r="W44" s="37" t="str">
        <f t="shared" si="25"/>
        <v>ok</v>
      </c>
    </row>
    <row r="45" spans="1:23" x14ac:dyDescent="0.25">
      <c r="B45" s="38" t="s">
        <v>23</v>
      </c>
      <c r="C45" s="39">
        <v>5</v>
      </c>
      <c r="D45" s="40">
        <f t="shared" si="13"/>
        <v>15.299999999999999</v>
      </c>
      <c r="E45" s="41">
        <f t="shared" si="13"/>
        <v>48.620000000000005</v>
      </c>
      <c r="F45" s="42">
        <f t="shared" si="14"/>
        <v>38.896000000000008</v>
      </c>
      <c r="G45" s="43">
        <f t="shared" si="15"/>
        <v>9.7239999999999984</v>
      </c>
      <c r="H45" s="44">
        <f t="shared" si="16"/>
        <v>15.299999999999999</v>
      </c>
      <c r="I45" s="34"/>
      <c r="J45" s="45">
        <f t="shared" si="17"/>
        <v>0</v>
      </c>
      <c r="K45" s="46"/>
      <c r="L45" s="47">
        <f t="shared" si="18"/>
        <v>0</v>
      </c>
      <c r="M45" s="46"/>
      <c r="N45" s="48">
        <f t="shared" si="19"/>
        <v>23.596000000000011</v>
      </c>
      <c r="O45" s="46"/>
      <c r="P45" s="49">
        <f t="shared" si="20"/>
        <v>9.7239999999999984</v>
      </c>
      <c r="Q45" s="34"/>
      <c r="R45" s="50">
        <f t="shared" si="21"/>
        <v>15.299999999999999</v>
      </c>
      <c r="S45" s="46"/>
      <c r="T45" s="72">
        <f t="shared" si="22"/>
        <v>33.320000000000007</v>
      </c>
      <c r="U45" s="51">
        <f t="shared" si="23"/>
        <v>0</v>
      </c>
      <c r="V45" s="37" t="str">
        <f t="shared" si="24"/>
        <v>ok</v>
      </c>
      <c r="W45" s="37" t="str">
        <f t="shared" si="25"/>
        <v>ok</v>
      </c>
    </row>
    <row r="46" spans="1:23" x14ac:dyDescent="0.25">
      <c r="B46" s="38" t="s">
        <v>19</v>
      </c>
      <c r="C46" s="39">
        <v>6</v>
      </c>
      <c r="D46" s="40">
        <f t="shared" si="13"/>
        <v>49.129999999999995</v>
      </c>
      <c r="E46" s="41">
        <f t="shared" si="13"/>
        <v>34</v>
      </c>
      <c r="F46" s="42">
        <f t="shared" si="14"/>
        <v>27.200000000000003</v>
      </c>
      <c r="G46" s="43">
        <f t="shared" si="15"/>
        <v>6.7999999999999989</v>
      </c>
      <c r="H46" s="44">
        <f t="shared" si="16"/>
        <v>34</v>
      </c>
      <c r="I46" s="34"/>
      <c r="J46" s="45">
        <f t="shared" si="17"/>
        <v>15.129999999999995</v>
      </c>
      <c r="K46" s="46"/>
      <c r="L46" s="47">
        <f t="shared" si="18"/>
        <v>6.7999999999999989</v>
      </c>
      <c r="M46" s="46"/>
      <c r="N46" s="48">
        <f t="shared" si="19"/>
        <v>0</v>
      </c>
      <c r="O46" s="46"/>
      <c r="P46" s="49">
        <f t="shared" si="20"/>
        <v>0</v>
      </c>
      <c r="Q46" s="34"/>
      <c r="R46" s="50">
        <f t="shared" si="21"/>
        <v>27.200000000000003</v>
      </c>
      <c r="S46" s="46"/>
      <c r="T46" s="72">
        <f t="shared" si="22"/>
        <v>6.7999999999999989</v>
      </c>
      <c r="U46" s="51">
        <f t="shared" si="23"/>
        <v>21.929999999999993</v>
      </c>
      <c r="V46" s="37" t="str">
        <f t="shared" si="24"/>
        <v>ok</v>
      </c>
      <c r="W46" s="37" t="str">
        <f t="shared" si="25"/>
        <v>ok</v>
      </c>
    </row>
    <row r="47" spans="1:23" x14ac:dyDescent="0.25">
      <c r="B47" s="38" t="s">
        <v>20</v>
      </c>
      <c r="C47" s="39">
        <v>7</v>
      </c>
      <c r="D47" s="40">
        <f t="shared" si="13"/>
        <v>39.847999999999999</v>
      </c>
      <c r="E47" s="41">
        <f t="shared" si="13"/>
        <v>34.85</v>
      </c>
      <c r="F47" s="42">
        <f t="shared" si="14"/>
        <v>27.880000000000003</v>
      </c>
      <c r="G47" s="43">
        <f t="shared" si="15"/>
        <v>6.9699999999999989</v>
      </c>
      <c r="H47" s="44">
        <f t="shared" si="16"/>
        <v>34.85</v>
      </c>
      <c r="I47" s="34"/>
      <c r="J47" s="45">
        <f t="shared" si="17"/>
        <v>4.9979999999999976</v>
      </c>
      <c r="K47" s="46"/>
      <c r="L47" s="47">
        <f t="shared" si="18"/>
        <v>6.9699999999999989</v>
      </c>
      <c r="M47" s="46"/>
      <c r="N47" s="48">
        <f t="shared" si="19"/>
        <v>0</v>
      </c>
      <c r="O47" s="46"/>
      <c r="P47" s="49">
        <f t="shared" si="20"/>
        <v>0</v>
      </c>
      <c r="Q47" s="34"/>
      <c r="R47" s="50">
        <f t="shared" si="21"/>
        <v>27.880000000000003</v>
      </c>
      <c r="S47" s="46"/>
      <c r="T47" s="72">
        <f t="shared" si="22"/>
        <v>6.9699999999999989</v>
      </c>
      <c r="U47" s="51">
        <f t="shared" si="23"/>
        <v>11.967999999999996</v>
      </c>
      <c r="V47" s="37" t="str">
        <f t="shared" si="24"/>
        <v>ok</v>
      </c>
      <c r="W47" s="37" t="str">
        <f t="shared" si="25"/>
        <v>ok</v>
      </c>
    </row>
    <row r="48" spans="1:23" x14ac:dyDescent="0.25">
      <c r="B48" s="38" t="s">
        <v>21</v>
      </c>
      <c r="C48" s="39">
        <v>8</v>
      </c>
      <c r="D48" s="40">
        <f t="shared" si="13"/>
        <v>23.035</v>
      </c>
      <c r="E48" s="41">
        <f t="shared" si="13"/>
        <v>18.7</v>
      </c>
      <c r="F48" s="42">
        <f t="shared" si="14"/>
        <v>14.96</v>
      </c>
      <c r="G48" s="43">
        <f t="shared" si="15"/>
        <v>3.7399999999999989</v>
      </c>
      <c r="H48" s="44">
        <f t="shared" si="16"/>
        <v>18.7</v>
      </c>
      <c r="I48" s="34"/>
      <c r="J48" s="45">
        <f t="shared" si="17"/>
        <v>4.3350000000000009</v>
      </c>
      <c r="K48" s="46"/>
      <c r="L48" s="47">
        <f t="shared" si="18"/>
        <v>3.7399999999999989</v>
      </c>
      <c r="M48" s="46"/>
      <c r="N48" s="48">
        <f t="shared" si="19"/>
        <v>0</v>
      </c>
      <c r="O48" s="46"/>
      <c r="P48" s="49">
        <f t="shared" si="20"/>
        <v>0</v>
      </c>
      <c r="Q48" s="34"/>
      <c r="R48" s="50">
        <f t="shared" si="21"/>
        <v>14.96</v>
      </c>
      <c r="S48" s="46"/>
      <c r="T48" s="72">
        <f t="shared" si="22"/>
        <v>3.7399999999999989</v>
      </c>
      <c r="U48" s="51">
        <f t="shared" si="23"/>
        <v>8.0749999999999993</v>
      </c>
      <c r="V48" s="37" t="str">
        <f t="shared" si="24"/>
        <v>ok</v>
      </c>
      <c r="W48" s="37" t="str">
        <f t="shared" si="25"/>
        <v>ok</v>
      </c>
    </row>
    <row r="49" spans="2:23" x14ac:dyDescent="0.25">
      <c r="B49" s="38" t="s">
        <v>22</v>
      </c>
      <c r="C49" s="39">
        <v>9</v>
      </c>
      <c r="D49" s="40">
        <f t="shared" si="13"/>
        <v>18.597999999999999</v>
      </c>
      <c r="E49" s="41">
        <f t="shared" si="13"/>
        <v>23.8</v>
      </c>
      <c r="F49" s="42">
        <f t="shared" si="14"/>
        <v>19.040000000000003</v>
      </c>
      <c r="G49" s="43">
        <f t="shared" si="15"/>
        <v>4.7599999999999989</v>
      </c>
      <c r="H49" s="44">
        <f t="shared" si="16"/>
        <v>18.597999999999999</v>
      </c>
      <c r="I49" s="34"/>
      <c r="J49" s="45">
        <f t="shared" si="17"/>
        <v>0</v>
      </c>
      <c r="K49" s="46"/>
      <c r="L49" s="47">
        <f t="shared" si="18"/>
        <v>0</v>
      </c>
      <c r="M49" s="46"/>
      <c r="N49" s="48">
        <f t="shared" si="19"/>
        <v>0.44200000000000372</v>
      </c>
      <c r="O49" s="46"/>
      <c r="P49" s="49">
        <f t="shared" si="20"/>
        <v>4.7599999999999989</v>
      </c>
      <c r="Q49" s="34"/>
      <c r="R49" s="50">
        <f t="shared" si="21"/>
        <v>18.597999999999999</v>
      </c>
      <c r="S49" s="46"/>
      <c r="T49" s="72">
        <f t="shared" si="22"/>
        <v>5.2020000000000026</v>
      </c>
      <c r="U49" s="51">
        <f t="shared" si="23"/>
        <v>0</v>
      </c>
      <c r="V49" s="37" t="str">
        <f t="shared" si="24"/>
        <v>ok</v>
      </c>
      <c r="W49" s="37" t="str">
        <f t="shared" si="25"/>
        <v>ok</v>
      </c>
    </row>
    <row r="50" spans="2:23" x14ac:dyDescent="0.25">
      <c r="B50" s="38" t="s">
        <v>23</v>
      </c>
      <c r="C50" s="39">
        <v>10</v>
      </c>
      <c r="D50" s="40">
        <f t="shared" si="13"/>
        <v>35.427999999999997</v>
      </c>
      <c r="E50" s="41">
        <f t="shared" si="13"/>
        <v>32.299999999999997</v>
      </c>
      <c r="F50" s="42">
        <f t="shared" si="14"/>
        <v>25.84</v>
      </c>
      <c r="G50" s="43">
        <f t="shared" si="15"/>
        <v>6.4599999999999982</v>
      </c>
      <c r="H50" s="44">
        <f t="shared" si="16"/>
        <v>32.299999999999997</v>
      </c>
      <c r="I50" s="34"/>
      <c r="J50" s="45">
        <f t="shared" si="17"/>
        <v>3.1280000000000001</v>
      </c>
      <c r="K50" s="46"/>
      <c r="L50" s="47">
        <f t="shared" si="18"/>
        <v>6.4599999999999982</v>
      </c>
      <c r="M50" s="46"/>
      <c r="N50" s="48">
        <f t="shared" si="19"/>
        <v>0</v>
      </c>
      <c r="O50" s="46"/>
      <c r="P50" s="49">
        <f t="shared" si="20"/>
        <v>0</v>
      </c>
      <c r="Q50" s="34"/>
      <c r="R50" s="50">
        <f t="shared" si="21"/>
        <v>25.84</v>
      </c>
      <c r="S50" s="46"/>
      <c r="T50" s="72">
        <f t="shared" si="22"/>
        <v>6.4599999999999982</v>
      </c>
      <c r="U50" s="51">
        <f t="shared" si="23"/>
        <v>9.5879999999999974</v>
      </c>
      <c r="V50" s="37" t="str">
        <f t="shared" si="24"/>
        <v>ok</v>
      </c>
      <c r="W50" s="37" t="str">
        <f t="shared" si="25"/>
        <v>ok</v>
      </c>
    </row>
    <row r="51" spans="2:23" x14ac:dyDescent="0.25">
      <c r="B51" s="38" t="s">
        <v>19</v>
      </c>
      <c r="C51" s="39">
        <v>11</v>
      </c>
      <c r="D51" s="40">
        <f t="shared" si="13"/>
        <v>30.786999999999999</v>
      </c>
      <c r="E51" s="41">
        <f t="shared" si="13"/>
        <v>51</v>
      </c>
      <c r="F51" s="42">
        <f t="shared" si="14"/>
        <v>40.800000000000004</v>
      </c>
      <c r="G51" s="43">
        <f t="shared" si="15"/>
        <v>10.199999999999998</v>
      </c>
      <c r="H51" s="44">
        <f t="shared" si="16"/>
        <v>30.786999999999999</v>
      </c>
      <c r="I51" s="34"/>
      <c r="J51" s="45">
        <f t="shared" si="17"/>
        <v>0</v>
      </c>
      <c r="K51" s="46"/>
      <c r="L51" s="47">
        <f t="shared" si="18"/>
        <v>0</v>
      </c>
      <c r="M51" s="46"/>
      <c r="N51" s="48">
        <f t="shared" si="19"/>
        <v>10.013000000000005</v>
      </c>
      <c r="O51" s="46"/>
      <c r="P51" s="49">
        <f t="shared" si="20"/>
        <v>10.199999999999998</v>
      </c>
      <c r="Q51" s="34"/>
      <c r="R51" s="50">
        <f t="shared" si="21"/>
        <v>30.786999999999999</v>
      </c>
      <c r="S51" s="46"/>
      <c r="T51" s="72">
        <f t="shared" si="22"/>
        <v>20.213000000000001</v>
      </c>
      <c r="U51" s="51">
        <f t="shared" si="23"/>
        <v>0</v>
      </c>
      <c r="V51" s="37" t="str">
        <f t="shared" si="24"/>
        <v>ok</v>
      </c>
      <c r="W51" s="37" t="str">
        <f t="shared" si="25"/>
        <v>ok</v>
      </c>
    </row>
    <row r="52" spans="2:23" x14ac:dyDescent="0.25">
      <c r="B52" s="38" t="s">
        <v>20</v>
      </c>
      <c r="C52" s="39">
        <v>12</v>
      </c>
      <c r="D52" s="40">
        <f t="shared" si="13"/>
        <v>24.173999999999999</v>
      </c>
      <c r="E52" s="41">
        <f t="shared" si="13"/>
        <v>39.1</v>
      </c>
      <c r="F52" s="42">
        <f t="shared" si="14"/>
        <v>31.28</v>
      </c>
      <c r="G52" s="43">
        <f t="shared" si="15"/>
        <v>7.8199999999999985</v>
      </c>
      <c r="H52" s="44">
        <f t="shared" si="16"/>
        <v>24.173999999999999</v>
      </c>
      <c r="I52" s="34"/>
      <c r="J52" s="45">
        <f t="shared" si="17"/>
        <v>0</v>
      </c>
      <c r="K52" s="46"/>
      <c r="L52" s="47">
        <f t="shared" si="18"/>
        <v>0</v>
      </c>
      <c r="M52" s="46"/>
      <c r="N52" s="48">
        <f t="shared" si="19"/>
        <v>7.1060000000000016</v>
      </c>
      <c r="O52" s="46"/>
      <c r="P52" s="49">
        <f t="shared" si="20"/>
        <v>7.8199999999999985</v>
      </c>
      <c r="Q52" s="34"/>
      <c r="R52" s="50">
        <f t="shared" si="21"/>
        <v>24.173999999999999</v>
      </c>
      <c r="S52" s="46"/>
      <c r="T52" s="72">
        <f t="shared" si="22"/>
        <v>14.926</v>
      </c>
      <c r="U52" s="51">
        <f t="shared" si="23"/>
        <v>0</v>
      </c>
      <c r="V52" s="37" t="str">
        <f t="shared" si="24"/>
        <v>ok</v>
      </c>
      <c r="W52" s="37" t="str">
        <f t="shared" si="25"/>
        <v>ok</v>
      </c>
    </row>
    <row r="53" spans="2:23" x14ac:dyDescent="0.25">
      <c r="B53" s="38" t="s">
        <v>21</v>
      </c>
      <c r="C53" s="39">
        <v>13</v>
      </c>
      <c r="D53" s="40">
        <f t="shared" si="13"/>
        <v>10.574</v>
      </c>
      <c r="E53" s="41">
        <f t="shared" si="13"/>
        <v>18.7</v>
      </c>
      <c r="F53" s="42">
        <f t="shared" si="14"/>
        <v>14.96</v>
      </c>
      <c r="G53" s="43">
        <f t="shared" si="15"/>
        <v>3.7399999999999989</v>
      </c>
      <c r="H53" s="44">
        <f t="shared" si="16"/>
        <v>10.574</v>
      </c>
      <c r="I53" s="34"/>
      <c r="J53" s="45">
        <f t="shared" si="17"/>
        <v>0</v>
      </c>
      <c r="K53" s="46"/>
      <c r="L53" s="47">
        <f t="shared" si="18"/>
        <v>0</v>
      </c>
      <c r="M53" s="46"/>
      <c r="N53" s="48">
        <f t="shared" si="19"/>
        <v>4.386000000000001</v>
      </c>
      <c r="O53" s="46"/>
      <c r="P53" s="49">
        <f t="shared" si="20"/>
        <v>3.7399999999999989</v>
      </c>
      <c r="Q53" s="34"/>
      <c r="R53" s="50">
        <f t="shared" si="21"/>
        <v>10.574</v>
      </c>
      <c r="S53" s="46"/>
      <c r="T53" s="72">
        <f t="shared" si="22"/>
        <v>8.1259999999999994</v>
      </c>
      <c r="U53" s="51">
        <f t="shared" si="23"/>
        <v>0</v>
      </c>
      <c r="V53" s="37" t="str">
        <f t="shared" si="24"/>
        <v>ok</v>
      </c>
      <c r="W53" s="37" t="str">
        <f t="shared" si="25"/>
        <v>ok</v>
      </c>
    </row>
    <row r="54" spans="2:23" x14ac:dyDescent="0.25">
      <c r="B54" s="38" t="s">
        <v>22</v>
      </c>
      <c r="C54" s="39">
        <v>14</v>
      </c>
      <c r="D54" s="40">
        <f t="shared" si="13"/>
        <v>7.3779999999999992</v>
      </c>
      <c r="E54" s="41">
        <f t="shared" si="13"/>
        <v>31.45</v>
      </c>
      <c r="F54" s="42">
        <f t="shared" si="14"/>
        <v>25.16</v>
      </c>
      <c r="G54" s="43">
        <f t="shared" si="15"/>
        <v>6.2899999999999983</v>
      </c>
      <c r="H54" s="44">
        <f t="shared" si="16"/>
        <v>7.3779999999999992</v>
      </c>
      <c r="I54" s="34"/>
      <c r="J54" s="45">
        <f t="shared" si="17"/>
        <v>0</v>
      </c>
      <c r="K54" s="46"/>
      <c r="L54" s="47">
        <f t="shared" si="18"/>
        <v>0</v>
      </c>
      <c r="M54" s="46"/>
      <c r="N54" s="48">
        <f t="shared" si="19"/>
        <v>17.782</v>
      </c>
      <c r="O54" s="46"/>
      <c r="P54" s="49">
        <f t="shared" si="20"/>
        <v>6.2899999999999983</v>
      </c>
      <c r="Q54" s="34"/>
      <c r="R54" s="50">
        <f t="shared" si="21"/>
        <v>7.3779999999999992</v>
      </c>
      <c r="S54" s="46"/>
      <c r="T54" s="72">
        <f t="shared" si="22"/>
        <v>24.071999999999999</v>
      </c>
      <c r="U54" s="51">
        <f t="shared" si="23"/>
        <v>0</v>
      </c>
      <c r="V54" s="37" t="str">
        <f t="shared" si="24"/>
        <v>ok</v>
      </c>
      <c r="W54" s="37" t="str">
        <f t="shared" si="25"/>
        <v>ok</v>
      </c>
    </row>
    <row r="55" spans="2:23" x14ac:dyDescent="0.25">
      <c r="B55" s="38" t="s">
        <v>23</v>
      </c>
      <c r="C55" s="39">
        <v>15</v>
      </c>
      <c r="D55" s="40">
        <f t="shared" si="13"/>
        <v>15.299999999999999</v>
      </c>
      <c r="E55" s="41">
        <f t="shared" si="13"/>
        <v>37.4</v>
      </c>
      <c r="F55" s="42">
        <f t="shared" si="14"/>
        <v>29.92</v>
      </c>
      <c r="G55" s="43">
        <f t="shared" si="15"/>
        <v>7.4799999999999978</v>
      </c>
      <c r="H55" s="44">
        <f t="shared" si="16"/>
        <v>15.299999999999999</v>
      </c>
      <c r="I55" s="34"/>
      <c r="J55" s="45">
        <f t="shared" si="17"/>
        <v>0</v>
      </c>
      <c r="K55" s="46"/>
      <c r="L55" s="47">
        <f t="shared" si="18"/>
        <v>0</v>
      </c>
      <c r="M55" s="46"/>
      <c r="N55" s="48">
        <f t="shared" si="19"/>
        <v>14.620000000000003</v>
      </c>
      <c r="O55" s="46"/>
      <c r="P55" s="49">
        <f t="shared" si="20"/>
        <v>7.4799999999999978</v>
      </c>
      <c r="Q55" s="34"/>
      <c r="R55" s="50">
        <f t="shared" si="21"/>
        <v>15.299999999999999</v>
      </c>
      <c r="S55" s="46"/>
      <c r="T55" s="72">
        <f t="shared" si="22"/>
        <v>22.1</v>
      </c>
      <c r="U55" s="51">
        <f t="shared" si="23"/>
        <v>0</v>
      </c>
      <c r="V55" s="37" t="str">
        <f t="shared" si="24"/>
        <v>ok</v>
      </c>
      <c r="W55" s="37" t="str">
        <f t="shared" si="25"/>
        <v>ok</v>
      </c>
    </row>
    <row r="56" spans="2:23" x14ac:dyDescent="0.25">
      <c r="B56" s="38" t="s">
        <v>19</v>
      </c>
      <c r="C56" s="39">
        <v>16</v>
      </c>
      <c r="D56" s="40">
        <f t="shared" si="13"/>
        <v>61.403999999999996</v>
      </c>
      <c r="E56" s="41">
        <f t="shared" si="13"/>
        <v>42.074999999999996</v>
      </c>
      <c r="F56" s="42">
        <f t="shared" si="14"/>
        <v>33.659999999999997</v>
      </c>
      <c r="G56" s="43">
        <f t="shared" si="15"/>
        <v>8.4149999999999974</v>
      </c>
      <c r="H56" s="44">
        <f t="shared" si="16"/>
        <v>42.074999999999996</v>
      </c>
      <c r="I56" s="34"/>
      <c r="J56" s="45">
        <f t="shared" si="17"/>
        <v>19.329000000000001</v>
      </c>
      <c r="K56" s="46"/>
      <c r="L56" s="47">
        <f t="shared" si="18"/>
        <v>8.4149999999999974</v>
      </c>
      <c r="M56" s="46"/>
      <c r="N56" s="48">
        <f t="shared" si="19"/>
        <v>0</v>
      </c>
      <c r="O56" s="46"/>
      <c r="P56" s="49">
        <f t="shared" si="20"/>
        <v>0</v>
      </c>
      <c r="Q56" s="34"/>
      <c r="R56" s="50">
        <f t="shared" si="21"/>
        <v>33.659999999999997</v>
      </c>
      <c r="S56" s="46"/>
      <c r="T56" s="72">
        <f t="shared" si="22"/>
        <v>8.4149999999999974</v>
      </c>
      <c r="U56" s="51">
        <f t="shared" si="23"/>
        <v>27.744</v>
      </c>
      <c r="V56" s="37" t="str">
        <f t="shared" si="24"/>
        <v>ok</v>
      </c>
      <c r="W56" s="37" t="str">
        <f t="shared" si="25"/>
        <v>ok</v>
      </c>
    </row>
    <row r="57" spans="2:23" x14ac:dyDescent="0.25">
      <c r="B57" s="38" t="s">
        <v>20</v>
      </c>
      <c r="C57" s="39">
        <v>17</v>
      </c>
      <c r="D57" s="40">
        <f t="shared" si="13"/>
        <v>49.98</v>
      </c>
      <c r="E57" s="41">
        <f t="shared" si="13"/>
        <v>26.655999999999999</v>
      </c>
      <c r="F57" s="42">
        <f t="shared" si="14"/>
        <v>21.3248</v>
      </c>
      <c r="G57" s="43">
        <f t="shared" si="15"/>
        <v>5.3311999999999982</v>
      </c>
      <c r="H57" s="44">
        <f t="shared" si="16"/>
        <v>26.655999999999999</v>
      </c>
      <c r="I57" s="34"/>
      <c r="J57" s="45">
        <f t="shared" si="17"/>
        <v>23.323999999999998</v>
      </c>
      <c r="K57" s="46"/>
      <c r="L57" s="47">
        <f t="shared" si="18"/>
        <v>5.3311999999999982</v>
      </c>
      <c r="M57" s="46"/>
      <c r="N57" s="48">
        <f t="shared" si="19"/>
        <v>0</v>
      </c>
      <c r="O57" s="46"/>
      <c r="P57" s="49">
        <f t="shared" si="20"/>
        <v>0</v>
      </c>
      <c r="Q57" s="34"/>
      <c r="R57" s="50">
        <f t="shared" si="21"/>
        <v>21.3248</v>
      </c>
      <c r="S57" s="46"/>
      <c r="T57" s="72">
        <f t="shared" si="22"/>
        <v>5.3311999999999982</v>
      </c>
      <c r="U57" s="51">
        <f t="shared" si="23"/>
        <v>28.655199999999997</v>
      </c>
      <c r="V57" s="37" t="str">
        <f t="shared" si="24"/>
        <v>ok</v>
      </c>
      <c r="W57" s="37" t="str">
        <f t="shared" si="25"/>
        <v>ok</v>
      </c>
    </row>
    <row r="58" spans="2:23" x14ac:dyDescent="0.25">
      <c r="B58" s="38" t="s">
        <v>21</v>
      </c>
      <c r="C58" s="39">
        <v>18</v>
      </c>
      <c r="D58" s="40">
        <f t="shared" si="13"/>
        <v>28.798000000000002</v>
      </c>
      <c r="E58" s="41">
        <f t="shared" si="13"/>
        <v>12.630999999999998</v>
      </c>
      <c r="F58" s="42">
        <f t="shared" si="14"/>
        <v>10.104799999999999</v>
      </c>
      <c r="G58" s="43">
        <f t="shared" si="15"/>
        <v>2.5261999999999993</v>
      </c>
      <c r="H58" s="44">
        <f t="shared" si="16"/>
        <v>12.630999999999998</v>
      </c>
      <c r="I58" s="34"/>
      <c r="J58" s="45">
        <f t="shared" si="17"/>
        <v>16.167000000000002</v>
      </c>
      <c r="K58" s="46"/>
      <c r="L58" s="47">
        <f t="shared" si="18"/>
        <v>2.5261999999999993</v>
      </c>
      <c r="M58" s="46"/>
      <c r="N58" s="48">
        <f t="shared" si="19"/>
        <v>0</v>
      </c>
      <c r="O58" s="46"/>
      <c r="P58" s="49">
        <f t="shared" si="20"/>
        <v>0</v>
      </c>
      <c r="Q58" s="34"/>
      <c r="R58" s="50">
        <f t="shared" si="21"/>
        <v>10.104799999999999</v>
      </c>
      <c r="S58" s="46"/>
      <c r="T58" s="72">
        <f t="shared" si="22"/>
        <v>2.5261999999999993</v>
      </c>
      <c r="U58" s="51">
        <f t="shared" si="23"/>
        <v>18.693200000000001</v>
      </c>
      <c r="V58" s="37" t="str">
        <f t="shared" si="24"/>
        <v>ok</v>
      </c>
      <c r="W58" s="37" t="str">
        <f t="shared" si="25"/>
        <v>ok</v>
      </c>
    </row>
    <row r="59" spans="2:23" x14ac:dyDescent="0.25">
      <c r="B59" s="38" t="s">
        <v>22</v>
      </c>
      <c r="C59" s="39">
        <v>19</v>
      </c>
      <c r="D59" s="40">
        <f t="shared" si="13"/>
        <v>23.578999999999997</v>
      </c>
      <c r="E59" s="41">
        <f t="shared" si="13"/>
        <v>16.830000000000002</v>
      </c>
      <c r="F59" s="42">
        <f t="shared" si="14"/>
        <v>13.464000000000002</v>
      </c>
      <c r="G59" s="43">
        <f t="shared" si="15"/>
        <v>3.3659999999999997</v>
      </c>
      <c r="H59" s="44">
        <f t="shared" si="16"/>
        <v>16.830000000000002</v>
      </c>
      <c r="I59" s="34"/>
      <c r="J59" s="45">
        <f t="shared" si="17"/>
        <v>6.7489999999999952</v>
      </c>
      <c r="K59" s="46"/>
      <c r="L59" s="47">
        <f t="shared" si="18"/>
        <v>3.3659999999999997</v>
      </c>
      <c r="M59" s="46"/>
      <c r="N59" s="48">
        <f t="shared" si="19"/>
        <v>0</v>
      </c>
      <c r="O59" s="46"/>
      <c r="P59" s="49">
        <f t="shared" si="20"/>
        <v>0</v>
      </c>
      <c r="Q59" s="34"/>
      <c r="R59" s="50">
        <f t="shared" si="21"/>
        <v>13.464000000000002</v>
      </c>
      <c r="S59" s="46"/>
      <c r="T59" s="72">
        <f t="shared" si="22"/>
        <v>3.3659999999999997</v>
      </c>
      <c r="U59" s="51">
        <f t="shared" si="23"/>
        <v>10.114999999999995</v>
      </c>
      <c r="V59" s="37" t="str">
        <f t="shared" si="24"/>
        <v>ok</v>
      </c>
      <c r="W59" s="37" t="str">
        <f t="shared" si="25"/>
        <v>ok</v>
      </c>
    </row>
    <row r="60" spans="2:23" x14ac:dyDescent="0.25">
      <c r="B60" s="38" t="s">
        <v>23</v>
      </c>
      <c r="C60" s="39">
        <v>20</v>
      </c>
      <c r="D60" s="40">
        <f t="shared" si="13"/>
        <v>44.284999999999997</v>
      </c>
      <c r="E60" s="41">
        <f t="shared" si="13"/>
        <v>26.655999999999999</v>
      </c>
      <c r="F60" s="42">
        <f t="shared" si="14"/>
        <v>21.3248</v>
      </c>
      <c r="G60" s="43">
        <f t="shared" si="15"/>
        <v>5.3311999999999982</v>
      </c>
      <c r="H60" s="44">
        <f t="shared" si="16"/>
        <v>26.655999999999999</v>
      </c>
      <c r="I60" s="34"/>
      <c r="J60" s="45">
        <f t="shared" si="17"/>
        <v>17.628999999999998</v>
      </c>
      <c r="K60" s="46"/>
      <c r="L60" s="47">
        <f t="shared" si="18"/>
        <v>5.3311999999999982</v>
      </c>
      <c r="M60" s="46"/>
      <c r="N60" s="48">
        <f t="shared" si="19"/>
        <v>0</v>
      </c>
      <c r="O60" s="46"/>
      <c r="P60" s="49">
        <f t="shared" si="20"/>
        <v>0</v>
      </c>
      <c r="Q60" s="34"/>
      <c r="R60" s="50">
        <f t="shared" si="21"/>
        <v>21.3248</v>
      </c>
      <c r="S60" s="46"/>
      <c r="T60" s="72">
        <f t="shared" si="22"/>
        <v>5.3311999999999982</v>
      </c>
      <c r="U60" s="51">
        <f t="shared" si="23"/>
        <v>22.960199999999997</v>
      </c>
      <c r="V60" s="37" t="str">
        <f t="shared" si="24"/>
        <v>ok</v>
      </c>
      <c r="W60" s="37" t="str">
        <f t="shared" si="25"/>
        <v>ok</v>
      </c>
    </row>
    <row r="61" spans="2:23" x14ac:dyDescent="0.25">
      <c r="B61" s="38" t="s">
        <v>19</v>
      </c>
      <c r="C61" s="39">
        <v>21</v>
      </c>
      <c r="D61" s="40">
        <f t="shared" si="13"/>
        <v>73.677999999999997</v>
      </c>
      <c r="E61" s="41">
        <f t="shared" si="13"/>
        <v>51</v>
      </c>
      <c r="F61" s="42">
        <f t="shared" si="14"/>
        <v>40.800000000000004</v>
      </c>
      <c r="G61" s="43">
        <f t="shared" si="15"/>
        <v>10.199999999999998</v>
      </c>
      <c r="H61" s="44">
        <f t="shared" si="16"/>
        <v>51</v>
      </c>
      <c r="I61" s="34"/>
      <c r="J61" s="45">
        <f t="shared" si="17"/>
        <v>22.677999999999997</v>
      </c>
      <c r="K61" s="46"/>
      <c r="L61" s="47">
        <f t="shared" si="18"/>
        <v>10.199999999999998</v>
      </c>
      <c r="M61" s="46"/>
      <c r="N61" s="48">
        <f t="shared" si="19"/>
        <v>0</v>
      </c>
      <c r="O61" s="46"/>
      <c r="P61" s="49">
        <f t="shared" si="20"/>
        <v>0</v>
      </c>
      <c r="Q61" s="34"/>
      <c r="R61" s="50">
        <f t="shared" si="21"/>
        <v>40.800000000000004</v>
      </c>
      <c r="S61" s="46"/>
      <c r="T61" s="72">
        <f t="shared" si="22"/>
        <v>10.199999999999998</v>
      </c>
      <c r="U61" s="51">
        <f t="shared" si="23"/>
        <v>32.877999999999993</v>
      </c>
      <c r="V61" s="37" t="str">
        <f t="shared" si="24"/>
        <v>ok</v>
      </c>
      <c r="W61" s="37" t="str">
        <f t="shared" si="25"/>
        <v>ok</v>
      </c>
    </row>
    <row r="62" spans="2:23" x14ac:dyDescent="0.25">
      <c r="B62" s="38" t="s">
        <v>20</v>
      </c>
      <c r="C62" s="39">
        <v>22</v>
      </c>
      <c r="D62" s="40">
        <f t="shared" si="13"/>
        <v>59.771999999999991</v>
      </c>
      <c r="E62" s="41">
        <f t="shared" si="13"/>
        <v>35.699999999999996</v>
      </c>
      <c r="F62" s="42">
        <f t="shared" si="14"/>
        <v>28.56</v>
      </c>
      <c r="G62" s="43">
        <f t="shared" si="15"/>
        <v>7.1399999999999979</v>
      </c>
      <c r="H62" s="44">
        <f t="shared" si="16"/>
        <v>35.699999999999996</v>
      </c>
      <c r="I62" s="34"/>
      <c r="J62" s="45">
        <f t="shared" si="17"/>
        <v>24.071999999999996</v>
      </c>
      <c r="K62" s="46"/>
      <c r="L62" s="47">
        <f t="shared" si="18"/>
        <v>7.1399999999999979</v>
      </c>
      <c r="M62" s="46"/>
      <c r="N62" s="48">
        <f t="shared" si="19"/>
        <v>0</v>
      </c>
      <c r="O62" s="46"/>
      <c r="P62" s="49">
        <f t="shared" si="20"/>
        <v>0</v>
      </c>
      <c r="Q62" s="34"/>
      <c r="R62" s="50">
        <f t="shared" si="21"/>
        <v>28.56</v>
      </c>
      <c r="S62" s="46"/>
      <c r="T62" s="72">
        <f t="shared" si="22"/>
        <v>7.1399999999999979</v>
      </c>
      <c r="U62" s="51">
        <f t="shared" si="23"/>
        <v>31.211999999999993</v>
      </c>
      <c r="V62" s="37" t="str">
        <f t="shared" si="24"/>
        <v>ok</v>
      </c>
      <c r="W62" s="37" t="str">
        <f t="shared" si="25"/>
        <v>ok</v>
      </c>
    </row>
    <row r="63" spans="2:23" x14ac:dyDescent="0.25">
      <c r="B63" s="38" t="s">
        <v>21</v>
      </c>
      <c r="C63" s="39">
        <v>23</v>
      </c>
      <c r="D63" s="40">
        <f t="shared" si="13"/>
        <v>34.560999999999993</v>
      </c>
      <c r="E63" s="41">
        <f t="shared" si="13"/>
        <v>17</v>
      </c>
      <c r="F63" s="42">
        <f t="shared" si="14"/>
        <v>13.600000000000001</v>
      </c>
      <c r="G63" s="43">
        <f t="shared" si="15"/>
        <v>3.3999999999999995</v>
      </c>
      <c r="H63" s="44">
        <f t="shared" si="16"/>
        <v>17</v>
      </c>
      <c r="I63" s="34"/>
      <c r="J63" s="45">
        <f t="shared" si="17"/>
        <v>17.560999999999993</v>
      </c>
      <c r="K63" s="46"/>
      <c r="L63" s="47">
        <f t="shared" si="18"/>
        <v>3.3999999999999995</v>
      </c>
      <c r="M63" s="46"/>
      <c r="N63" s="48">
        <f t="shared" si="19"/>
        <v>0</v>
      </c>
      <c r="O63" s="46"/>
      <c r="P63" s="49">
        <f t="shared" si="20"/>
        <v>0</v>
      </c>
      <c r="Q63" s="34"/>
      <c r="R63" s="50">
        <f t="shared" si="21"/>
        <v>13.600000000000001</v>
      </c>
      <c r="S63" s="46"/>
      <c r="T63" s="72">
        <f t="shared" si="22"/>
        <v>3.3999999999999995</v>
      </c>
      <c r="U63" s="51">
        <f t="shared" si="23"/>
        <v>20.960999999999991</v>
      </c>
      <c r="V63" s="37" t="str">
        <f t="shared" si="24"/>
        <v>ok</v>
      </c>
      <c r="W63" s="37" t="str">
        <f t="shared" si="25"/>
        <v>ok</v>
      </c>
    </row>
    <row r="64" spans="2:23" x14ac:dyDescent="0.25"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55"/>
      <c r="Q64" s="34"/>
      <c r="R64" s="36"/>
      <c r="S64" s="34"/>
      <c r="T64" s="34"/>
      <c r="U64" s="34"/>
      <c r="V64" s="37"/>
      <c r="W64" s="37" t="str">
        <f t="shared" si="25"/>
        <v>ok</v>
      </c>
    </row>
    <row r="65" spans="1:23" s="75" customFormat="1" ht="15.75" thickBot="1" x14ac:dyDescent="0.3">
      <c r="A65" s="75" t="s">
        <v>59</v>
      </c>
      <c r="B65" s="77"/>
      <c r="C65" s="78"/>
      <c r="D65" s="79">
        <f>SUM(D41:D63)</f>
        <v>718.52200000000005</v>
      </c>
      <c r="E65" s="80">
        <f>SUM(E41:E63)</f>
        <v>763.11300000000006</v>
      </c>
      <c r="F65" s="81">
        <f>SUM(F41:F63)</f>
        <v>610.49039999999991</v>
      </c>
      <c r="G65" s="82">
        <f>SUM(G41:G63)</f>
        <v>152.62259999999995</v>
      </c>
      <c r="H65" s="83">
        <f>SUM(H41:H63)</f>
        <v>543.42199999999991</v>
      </c>
      <c r="I65" s="84"/>
      <c r="J65" s="85">
        <f>SUM(J41:J63)</f>
        <v>175.09999999999997</v>
      </c>
      <c r="K65" s="86"/>
      <c r="L65" s="87">
        <f>SUM(L41:L63)</f>
        <v>69.679599999999979</v>
      </c>
      <c r="M65" s="86"/>
      <c r="N65" s="88">
        <f>SUM(N41:N63)</f>
        <v>136.74800000000002</v>
      </c>
      <c r="O65" s="86"/>
      <c r="P65" s="89">
        <f>SUM(P41:P63)</f>
        <v>82.942999999999969</v>
      </c>
      <c r="Q65" s="84"/>
      <c r="R65" s="90">
        <f>SUM(R41:R63)</f>
        <v>473.74239999999998</v>
      </c>
      <c r="S65" s="86"/>
      <c r="T65" s="91">
        <f>SUM(T41:T63)</f>
        <v>289.37059999999997</v>
      </c>
      <c r="U65" s="92">
        <f>SUM(U41:U63)</f>
        <v>244.77959999999993</v>
      </c>
      <c r="V65" s="73" t="str">
        <f t="shared" ref="V65" si="26">IF(R65+T65=E65,"ok","bad")</f>
        <v>ok</v>
      </c>
      <c r="W65" s="73" t="str">
        <f t="shared" si="25"/>
        <v>ok</v>
      </c>
    </row>
    <row r="66" spans="1:23" s="75" customFormat="1" x14ac:dyDescent="0.25">
      <c r="A66" s="75" t="s">
        <v>60</v>
      </c>
      <c r="B66" s="73"/>
      <c r="C66" s="73"/>
      <c r="D66" s="74">
        <f t="shared" ref="D66:U66" si="27">(D65/BDA)*12</f>
        <v>165.81276923076925</v>
      </c>
      <c r="E66" s="74">
        <f t="shared" si="27"/>
        <v>176.10300000000001</v>
      </c>
      <c r="F66" s="74">
        <f t="shared" si="27"/>
        <v>140.88239999999996</v>
      </c>
      <c r="G66" s="74">
        <f t="shared" si="27"/>
        <v>35.22059999999999</v>
      </c>
      <c r="H66" s="74">
        <f t="shared" si="27"/>
        <v>125.4050769230769</v>
      </c>
      <c r="I66" s="74">
        <f t="shared" si="27"/>
        <v>0</v>
      </c>
      <c r="J66" s="74">
        <f t="shared" si="27"/>
        <v>40.407692307692301</v>
      </c>
      <c r="K66" s="74">
        <f t="shared" si="27"/>
        <v>0</v>
      </c>
      <c r="L66" s="74">
        <f t="shared" si="27"/>
        <v>16.079907692307685</v>
      </c>
      <c r="M66" s="74">
        <f t="shared" si="27"/>
        <v>0</v>
      </c>
      <c r="N66" s="74">
        <f t="shared" si="27"/>
        <v>31.557230769230777</v>
      </c>
      <c r="O66" s="74">
        <f t="shared" si="27"/>
        <v>0</v>
      </c>
      <c r="P66" s="74">
        <f t="shared" si="27"/>
        <v>19.140692307692301</v>
      </c>
      <c r="Q66" s="74">
        <f t="shared" si="27"/>
        <v>0</v>
      </c>
      <c r="R66" s="74">
        <f t="shared" si="27"/>
        <v>109.32516923076923</v>
      </c>
      <c r="S66" s="74">
        <f t="shared" si="27"/>
        <v>0</v>
      </c>
      <c r="T66" s="74">
        <f t="shared" si="27"/>
        <v>66.777830769230761</v>
      </c>
      <c r="U66" s="74">
        <f t="shared" si="27"/>
        <v>56.487599999999979</v>
      </c>
      <c r="V66" s="73"/>
      <c r="W66" s="73"/>
    </row>
    <row r="67" spans="1:23" s="75" customFormat="1" x14ac:dyDescent="0.25">
      <c r="A67" s="75" t="s">
        <v>65</v>
      </c>
      <c r="D67" s="75">
        <f t="shared" ref="D67:U67" si="28">D66/QTMGI</f>
        <v>284.25046153846154</v>
      </c>
      <c r="E67" s="75">
        <f t="shared" si="28"/>
        <v>301.89085714285716</v>
      </c>
      <c r="F67" s="75">
        <f t="shared" si="28"/>
        <v>241.51268571428562</v>
      </c>
      <c r="G67" s="75">
        <f t="shared" si="28"/>
        <v>60.378171428571406</v>
      </c>
      <c r="H67" s="75">
        <f t="shared" si="28"/>
        <v>214.98013186813182</v>
      </c>
      <c r="I67" s="75">
        <f t="shared" si="28"/>
        <v>0</v>
      </c>
      <c r="J67" s="75">
        <f t="shared" si="28"/>
        <v>69.270329670329659</v>
      </c>
      <c r="K67" s="75">
        <f t="shared" si="28"/>
        <v>0</v>
      </c>
      <c r="L67" s="75">
        <f t="shared" si="28"/>
        <v>27.565556043956029</v>
      </c>
      <c r="M67" s="75">
        <f t="shared" si="28"/>
        <v>0</v>
      </c>
      <c r="N67" s="75">
        <f t="shared" si="28"/>
        <v>54.098109890109903</v>
      </c>
      <c r="O67" s="75">
        <f t="shared" si="28"/>
        <v>0</v>
      </c>
      <c r="P67" s="75">
        <f t="shared" si="28"/>
        <v>32.81261538461537</v>
      </c>
      <c r="Q67" s="75">
        <f t="shared" si="28"/>
        <v>0</v>
      </c>
      <c r="R67" s="75">
        <f t="shared" si="28"/>
        <v>187.41457582417581</v>
      </c>
      <c r="S67" s="75">
        <f t="shared" si="28"/>
        <v>0</v>
      </c>
      <c r="T67" s="75">
        <f t="shared" si="28"/>
        <v>114.4762813186813</v>
      </c>
      <c r="U67" s="75">
        <f t="shared" si="28"/>
        <v>96.835885714285666</v>
      </c>
    </row>
    <row r="68" spans="1:23" s="75" customFormat="1" x14ac:dyDescent="0.25"/>
    <row r="69" spans="1:23" x14ac:dyDescent="0.25">
      <c r="A69" s="2" t="s">
        <v>66</v>
      </c>
      <c r="B69" s="3"/>
      <c r="C69" s="7"/>
      <c r="D69" s="7"/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thickBot="1" x14ac:dyDescent="0.3"/>
    <row r="71" spans="1:23" ht="51.75" thickBot="1" x14ac:dyDescent="0.3">
      <c r="B71" s="17"/>
      <c r="C71" s="18"/>
      <c r="D71" s="19" t="s">
        <v>40</v>
      </c>
      <c r="E71" s="20" t="s">
        <v>41</v>
      </c>
      <c r="F71" s="21" t="s">
        <v>42</v>
      </c>
      <c r="G71" s="22" t="s">
        <v>43</v>
      </c>
      <c r="H71" s="23" t="s">
        <v>44</v>
      </c>
      <c r="I71" s="24"/>
      <c r="J71" s="25" t="s">
        <v>45</v>
      </c>
      <c r="K71" s="26"/>
      <c r="L71" s="27" t="s">
        <v>46</v>
      </c>
      <c r="M71" s="26"/>
      <c r="N71" s="28" t="s">
        <v>47</v>
      </c>
      <c r="O71" s="26"/>
      <c r="P71" s="29" t="s">
        <v>48</v>
      </c>
      <c r="Q71" s="24"/>
      <c r="R71" s="30" t="s">
        <v>49</v>
      </c>
      <c r="S71" s="26"/>
      <c r="T71" s="70" t="s">
        <v>50</v>
      </c>
      <c r="U71" s="31" t="s">
        <v>51</v>
      </c>
      <c r="V71" s="32" t="s">
        <v>52</v>
      </c>
    </row>
    <row r="72" spans="1:23" x14ac:dyDescent="0.25">
      <c r="B72" s="33"/>
      <c r="C72" s="34"/>
      <c r="D72" s="35"/>
      <c r="E72" s="35"/>
      <c r="F72" s="35"/>
      <c r="G72" s="35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6"/>
      <c r="S72" s="34"/>
      <c r="T72" s="34"/>
      <c r="U72" s="34"/>
      <c r="V72" s="37"/>
    </row>
    <row r="73" spans="1:23" x14ac:dyDescent="0.25">
      <c r="B73" s="38" t="s">
        <v>19</v>
      </c>
      <c r="C73" s="39">
        <v>1</v>
      </c>
      <c r="D73" s="93">
        <f t="shared" ref="D73:E95" si="29">D41/BDA*12</f>
        <v>7.1046923076923081</v>
      </c>
      <c r="E73" s="94">
        <f t="shared" si="29"/>
        <v>15.299999999999999</v>
      </c>
      <c r="F73" s="95">
        <f t="shared" ref="F73:F95" si="30">E73*TC</f>
        <v>12.24</v>
      </c>
      <c r="G73" s="96">
        <f t="shared" ref="G73:G95" si="31">E73*(1-TC)</f>
        <v>3.0599999999999992</v>
      </c>
      <c r="H73" s="97">
        <f>IF(E73&gt;D73,D73,E73)</f>
        <v>7.1046923076923081</v>
      </c>
      <c r="I73" s="98"/>
      <c r="J73" s="99">
        <f>IF(E73&gt;D73,0,D73-E73)</f>
        <v>0</v>
      </c>
      <c r="K73" s="100"/>
      <c r="L73" s="101">
        <f>IF(E73&gt;D73,IF(F73&gt;H73,0,H73-F73),G73)</f>
        <v>0</v>
      </c>
      <c r="M73" s="100"/>
      <c r="N73" s="102">
        <f>IF(E73&gt;D73,IF(F73&gt;H73,F73-H73,0),0)</f>
        <v>5.1353076923076921</v>
      </c>
      <c r="O73" s="100"/>
      <c r="P73" s="103">
        <f>IF(E73&gt;D73,IF(F73&gt;H73,G73,E73-H73),0)</f>
        <v>3.0599999999999992</v>
      </c>
      <c r="Q73" s="98"/>
      <c r="R73" s="104">
        <f>H73-L73</f>
        <v>7.1046923076923081</v>
      </c>
      <c r="S73" s="100"/>
      <c r="T73" s="91">
        <f>L73+N73+P73</f>
        <v>8.1953076923076917</v>
      </c>
      <c r="U73" s="92">
        <f>J73+L73</f>
        <v>0</v>
      </c>
      <c r="V73" s="37" t="str">
        <f>IF(R73+T73=E73,"ok","bad")</f>
        <v>ok</v>
      </c>
      <c r="W73" s="37" t="str">
        <f>IF(U73+R73=D73,"ok","bad")</f>
        <v>ok</v>
      </c>
    </row>
    <row r="74" spans="1:23" x14ac:dyDescent="0.25">
      <c r="B74" s="38" t="s">
        <v>20</v>
      </c>
      <c r="C74" s="39">
        <v>2</v>
      </c>
      <c r="D74" s="93">
        <f t="shared" si="29"/>
        <v>5.578615384615385</v>
      </c>
      <c r="E74" s="94">
        <f t="shared" si="29"/>
        <v>11.22</v>
      </c>
      <c r="F74" s="95">
        <f t="shared" si="30"/>
        <v>8.9760000000000009</v>
      </c>
      <c r="G74" s="96">
        <f t="shared" si="31"/>
        <v>2.2439999999999998</v>
      </c>
      <c r="H74" s="97">
        <f t="shared" ref="H74:H95" si="32">IF(E74&gt;D74,D74,E74)</f>
        <v>5.578615384615385</v>
      </c>
      <c r="I74" s="98"/>
      <c r="J74" s="99">
        <f t="shared" ref="J74:J95" si="33">IF(E74&gt;D74,0,D74-E74)</f>
        <v>0</v>
      </c>
      <c r="K74" s="100"/>
      <c r="L74" s="101">
        <f t="shared" ref="L74:L95" si="34">IF(E74&gt;D74,IF(F74&gt;H74,0,H74-F74),G74)</f>
        <v>0</v>
      </c>
      <c r="M74" s="100"/>
      <c r="N74" s="102">
        <f t="shared" ref="N74:N95" si="35">IF(E74&gt;D74,IF(F74&gt;H74,F74-H74,0),0)</f>
        <v>3.3973846153846159</v>
      </c>
      <c r="O74" s="100"/>
      <c r="P74" s="103">
        <f t="shared" ref="P74:P95" si="36">IF(E74&gt;D74,IF(F74&gt;H74,G74,E74-H74),0)</f>
        <v>2.2439999999999998</v>
      </c>
      <c r="Q74" s="98"/>
      <c r="R74" s="104">
        <f t="shared" ref="R74:R95" si="37">H74-L74</f>
        <v>5.578615384615385</v>
      </c>
      <c r="S74" s="100"/>
      <c r="T74" s="91">
        <f t="shared" ref="T74:T95" si="38">L74+N74+P74</f>
        <v>5.6413846153846157</v>
      </c>
      <c r="U74" s="92">
        <f t="shared" ref="U74:U95" si="39">J74+L74</f>
        <v>0</v>
      </c>
      <c r="V74" s="37" t="str">
        <f t="shared" ref="V74:V95" si="40">IF(R74+T74=E74,"ok","bad")</f>
        <v>ok</v>
      </c>
      <c r="W74" s="37" t="str">
        <f t="shared" ref="W74:W97" si="41">IF(U74+R74=D74,"ok","bad")</f>
        <v>ok</v>
      </c>
    </row>
    <row r="75" spans="1:23" x14ac:dyDescent="0.25">
      <c r="B75" s="38" t="s">
        <v>21</v>
      </c>
      <c r="C75" s="39">
        <v>3</v>
      </c>
      <c r="D75" s="93">
        <f t="shared" si="29"/>
        <v>2.4401538461538461</v>
      </c>
      <c r="E75" s="94">
        <f t="shared" si="29"/>
        <v>4.59</v>
      </c>
      <c r="F75" s="95">
        <f t="shared" si="30"/>
        <v>3.6720000000000002</v>
      </c>
      <c r="G75" s="96">
        <f t="shared" si="31"/>
        <v>0.91799999999999982</v>
      </c>
      <c r="H75" s="97">
        <f t="shared" si="32"/>
        <v>2.4401538461538461</v>
      </c>
      <c r="I75" s="98"/>
      <c r="J75" s="99">
        <f t="shared" si="33"/>
        <v>0</v>
      </c>
      <c r="K75" s="100"/>
      <c r="L75" s="101">
        <f t="shared" si="34"/>
        <v>0</v>
      </c>
      <c r="M75" s="100"/>
      <c r="N75" s="102">
        <f t="shared" si="35"/>
        <v>1.231846153846154</v>
      </c>
      <c r="O75" s="100"/>
      <c r="P75" s="103">
        <f t="shared" si="36"/>
        <v>0.91799999999999982</v>
      </c>
      <c r="Q75" s="98"/>
      <c r="R75" s="104">
        <f t="shared" si="37"/>
        <v>2.4401538461538461</v>
      </c>
      <c r="S75" s="100"/>
      <c r="T75" s="91">
        <f t="shared" si="38"/>
        <v>2.1498461538461537</v>
      </c>
      <c r="U75" s="92">
        <f t="shared" si="39"/>
        <v>0</v>
      </c>
      <c r="V75" s="37" t="str">
        <f t="shared" si="40"/>
        <v>ok</v>
      </c>
      <c r="W75" s="37" t="str">
        <f t="shared" si="41"/>
        <v>ok</v>
      </c>
    </row>
    <row r="76" spans="1:23" x14ac:dyDescent="0.25">
      <c r="B76" s="38" t="s">
        <v>22</v>
      </c>
      <c r="C76" s="39">
        <v>4</v>
      </c>
      <c r="D76" s="93">
        <f t="shared" si="29"/>
        <v>1.7026153846153842</v>
      </c>
      <c r="E76" s="94">
        <f t="shared" si="29"/>
        <v>6.8849999999999998</v>
      </c>
      <c r="F76" s="95">
        <f t="shared" si="30"/>
        <v>5.508</v>
      </c>
      <c r="G76" s="96">
        <f t="shared" si="31"/>
        <v>1.3769999999999996</v>
      </c>
      <c r="H76" s="97">
        <f t="shared" si="32"/>
        <v>1.7026153846153842</v>
      </c>
      <c r="I76" s="98"/>
      <c r="J76" s="99">
        <f t="shared" si="33"/>
        <v>0</v>
      </c>
      <c r="K76" s="100"/>
      <c r="L76" s="101">
        <f t="shared" si="34"/>
        <v>0</v>
      </c>
      <c r="M76" s="100"/>
      <c r="N76" s="102">
        <f t="shared" si="35"/>
        <v>3.8053846153846158</v>
      </c>
      <c r="O76" s="100"/>
      <c r="P76" s="103">
        <f t="shared" si="36"/>
        <v>1.3769999999999996</v>
      </c>
      <c r="Q76" s="98"/>
      <c r="R76" s="104">
        <f t="shared" si="37"/>
        <v>1.7026153846153842</v>
      </c>
      <c r="S76" s="100"/>
      <c r="T76" s="91">
        <f t="shared" si="38"/>
        <v>5.1823846153846151</v>
      </c>
      <c r="U76" s="92">
        <f t="shared" si="39"/>
        <v>0</v>
      </c>
      <c r="V76" s="37" t="str">
        <f t="shared" si="40"/>
        <v>ok</v>
      </c>
      <c r="W76" s="37" t="str">
        <f t="shared" si="41"/>
        <v>ok</v>
      </c>
    </row>
    <row r="77" spans="1:23" x14ac:dyDescent="0.25">
      <c r="B77" s="38" t="s">
        <v>23</v>
      </c>
      <c r="C77" s="39">
        <v>5</v>
      </c>
      <c r="D77" s="93">
        <f t="shared" si="29"/>
        <v>3.5307692307692302</v>
      </c>
      <c r="E77" s="94">
        <f t="shared" si="29"/>
        <v>11.22</v>
      </c>
      <c r="F77" s="95">
        <f t="shared" si="30"/>
        <v>8.9760000000000009</v>
      </c>
      <c r="G77" s="96">
        <f t="shared" si="31"/>
        <v>2.2439999999999998</v>
      </c>
      <c r="H77" s="97">
        <f t="shared" si="32"/>
        <v>3.5307692307692302</v>
      </c>
      <c r="I77" s="98"/>
      <c r="J77" s="99">
        <f t="shared" si="33"/>
        <v>0</v>
      </c>
      <c r="K77" s="100"/>
      <c r="L77" s="101">
        <f t="shared" si="34"/>
        <v>0</v>
      </c>
      <c r="M77" s="100"/>
      <c r="N77" s="102">
        <f t="shared" si="35"/>
        <v>5.4452307692307702</v>
      </c>
      <c r="O77" s="100"/>
      <c r="P77" s="103">
        <f t="shared" si="36"/>
        <v>2.2439999999999998</v>
      </c>
      <c r="Q77" s="98"/>
      <c r="R77" s="104">
        <f t="shared" si="37"/>
        <v>3.5307692307692302</v>
      </c>
      <c r="S77" s="100"/>
      <c r="T77" s="91">
        <f t="shared" si="38"/>
        <v>7.68923076923077</v>
      </c>
      <c r="U77" s="92">
        <f t="shared" si="39"/>
        <v>0</v>
      </c>
      <c r="V77" s="37" t="str">
        <f t="shared" si="40"/>
        <v>ok</v>
      </c>
      <c r="W77" s="37" t="str">
        <f t="shared" si="41"/>
        <v>ok</v>
      </c>
    </row>
    <row r="78" spans="1:23" x14ac:dyDescent="0.25">
      <c r="B78" s="38" t="s">
        <v>19</v>
      </c>
      <c r="C78" s="39">
        <v>6</v>
      </c>
      <c r="D78" s="93">
        <f t="shared" si="29"/>
        <v>11.337692307692308</v>
      </c>
      <c r="E78" s="94">
        <f t="shared" si="29"/>
        <v>7.8461538461538467</v>
      </c>
      <c r="F78" s="95">
        <f t="shared" si="30"/>
        <v>6.2769230769230777</v>
      </c>
      <c r="G78" s="96">
        <f t="shared" si="31"/>
        <v>1.569230769230769</v>
      </c>
      <c r="H78" s="97">
        <f t="shared" si="32"/>
        <v>7.8461538461538467</v>
      </c>
      <c r="I78" s="98"/>
      <c r="J78" s="99">
        <f t="shared" si="33"/>
        <v>3.491538461538461</v>
      </c>
      <c r="K78" s="100"/>
      <c r="L78" s="101">
        <f t="shared" si="34"/>
        <v>1.569230769230769</v>
      </c>
      <c r="M78" s="100"/>
      <c r="N78" s="102">
        <f t="shared" si="35"/>
        <v>0</v>
      </c>
      <c r="O78" s="100"/>
      <c r="P78" s="103">
        <f t="shared" si="36"/>
        <v>0</v>
      </c>
      <c r="Q78" s="98"/>
      <c r="R78" s="104">
        <f t="shared" si="37"/>
        <v>6.2769230769230777</v>
      </c>
      <c r="S78" s="100"/>
      <c r="T78" s="91">
        <f t="shared" si="38"/>
        <v>1.569230769230769</v>
      </c>
      <c r="U78" s="92">
        <f t="shared" si="39"/>
        <v>5.06076923076923</v>
      </c>
      <c r="V78" s="37" t="str">
        <f t="shared" si="40"/>
        <v>ok</v>
      </c>
      <c r="W78" s="37" t="str">
        <f t="shared" si="41"/>
        <v>ok</v>
      </c>
    </row>
    <row r="79" spans="1:23" x14ac:dyDescent="0.25">
      <c r="B79" s="38" t="s">
        <v>20</v>
      </c>
      <c r="C79" s="39">
        <v>7</v>
      </c>
      <c r="D79" s="93">
        <f t="shared" si="29"/>
        <v>9.1956923076923065</v>
      </c>
      <c r="E79" s="94">
        <f t="shared" si="29"/>
        <v>8.042307692307693</v>
      </c>
      <c r="F79" s="95">
        <f t="shared" si="30"/>
        <v>6.4338461538461544</v>
      </c>
      <c r="G79" s="96">
        <f t="shared" si="31"/>
        <v>1.6084615384615382</v>
      </c>
      <c r="H79" s="97">
        <f t="shared" si="32"/>
        <v>8.042307692307693</v>
      </c>
      <c r="I79" s="98"/>
      <c r="J79" s="99">
        <f t="shared" si="33"/>
        <v>1.1533846153846135</v>
      </c>
      <c r="K79" s="100"/>
      <c r="L79" s="101">
        <f t="shared" si="34"/>
        <v>1.6084615384615382</v>
      </c>
      <c r="M79" s="100"/>
      <c r="N79" s="102">
        <f t="shared" si="35"/>
        <v>0</v>
      </c>
      <c r="O79" s="100"/>
      <c r="P79" s="103">
        <f t="shared" si="36"/>
        <v>0</v>
      </c>
      <c r="Q79" s="98"/>
      <c r="R79" s="104">
        <f t="shared" si="37"/>
        <v>6.4338461538461544</v>
      </c>
      <c r="S79" s="100"/>
      <c r="T79" s="91">
        <f t="shared" si="38"/>
        <v>1.6084615384615382</v>
      </c>
      <c r="U79" s="92">
        <f t="shared" si="39"/>
        <v>2.7618461538461516</v>
      </c>
      <c r="V79" s="37" t="str">
        <f t="shared" si="40"/>
        <v>ok</v>
      </c>
      <c r="W79" s="37" t="str">
        <f t="shared" si="41"/>
        <v>ok</v>
      </c>
    </row>
    <row r="80" spans="1:23" x14ac:dyDescent="0.25">
      <c r="B80" s="38" t="s">
        <v>21</v>
      </c>
      <c r="C80" s="39">
        <v>8</v>
      </c>
      <c r="D80" s="93">
        <f t="shared" si="29"/>
        <v>5.3157692307692308</v>
      </c>
      <c r="E80" s="94">
        <f t="shared" si="29"/>
        <v>4.3153846153846152</v>
      </c>
      <c r="F80" s="95">
        <f t="shared" si="30"/>
        <v>3.4523076923076923</v>
      </c>
      <c r="G80" s="96">
        <f t="shared" si="31"/>
        <v>0.86307692307692285</v>
      </c>
      <c r="H80" s="97">
        <f t="shared" si="32"/>
        <v>4.3153846153846152</v>
      </c>
      <c r="I80" s="98"/>
      <c r="J80" s="99">
        <f t="shared" si="33"/>
        <v>1.0003846153846156</v>
      </c>
      <c r="K80" s="100"/>
      <c r="L80" s="101">
        <f t="shared" si="34"/>
        <v>0.86307692307692285</v>
      </c>
      <c r="M80" s="100"/>
      <c r="N80" s="102">
        <f t="shared" si="35"/>
        <v>0</v>
      </c>
      <c r="O80" s="100"/>
      <c r="P80" s="103">
        <f t="shared" si="36"/>
        <v>0</v>
      </c>
      <c r="Q80" s="98"/>
      <c r="R80" s="104">
        <f t="shared" si="37"/>
        <v>3.4523076923076923</v>
      </c>
      <c r="S80" s="100"/>
      <c r="T80" s="91">
        <f t="shared" si="38"/>
        <v>0.86307692307692285</v>
      </c>
      <c r="U80" s="92">
        <f t="shared" si="39"/>
        <v>1.8634615384615385</v>
      </c>
      <c r="V80" s="37" t="str">
        <f t="shared" si="40"/>
        <v>ok</v>
      </c>
      <c r="W80" s="37" t="str">
        <f t="shared" si="41"/>
        <v>ok</v>
      </c>
    </row>
    <row r="81" spans="2:23" x14ac:dyDescent="0.25">
      <c r="B81" s="38" t="s">
        <v>22</v>
      </c>
      <c r="C81" s="39">
        <v>9</v>
      </c>
      <c r="D81" s="93">
        <f t="shared" si="29"/>
        <v>4.2918461538461541</v>
      </c>
      <c r="E81" s="94">
        <f t="shared" si="29"/>
        <v>5.4923076923076923</v>
      </c>
      <c r="F81" s="95">
        <f t="shared" si="30"/>
        <v>4.3938461538461544</v>
      </c>
      <c r="G81" s="96">
        <f t="shared" si="31"/>
        <v>1.0984615384615382</v>
      </c>
      <c r="H81" s="97">
        <f t="shared" si="32"/>
        <v>4.2918461538461541</v>
      </c>
      <c r="I81" s="98"/>
      <c r="J81" s="99">
        <f t="shared" si="33"/>
        <v>0</v>
      </c>
      <c r="K81" s="100"/>
      <c r="L81" s="101">
        <f t="shared" si="34"/>
        <v>0</v>
      </c>
      <c r="M81" s="100"/>
      <c r="N81" s="102">
        <f t="shared" si="35"/>
        <v>0.10200000000000031</v>
      </c>
      <c r="O81" s="100"/>
      <c r="P81" s="103">
        <f t="shared" si="36"/>
        <v>1.0984615384615382</v>
      </c>
      <c r="Q81" s="98"/>
      <c r="R81" s="104">
        <f t="shared" si="37"/>
        <v>4.2918461538461541</v>
      </c>
      <c r="S81" s="100"/>
      <c r="T81" s="91">
        <f t="shared" si="38"/>
        <v>1.2004615384615385</v>
      </c>
      <c r="U81" s="92">
        <f t="shared" si="39"/>
        <v>0</v>
      </c>
      <c r="V81" s="37" t="str">
        <f t="shared" si="40"/>
        <v>ok</v>
      </c>
      <c r="W81" s="37" t="str">
        <f t="shared" si="41"/>
        <v>ok</v>
      </c>
    </row>
    <row r="82" spans="2:23" x14ac:dyDescent="0.25">
      <c r="B82" s="38" t="s">
        <v>23</v>
      </c>
      <c r="C82" s="39">
        <v>10</v>
      </c>
      <c r="D82" s="93">
        <f t="shared" si="29"/>
        <v>8.1756923076923069</v>
      </c>
      <c r="E82" s="94">
        <f t="shared" si="29"/>
        <v>7.4538461538461522</v>
      </c>
      <c r="F82" s="95">
        <f t="shared" si="30"/>
        <v>5.9630769230769225</v>
      </c>
      <c r="G82" s="96">
        <f t="shared" si="31"/>
        <v>1.4907692307692302</v>
      </c>
      <c r="H82" s="97">
        <f t="shared" si="32"/>
        <v>7.4538461538461522</v>
      </c>
      <c r="I82" s="98"/>
      <c r="J82" s="99">
        <f t="shared" si="33"/>
        <v>0.72184615384615469</v>
      </c>
      <c r="K82" s="100"/>
      <c r="L82" s="101">
        <f t="shared" si="34"/>
        <v>1.4907692307692302</v>
      </c>
      <c r="M82" s="100"/>
      <c r="N82" s="102">
        <f t="shared" si="35"/>
        <v>0</v>
      </c>
      <c r="O82" s="100"/>
      <c r="P82" s="103">
        <f t="shared" si="36"/>
        <v>0</v>
      </c>
      <c r="Q82" s="98"/>
      <c r="R82" s="104">
        <f t="shared" si="37"/>
        <v>5.9630769230769225</v>
      </c>
      <c r="S82" s="100"/>
      <c r="T82" s="91">
        <f t="shared" si="38"/>
        <v>1.4907692307692302</v>
      </c>
      <c r="U82" s="92">
        <f t="shared" si="39"/>
        <v>2.2126153846153849</v>
      </c>
      <c r="V82" s="37" t="str">
        <f t="shared" si="40"/>
        <v>ok</v>
      </c>
      <c r="W82" s="37" t="str">
        <f t="shared" si="41"/>
        <v>ok</v>
      </c>
    </row>
    <row r="83" spans="2:23" x14ac:dyDescent="0.25">
      <c r="B83" s="38" t="s">
        <v>19</v>
      </c>
      <c r="C83" s="39">
        <v>11</v>
      </c>
      <c r="D83" s="93">
        <f t="shared" si="29"/>
        <v>7.1046923076923081</v>
      </c>
      <c r="E83" s="94">
        <f t="shared" si="29"/>
        <v>11.769230769230768</v>
      </c>
      <c r="F83" s="95">
        <f t="shared" si="30"/>
        <v>9.4153846153846157</v>
      </c>
      <c r="G83" s="96">
        <f t="shared" si="31"/>
        <v>2.353846153846153</v>
      </c>
      <c r="H83" s="97">
        <f t="shared" si="32"/>
        <v>7.1046923076923081</v>
      </c>
      <c r="I83" s="98"/>
      <c r="J83" s="99">
        <f t="shared" si="33"/>
        <v>0</v>
      </c>
      <c r="K83" s="100"/>
      <c r="L83" s="101">
        <f t="shared" si="34"/>
        <v>0</v>
      </c>
      <c r="M83" s="100"/>
      <c r="N83" s="102">
        <f t="shared" si="35"/>
        <v>2.3106923076923076</v>
      </c>
      <c r="O83" s="100"/>
      <c r="P83" s="103">
        <f t="shared" si="36"/>
        <v>2.353846153846153</v>
      </c>
      <c r="Q83" s="98"/>
      <c r="R83" s="104">
        <f t="shared" si="37"/>
        <v>7.1046923076923081</v>
      </c>
      <c r="S83" s="100"/>
      <c r="T83" s="91">
        <f t="shared" si="38"/>
        <v>4.6645384615384611</v>
      </c>
      <c r="U83" s="92">
        <f t="shared" si="39"/>
        <v>0</v>
      </c>
      <c r="V83" s="37" t="str">
        <f t="shared" si="40"/>
        <v>ok</v>
      </c>
      <c r="W83" s="37" t="str">
        <f t="shared" si="41"/>
        <v>ok</v>
      </c>
    </row>
    <row r="84" spans="2:23" x14ac:dyDescent="0.25">
      <c r="B84" s="38" t="s">
        <v>20</v>
      </c>
      <c r="C84" s="39">
        <v>12</v>
      </c>
      <c r="D84" s="93">
        <f t="shared" si="29"/>
        <v>5.578615384615385</v>
      </c>
      <c r="E84" s="94">
        <f t="shared" si="29"/>
        <v>9.023076923076923</v>
      </c>
      <c r="F84" s="95">
        <f t="shared" si="30"/>
        <v>7.2184615384615389</v>
      </c>
      <c r="G84" s="96">
        <f t="shared" si="31"/>
        <v>1.8046153846153843</v>
      </c>
      <c r="H84" s="97">
        <f t="shared" si="32"/>
        <v>5.578615384615385</v>
      </c>
      <c r="I84" s="98"/>
      <c r="J84" s="99">
        <f t="shared" si="33"/>
        <v>0</v>
      </c>
      <c r="K84" s="100"/>
      <c r="L84" s="101">
        <f t="shared" si="34"/>
        <v>0</v>
      </c>
      <c r="M84" s="100"/>
      <c r="N84" s="102">
        <f t="shared" si="35"/>
        <v>1.639846153846154</v>
      </c>
      <c r="O84" s="100"/>
      <c r="P84" s="103">
        <f t="shared" si="36"/>
        <v>1.8046153846153843</v>
      </c>
      <c r="Q84" s="98"/>
      <c r="R84" s="104">
        <f t="shared" si="37"/>
        <v>5.578615384615385</v>
      </c>
      <c r="S84" s="100"/>
      <c r="T84" s="91">
        <f t="shared" si="38"/>
        <v>3.444461538461538</v>
      </c>
      <c r="U84" s="92">
        <f t="shared" si="39"/>
        <v>0</v>
      </c>
      <c r="V84" s="37" t="str">
        <f t="shared" si="40"/>
        <v>ok</v>
      </c>
      <c r="W84" s="37" t="str">
        <f t="shared" si="41"/>
        <v>ok</v>
      </c>
    </row>
    <row r="85" spans="2:23" x14ac:dyDescent="0.25">
      <c r="B85" s="38" t="s">
        <v>21</v>
      </c>
      <c r="C85" s="39">
        <v>13</v>
      </c>
      <c r="D85" s="93">
        <f t="shared" si="29"/>
        <v>2.4401538461538461</v>
      </c>
      <c r="E85" s="94">
        <f t="shared" si="29"/>
        <v>4.3153846153846152</v>
      </c>
      <c r="F85" s="95">
        <f t="shared" si="30"/>
        <v>3.4523076923076923</v>
      </c>
      <c r="G85" s="96">
        <f t="shared" si="31"/>
        <v>0.86307692307692285</v>
      </c>
      <c r="H85" s="97">
        <f t="shared" si="32"/>
        <v>2.4401538461538461</v>
      </c>
      <c r="I85" s="98"/>
      <c r="J85" s="99">
        <f t="shared" si="33"/>
        <v>0</v>
      </c>
      <c r="K85" s="100"/>
      <c r="L85" s="101">
        <f t="shared" si="34"/>
        <v>0</v>
      </c>
      <c r="M85" s="100"/>
      <c r="N85" s="102">
        <f t="shared" si="35"/>
        <v>1.0121538461538462</v>
      </c>
      <c r="O85" s="100"/>
      <c r="P85" s="103">
        <f t="shared" si="36"/>
        <v>0.86307692307692285</v>
      </c>
      <c r="Q85" s="98"/>
      <c r="R85" s="104">
        <f t="shared" si="37"/>
        <v>2.4401538461538461</v>
      </c>
      <c r="S85" s="100"/>
      <c r="T85" s="91">
        <f t="shared" si="38"/>
        <v>1.875230769230769</v>
      </c>
      <c r="U85" s="92">
        <f t="shared" si="39"/>
        <v>0</v>
      </c>
      <c r="V85" s="37" t="str">
        <f t="shared" si="40"/>
        <v>ok</v>
      </c>
      <c r="W85" s="37" t="str">
        <f t="shared" si="41"/>
        <v>ok</v>
      </c>
    </row>
    <row r="86" spans="2:23" x14ac:dyDescent="0.25">
      <c r="B86" s="38" t="s">
        <v>22</v>
      </c>
      <c r="C86" s="39">
        <v>14</v>
      </c>
      <c r="D86" s="93">
        <f t="shared" si="29"/>
        <v>1.7026153846153842</v>
      </c>
      <c r="E86" s="94">
        <f t="shared" si="29"/>
        <v>7.2576923076923077</v>
      </c>
      <c r="F86" s="95">
        <f t="shared" si="30"/>
        <v>5.8061538461538467</v>
      </c>
      <c r="G86" s="96">
        <f t="shared" si="31"/>
        <v>1.4515384615384612</v>
      </c>
      <c r="H86" s="97">
        <f t="shared" si="32"/>
        <v>1.7026153846153842</v>
      </c>
      <c r="I86" s="98"/>
      <c r="J86" s="99">
        <f t="shared" si="33"/>
        <v>0</v>
      </c>
      <c r="K86" s="100"/>
      <c r="L86" s="101">
        <f t="shared" si="34"/>
        <v>0</v>
      </c>
      <c r="M86" s="100"/>
      <c r="N86" s="102">
        <f t="shared" si="35"/>
        <v>4.1035384615384629</v>
      </c>
      <c r="O86" s="100"/>
      <c r="P86" s="103">
        <f t="shared" si="36"/>
        <v>1.4515384615384612</v>
      </c>
      <c r="Q86" s="98"/>
      <c r="R86" s="104">
        <f t="shared" si="37"/>
        <v>1.7026153846153842</v>
      </c>
      <c r="S86" s="100"/>
      <c r="T86" s="91">
        <f t="shared" si="38"/>
        <v>5.5550769230769239</v>
      </c>
      <c r="U86" s="92">
        <f t="shared" si="39"/>
        <v>0</v>
      </c>
      <c r="V86" s="37" t="str">
        <f t="shared" si="40"/>
        <v>ok</v>
      </c>
      <c r="W86" s="37" t="str">
        <f t="shared" si="41"/>
        <v>ok</v>
      </c>
    </row>
    <row r="87" spans="2:23" x14ac:dyDescent="0.25">
      <c r="B87" s="38" t="s">
        <v>23</v>
      </c>
      <c r="C87" s="39">
        <v>15</v>
      </c>
      <c r="D87" s="93">
        <f t="shared" si="29"/>
        <v>3.5307692307692302</v>
      </c>
      <c r="E87" s="94">
        <f t="shared" si="29"/>
        <v>8.6307692307692303</v>
      </c>
      <c r="F87" s="95">
        <f t="shared" si="30"/>
        <v>6.9046153846153846</v>
      </c>
      <c r="G87" s="96">
        <f t="shared" si="31"/>
        <v>1.7261538461538457</v>
      </c>
      <c r="H87" s="97">
        <f t="shared" si="32"/>
        <v>3.5307692307692302</v>
      </c>
      <c r="I87" s="98"/>
      <c r="J87" s="99">
        <f t="shared" si="33"/>
        <v>0</v>
      </c>
      <c r="K87" s="100"/>
      <c r="L87" s="101">
        <f t="shared" si="34"/>
        <v>0</v>
      </c>
      <c r="M87" s="100"/>
      <c r="N87" s="102">
        <f t="shared" si="35"/>
        <v>3.3738461538461544</v>
      </c>
      <c r="O87" s="100"/>
      <c r="P87" s="103">
        <f t="shared" si="36"/>
        <v>1.7261538461538457</v>
      </c>
      <c r="Q87" s="98"/>
      <c r="R87" s="104">
        <f t="shared" si="37"/>
        <v>3.5307692307692302</v>
      </c>
      <c r="S87" s="100"/>
      <c r="T87" s="91">
        <f t="shared" si="38"/>
        <v>5.0999999999999996</v>
      </c>
      <c r="U87" s="92">
        <f t="shared" si="39"/>
        <v>0</v>
      </c>
      <c r="V87" s="37" t="str">
        <f t="shared" si="40"/>
        <v>ok</v>
      </c>
      <c r="W87" s="37" t="str">
        <f t="shared" si="41"/>
        <v>ok</v>
      </c>
    </row>
    <row r="88" spans="2:23" x14ac:dyDescent="0.25">
      <c r="B88" s="38" t="s">
        <v>19</v>
      </c>
      <c r="C88" s="39">
        <v>16</v>
      </c>
      <c r="D88" s="93">
        <f t="shared" si="29"/>
        <v>14.170153846153847</v>
      </c>
      <c r="E88" s="94">
        <f t="shared" si="29"/>
        <v>9.7096153846153825</v>
      </c>
      <c r="F88" s="95">
        <f t="shared" si="30"/>
        <v>7.7676923076923066</v>
      </c>
      <c r="G88" s="96">
        <f t="shared" si="31"/>
        <v>1.941923076923076</v>
      </c>
      <c r="H88" s="97">
        <f t="shared" si="32"/>
        <v>9.7096153846153825</v>
      </c>
      <c r="I88" s="98"/>
      <c r="J88" s="99">
        <f t="shared" si="33"/>
        <v>4.460538461538464</v>
      </c>
      <c r="K88" s="100"/>
      <c r="L88" s="101">
        <f t="shared" si="34"/>
        <v>1.941923076923076</v>
      </c>
      <c r="M88" s="100"/>
      <c r="N88" s="102">
        <f t="shared" si="35"/>
        <v>0</v>
      </c>
      <c r="O88" s="100"/>
      <c r="P88" s="103">
        <f t="shared" si="36"/>
        <v>0</v>
      </c>
      <c r="Q88" s="98"/>
      <c r="R88" s="104">
        <f t="shared" si="37"/>
        <v>7.7676923076923066</v>
      </c>
      <c r="S88" s="100"/>
      <c r="T88" s="91">
        <f t="shared" si="38"/>
        <v>1.941923076923076</v>
      </c>
      <c r="U88" s="92">
        <f t="shared" si="39"/>
        <v>6.40246153846154</v>
      </c>
      <c r="V88" s="37" t="str">
        <f t="shared" si="40"/>
        <v>ok</v>
      </c>
      <c r="W88" s="37" t="str">
        <f t="shared" si="41"/>
        <v>ok</v>
      </c>
    </row>
    <row r="89" spans="2:23" x14ac:dyDescent="0.25">
      <c r="B89" s="38" t="s">
        <v>20</v>
      </c>
      <c r="C89" s="39">
        <v>17</v>
      </c>
      <c r="D89" s="93">
        <f t="shared" si="29"/>
        <v>11.533846153846154</v>
      </c>
      <c r="E89" s="94">
        <f t="shared" si="29"/>
        <v>6.1513846153846146</v>
      </c>
      <c r="F89" s="95">
        <f t="shared" si="30"/>
        <v>4.9211076923076922</v>
      </c>
      <c r="G89" s="96">
        <f t="shared" si="31"/>
        <v>1.2302769230769226</v>
      </c>
      <c r="H89" s="97">
        <f t="shared" si="32"/>
        <v>6.1513846153846146</v>
      </c>
      <c r="I89" s="98"/>
      <c r="J89" s="99">
        <f t="shared" si="33"/>
        <v>5.3824615384615395</v>
      </c>
      <c r="K89" s="100"/>
      <c r="L89" s="101">
        <f t="shared" si="34"/>
        <v>1.2302769230769226</v>
      </c>
      <c r="M89" s="100"/>
      <c r="N89" s="102">
        <f t="shared" si="35"/>
        <v>0</v>
      </c>
      <c r="O89" s="100"/>
      <c r="P89" s="103">
        <f t="shared" si="36"/>
        <v>0</v>
      </c>
      <c r="Q89" s="98"/>
      <c r="R89" s="104">
        <f t="shared" si="37"/>
        <v>4.9211076923076922</v>
      </c>
      <c r="S89" s="100"/>
      <c r="T89" s="91">
        <f t="shared" si="38"/>
        <v>1.2302769230769226</v>
      </c>
      <c r="U89" s="92">
        <f t="shared" si="39"/>
        <v>6.6127384615384619</v>
      </c>
      <c r="V89" s="37" t="str">
        <f t="shared" si="40"/>
        <v>ok</v>
      </c>
      <c r="W89" s="37" t="str">
        <f t="shared" si="41"/>
        <v>ok</v>
      </c>
    </row>
    <row r="90" spans="2:23" x14ac:dyDescent="0.25">
      <c r="B90" s="38" t="s">
        <v>21</v>
      </c>
      <c r="C90" s="39">
        <v>18</v>
      </c>
      <c r="D90" s="93">
        <f t="shared" si="29"/>
        <v>6.6456923076923076</v>
      </c>
      <c r="E90" s="94">
        <f t="shared" si="29"/>
        <v>2.9148461538461534</v>
      </c>
      <c r="F90" s="95">
        <f t="shared" si="30"/>
        <v>2.3318769230769227</v>
      </c>
      <c r="G90" s="96">
        <f t="shared" si="31"/>
        <v>0.58296923076923057</v>
      </c>
      <c r="H90" s="97">
        <f t="shared" si="32"/>
        <v>2.9148461538461534</v>
      </c>
      <c r="I90" s="98"/>
      <c r="J90" s="99">
        <f t="shared" si="33"/>
        <v>3.7308461538461541</v>
      </c>
      <c r="K90" s="100"/>
      <c r="L90" s="101">
        <f t="shared" si="34"/>
        <v>0.58296923076923057</v>
      </c>
      <c r="M90" s="100"/>
      <c r="N90" s="102">
        <f t="shared" si="35"/>
        <v>0</v>
      </c>
      <c r="O90" s="100"/>
      <c r="P90" s="103">
        <f t="shared" si="36"/>
        <v>0</v>
      </c>
      <c r="Q90" s="98"/>
      <c r="R90" s="104">
        <f t="shared" si="37"/>
        <v>2.3318769230769227</v>
      </c>
      <c r="S90" s="100"/>
      <c r="T90" s="91">
        <f t="shared" si="38"/>
        <v>0.58296923076923057</v>
      </c>
      <c r="U90" s="92">
        <f t="shared" si="39"/>
        <v>4.3138153846153848</v>
      </c>
      <c r="V90" s="37" t="str">
        <f t="shared" si="40"/>
        <v>ok</v>
      </c>
      <c r="W90" s="37" t="str">
        <f t="shared" si="41"/>
        <v>ok</v>
      </c>
    </row>
    <row r="91" spans="2:23" x14ac:dyDescent="0.25">
      <c r="B91" s="38" t="s">
        <v>22</v>
      </c>
      <c r="C91" s="39">
        <v>19</v>
      </c>
      <c r="D91" s="93">
        <f t="shared" si="29"/>
        <v>5.4413076923076922</v>
      </c>
      <c r="E91" s="94">
        <f t="shared" si="29"/>
        <v>3.8838461538461542</v>
      </c>
      <c r="F91" s="95">
        <f t="shared" si="30"/>
        <v>3.1070769230769235</v>
      </c>
      <c r="G91" s="96">
        <f t="shared" si="31"/>
        <v>0.77676923076923066</v>
      </c>
      <c r="H91" s="97">
        <f t="shared" si="32"/>
        <v>3.8838461538461542</v>
      </c>
      <c r="I91" s="98"/>
      <c r="J91" s="99">
        <f t="shared" si="33"/>
        <v>1.557461538461538</v>
      </c>
      <c r="K91" s="100"/>
      <c r="L91" s="101">
        <f t="shared" si="34"/>
        <v>0.77676923076923066</v>
      </c>
      <c r="M91" s="100"/>
      <c r="N91" s="102">
        <f t="shared" si="35"/>
        <v>0</v>
      </c>
      <c r="O91" s="100"/>
      <c r="P91" s="103">
        <f t="shared" si="36"/>
        <v>0</v>
      </c>
      <c r="Q91" s="98"/>
      <c r="R91" s="104">
        <f t="shared" si="37"/>
        <v>3.1070769230769235</v>
      </c>
      <c r="S91" s="100"/>
      <c r="T91" s="91">
        <f t="shared" si="38"/>
        <v>0.77676923076923066</v>
      </c>
      <c r="U91" s="92">
        <f t="shared" si="39"/>
        <v>2.3342307692307687</v>
      </c>
      <c r="V91" s="37" t="str">
        <f t="shared" si="40"/>
        <v>ok</v>
      </c>
      <c r="W91" s="37" t="str">
        <f t="shared" si="41"/>
        <v>ok</v>
      </c>
    </row>
    <row r="92" spans="2:23" x14ac:dyDescent="0.25">
      <c r="B92" s="38" t="s">
        <v>23</v>
      </c>
      <c r="C92" s="39">
        <v>20</v>
      </c>
      <c r="D92" s="93">
        <f t="shared" si="29"/>
        <v>10.219615384615384</v>
      </c>
      <c r="E92" s="94">
        <f t="shared" si="29"/>
        <v>6.1513846153846146</v>
      </c>
      <c r="F92" s="95">
        <f t="shared" si="30"/>
        <v>4.9211076923076922</v>
      </c>
      <c r="G92" s="96">
        <f t="shared" si="31"/>
        <v>1.2302769230769226</v>
      </c>
      <c r="H92" s="97">
        <f t="shared" si="32"/>
        <v>6.1513846153846146</v>
      </c>
      <c r="I92" s="98"/>
      <c r="J92" s="99">
        <f t="shared" si="33"/>
        <v>4.0682307692307695</v>
      </c>
      <c r="K92" s="100"/>
      <c r="L92" s="101">
        <f t="shared" si="34"/>
        <v>1.2302769230769226</v>
      </c>
      <c r="M92" s="100"/>
      <c r="N92" s="102">
        <f t="shared" si="35"/>
        <v>0</v>
      </c>
      <c r="O92" s="100"/>
      <c r="P92" s="103">
        <f t="shared" si="36"/>
        <v>0</v>
      </c>
      <c r="Q92" s="98"/>
      <c r="R92" s="104">
        <f t="shared" si="37"/>
        <v>4.9211076923076922</v>
      </c>
      <c r="S92" s="100"/>
      <c r="T92" s="91">
        <f t="shared" si="38"/>
        <v>1.2302769230769226</v>
      </c>
      <c r="U92" s="92">
        <f t="shared" si="39"/>
        <v>5.2985076923076919</v>
      </c>
      <c r="V92" s="37" t="str">
        <f t="shared" si="40"/>
        <v>ok</v>
      </c>
      <c r="W92" s="37" t="str">
        <f t="shared" si="41"/>
        <v>ok</v>
      </c>
    </row>
    <row r="93" spans="2:23" x14ac:dyDescent="0.25">
      <c r="B93" s="38" t="s">
        <v>19</v>
      </c>
      <c r="C93" s="39">
        <v>21</v>
      </c>
      <c r="D93" s="93">
        <f t="shared" si="29"/>
        <v>17.002615384615382</v>
      </c>
      <c r="E93" s="94">
        <f t="shared" si="29"/>
        <v>11.769230769230768</v>
      </c>
      <c r="F93" s="95">
        <f t="shared" si="30"/>
        <v>9.4153846153846157</v>
      </c>
      <c r="G93" s="96">
        <f t="shared" si="31"/>
        <v>2.353846153846153</v>
      </c>
      <c r="H93" s="97">
        <f t="shared" si="32"/>
        <v>11.769230769230768</v>
      </c>
      <c r="I93" s="98"/>
      <c r="J93" s="99">
        <f t="shared" si="33"/>
        <v>5.2333846153846135</v>
      </c>
      <c r="K93" s="100"/>
      <c r="L93" s="101">
        <f t="shared" si="34"/>
        <v>2.353846153846153</v>
      </c>
      <c r="M93" s="100"/>
      <c r="N93" s="102">
        <f t="shared" si="35"/>
        <v>0</v>
      </c>
      <c r="O93" s="100"/>
      <c r="P93" s="103">
        <f t="shared" si="36"/>
        <v>0</v>
      </c>
      <c r="Q93" s="98"/>
      <c r="R93" s="104">
        <f t="shared" si="37"/>
        <v>9.4153846153846157</v>
      </c>
      <c r="S93" s="100"/>
      <c r="T93" s="91">
        <f t="shared" si="38"/>
        <v>2.353846153846153</v>
      </c>
      <c r="U93" s="92">
        <f t="shared" si="39"/>
        <v>7.5872307692307661</v>
      </c>
      <c r="V93" s="37" t="str">
        <f t="shared" si="40"/>
        <v>ok</v>
      </c>
      <c r="W93" s="37" t="str">
        <f t="shared" si="41"/>
        <v>ok</v>
      </c>
    </row>
    <row r="94" spans="2:23" x14ac:dyDescent="0.25">
      <c r="B94" s="38" t="s">
        <v>20</v>
      </c>
      <c r="C94" s="39">
        <v>22</v>
      </c>
      <c r="D94" s="93">
        <f t="shared" si="29"/>
        <v>13.793538461538461</v>
      </c>
      <c r="E94" s="94">
        <f t="shared" si="29"/>
        <v>8.2384615384615376</v>
      </c>
      <c r="F94" s="95">
        <f t="shared" si="30"/>
        <v>6.5907692307692303</v>
      </c>
      <c r="G94" s="96">
        <f t="shared" si="31"/>
        <v>1.6476923076923071</v>
      </c>
      <c r="H94" s="97">
        <f t="shared" si="32"/>
        <v>8.2384615384615376</v>
      </c>
      <c r="I94" s="98"/>
      <c r="J94" s="99">
        <f t="shared" si="33"/>
        <v>5.555076923076923</v>
      </c>
      <c r="K94" s="100"/>
      <c r="L94" s="101">
        <f t="shared" si="34"/>
        <v>1.6476923076923071</v>
      </c>
      <c r="M94" s="100"/>
      <c r="N94" s="102">
        <f t="shared" si="35"/>
        <v>0</v>
      </c>
      <c r="O94" s="100"/>
      <c r="P94" s="103">
        <f t="shared" si="36"/>
        <v>0</v>
      </c>
      <c r="Q94" s="98"/>
      <c r="R94" s="104">
        <f t="shared" si="37"/>
        <v>6.5907692307692303</v>
      </c>
      <c r="S94" s="100"/>
      <c r="T94" s="91">
        <f t="shared" si="38"/>
        <v>1.6476923076923071</v>
      </c>
      <c r="U94" s="92">
        <f t="shared" si="39"/>
        <v>7.2027692307692304</v>
      </c>
      <c r="V94" s="37" t="str">
        <f t="shared" si="40"/>
        <v>ok</v>
      </c>
      <c r="W94" s="37" t="str">
        <f t="shared" si="41"/>
        <v>ok</v>
      </c>
    </row>
    <row r="95" spans="2:23" x14ac:dyDescent="0.25">
      <c r="B95" s="38" t="s">
        <v>21</v>
      </c>
      <c r="C95" s="39">
        <v>23</v>
      </c>
      <c r="D95" s="93">
        <f t="shared" si="29"/>
        <v>7.9756153846153826</v>
      </c>
      <c r="E95" s="94">
        <f t="shared" si="29"/>
        <v>3.9230769230769234</v>
      </c>
      <c r="F95" s="95">
        <f t="shared" si="30"/>
        <v>3.1384615384615389</v>
      </c>
      <c r="G95" s="96">
        <f t="shared" si="31"/>
        <v>0.78461538461538449</v>
      </c>
      <c r="H95" s="97">
        <f t="shared" si="32"/>
        <v>3.9230769230769234</v>
      </c>
      <c r="I95" s="98"/>
      <c r="J95" s="99">
        <f t="shared" si="33"/>
        <v>4.0525384615384592</v>
      </c>
      <c r="K95" s="100"/>
      <c r="L95" s="101">
        <f t="shared" si="34"/>
        <v>0.78461538461538449</v>
      </c>
      <c r="M95" s="100"/>
      <c r="N95" s="102">
        <f t="shared" si="35"/>
        <v>0</v>
      </c>
      <c r="O95" s="100"/>
      <c r="P95" s="103">
        <f t="shared" si="36"/>
        <v>0</v>
      </c>
      <c r="Q95" s="98"/>
      <c r="R95" s="104">
        <f t="shared" si="37"/>
        <v>3.1384615384615389</v>
      </c>
      <c r="S95" s="100"/>
      <c r="T95" s="91">
        <f t="shared" si="38"/>
        <v>0.78461538461538449</v>
      </c>
      <c r="U95" s="92">
        <f t="shared" si="39"/>
        <v>4.8371538461538437</v>
      </c>
      <c r="V95" s="37" t="str">
        <f t="shared" si="40"/>
        <v>ok</v>
      </c>
      <c r="W95" s="37" t="str">
        <f t="shared" si="41"/>
        <v>ok</v>
      </c>
    </row>
    <row r="96" spans="2:23" x14ac:dyDescent="0.25">
      <c r="B96" s="33"/>
      <c r="C96" s="34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105"/>
      <c r="Q96" s="98"/>
      <c r="R96" s="106"/>
      <c r="S96" s="98"/>
      <c r="T96" s="98"/>
      <c r="U96" s="98"/>
      <c r="V96" s="37"/>
      <c r="W96" s="37" t="str">
        <f t="shared" si="41"/>
        <v>ok</v>
      </c>
    </row>
    <row r="97" spans="1:23" ht="15.75" thickBot="1" x14ac:dyDescent="0.3">
      <c r="A97" s="75" t="s">
        <v>60</v>
      </c>
      <c r="B97" s="77"/>
      <c r="C97" s="78"/>
      <c r="D97" s="79">
        <f>SUM(D73:D95)</f>
        <v>165.81276923076925</v>
      </c>
      <c r="E97" s="80">
        <f>SUM(E73:E95)</f>
        <v>176.10300000000001</v>
      </c>
      <c r="F97" s="81">
        <f>SUM(F73:F95)</f>
        <v>140.88239999999999</v>
      </c>
      <c r="G97" s="82">
        <f>SUM(G73:G95)</f>
        <v>35.220599999999997</v>
      </c>
      <c r="H97" s="83">
        <f>SUM(H73:H95)</f>
        <v>125.40507692307692</v>
      </c>
      <c r="I97" s="84"/>
      <c r="J97" s="85">
        <f>SUM(J73:J95)</f>
        <v>40.407692307692315</v>
      </c>
      <c r="K97" s="86"/>
      <c r="L97" s="87">
        <f>SUM(L73:L95)</f>
        <v>16.079907692307685</v>
      </c>
      <c r="M97" s="86"/>
      <c r="N97" s="88">
        <f>SUM(N73:N95)</f>
        <v>31.557230769230777</v>
      </c>
      <c r="O97" s="86"/>
      <c r="P97" s="89">
        <f>SUM(P73:P95)</f>
        <v>19.140692307692305</v>
      </c>
      <c r="Q97" s="84"/>
      <c r="R97" s="90">
        <f>SUM(R73:R95)</f>
        <v>109.32516923076919</v>
      </c>
      <c r="S97" s="86"/>
      <c r="T97" s="91">
        <f>SUM(T73:T95)</f>
        <v>66.777830769230775</v>
      </c>
      <c r="U97" s="92">
        <f>SUM(U73:U95)</f>
        <v>56.487599999999993</v>
      </c>
      <c r="V97" s="73" t="str">
        <f t="shared" ref="V97" si="42">IF(R97+T97=E97,"ok","bad")</f>
        <v>ok</v>
      </c>
      <c r="W97" s="73" t="str">
        <f t="shared" si="41"/>
        <v>ok</v>
      </c>
    </row>
    <row r="99" spans="1:23" x14ac:dyDescent="0.25">
      <c r="A99" s="2" t="s">
        <v>67</v>
      </c>
      <c r="B99" s="3"/>
      <c r="C99" s="7"/>
      <c r="D99" s="7"/>
      <c r="E99" s="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thickBot="1" x14ac:dyDescent="0.3"/>
    <row r="101" spans="1:23" ht="51.75" thickBot="1" x14ac:dyDescent="0.3">
      <c r="B101" s="17"/>
      <c r="C101" s="18"/>
      <c r="D101" s="19" t="s">
        <v>40</v>
      </c>
      <c r="E101" s="20" t="s">
        <v>41</v>
      </c>
      <c r="F101" s="21" t="s">
        <v>42</v>
      </c>
      <c r="G101" s="22" t="s">
        <v>43</v>
      </c>
      <c r="H101" s="23" t="s">
        <v>44</v>
      </c>
      <c r="I101" s="24"/>
      <c r="J101" s="25" t="s">
        <v>45</v>
      </c>
      <c r="K101" s="26"/>
      <c r="L101" s="27" t="s">
        <v>46</v>
      </c>
      <c r="M101" s="26"/>
      <c r="N101" s="28" t="s">
        <v>47</v>
      </c>
      <c r="O101" s="26"/>
      <c r="P101" s="29" t="s">
        <v>48</v>
      </c>
      <c r="Q101" s="24"/>
      <c r="R101" s="30" t="s">
        <v>49</v>
      </c>
      <c r="S101" s="26"/>
      <c r="T101" s="70" t="s">
        <v>50</v>
      </c>
      <c r="U101" s="31" t="s">
        <v>51</v>
      </c>
      <c r="V101" s="32" t="s">
        <v>52</v>
      </c>
    </row>
    <row r="102" spans="1:23" x14ac:dyDescent="0.25">
      <c r="B102" s="33"/>
      <c r="C102" s="34"/>
      <c r="D102" s="35"/>
      <c r="E102" s="35"/>
      <c r="F102" s="35"/>
      <c r="G102" s="35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6"/>
      <c r="S102" s="34"/>
      <c r="T102" s="34"/>
      <c r="U102" s="34"/>
      <c r="V102" s="37"/>
    </row>
    <row r="103" spans="1:23" x14ac:dyDescent="0.25">
      <c r="B103" s="38" t="s">
        <v>19</v>
      </c>
      <c r="C103" s="39">
        <v>1</v>
      </c>
      <c r="D103" s="93">
        <f t="shared" ref="D103:E125" si="43">D73/QTMGI</f>
        <v>12.179472527472527</v>
      </c>
      <c r="E103" s="94">
        <f t="shared" si="43"/>
        <v>26.228571428571424</v>
      </c>
      <c r="F103" s="95">
        <f t="shared" ref="F103:F125" si="44">E103*TC</f>
        <v>20.982857142857142</v>
      </c>
      <c r="G103" s="96">
        <f t="shared" ref="G103:G125" si="45">E103*(1-TC)</f>
        <v>5.2457142857142838</v>
      </c>
      <c r="H103" s="97">
        <f>IF(E103&gt;D103,D103,E103)</f>
        <v>12.179472527472527</v>
      </c>
      <c r="I103" s="98"/>
      <c r="J103" s="99">
        <f>IF(E103&gt;D103,0,D103-E103)</f>
        <v>0</v>
      </c>
      <c r="K103" s="100"/>
      <c r="L103" s="101">
        <f>IF(E103&gt;D103,IF(F103&gt;H103,0,H103-F103),G103)</f>
        <v>0</v>
      </c>
      <c r="M103" s="100"/>
      <c r="N103" s="102">
        <f>IF(E103&gt;D103,IF(F103&gt;H103,F103-H103,0),0)</f>
        <v>8.8033846153846156</v>
      </c>
      <c r="O103" s="100"/>
      <c r="P103" s="103">
        <f>IF(E103&gt;D103,IF(F103&gt;H103,G103,E103-H103),0)</f>
        <v>5.2457142857142838</v>
      </c>
      <c r="Q103" s="98"/>
      <c r="R103" s="104">
        <f>H103-L103</f>
        <v>12.179472527472527</v>
      </c>
      <c r="S103" s="100"/>
      <c r="T103" s="91">
        <f>L103+N103+P103</f>
        <v>14.049098901098899</v>
      </c>
      <c r="U103" s="92">
        <f>J103+L103</f>
        <v>0</v>
      </c>
      <c r="V103" s="37" t="str">
        <f>IF(R103+T103=E103,"ok","bad")</f>
        <v>ok</v>
      </c>
      <c r="W103" s="37" t="str">
        <f>IF(U103+R103=D103,"ok","bad")</f>
        <v>ok</v>
      </c>
    </row>
    <row r="104" spans="1:23" x14ac:dyDescent="0.25">
      <c r="B104" s="38" t="s">
        <v>20</v>
      </c>
      <c r="C104" s="39">
        <v>2</v>
      </c>
      <c r="D104" s="93">
        <f t="shared" si="43"/>
        <v>9.5633406593406587</v>
      </c>
      <c r="E104" s="94">
        <f t="shared" si="43"/>
        <v>19.234285714285715</v>
      </c>
      <c r="F104" s="95">
        <f t="shared" si="44"/>
        <v>15.387428571428572</v>
      </c>
      <c r="G104" s="96">
        <f t="shared" si="45"/>
        <v>3.8468571428571421</v>
      </c>
      <c r="H104" s="97">
        <f t="shared" ref="H104:H125" si="46">IF(E104&gt;D104,D104,E104)</f>
        <v>9.5633406593406587</v>
      </c>
      <c r="I104" s="98"/>
      <c r="J104" s="99">
        <f t="shared" ref="J104:J125" si="47">IF(E104&gt;D104,0,D104-E104)</f>
        <v>0</v>
      </c>
      <c r="K104" s="100"/>
      <c r="L104" s="101">
        <f t="shared" ref="L104:L125" si="48">IF(E104&gt;D104,IF(F104&gt;H104,0,H104-F104),G104)</f>
        <v>0</v>
      </c>
      <c r="M104" s="100"/>
      <c r="N104" s="102">
        <f t="shared" ref="N104:N125" si="49">IF(E104&gt;D104,IF(F104&gt;H104,F104-H104,0),0)</f>
        <v>5.8240879120879132</v>
      </c>
      <c r="O104" s="100"/>
      <c r="P104" s="103">
        <f t="shared" ref="P104:P125" si="50">IF(E104&gt;D104,IF(F104&gt;H104,G104,E104-H104),0)</f>
        <v>3.8468571428571421</v>
      </c>
      <c r="Q104" s="98"/>
      <c r="R104" s="104">
        <f t="shared" ref="R104:R125" si="51">H104-L104</f>
        <v>9.5633406593406587</v>
      </c>
      <c r="S104" s="100"/>
      <c r="T104" s="91">
        <f t="shared" ref="T104:T125" si="52">L104+N104+P104</f>
        <v>9.6709450549450544</v>
      </c>
      <c r="U104" s="92">
        <f t="shared" ref="U104:U125" si="53">J104+L104</f>
        <v>0</v>
      </c>
      <c r="V104" s="37" t="str">
        <f t="shared" ref="V104:V125" si="54">IF(R104+T104=E104,"ok","bad")</f>
        <v>ok</v>
      </c>
      <c r="W104" s="37" t="str">
        <f t="shared" ref="W104:W127" si="55">IF(U104+R104=D104,"ok","bad")</f>
        <v>ok</v>
      </c>
    </row>
    <row r="105" spans="1:23" x14ac:dyDescent="0.25">
      <c r="B105" s="38" t="s">
        <v>21</v>
      </c>
      <c r="C105" s="39">
        <v>3</v>
      </c>
      <c r="D105" s="93">
        <f t="shared" si="43"/>
        <v>4.1831208791208789</v>
      </c>
      <c r="E105" s="94">
        <f t="shared" si="43"/>
        <v>7.8685714285714274</v>
      </c>
      <c r="F105" s="95">
        <f t="shared" si="44"/>
        <v>6.2948571428571425</v>
      </c>
      <c r="G105" s="96">
        <f t="shared" si="45"/>
        <v>1.5737142857142852</v>
      </c>
      <c r="H105" s="97">
        <f t="shared" si="46"/>
        <v>4.1831208791208789</v>
      </c>
      <c r="I105" s="98"/>
      <c r="J105" s="99">
        <f t="shared" si="47"/>
        <v>0</v>
      </c>
      <c r="K105" s="100"/>
      <c r="L105" s="101">
        <f t="shared" si="48"/>
        <v>0</v>
      </c>
      <c r="M105" s="100"/>
      <c r="N105" s="102">
        <f t="shared" si="49"/>
        <v>2.1117362637362636</v>
      </c>
      <c r="O105" s="100"/>
      <c r="P105" s="103">
        <f t="shared" si="50"/>
        <v>1.5737142857142852</v>
      </c>
      <c r="Q105" s="98"/>
      <c r="R105" s="104">
        <f t="shared" si="51"/>
        <v>4.1831208791208789</v>
      </c>
      <c r="S105" s="100"/>
      <c r="T105" s="91">
        <f t="shared" si="52"/>
        <v>3.6854505494505485</v>
      </c>
      <c r="U105" s="92">
        <f t="shared" si="53"/>
        <v>0</v>
      </c>
      <c r="V105" s="37" t="str">
        <f t="shared" si="54"/>
        <v>ok</v>
      </c>
      <c r="W105" s="37" t="str">
        <f t="shared" si="55"/>
        <v>ok</v>
      </c>
    </row>
    <row r="106" spans="1:23" x14ac:dyDescent="0.25">
      <c r="B106" s="38" t="s">
        <v>22</v>
      </c>
      <c r="C106" s="39">
        <v>4</v>
      </c>
      <c r="D106" s="93">
        <f t="shared" si="43"/>
        <v>2.9187692307692297</v>
      </c>
      <c r="E106" s="94">
        <f t="shared" si="43"/>
        <v>11.802857142857142</v>
      </c>
      <c r="F106" s="95">
        <f t="shared" si="44"/>
        <v>9.4422857142857151</v>
      </c>
      <c r="G106" s="96">
        <f t="shared" si="45"/>
        <v>2.3605714285714279</v>
      </c>
      <c r="H106" s="97">
        <f t="shared" si="46"/>
        <v>2.9187692307692297</v>
      </c>
      <c r="I106" s="98"/>
      <c r="J106" s="99">
        <f t="shared" si="47"/>
        <v>0</v>
      </c>
      <c r="K106" s="100"/>
      <c r="L106" s="101">
        <f t="shared" si="48"/>
        <v>0</v>
      </c>
      <c r="M106" s="100"/>
      <c r="N106" s="102">
        <f t="shared" si="49"/>
        <v>6.5235164835164854</v>
      </c>
      <c r="O106" s="100"/>
      <c r="P106" s="103">
        <f t="shared" si="50"/>
        <v>2.3605714285714279</v>
      </c>
      <c r="Q106" s="98"/>
      <c r="R106" s="104">
        <f t="shared" si="51"/>
        <v>2.9187692307692297</v>
      </c>
      <c r="S106" s="100"/>
      <c r="T106" s="91">
        <f t="shared" si="52"/>
        <v>8.8840879120879137</v>
      </c>
      <c r="U106" s="92">
        <f t="shared" si="53"/>
        <v>0</v>
      </c>
      <c r="V106" s="37" t="str">
        <f t="shared" si="54"/>
        <v>ok</v>
      </c>
      <c r="W106" s="37" t="str">
        <f t="shared" si="55"/>
        <v>ok</v>
      </c>
    </row>
    <row r="107" spans="1:23" x14ac:dyDescent="0.25">
      <c r="B107" s="38" t="s">
        <v>23</v>
      </c>
      <c r="C107" s="39">
        <v>5</v>
      </c>
      <c r="D107" s="93">
        <f t="shared" si="43"/>
        <v>6.0527472527472517</v>
      </c>
      <c r="E107" s="94">
        <f t="shared" si="43"/>
        <v>19.234285714285715</v>
      </c>
      <c r="F107" s="95">
        <f t="shared" si="44"/>
        <v>15.387428571428572</v>
      </c>
      <c r="G107" s="96">
        <f t="shared" si="45"/>
        <v>3.8468571428571421</v>
      </c>
      <c r="H107" s="97">
        <f t="shared" si="46"/>
        <v>6.0527472527472517</v>
      </c>
      <c r="I107" s="98"/>
      <c r="J107" s="99">
        <f t="shared" si="47"/>
        <v>0</v>
      </c>
      <c r="K107" s="100"/>
      <c r="L107" s="101">
        <f t="shared" si="48"/>
        <v>0</v>
      </c>
      <c r="M107" s="100"/>
      <c r="N107" s="102">
        <f t="shared" si="49"/>
        <v>9.3346813186813193</v>
      </c>
      <c r="O107" s="100"/>
      <c r="P107" s="103">
        <f t="shared" si="50"/>
        <v>3.8468571428571421</v>
      </c>
      <c r="Q107" s="98"/>
      <c r="R107" s="104">
        <f t="shared" si="51"/>
        <v>6.0527472527472517</v>
      </c>
      <c r="S107" s="100"/>
      <c r="T107" s="91">
        <f t="shared" si="52"/>
        <v>13.181538461538462</v>
      </c>
      <c r="U107" s="92">
        <f t="shared" si="53"/>
        <v>0</v>
      </c>
      <c r="V107" s="37" t="str">
        <f t="shared" si="54"/>
        <v>ok</v>
      </c>
      <c r="W107" s="37" t="str">
        <f t="shared" si="55"/>
        <v>ok</v>
      </c>
    </row>
    <row r="108" spans="1:23" x14ac:dyDescent="0.25">
      <c r="B108" s="38" t="s">
        <v>19</v>
      </c>
      <c r="C108" s="39">
        <v>6</v>
      </c>
      <c r="D108" s="93">
        <f t="shared" si="43"/>
        <v>19.436043956043957</v>
      </c>
      <c r="E108" s="94">
        <f t="shared" si="43"/>
        <v>13.450549450549451</v>
      </c>
      <c r="F108" s="95">
        <f t="shared" si="44"/>
        <v>10.760439560439561</v>
      </c>
      <c r="G108" s="96">
        <f t="shared" si="45"/>
        <v>2.6901098901098894</v>
      </c>
      <c r="H108" s="97">
        <f t="shared" si="46"/>
        <v>13.450549450549451</v>
      </c>
      <c r="I108" s="98"/>
      <c r="J108" s="99">
        <f t="shared" si="47"/>
        <v>5.9854945054945059</v>
      </c>
      <c r="K108" s="100"/>
      <c r="L108" s="101">
        <f t="shared" si="48"/>
        <v>2.6901098901098894</v>
      </c>
      <c r="M108" s="100"/>
      <c r="N108" s="102">
        <f t="shared" si="49"/>
        <v>0</v>
      </c>
      <c r="O108" s="100"/>
      <c r="P108" s="103">
        <f t="shared" si="50"/>
        <v>0</v>
      </c>
      <c r="Q108" s="98"/>
      <c r="R108" s="104">
        <f t="shared" si="51"/>
        <v>10.760439560439561</v>
      </c>
      <c r="S108" s="100"/>
      <c r="T108" s="91">
        <f t="shared" si="52"/>
        <v>2.6901098901098894</v>
      </c>
      <c r="U108" s="92">
        <f t="shared" si="53"/>
        <v>8.6756043956043953</v>
      </c>
      <c r="V108" s="37" t="str">
        <f t="shared" si="54"/>
        <v>ok</v>
      </c>
      <c r="W108" s="37" t="str">
        <f t="shared" si="55"/>
        <v>ok</v>
      </c>
    </row>
    <row r="109" spans="1:23" x14ac:dyDescent="0.25">
      <c r="B109" s="38" t="s">
        <v>20</v>
      </c>
      <c r="C109" s="39">
        <v>7</v>
      </c>
      <c r="D109" s="93">
        <f t="shared" si="43"/>
        <v>15.764043956043952</v>
      </c>
      <c r="E109" s="94">
        <f t="shared" si="43"/>
        <v>13.786813186813188</v>
      </c>
      <c r="F109" s="95">
        <f t="shared" si="44"/>
        <v>11.029450549450551</v>
      </c>
      <c r="G109" s="96">
        <f t="shared" si="45"/>
        <v>2.757362637362637</v>
      </c>
      <c r="H109" s="97">
        <f t="shared" si="46"/>
        <v>13.786813186813188</v>
      </c>
      <c r="I109" s="98"/>
      <c r="J109" s="99">
        <f t="shared" si="47"/>
        <v>1.9772307692307649</v>
      </c>
      <c r="K109" s="100"/>
      <c r="L109" s="101">
        <f t="shared" si="48"/>
        <v>2.757362637362637</v>
      </c>
      <c r="M109" s="100"/>
      <c r="N109" s="102">
        <f t="shared" si="49"/>
        <v>0</v>
      </c>
      <c r="O109" s="100"/>
      <c r="P109" s="103">
        <f t="shared" si="50"/>
        <v>0</v>
      </c>
      <c r="Q109" s="98"/>
      <c r="R109" s="104">
        <f t="shared" si="51"/>
        <v>11.029450549450551</v>
      </c>
      <c r="S109" s="100"/>
      <c r="T109" s="91">
        <f t="shared" si="52"/>
        <v>2.757362637362637</v>
      </c>
      <c r="U109" s="92">
        <f t="shared" si="53"/>
        <v>4.7345934065934019</v>
      </c>
      <c r="V109" s="37" t="str">
        <f t="shared" si="54"/>
        <v>ok</v>
      </c>
      <c r="W109" s="37" t="str">
        <f t="shared" si="55"/>
        <v>ok</v>
      </c>
    </row>
    <row r="110" spans="1:23" x14ac:dyDescent="0.25">
      <c r="B110" s="38" t="s">
        <v>21</v>
      </c>
      <c r="C110" s="39">
        <v>8</v>
      </c>
      <c r="D110" s="93">
        <f t="shared" si="43"/>
        <v>9.1127472527472531</v>
      </c>
      <c r="E110" s="94">
        <f t="shared" si="43"/>
        <v>7.3978021978021973</v>
      </c>
      <c r="F110" s="95">
        <f t="shared" si="44"/>
        <v>5.9182417582417584</v>
      </c>
      <c r="G110" s="96">
        <f t="shared" si="45"/>
        <v>1.4795604395604391</v>
      </c>
      <c r="H110" s="97">
        <f t="shared" si="46"/>
        <v>7.3978021978021973</v>
      </c>
      <c r="I110" s="98"/>
      <c r="J110" s="99">
        <f t="shared" si="47"/>
        <v>1.7149450549450558</v>
      </c>
      <c r="K110" s="100"/>
      <c r="L110" s="101">
        <f t="shared" si="48"/>
        <v>1.4795604395604391</v>
      </c>
      <c r="M110" s="100"/>
      <c r="N110" s="102">
        <f t="shared" si="49"/>
        <v>0</v>
      </c>
      <c r="O110" s="100"/>
      <c r="P110" s="103">
        <f t="shared" si="50"/>
        <v>0</v>
      </c>
      <c r="Q110" s="98"/>
      <c r="R110" s="104">
        <f t="shared" si="51"/>
        <v>5.9182417582417584</v>
      </c>
      <c r="S110" s="100"/>
      <c r="T110" s="91">
        <f t="shared" si="52"/>
        <v>1.4795604395604391</v>
      </c>
      <c r="U110" s="92">
        <f t="shared" si="53"/>
        <v>3.1945054945054947</v>
      </c>
      <c r="V110" s="37" t="str">
        <f t="shared" si="54"/>
        <v>ok</v>
      </c>
      <c r="W110" s="37" t="str">
        <f t="shared" si="55"/>
        <v>ok</v>
      </c>
    </row>
    <row r="111" spans="1:23" x14ac:dyDescent="0.25">
      <c r="B111" s="38" t="s">
        <v>22</v>
      </c>
      <c r="C111" s="39">
        <v>9</v>
      </c>
      <c r="D111" s="93">
        <f t="shared" si="43"/>
        <v>7.3574505494505491</v>
      </c>
      <c r="E111" s="94">
        <f t="shared" si="43"/>
        <v>9.4153846153846157</v>
      </c>
      <c r="F111" s="95">
        <f t="shared" si="44"/>
        <v>7.5323076923076933</v>
      </c>
      <c r="G111" s="96">
        <f t="shared" si="45"/>
        <v>1.8830769230769226</v>
      </c>
      <c r="H111" s="97">
        <f t="shared" si="46"/>
        <v>7.3574505494505491</v>
      </c>
      <c r="I111" s="98"/>
      <c r="J111" s="99">
        <f t="shared" si="47"/>
        <v>0</v>
      </c>
      <c r="K111" s="100"/>
      <c r="L111" s="101">
        <f t="shared" si="48"/>
        <v>0</v>
      </c>
      <c r="M111" s="100"/>
      <c r="N111" s="102">
        <f t="shared" si="49"/>
        <v>0.17485714285714415</v>
      </c>
      <c r="O111" s="100"/>
      <c r="P111" s="103">
        <f t="shared" si="50"/>
        <v>1.8830769230769226</v>
      </c>
      <c r="Q111" s="98"/>
      <c r="R111" s="104">
        <f t="shared" si="51"/>
        <v>7.3574505494505491</v>
      </c>
      <c r="S111" s="100"/>
      <c r="T111" s="91">
        <f t="shared" si="52"/>
        <v>2.0579340659340666</v>
      </c>
      <c r="U111" s="92">
        <f t="shared" si="53"/>
        <v>0</v>
      </c>
      <c r="V111" s="37" t="str">
        <f t="shared" si="54"/>
        <v>ok</v>
      </c>
      <c r="W111" s="37" t="str">
        <f t="shared" si="55"/>
        <v>ok</v>
      </c>
    </row>
    <row r="112" spans="1:23" x14ac:dyDescent="0.25">
      <c r="B112" s="38" t="s">
        <v>23</v>
      </c>
      <c r="C112" s="39">
        <v>10</v>
      </c>
      <c r="D112" s="93">
        <f t="shared" si="43"/>
        <v>14.015472527472525</v>
      </c>
      <c r="E112" s="94">
        <f t="shared" si="43"/>
        <v>12.778021978021975</v>
      </c>
      <c r="F112" s="95">
        <f t="shared" si="44"/>
        <v>10.222417582417581</v>
      </c>
      <c r="G112" s="96">
        <f t="shared" si="45"/>
        <v>2.5556043956043943</v>
      </c>
      <c r="H112" s="97">
        <f t="shared" si="46"/>
        <v>12.778021978021975</v>
      </c>
      <c r="I112" s="98"/>
      <c r="J112" s="99">
        <f t="shared" si="47"/>
        <v>1.2374505494505499</v>
      </c>
      <c r="K112" s="100"/>
      <c r="L112" s="101">
        <f t="shared" si="48"/>
        <v>2.5556043956043943</v>
      </c>
      <c r="M112" s="100"/>
      <c r="N112" s="102">
        <f t="shared" si="49"/>
        <v>0</v>
      </c>
      <c r="O112" s="100"/>
      <c r="P112" s="103">
        <f t="shared" si="50"/>
        <v>0</v>
      </c>
      <c r="Q112" s="98"/>
      <c r="R112" s="104">
        <f t="shared" si="51"/>
        <v>10.222417582417581</v>
      </c>
      <c r="S112" s="100"/>
      <c r="T112" s="91">
        <f t="shared" si="52"/>
        <v>2.5556043956043943</v>
      </c>
      <c r="U112" s="92">
        <f t="shared" si="53"/>
        <v>3.7930549450549442</v>
      </c>
      <c r="V112" s="37" t="str">
        <f t="shared" si="54"/>
        <v>ok</v>
      </c>
      <c r="W112" s="37" t="str">
        <f t="shared" si="55"/>
        <v>ok</v>
      </c>
    </row>
    <row r="113" spans="1:23" x14ac:dyDescent="0.25">
      <c r="B113" s="38" t="s">
        <v>19</v>
      </c>
      <c r="C113" s="39">
        <v>11</v>
      </c>
      <c r="D113" s="93">
        <f t="shared" si="43"/>
        <v>12.179472527472527</v>
      </c>
      <c r="E113" s="94">
        <f t="shared" si="43"/>
        <v>20.175824175824172</v>
      </c>
      <c r="F113" s="95">
        <f t="shared" si="44"/>
        <v>16.140659340659337</v>
      </c>
      <c r="G113" s="96">
        <f t="shared" si="45"/>
        <v>4.0351648351648333</v>
      </c>
      <c r="H113" s="97">
        <f t="shared" si="46"/>
        <v>12.179472527472527</v>
      </c>
      <c r="I113" s="98"/>
      <c r="J113" s="99">
        <f t="shared" si="47"/>
        <v>0</v>
      </c>
      <c r="K113" s="100"/>
      <c r="L113" s="101">
        <f t="shared" si="48"/>
        <v>0</v>
      </c>
      <c r="M113" s="100"/>
      <c r="N113" s="102">
        <f t="shared" si="49"/>
        <v>3.96118681318681</v>
      </c>
      <c r="O113" s="100"/>
      <c r="P113" s="103">
        <f t="shared" si="50"/>
        <v>4.0351648351648333</v>
      </c>
      <c r="Q113" s="98"/>
      <c r="R113" s="104">
        <f t="shared" si="51"/>
        <v>12.179472527472527</v>
      </c>
      <c r="S113" s="100"/>
      <c r="T113" s="91">
        <f t="shared" si="52"/>
        <v>7.9963516483516432</v>
      </c>
      <c r="U113" s="92">
        <f t="shared" si="53"/>
        <v>0</v>
      </c>
      <c r="V113" s="37" t="str">
        <f t="shared" si="54"/>
        <v>ok</v>
      </c>
      <c r="W113" s="37" t="str">
        <f t="shared" si="55"/>
        <v>ok</v>
      </c>
    </row>
    <row r="114" spans="1:23" x14ac:dyDescent="0.25">
      <c r="B114" s="38" t="s">
        <v>20</v>
      </c>
      <c r="C114" s="39">
        <v>12</v>
      </c>
      <c r="D114" s="93">
        <f t="shared" si="43"/>
        <v>9.5633406593406587</v>
      </c>
      <c r="E114" s="94">
        <f t="shared" si="43"/>
        <v>15.468131868131866</v>
      </c>
      <c r="F114" s="95">
        <f t="shared" si="44"/>
        <v>12.374505494505494</v>
      </c>
      <c r="G114" s="96">
        <f t="shared" si="45"/>
        <v>3.0936263736263725</v>
      </c>
      <c r="H114" s="97">
        <f t="shared" si="46"/>
        <v>9.5633406593406587</v>
      </c>
      <c r="I114" s="98"/>
      <c r="J114" s="99">
        <f t="shared" si="47"/>
        <v>0</v>
      </c>
      <c r="K114" s="100"/>
      <c r="L114" s="101">
        <f t="shared" si="48"/>
        <v>0</v>
      </c>
      <c r="M114" s="100"/>
      <c r="N114" s="102">
        <f t="shared" si="49"/>
        <v>2.8111648351648348</v>
      </c>
      <c r="O114" s="100"/>
      <c r="P114" s="103">
        <f t="shared" si="50"/>
        <v>3.0936263736263725</v>
      </c>
      <c r="Q114" s="98"/>
      <c r="R114" s="104">
        <f t="shared" si="51"/>
        <v>9.5633406593406587</v>
      </c>
      <c r="S114" s="100"/>
      <c r="T114" s="91">
        <f t="shared" si="52"/>
        <v>5.9047912087912078</v>
      </c>
      <c r="U114" s="92">
        <f t="shared" si="53"/>
        <v>0</v>
      </c>
      <c r="V114" s="37" t="str">
        <f t="shared" si="54"/>
        <v>ok</v>
      </c>
      <c r="W114" s="37" t="str">
        <f t="shared" si="55"/>
        <v>ok</v>
      </c>
    </row>
    <row r="115" spans="1:23" x14ac:dyDescent="0.25">
      <c r="B115" s="38" t="s">
        <v>21</v>
      </c>
      <c r="C115" s="39">
        <v>13</v>
      </c>
      <c r="D115" s="93">
        <f t="shared" si="43"/>
        <v>4.1831208791208789</v>
      </c>
      <c r="E115" s="94">
        <f t="shared" si="43"/>
        <v>7.3978021978021973</v>
      </c>
      <c r="F115" s="95">
        <f t="shared" si="44"/>
        <v>5.9182417582417584</v>
      </c>
      <c r="G115" s="96">
        <f t="shared" si="45"/>
        <v>1.4795604395604391</v>
      </c>
      <c r="H115" s="97">
        <f t="shared" si="46"/>
        <v>4.1831208791208789</v>
      </c>
      <c r="I115" s="98"/>
      <c r="J115" s="99">
        <f t="shared" si="47"/>
        <v>0</v>
      </c>
      <c r="K115" s="100"/>
      <c r="L115" s="101">
        <f t="shared" si="48"/>
        <v>0</v>
      </c>
      <c r="M115" s="100"/>
      <c r="N115" s="102">
        <f t="shared" si="49"/>
        <v>1.7351208791208794</v>
      </c>
      <c r="O115" s="100"/>
      <c r="P115" s="103">
        <f t="shared" si="50"/>
        <v>1.4795604395604391</v>
      </c>
      <c r="Q115" s="98"/>
      <c r="R115" s="104">
        <f t="shared" si="51"/>
        <v>4.1831208791208789</v>
      </c>
      <c r="S115" s="100"/>
      <c r="T115" s="91">
        <f t="shared" si="52"/>
        <v>3.2146813186813183</v>
      </c>
      <c r="U115" s="92">
        <f t="shared" si="53"/>
        <v>0</v>
      </c>
      <c r="V115" s="37" t="str">
        <f t="shared" si="54"/>
        <v>ok</v>
      </c>
      <c r="W115" s="37" t="str">
        <f t="shared" si="55"/>
        <v>ok</v>
      </c>
    </row>
    <row r="116" spans="1:23" x14ac:dyDescent="0.25">
      <c r="B116" s="38" t="s">
        <v>22</v>
      </c>
      <c r="C116" s="39">
        <v>14</v>
      </c>
      <c r="D116" s="93">
        <f t="shared" si="43"/>
        <v>2.9187692307692297</v>
      </c>
      <c r="E116" s="94">
        <f t="shared" si="43"/>
        <v>12.44175824175824</v>
      </c>
      <c r="F116" s="95">
        <f t="shared" si="44"/>
        <v>9.9534065934065925</v>
      </c>
      <c r="G116" s="96">
        <f t="shared" si="45"/>
        <v>2.4883516483516477</v>
      </c>
      <c r="H116" s="97">
        <f t="shared" si="46"/>
        <v>2.9187692307692297</v>
      </c>
      <c r="I116" s="98"/>
      <c r="J116" s="99">
        <f t="shared" si="47"/>
        <v>0</v>
      </c>
      <c r="K116" s="100"/>
      <c r="L116" s="101">
        <f t="shared" si="48"/>
        <v>0</v>
      </c>
      <c r="M116" s="100"/>
      <c r="N116" s="102">
        <f t="shared" si="49"/>
        <v>7.0346373626373628</v>
      </c>
      <c r="O116" s="100"/>
      <c r="P116" s="103">
        <f t="shared" si="50"/>
        <v>2.4883516483516477</v>
      </c>
      <c r="Q116" s="98"/>
      <c r="R116" s="104">
        <f t="shared" si="51"/>
        <v>2.9187692307692297</v>
      </c>
      <c r="S116" s="100"/>
      <c r="T116" s="91">
        <f t="shared" si="52"/>
        <v>9.5229890109890114</v>
      </c>
      <c r="U116" s="92">
        <f t="shared" si="53"/>
        <v>0</v>
      </c>
      <c r="V116" s="37" t="str">
        <f t="shared" si="54"/>
        <v>ok</v>
      </c>
      <c r="W116" s="37" t="str">
        <f t="shared" si="55"/>
        <v>ok</v>
      </c>
    </row>
    <row r="117" spans="1:23" x14ac:dyDescent="0.25">
      <c r="B117" s="38" t="s">
        <v>23</v>
      </c>
      <c r="C117" s="39">
        <v>15</v>
      </c>
      <c r="D117" s="93">
        <f t="shared" si="43"/>
        <v>6.0527472527472517</v>
      </c>
      <c r="E117" s="94">
        <f t="shared" si="43"/>
        <v>14.795604395604395</v>
      </c>
      <c r="F117" s="95">
        <f t="shared" si="44"/>
        <v>11.836483516483517</v>
      </c>
      <c r="G117" s="96">
        <f t="shared" si="45"/>
        <v>2.9591208791208783</v>
      </c>
      <c r="H117" s="97">
        <f t="shared" si="46"/>
        <v>6.0527472527472517</v>
      </c>
      <c r="I117" s="98"/>
      <c r="J117" s="99">
        <f t="shared" si="47"/>
        <v>0</v>
      </c>
      <c r="K117" s="100"/>
      <c r="L117" s="101">
        <f t="shared" si="48"/>
        <v>0</v>
      </c>
      <c r="M117" s="100"/>
      <c r="N117" s="102">
        <f t="shared" si="49"/>
        <v>5.783736263736265</v>
      </c>
      <c r="O117" s="100"/>
      <c r="P117" s="103">
        <f t="shared" si="50"/>
        <v>2.9591208791208783</v>
      </c>
      <c r="Q117" s="98"/>
      <c r="R117" s="104">
        <f t="shared" si="51"/>
        <v>6.0527472527472517</v>
      </c>
      <c r="S117" s="100"/>
      <c r="T117" s="91">
        <f t="shared" si="52"/>
        <v>8.7428571428571438</v>
      </c>
      <c r="U117" s="92">
        <f t="shared" si="53"/>
        <v>0</v>
      </c>
      <c r="V117" s="37" t="str">
        <f t="shared" si="54"/>
        <v>ok</v>
      </c>
      <c r="W117" s="37" t="str">
        <f t="shared" si="55"/>
        <v>ok</v>
      </c>
    </row>
    <row r="118" spans="1:23" x14ac:dyDescent="0.25">
      <c r="B118" s="38" t="s">
        <v>19</v>
      </c>
      <c r="C118" s="39">
        <v>16</v>
      </c>
      <c r="D118" s="93">
        <f t="shared" si="43"/>
        <v>24.291692307692308</v>
      </c>
      <c r="E118" s="94">
        <f t="shared" si="43"/>
        <v>16.645054945054941</v>
      </c>
      <c r="F118" s="95">
        <f t="shared" si="44"/>
        <v>13.316043956043954</v>
      </c>
      <c r="G118" s="96">
        <f t="shared" si="45"/>
        <v>3.3290109890109876</v>
      </c>
      <c r="H118" s="97">
        <f t="shared" si="46"/>
        <v>16.645054945054941</v>
      </c>
      <c r="I118" s="98"/>
      <c r="J118" s="99">
        <f t="shared" si="47"/>
        <v>7.6466373626373674</v>
      </c>
      <c r="K118" s="100"/>
      <c r="L118" s="101">
        <f t="shared" si="48"/>
        <v>3.3290109890109876</v>
      </c>
      <c r="M118" s="100"/>
      <c r="N118" s="102">
        <f t="shared" si="49"/>
        <v>0</v>
      </c>
      <c r="O118" s="100"/>
      <c r="P118" s="103">
        <f t="shared" si="50"/>
        <v>0</v>
      </c>
      <c r="Q118" s="98"/>
      <c r="R118" s="104">
        <f t="shared" si="51"/>
        <v>13.316043956043954</v>
      </c>
      <c r="S118" s="100"/>
      <c r="T118" s="91">
        <f t="shared" si="52"/>
        <v>3.3290109890109876</v>
      </c>
      <c r="U118" s="92">
        <f t="shared" si="53"/>
        <v>10.975648351648355</v>
      </c>
      <c r="V118" s="37" t="str">
        <f t="shared" si="54"/>
        <v>ok</v>
      </c>
      <c r="W118" s="37" t="str">
        <f t="shared" si="55"/>
        <v>ok</v>
      </c>
    </row>
    <row r="119" spans="1:23" x14ac:dyDescent="0.25">
      <c r="B119" s="38" t="s">
        <v>20</v>
      </c>
      <c r="C119" s="39">
        <v>17</v>
      </c>
      <c r="D119" s="93">
        <f t="shared" si="43"/>
        <v>19.772307692307692</v>
      </c>
      <c r="E119" s="94">
        <f t="shared" si="43"/>
        <v>10.545230769230766</v>
      </c>
      <c r="F119" s="95">
        <f t="shared" si="44"/>
        <v>8.4361846153846134</v>
      </c>
      <c r="G119" s="96">
        <f t="shared" si="45"/>
        <v>2.1090461538461529</v>
      </c>
      <c r="H119" s="97">
        <f t="shared" si="46"/>
        <v>10.545230769230766</v>
      </c>
      <c r="I119" s="98"/>
      <c r="J119" s="99">
        <f t="shared" si="47"/>
        <v>9.2270769230769254</v>
      </c>
      <c r="K119" s="100"/>
      <c r="L119" s="101">
        <f t="shared" si="48"/>
        <v>2.1090461538461529</v>
      </c>
      <c r="M119" s="100"/>
      <c r="N119" s="102">
        <f t="shared" si="49"/>
        <v>0</v>
      </c>
      <c r="O119" s="100"/>
      <c r="P119" s="103">
        <f t="shared" si="50"/>
        <v>0</v>
      </c>
      <c r="Q119" s="98"/>
      <c r="R119" s="104">
        <f t="shared" si="51"/>
        <v>8.4361846153846134</v>
      </c>
      <c r="S119" s="100"/>
      <c r="T119" s="91">
        <f t="shared" si="52"/>
        <v>2.1090461538461529</v>
      </c>
      <c r="U119" s="92">
        <f t="shared" si="53"/>
        <v>11.336123076923078</v>
      </c>
      <c r="V119" s="37" t="str">
        <f t="shared" si="54"/>
        <v>ok</v>
      </c>
      <c r="W119" s="37" t="str">
        <f t="shared" si="55"/>
        <v>ok</v>
      </c>
    </row>
    <row r="120" spans="1:23" x14ac:dyDescent="0.25">
      <c r="B120" s="38" t="s">
        <v>21</v>
      </c>
      <c r="C120" s="39">
        <v>18</v>
      </c>
      <c r="D120" s="93">
        <f t="shared" si="43"/>
        <v>11.392615384615384</v>
      </c>
      <c r="E120" s="94">
        <f t="shared" si="43"/>
        <v>4.9968791208791199</v>
      </c>
      <c r="F120" s="95">
        <f t="shared" si="44"/>
        <v>3.9975032967032962</v>
      </c>
      <c r="G120" s="96">
        <f t="shared" si="45"/>
        <v>0.99937582417582371</v>
      </c>
      <c r="H120" s="97">
        <f t="shared" si="46"/>
        <v>4.9968791208791199</v>
      </c>
      <c r="I120" s="98"/>
      <c r="J120" s="99">
        <f t="shared" si="47"/>
        <v>6.3957362637362642</v>
      </c>
      <c r="K120" s="100"/>
      <c r="L120" s="101">
        <f t="shared" si="48"/>
        <v>0.99937582417582371</v>
      </c>
      <c r="M120" s="100"/>
      <c r="N120" s="102">
        <f t="shared" si="49"/>
        <v>0</v>
      </c>
      <c r="O120" s="100"/>
      <c r="P120" s="103">
        <f t="shared" si="50"/>
        <v>0</v>
      </c>
      <c r="Q120" s="98"/>
      <c r="R120" s="104">
        <f t="shared" si="51"/>
        <v>3.9975032967032962</v>
      </c>
      <c r="S120" s="100"/>
      <c r="T120" s="91">
        <f t="shared" si="52"/>
        <v>0.99937582417582371</v>
      </c>
      <c r="U120" s="92">
        <f t="shared" si="53"/>
        <v>7.3951120879120875</v>
      </c>
      <c r="V120" s="37" t="str">
        <f t="shared" si="54"/>
        <v>ok</v>
      </c>
      <c r="W120" s="37" t="str">
        <f t="shared" si="55"/>
        <v>ok</v>
      </c>
    </row>
    <row r="121" spans="1:23" x14ac:dyDescent="0.25">
      <c r="B121" s="38" t="s">
        <v>22</v>
      </c>
      <c r="C121" s="39">
        <v>19</v>
      </c>
      <c r="D121" s="93">
        <f t="shared" si="43"/>
        <v>9.3279560439560427</v>
      </c>
      <c r="E121" s="94">
        <f t="shared" si="43"/>
        <v>6.6580219780219778</v>
      </c>
      <c r="F121" s="95">
        <f t="shared" si="44"/>
        <v>5.3264175824175828</v>
      </c>
      <c r="G121" s="96">
        <f t="shared" si="45"/>
        <v>1.3316043956043953</v>
      </c>
      <c r="H121" s="97">
        <f t="shared" si="46"/>
        <v>6.6580219780219778</v>
      </c>
      <c r="I121" s="98"/>
      <c r="J121" s="99">
        <f t="shared" si="47"/>
        <v>2.6699340659340649</v>
      </c>
      <c r="K121" s="100"/>
      <c r="L121" s="101">
        <f t="shared" si="48"/>
        <v>1.3316043956043953</v>
      </c>
      <c r="M121" s="100"/>
      <c r="N121" s="102">
        <f t="shared" si="49"/>
        <v>0</v>
      </c>
      <c r="O121" s="100"/>
      <c r="P121" s="103">
        <f t="shared" si="50"/>
        <v>0</v>
      </c>
      <c r="Q121" s="98"/>
      <c r="R121" s="104">
        <f t="shared" si="51"/>
        <v>5.3264175824175828</v>
      </c>
      <c r="S121" s="100"/>
      <c r="T121" s="91">
        <f t="shared" si="52"/>
        <v>1.3316043956043953</v>
      </c>
      <c r="U121" s="92">
        <f t="shared" si="53"/>
        <v>4.0015384615384599</v>
      </c>
      <c r="V121" s="37" t="str">
        <f t="shared" si="54"/>
        <v>ok</v>
      </c>
      <c r="W121" s="37" t="str">
        <f t="shared" si="55"/>
        <v>ok</v>
      </c>
    </row>
    <row r="122" spans="1:23" x14ac:dyDescent="0.25">
      <c r="B122" s="38" t="s">
        <v>23</v>
      </c>
      <c r="C122" s="39">
        <v>20</v>
      </c>
      <c r="D122" s="93">
        <f t="shared" si="43"/>
        <v>17.519340659340656</v>
      </c>
      <c r="E122" s="94">
        <f t="shared" si="43"/>
        <v>10.545230769230766</v>
      </c>
      <c r="F122" s="95">
        <f t="shared" si="44"/>
        <v>8.4361846153846134</v>
      </c>
      <c r="G122" s="96">
        <f t="shared" si="45"/>
        <v>2.1090461538461529</v>
      </c>
      <c r="H122" s="97">
        <f t="shared" si="46"/>
        <v>10.545230769230766</v>
      </c>
      <c r="I122" s="98"/>
      <c r="J122" s="99">
        <f t="shared" si="47"/>
        <v>6.9741098901098901</v>
      </c>
      <c r="K122" s="100"/>
      <c r="L122" s="101">
        <f t="shared" si="48"/>
        <v>2.1090461538461529</v>
      </c>
      <c r="M122" s="100"/>
      <c r="N122" s="102">
        <f t="shared" si="49"/>
        <v>0</v>
      </c>
      <c r="O122" s="100"/>
      <c r="P122" s="103">
        <f t="shared" si="50"/>
        <v>0</v>
      </c>
      <c r="Q122" s="98"/>
      <c r="R122" s="104">
        <f t="shared" si="51"/>
        <v>8.4361846153846134</v>
      </c>
      <c r="S122" s="100"/>
      <c r="T122" s="91">
        <f t="shared" si="52"/>
        <v>2.1090461538461529</v>
      </c>
      <c r="U122" s="92">
        <f t="shared" si="53"/>
        <v>9.083156043956043</v>
      </c>
      <c r="V122" s="37" t="str">
        <f t="shared" si="54"/>
        <v>ok</v>
      </c>
      <c r="W122" s="37" t="str">
        <f t="shared" si="55"/>
        <v>ok</v>
      </c>
    </row>
    <row r="123" spans="1:23" x14ac:dyDescent="0.25">
      <c r="B123" s="38" t="s">
        <v>19</v>
      </c>
      <c r="C123" s="39">
        <v>21</v>
      </c>
      <c r="D123" s="93">
        <f t="shared" si="43"/>
        <v>29.147340659340653</v>
      </c>
      <c r="E123" s="94">
        <f t="shared" si="43"/>
        <v>20.175824175824172</v>
      </c>
      <c r="F123" s="95">
        <f t="shared" si="44"/>
        <v>16.140659340659337</v>
      </c>
      <c r="G123" s="96">
        <f t="shared" si="45"/>
        <v>4.0351648351648333</v>
      </c>
      <c r="H123" s="97">
        <f t="shared" si="46"/>
        <v>20.175824175824172</v>
      </c>
      <c r="I123" s="98"/>
      <c r="J123" s="99">
        <f t="shared" si="47"/>
        <v>8.9715164835164813</v>
      </c>
      <c r="K123" s="100"/>
      <c r="L123" s="101">
        <f t="shared" si="48"/>
        <v>4.0351648351648333</v>
      </c>
      <c r="M123" s="100"/>
      <c r="N123" s="102">
        <f t="shared" si="49"/>
        <v>0</v>
      </c>
      <c r="O123" s="100"/>
      <c r="P123" s="103">
        <f t="shared" si="50"/>
        <v>0</v>
      </c>
      <c r="Q123" s="98"/>
      <c r="R123" s="104">
        <f t="shared" si="51"/>
        <v>16.14065934065934</v>
      </c>
      <c r="S123" s="100"/>
      <c r="T123" s="91">
        <f t="shared" si="52"/>
        <v>4.0351648351648333</v>
      </c>
      <c r="U123" s="92">
        <f t="shared" si="53"/>
        <v>13.006681318681315</v>
      </c>
      <c r="V123" s="37" t="str">
        <f t="shared" si="54"/>
        <v>ok</v>
      </c>
      <c r="W123" s="37" t="str">
        <f t="shared" si="55"/>
        <v>ok</v>
      </c>
    </row>
    <row r="124" spans="1:23" x14ac:dyDescent="0.25">
      <c r="B124" s="38" t="s">
        <v>20</v>
      </c>
      <c r="C124" s="39">
        <v>22</v>
      </c>
      <c r="D124" s="93">
        <f t="shared" si="43"/>
        <v>23.64606593406593</v>
      </c>
      <c r="E124" s="94">
        <f t="shared" si="43"/>
        <v>14.123076923076921</v>
      </c>
      <c r="F124" s="95">
        <f t="shared" si="44"/>
        <v>11.298461538461538</v>
      </c>
      <c r="G124" s="96">
        <f t="shared" si="45"/>
        <v>2.8246153846153836</v>
      </c>
      <c r="H124" s="97">
        <f t="shared" si="46"/>
        <v>14.123076923076921</v>
      </c>
      <c r="I124" s="98"/>
      <c r="J124" s="99">
        <f t="shared" si="47"/>
        <v>9.5229890109890096</v>
      </c>
      <c r="K124" s="100"/>
      <c r="L124" s="101">
        <f t="shared" si="48"/>
        <v>2.8246153846153836</v>
      </c>
      <c r="M124" s="100"/>
      <c r="N124" s="102">
        <f t="shared" si="49"/>
        <v>0</v>
      </c>
      <c r="O124" s="100"/>
      <c r="P124" s="103">
        <f t="shared" si="50"/>
        <v>0</v>
      </c>
      <c r="Q124" s="98"/>
      <c r="R124" s="104">
        <f t="shared" si="51"/>
        <v>11.298461538461538</v>
      </c>
      <c r="S124" s="100"/>
      <c r="T124" s="91">
        <f t="shared" si="52"/>
        <v>2.8246153846153836</v>
      </c>
      <c r="U124" s="92">
        <f t="shared" si="53"/>
        <v>12.347604395604392</v>
      </c>
      <c r="V124" s="37" t="str">
        <f t="shared" si="54"/>
        <v>ok</v>
      </c>
      <c r="W124" s="37" t="str">
        <f t="shared" si="55"/>
        <v>ok</v>
      </c>
    </row>
    <row r="125" spans="1:23" x14ac:dyDescent="0.25">
      <c r="B125" s="38" t="s">
        <v>21</v>
      </c>
      <c r="C125" s="39">
        <v>23</v>
      </c>
      <c r="D125" s="93">
        <f t="shared" si="43"/>
        <v>13.672483516483512</v>
      </c>
      <c r="E125" s="94">
        <f t="shared" si="43"/>
        <v>6.7252747252747254</v>
      </c>
      <c r="F125" s="95">
        <f t="shared" si="44"/>
        <v>5.3802197802197806</v>
      </c>
      <c r="G125" s="96">
        <f t="shared" si="45"/>
        <v>1.3450549450549447</v>
      </c>
      <c r="H125" s="97">
        <f t="shared" si="46"/>
        <v>6.7252747252747254</v>
      </c>
      <c r="I125" s="98"/>
      <c r="J125" s="99">
        <f t="shared" si="47"/>
        <v>6.9472087912087863</v>
      </c>
      <c r="K125" s="100"/>
      <c r="L125" s="101">
        <f t="shared" si="48"/>
        <v>1.3450549450549447</v>
      </c>
      <c r="M125" s="100"/>
      <c r="N125" s="102">
        <f t="shared" si="49"/>
        <v>0</v>
      </c>
      <c r="O125" s="100"/>
      <c r="P125" s="103">
        <f t="shared" si="50"/>
        <v>0</v>
      </c>
      <c r="Q125" s="98"/>
      <c r="R125" s="104">
        <f t="shared" si="51"/>
        <v>5.3802197802197806</v>
      </c>
      <c r="S125" s="100"/>
      <c r="T125" s="91">
        <f t="shared" si="52"/>
        <v>1.3450549450549447</v>
      </c>
      <c r="U125" s="92">
        <f t="shared" si="53"/>
        <v>8.292263736263731</v>
      </c>
      <c r="V125" s="37" t="str">
        <f t="shared" si="54"/>
        <v>ok</v>
      </c>
      <c r="W125" s="37" t="str">
        <f t="shared" si="55"/>
        <v>ok</v>
      </c>
    </row>
    <row r="126" spans="1:23" x14ac:dyDescent="0.25">
      <c r="B126" s="33"/>
      <c r="C126" s="34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105"/>
      <c r="Q126" s="98"/>
      <c r="R126" s="106"/>
      <c r="S126" s="98"/>
      <c r="T126" s="98"/>
      <c r="U126" s="98"/>
      <c r="V126" s="37"/>
      <c r="W126" s="37" t="str">
        <f t="shared" si="55"/>
        <v>ok</v>
      </c>
    </row>
    <row r="127" spans="1:23" ht="15.75" thickBot="1" x14ac:dyDescent="0.3">
      <c r="A127" s="75" t="s">
        <v>65</v>
      </c>
      <c r="B127" s="77"/>
      <c r="C127" s="78"/>
      <c r="D127" s="79">
        <f>SUM(D103:D125)</f>
        <v>284.25046153846148</v>
      </c>
      <c r="E127" s="80">
        <f>SUM(E103:E125)</f>
        <v>301.8908571428571</v>
      </c>
      <c r="F127" s="81">
        <f>SUM(F103:F125)</f>
        <v>241.51268571428565</v>
      </c>
      <c r="G127" s="82">
        <f>SUM(G103:G125)</f>
        <v>60.378171428571406</v>
      </c>
      <c r="H127" s="83">
        <f>SUM(H103:H125)</f>
        <v>214.98013186813185</v>
      </c>
      <c r="I127" s="84"/>
      <c r="J127" s="85">
        <f>SUM(J103:J125)</f>
        <v>69.270329670329659</v>
      </c>
      <c r="K127" s="86"/>
      <c r="L127" s="87">
        <f>SUM(L103:L125)</f>
        <v>27.565556043956033</v>
      </c>
      <c r="M127" s="86"/>
      <c r="N127" s="88">
        <f>SUM(N103:N125)</f>
        <v>54.098109890109889</v>
      </c>
      <c r="O127" s="86"/>
      <c r="P127" s="89">
        <f>SUM(P103:P125)</f>
        <v>32.812615384615377</v>
      </c>
      <c r="Q127" s="84"/>
      <c r="R127" s="90">
        <f>SUM(R103:R125)</f>
        <v>187.41457582417576</v>
      </c>
      <c r="S127" s="86"/>
      <c r="T127" s="91">
        <f>SUM(T103:T125)</f>
        <v>114.4762813186813</v>
      </c>
      <c r="U127" s="92">
        <f>SUM(U103:U125)</f>
        <v>96.835885714285709</v>
      </c>
      <c r="V127" s="73" t="str">
        <f t="shared" ref="V127" si="56">IF(R127+T127=E127,"ok","bad")</f>
        <v>ok</v>
      </c>
      <c r="W127" s="73" t="str">
        <f t="shared" si="55"/>
        <v>ok</v>
      </c>
    </row>
    <row r="160" spans="4:8" x14ac:dyDescent="0.25">
      <c r="D160" t="str">
        <f>L101</f>
        <v>(B) offres non satisfaisantes</v>
      </c>
      <c r="E160" s="75">
        <f>L127</f>
        <v>27.565556043956033</v>
      </c>
      <c r="G160" t="str">
        <f>R101</f>
        <v>Capacité à 80%</v>
      </c>
      <c r="H160" s="75">
        <f>R127</f>
        <v>187.41457582417576</v>
      </c>
    </row>
    <row r="161" spans="4:8" x14ac:dyDescent="0.25">
      <c r="D161" t="str">
        <f>P101</f>
        <v>(C) offres hors demandes</v>
      </c>
      <c r="E161" s="75">
        <f>P127</f>
        <v>32.812615384615377</v>
      </c>
      <c r="G161" t="str">
        <f>N101</f>
        <v>(D) offres hors demandes</v>
      </c>
      <c r="H161" s="75">
        <f>N127</f>
        <v>54.098109890109889</v>
      </c>
    </row>
    <row r="162" spans="4:8" x14ac:dyDescent="0.25">
      <c r="D162" t="str">
        <f>N101</f>
        <v>(D) offres hors demandes</v>
      </c>
      <c r="E162" s="75">
        <f>N127</f>
        <v>54.098109890109889</v>
      </c>
    </row>
    <row r="177" spans="4:8" x14ac:dyDescent="0.25">
      <c r="D177" t="str">
        <f>R101</f>
        <v>Capacité à 80%</v>
      </c>
      <c r="E177" s="75">
        <f>R127</f>
        <v>187.41457582417576</v>
      </c>
      <c r="G177" t="str">
        <f>F101</f>
        <v>offre à 80%</v>
      </c>
      <c r="H177" s="75">
        <f>F127</f>
        <v>241.51268571428565</v>
      </c>
    </row>
    <row r="178" spans="4:8" x14ac:dyDescent="0.25">
      <c r="D178" t="str">
        <f>T101</f>
        <v>offres non placées</v>
      </c>
      <c r="E178" s="75">
        <f>T127</f>
        <v>114.4762813186813</v>
      </c>
      <c r="G178" t="str">
        <f>P101</f>
        <v>(C) offres hors demandes</v>
      </c>
      <c r="H178" s="75">
        <f>P127</f>
        <v>32.812615384615377</v>
      </c>
    </row>
    <row r="179" spans="4:8" x14ac:dyDescent="0.25">
      <c r="G179" t="str">
        <f>L101</f>
        <v>(B) offres non satisfaisantes</v>
      </c>
      <c r="H179" s="75">
        <f>L127</f>
        <v>27.565556043956033</v>
      </c>
    </row>
    <row r="193" spans="4:8" x14ac:dyDescent="0.25">
      <c r="D193" t="str">
        <f>J101</f>
        <v>(A) demandes hors offres</v>
      </c>
      <c r="E193" s="75">
        <f>J127</f>
        <v>69.270329670329659</v>
      </c>
      <c r="G193" t="str">
        <f>R101</f>
        <v>Capacité à 80%</v>
      </c>
      <c r="H193" s="75">
        <f>R127</f>
        <v>187.41457582417576</v>
      </c>
    </row>
    <row r="194" spans="4:8" x14ac:dyDescent="0.25">
      <c r="D194" t="str">
        <f>L101</f>
        <v>(B) offres non satisfaisantes</v>
      </c>
      <c r="E194" s="75">
        <f>L127</f>
        <v>27.565556043956033</v>
      </c>
      <c r="G194" t="str">
        <f>U101</f>
        <v>demandes non satisfaites</v>
      </c>
      <c r="H194" s="75">
        <f>U127</f>
        <v>96.835885714285709</v>
      </c>
    </row>
    <row r="209" spans="2:23" ht="51.75" thickBot="1" x14ac:dyDescent="0.3">
      <c r="B209" s="108"/>
      <c r="C209" s="109"/>
      <c r="D209" s="110" t="s">
        <v>40</v>
      </c>
      <c r="E209" s="111" t="s">
        <v>41</v>
      </c>
      <c r="F209" s="112" t="s">
        <v>42</v>
      </c>
      <c r="G209" s="113" t="s">
        <v>43</v>
      </c>
      <c r="H209" s="114" t="s">
        <v>44</v>
      </c>
      <c r="I209" s="115"/>
      <c r="J209" s="116" t="s">
        <v>45</v>
      </c>
      <c r="K209" s="117"/>
      <c r="L209" s="118" t="s">
        <v>46</v>
      </c>
      <c r="M209" s="117"/>
      <c r="N209" s="119" t="s">
        <v>47</v>
      </c>
      <c r="O209" s="117"/>
      <c r="P209" s="120" t="s">
        <v>48</v>
      </c>
      <c r="Q209" s="115"/>
      <c r="R209" s="121" t="s">
        <v>49</v>
      </c>
      <c r="S209" s="117"/>
      <c r="T209" s="122" t="s">
        <v>50</v>
      </c>
      <c r="U209" s="123" t="s">
        <v>51</v>
      </c>
    </row>
    <row r="210" spans="2:23" ht="5.25" customHeight="1" x14ac:dyDescent="0.25">
      <c r="B210" s="124"/>
      <c r="C210" s="125"/>
      <c r="D210" s="126"/>
      <c r="E210" s="126"/>
      <c r="F210" s="126"/>
      <c r="G210" s="126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36"/>
      <c r="S210" s="125"/>
      <c r="T210" s="125"/>
      <c r="U210" s="127"/>
    </row>
    <row r="211" spans="2:23" x14ac:dyDescent="0.25">
      <c r="B211" s="128" t="s">
        <v>68</v>
      </c>
      <c r="C211" s="129" t="s">
        <v>69</v>
      </c>
      <c r="D211" s="130">
        <f>SUM(D103:D107)</f>
        <v>34.897450549450546</v>
      </c>
      <c r="E211" s="131">
        <f>SUM(E103:E107)</f>
        <v>84.368571428571428</v>
      </c>
      <c r="F211" s="132">
        <f>SUM(F103:F107)</f>
        <v>67.494857142857143</v>
      </c>
      <c r="G211" s="133">
        <f>SUM(G103:G107)</f>
        <v>16.873714285714279</v>
      </c>
      <c r="H211" s="134">
        <f>SUM(H103:H107)</f>
        <v>34.897450549450546</v>
      </c>
      <c r="I211" s="135"/>
      <c r="J211" s="136">
        <f>SUM(J103:J107)</f>
        <v>0</v>
      </c>
      <c r="K211" s="137"/>
      <c r="L211" s="138">
        <f>SUM(L103:L107)</f>
        <v>0</v>
      </c>
      <c r="M211" s="137"/>
      <c r="N211" s="139">
        <f>SUM(N103:N107)</f>
        <v>32.597406593406596</v>
      </c>
      <c r="O211" s="137"/>
      <c r="P211" s="140">
        <f>SUM(P103:P107)</f>
        <v>16.873714285714279</v>
      </c>
      <c r="Q211" s="135"/>
      <c r="R211" s="104">
        <f>SUM(R103:R107)</f>
        <v>34.897450549450546</v>
      </c>
      <c r="S211" s="137"/>
      <c r="T211" s="141">
        <f>SUM(T103:T107)</f>
        <v>49.471120879120875</v>
      </c>
      <c r="U211" s="142">
        <f>SUM(U103:U107)</f>
        <v>0</v>
      </c>
      <c r="V211" s="37" t="str">
        <f>IF(R211+T211=E211,"ok","bad")</f>
        <v>ok</v>
      </c>
      <c r="W211" s="37" t="str">
        <f>IF(U211+R211=D211,"ok","bad")</f>
        <v>ok</v>
      </c>
    </row>
    <row r="212" spans="2:23" x14ac:dyDescent="0.25">
      <c r="B212" s="128" t="s">
        <v>68</v>
      </c>
      <c r="C212" s="129" t="s">
        <v>70</v>
      </c>
      <c r="D212" s="130">
        <f>SUM(D108:D112)</f>
        <v>65.685758241758236</v>
      </c>
      <c r="E212" s="131">
        <f>SUM(E108:E112)</f>
        <v>56.828571428571429</v>
      </c>
      <c r="F212" s="132">
        <f>SUM(F108:F112)</f>
        <v>45.462857142857146</v>
      </c>
      <c r="G212" s="133">
        <f>SUM(G108:G112)</f>
        <v>11.365714285714283</v>
      </c>
      <c r="H212" s="134">
        <f>SUM(H108:H112)</f>
        <v>54.770637362637359</v>
      </c>
      <c r="I212" s="135"/>
      <c r="J212" s="136">
        <f>SUM(J108:J112)</f>
        <v>10.915120879120877</v>
      </c>
      <c r="K212" s="137"/>
      <c r="L212" s="138">
        <f>SUM(L108:L112)</f>
        <v>9.4826373626373588</v>
      </c>
      <c r="M212" s="137"/>
      <c r="N212" s="139">
        <f>SUM(N108:N112)</f>
        <v>0.17485714285714415</v>
      </c>
      <c r="O212" s="137"/>
      <c r="P212" s="140">
        <f>SUM(P108:P112)</f>
        <v>1.8830769230769226</v>
      </c>
      <c r="Q212" s="135"/>
      <c r="R212" s="104">
        <f>SUM(R108:R112)</f>
        <v>45.287999999999997</v>
      </c>
      <c r="S212" s="137"/>
      <c r="T212" s="141">
        <f>SUM(T108:T112)</f>
        <v>11.540571428571425</v>
      </c>
      <c r="U212" s="142">
        <f>SUM(U108:U112)</f>
        <v>20.397758241758236</v>
      </c>
      <c r="V212" s="37" t="str">
        <f t="shared" ref="V212:V217" si="57">IF(R212+T212=E212,"ok","bad")</f>
        <v>ok</v>
      </c>
      <c r="W212" s="37" t="str">
        <f t="shared" ref="W212:W217" si="58">IF(U212+R212=D212,"ok","bad")</f>
        <v>ok</v>
      </c>
    </row>
    <row r="213" spans="2:23" x14ac:dyDescent="0.25">
      <c r="B213" s="128" t="s">
        <v>68</v>
      </c>
      <c r="C213" s="129" t="s">
        <v>71</v>
      </c>
      <c r="D213" s="130">
        <f>SUM(D113:D117)</f>
        <v>34.897450549450546</v>
      </c>
      <c r="E213" s="131">
        <f>SUM(E113:E117)</f>
        <v>70.279120879120882</v>
      </c>
      <c r="F213" s="132">
        <f>SUM(F113:F117)</f>
        <v>56.223296703296697</v>
      </c>
      <c r="G213" s="133">
        <f>SUM(G113:G117)</f>
        <v>14.055824175824171</v>
      </c>
      <c r="H213" s="134">
        <f>SUM(H113:H117)</f>
        <v>34.897450549450546</v>
      </c>
      <c r="I213" s="135"/>
      <c r="J213" s="136">
        <f>SUM(J113:J117)</f>
        <v>0</v>
      </c>
      <c r="K213" s="137"/>
      <c r="L213" s="138">
        <f>SUM(L113:L117)</f>
        <v>0</v>
      </c>
      <c r="M213" s="137"/>
      <c r="N213" s="139">
        <f>SUM(N113:N117)</f>
        <v>21.325846153846154</v>
      </c>
      <c r="O213" s="137"/>
      <c r="P213" s="140">
        <f>SUM(P113:P117)</f>
        <v>14.055824175824171</v>
      </c>
      <c r="Q213" s="135"/>
      <c r="R213" s="104">
        <f>SUM(R113:R117)</f>
        <v>34.897450549450546</v>
      </c>
      <c r="S213" s="137"/>
      <c r="T213" s="141">
        <f>SUM(T113:T117)</f>
        <v>35.381670329670328</v>
      </c>
      <c r="U213" s="142">
        <f>SUM(U113:U117)</f>
        <v>0</v>
      </c>
      <c r="V213" s="37" t="str">
        <f t="shared" si="57"/>
        <v>ok</v>
      </c>
      <c r="W213" s="37" t="str">
        <f t="shared" si="58"/>
        <v>ok</v>
      </c>
    </row>
    <row r="214" spans="2:23" x14ac:dyDescent="0.25">
      <c r="B214" s="128" t="s">
        <v>68</v>
      </c>
      <c r="C214" s="129" t="s">
        <v>72</v>
      </c>
      <c r="D214" s="130">
        <f>SUM(D118:D122)</f>
        <v>82.303912087912082</v>
      </c>
      <c r="E214" s="131">
        <f>SUM(E118:E122)</f>
        <v>49.39041758241757</v>
      </c>
      <c r="F214" s="132">
        <f>SUM(F118:F122)</f>
        <v>39.512334065934063</v>
      </c>
      <c r="G214" s="133">
        <f>SUM(G118:G122)</f>
        <v>9.8780835164835104</v>
      </c>
      <c r="H214" s="134">
        <f>SUM(H118:H122)</f>
        <v>49.39041758241757</v>
      </c>
      <c r="I214" s="135"/>
      <c r="J214" s="136">
        <f>SUM(J118:J122)</f>
        <v>32.913494505494512</v>
      </c>
      <c r="K214" s="137"/>
      <c r="L214" s="138">
        <f>SUM(L118:L122)</f>
        <v>9.8780835164835104</v>
      </c>
      <c r="M214" s="137"/>
      <c r="N214" s="139">
        <f>SUM(N118:N122)</f>
        <v>0</v>
      </c>
      <c r="O214" s="137"/>
      <c r="P214" s="140">
        <f>SUM(P118:P122)</f>
        <v>0</v>
      </c>
      <c r="Q214" s="135"/>
      <c r="R214" s="104">
        <f>SUM(R118:R122)</f>
        <v>39.512334065934063</v>
      </c>
      <c r="S214" s="137"/>
      <c r="T214" s="141">
        <f>SUM(T118:T122)</f>
        <v>9.8780835164835104</v>
      </c>
      <c r="U214" s="142">
        <f>SUM(U118:U122)</f>
        <v>42.791578021978026</v>
      </c>
      <c r="V214" s="37" t="str">
        <f t="shared" si="57"/>
        <v>ok</v>
      </c>
      <c r="W214" s="37" t="str">
        <f t="shared" si="58"/>
        <v>ok</v>
      </c>
    </row>
    <row r="215" spans="2:23" x14ac:dyDescent="0.25">
      <c r="B215" s="128" t="s">
        <v>68</v>
      </c>
      <c r="C215" s="129" t="s">
        <v>73</v>
      </c>
      <c r="D215" s="130">
        <f>SUM(D123:D125)</f>
        <v>66.465890109890097</v>
      </c>
      <c r="E215" s="131">
        <f>SUM(E123:E125)</f>
        <v>41.024175824175813</v>
      </c>
      <c r="F215" s="132">
        <f>SUM(F123:F125)</f>
        <v>32.819340659340654</v>
      </c>
      <c r="G215" s="133">
        <f>SUM(G123:G125)</f>
        <v>8.2048351648351616</v>
      </c>
      <c r="H215" s="134">
        <f>SUM(H123:H125)</f>
        <v>41.024175824175813</v>
      </c>
      <c r="I215" s="135"/>
      <c r="J215" s="136">
        <f>SUM(J123:J125)</f>
        <v>25.441714285714276</v>
      </c>
      <c r="K215" s="137"/>
      <c r="L215" s="138">
        <f>SUM(L123:L125)</f>
        <v>8.2048351648351616</v>
      </c>
      <c r="M215" s="137"/>
      <c r="N215" s="139">
        <f>SUM(N123:N125)</f>
        <v>0</v>
      </c>
      <c r="O215" s="137"/>
      <c r="P215" s="140">
        <f>SUM(P123:P125)</f>
        <v>0</v>
      </c>
      <c r="Q215" s="135"/>
      <c r="R215" s="104">
        <f>SUM(R123:R125)</f>
        <v>32.819340659340661</v>
      </c>
      <c r="S215" s="137"/>
      <c r="T215" s="141">
        <f>SUM(T123:T125)</f>
        <v>8.2048351648351616</v>
      </c>
      <c r="U215" s="142">
        <f>SUM(U123:U125)</f>
        <v>33.646549450549443</v>
      </c>
      <c r="V215" s="37" t="str">
        <f t="shared" si="57"/>
        <v>ok</v>
      </c>
      <c r="W215" s="37" t="str">
        <f t="shared" si="58"/>
        <v>ok</v>
      </c>
    </row>
    <row r="216" spans="2:23" ht="5.25" customHeight="1" x14ac:dyDescent="0.25">
      <c r="B216" s="124"/>
      <c r="C216" s="125"/>
      <c r="D216" s="126"/>
      <c r="E216" s="126"/>
      <c r="F216" s="126"/>
      <c r="G216" s="126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36"/>
      <c r="S216" s="125"/>
      <c r="T216" s="125"/>
      <c r="U216" s="127"/>
      <c r="V216" s="37"/>
      <c r="W216" s="37"/>
    </row>
    <row r="217" spans="2:23" x14ac:dyDescent="0.25">
      <c r="B217" s="143" t="s">
        <v>53</v>
      </c>
      <c r="C217" s="144"/>
      <c r="D217" s="145">
        <f>SUM(D211:D215)</f>
        <v>284.25046153846154</v>
      </c>
      <c r="E217" s="146">
        <f>SUM(E211:E215)</f>
        <v>301.89085714285716</v>
      </c>
      <c r="F217" s="147">
        <f>SUM(F211:F215)</f>
        <v>241.51268571428568</v>
      </c>
      <c r="G217" s="148">
        <f>SUM(G211:G215)</f>
        <v>60.378171428571406</v>
      </c>
      <c r="H217" s="149">
        <f>SUM(H211:H215)</f>
        <v>214.98013186813185</v>
      </c>
      <c r="I217" s="150"/>
      <c r="J217" s="151">
        <f>SUM(J211:J215)</f>
        <v>69.270329670329659</v>
      </c>
      <c r="K217" s="152"/>
      <c r="L217" s="153">
        <f>SUM(L211:L215)</f>
        <v>27.565556043956029</v>
      </c>
      <c r="M217" s="152"/>
      <c r="N217" s="154">
        <f>SUM(N211:N215)</f>
        <v>54.098109890109896</v>
      </c>
      <c r="O217" s="152"/>
      <c r="P217" s="155">
        <f>SUM(P211:P215)</f>
        <v>32.81261538461537</v>
      </c>
      <c r="Q217" s="150"/>
      <c r="R217" s="156">
        <f>SUM(R211:R215)</f>
        <v>187.41457582417581</v>
      </c>
      <c r="S217" s="152"/>
      <c r="T217" s="157">
        <f>SUM(T211:T215)</f>
        <v>114.4762813186813</v>
      </c>
      <c r="U217" s="158">
        <f>SUM(U211:U215)</f>
        <v>96.835885714285709</v>
      </c>
      <c r="V217" s="37" t="str">
        <f t="shared" si="57"/>
        <v>ok</v>
      </c>
      <c r="W217" s="37" t="str">
        <f t="shared" si="58"/>
        <v>ok</v>
      </c>
    </row>
    <row r="218" spans="2:23" x14ac:dyDescent="0.25">
      <c r="V218" s="37"/>
      <c r="W218" s="37"/>
    </row>
    <row r="219" spans="2:23" x14ac:dyDescent="0.25">
      <c r="V219" s="37"/>
      <c r="W219" s="37"/>
    </row>
    <row r="220" spans="2:23" x14ac:dyDescent="0.25">
      <c r="V220" s="37"/>
      <c r="W220" s="37"/>
    </row>
    <row r="221" spans="2:23" x14ac:dyDescent="0.25">
      <c r="V221" s="37"/>
      <c r="W221" s="37"/>
    </row>
    <row r="222" spans="2:23" x14ac:dyDescent="0.25">
      <c r="V222" s="37"/>
      <c r="W222" s="37"/>
    </row>
    <row r="223" spans="2:23" x14ac:dyDescent="0.25">
      <c r="V223" s="37"/>
      <c r="W223" s="37"/>
    </row>
    <row r="224" spans="2:23" x14ac:dyDescent="0.25">
      <c r="V224" s="37"/>
      <c r="W224" s="37"/>
    </row>
    <row r="225" spans="22:23" x14ac:dyDescent="0.25">
      <c r="V225" s="37"/>
      <c r="W225" s="37"/>
    </row>
    <row r="226" spans="22:23" x14ac:dyDescent="0.25">
      <c r="V226" s="37"/>
      <c r="W226" s="37"/>
    </row>
    <row r="227" spans="22:23" x14ac:dyDescent="0.25">
      <c r="V227" s="37"/>
      <c r="W227" s="37"/>
    </row>
    <row r="228" spans="22:23" x14ac:dyDescent="0.25">
      <c r="V228" s="37"/>
      <c r="W228" s="37"/>
    </row>
    <row r="229" spans="22:23" x14ac:dyDescent="0.25">
      <c r="V229" s="37"/>
      <c r="W229" s="37"/>
    </row>
    <row r="230" spans="22:23" x14ac:dyDescent="0.25">
      <c r="V230" s="37"/>
      <c r="W230" s="37"/>
    </row>
    <row r="231" spans="22:23" x14ac:dyDescent="0.25">
      <c r="V231" s="37"/>
      <c r="W231" s="37"/>
    </row>
    <row r="232" spans="22:23" x14ac:dyDescent="0.25">
      <c r="V232" s="37"/>
      <c r="W232" s="37"/>
    </row>
    <row r="233" spans="22:23" x14ac:dyDescent="0.25">
      <c r="V233" s="37"/>
      <c r="W233" s="37"/>
    </row>
    <row r="234" spans="22:23" x14ac:dyDescent="0.25">
      <c r="V234" s="37"/>
      <c r="W234" s="37"/>
    </row>
    <row r="235" spans="22:23" x14ac:dyDescent="0.25">
      <c r="V235" s="73"/>
      <c r="W235" s="73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3"/>
  <sheetViews>
    <sheetView topLeftCell="A423" zoomScale="80" zoomScaleNormal="80" workbookViewId="0">
      <selection activeCell="Z325" sqref="Z325"/>
    </sheetView>
  </sheetViews>
  <sheetFormatPr baseColWidth="10" defaultRowHeight="15" x14ac:dyDescent="0.25"/>
  <cols>
    <col min="1" max="1" width="12.42578125" customWidth="1"/>
    <col min="2" max="2" width="13.5703125" customWidth="1"/>
    <col min="3" max="3" width="8.140625" bestFit="1" customWidth="1"/>
    <col min="4" max="4" width="11.7109375" customWidth="1"/>
    <col min="5" max="5" width="9.7109375" bestFit="1" customWidth="1"/>
    <col min="6" max="6" width="9.5703125" customWidth="1"/>
    <col min="7" max="7" width="9.7109375" customWidth="1"/>
    <col min="9" max="9" width="0.85546875" customWidth="1"/>
    <col min="11" max="11" width="0.85546875" customWidth="1"/>
    <col min="13" max="13" width="0.85546875" customWidth="1"/>
    <col min="15" max="15" width="0.85546875" customWidth="1"/>
    <col min="17" max="17" width="0.85546875" customWidth="1"/>
    <col min="19" max="19" width="0.85546875" customWidth="1"/>
    <col min="22" max="22" width="4.140625" bestFit="1" customWidth="1"/>
    <col min="23" max="23" width="3" bestFit="1" customWidth="1"/>
  </cols>
  <sheetData>
    <row r="1" spans="1:23" x14ac:dyDescent="0.25">
      <c r="A1" s="2" t="s">
        <v>88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thickBot="1" x14ac:dyDescent="0.3"/>
    <row r="3" spans="1:23" ht="51.75" thickBot="1" x14ac:dyDescent="0.3">
      <c r="B3" s="17"/>
      <c r="C3" s="18"/>
      <c r="D3" s="19" t="s">
        <v>40</v>
      </c>
      <c r="E3" s="20" t="s">
        <v>41</v>
      </c>
      <c r="F3" s="21" t="s">
        <v>42</v>
      </c>
      <c r="G3" s="22" t="s">
        <v>43</v>
      </c>
      <c r="H3" s="23" t="s">
        <v>44</v>
      </c>
      <c r="I3" s="24"/>
      <c r="J3" s="25" t="s">
        <v>45</v>
      </c>
      <c r="K3" s="26"/>
      <c r="L3" s="27" t="s">
        <v>46</v>
      </c>
      <c r="M3" s="26"/>
      <c r="N3" s="28" t="s">
        <v>47</v>
      </c>
      <c r="O3" s="26"/>
      <c r="P3" s="29" t="s">
        <v>48</v>
      </c>
      <c r="Q3" s="24"/>
      <c r="R3" s="30" t="s">
        <v>49</v>
      </c>
      <c r="S3" s="26"/>
      <c r="T3" s="70" t="s">
        <v>50</v>
      </c>
      <c r="U3" s="31" t="s">
        <v>51</v>
      </c>
      <c r="V3" s="32" t="s">
        <v>52</v>
      </c>
      <c r="W3" s="32"/>
    </row>
    <row r="4" spans="1:23" ht="3.75" customHeight="1" x14ac:dyDescent="0.25">
      <c r="B4" s="33"/>
      <c r="C4" s="34"/>
      <c r="D4" s="35"/>
      <c r="E4" s="35"/>
      <c r="F4" s="35"/>
      <c r="G4" s="35"/>
      <c r="H4" s="34"/>
      <c r="I4" s="34"/>
      <c r="J4" s="34"/>
      <c r="K4" s="34"/>
      <c r="L4" s="34"/>
      <c r="M4" s="34"/>
      <c r="N4" s="34"/>
      <c r="O4" s="34"/>
      <c r="P4" s="34"/>
      <c r="Q4" s="34"/>
      <c r="R4" s="36"/>
      <c r="S4" s="34"/>
      <c r="T4" s="34"/>
      <c r="U4" s="34"/>
      <c r="V4" s="37"/>
      <c r="W4" s="37"/>
    </row>
    <row r="5" spans="1:23" x14ac:dyDescent="0.25">
      <c r="B5" s="38"/>
      <c r="C5" s="107">
        <v>1</v>
      </c>
      <c r="D5" s="40">
        <v>18.11</v>
      </c>
      <c r="E5" s="41">
        <v>39</v>
      </c>
      <c r="F5" s="42">
        <f t="shared" ref="F5:F27" si="0">E5*TC</f>
        <v>31.200000000000003</v>
      </c>
      <c r="G5" s="43">
        <f t="shared" ref="G5:G27" si="1">E5*(1-TC)</f>
        <v>7.799999999999998</v>
      </c>
      <c r="H5" s="44">
        <f>IF(E5&gt;D5,D5,E5)</f>
        <v>18.11</v>
      </c>
      <c r="I5" s="34"/>
      <c r="J5" s="45">
        <f>IF(E5&gt;D5,0,D5-E5)</f>
        <v>0</v>
      </c>
      <c r="K5" s="46"/>
      <c r="L5" s="47">
        <f>IF(E5&gt;D5,IF(F5&gt;H5,0,H5-F5),G5)</f>
        <v>0</v>
      </c>
      <c r="M5" s="46"/>
      <c r="N5" s="48">
        <f>IF(E5&gt;D5,IF(F5&gt;H5,F5-H5,0),0)</f>
        <v>13.090000000000003</v>
      </c>
      <c r="O5" s="46"/>
      <c r="P5" s="49">
        <f>IF(E5&gt;D5,IF(F5&gt;H5,G5,E5-H5),0)</f>
        <v>7.799999999999998</v>
      </c>
      <c r="Q5" s="34"/>
      <c r="R5" s="50">
        <f>H5-L5</f>
        <v>18.11</v>
      </c>
      <c r="S5" s="46"/>
      <c r="T5" s="72">
        <f>L5+N5+P5</f>
        <v>20.89</v>
      </c>
      <c r="U5" s="51">
        <f>J5+L5</f>
        <v>0</v>
      </c>
      <c r="V5" s="37" t="str">
        <f>IF(R5+T5=E5,"ok","bad")</f>
        <v>ok</v>
      </c>
      <c r="W5" s="37" t="str">
        <f>IF(U5+R5=D5,"ok","bad")</f>
        <v>ok</v>
      </c>
    </row>
    <row r="6" spans="1:23" x14ac:dyDescent="0.25">
      <c r="B6" s="38"/>
      <c r="C6" s="107">
        <v>2</v>
      </c>
      <c r="D6" s="40">
        <v>14.22</v>
      </c>
      <c r="E6" s="41">
        <v>28.6</v>
      </c>
      <c r="F6" s="42">
        <f t="shared" si="0"/>
        <v>22.880000000000003</v>
      </c>
      <c r="G6" s="43">
        <f t="shared" si="1"/>
        <v>5.7199999999999989</v>
      </c>
      <c r="H6" s="44">
        <f t="shared" ref="H6:H27" si="2">IF(E6&gt;D6,D6,E6)</f>
        <v>14.22</v>
      </c>
      <c r="I6" s="34"/>
      <c r="J6" s="45">
        <f t="shared" ref="J6:J27" si="3">IF(E6&gt;D6,0,D6-E6)</f>
        <v>0</v>
      </c>
      <c r="K6" s="46"/>
      <c r="L6" s="47">
        <f t="shared" ref="L6:L27" si="4">IF(E6&gt;D6,IF(F6&gt;H6,0,H6-F6),G6)</f>
        <v>0</v>
      </c>
      <c r="M6" s="46"/>
      <c r="N6" s="48">
        <f t="shared" ref="N6:N27" si="5">IF(E6&gt;D6,IF(F6&gt;H6,F6-H6,0),0)</f>
        <v>8.6600000000000019</v>
      </c>
      <c r="O6" s="46"/>
      <c r="P6" s="49">
        <f t="shared" ref="P6:P27" si="6">IF(E6&gt;D6,IF(F6&gt;H6,G6,E6-H6),0)</f>
        <v>5.7199999999999989</v>
      </c>
      <c r="Q6" s="34"/>
      <c r="R6" s="50">
        <f t="shared" ref="R6:R27" si="7">H6-L6</f>
        <v>14.22</v>
      </c>
      <c r="S6" s="46"/>
      <c r="T6" s="72">
        <f t="shared" ref="T6:T27" si="8">L6+N6+P6</f>
        <v>14.38</v>
      </c>
      <c r="U6" s="51">
        <f t="shared" ref="U6:U27" si="9">J6+L6</f>
        <v>0</v>
      </c>
      <c r="V6" s="37" t="str">
        <f t="shared" ref="V6:V27" si="10">IF(R6+T6=E6,"ok","bad")</f>
        <v>ok</v>
      </c>
      <c r="W6" s="37" t="str">
        <f t="shared" ref="W6:W29" si="11">IF(U6+R6=D6,"ok","bad")</f>
        <v>ok</v>
      </c>
    </row>
    <row r="7" spans="1:23" x14ac:dyDescent="0.25">
      <c r="B7" s="38"/>
      <c r="C7" s="107">
        <v>3</v>
      </c>
      <c r="D7" s="40">
        <v>6.22</v>
      </c>
      <c r="E7" s="41">
        <v>11.7</v>
      </c>
      <c r="F7" s="42">
        <f t="shared" si="0"/>
        <v>9.36</v>
      </c>
      <c r="G7" s="43">
        <f t="shared" si="1"/>
        <v>2.3399999999999994</v>
      </c>
      <c r="H7" s="44">
        <f t="shared" si="2"/>
        <v>6.22</v>
      </c>
      <c r="I7" s="34"/>
      <c r="J7" s="45">
        <f t="shared" si="3"/>
        <v>0</v>
      </c>
      <c r="K7" s="46"/>
      <c r="L7" s="47">
        <f t="shared" si="4"/>
        <v>0</v>
      </c>
      <c r="M7" s="46"/>
      <c r="N7" s="48">
        <f t="shared" si="5"/>
        <v>3.1399999999999997</v>
      </c>
      <c r="O7" s="46"/>
      <c r="P7" s="49">
        <f t="shared" si="6"/>
        <v>2.3399999999999994</v>
      </c>
      <c r="Q7" s="34"/>
      <c r="R7" s="50">
        <f t="shared" si="7"/>
        <v>6.22</v>
      </c>
      <c r="S7" s="46"/>
      <c r="T7" s="72">
        <f t="shared" si="8"/>
        <v>5.4799999999999986</v>
      </c>
      <c r="U7" s="51">
        <f t="shared" si="9"/>
        <v>0</v>
      </c>
      <c r="V7" s="37" t="str">
        <f t="shared" si="10"/>
        <v>ok</v>
      </c>
      <c r="W7" s="37" t="str">
        <f t="shared" si="11"/>
        <v>ok</v>
      </c>
    </row>
    <row r="8" spans="1:23" x14ac:dyDescent="0.25">
      <c r="B8" s="38"/>
      <c r="C8" s="107">
        <v>4</v>
      </c>
      <c r="D8" s="40">
        <v>4.34</v>
      </c>
      <c r="E8" s="41">
        <v>17.55</v>
      </c>
      <c r="F8" s="42">
        <f t="shared" si="0"/>
        <v>14.040000000000001</v>
      </c>
      <c r="G8" s="43">
        <f t="shared" si="1"/>
        <v>3.5099999999999993</v>
      </c>
      <c r="H8" s="44">
        <f t="shared" si="2"/>
        <v>4.34</v>
      </c>
      <c r="I8" s="34"/>
      <c r="J8" s="45">
        <f t="shared" si="3"/>
        <v>0</v>
      </c>
      <c r="K8" s="46"/>
      <c r="L8" s="47">
        <f t="shared" si="4"/>
        <v>0</v>
      </c>
      <c r="M8" s="46"/>
      <c r="N8" s="48">
        <f t="shared" si="5"/>
        <v>9.7000000000000011</v>
      </c>
      <c r="O8" s="46"/>
      <c r="P8" s="49">
        <f t="shared" si="6"/>
        <v>3.5099999999999993</v>
      </c>
      <c r="Q8" s="34"/>
      <c r="R8" s="50">
        <f t="shared" si="7"/>
        <v>4.34</v>
      </c>
      <c r="S8" s="46"/>
      <c r="T8" s="72">
        <f t="shared" si="8"/>
        <v>13.21</v>
      </c>
      <c r="U8" s="51">
        <f t="shared" si="9"/>
        <v>0</v>
      </c>
      <c r="V8" s="37" t="str">
        <f t="shared" si="10"/>
        <v>ok</v>
      </c>
      <c r="W8" s="37" t="str">
        <f t="shared" si="11"/>
        <v>ok</v>
      </c>
    </row>
    <row r="9" spans="1:23" x14ac:dyDescent="0.25">
      <c r="B9" s="38"/>
      <c r="C9" s="107">
        <v>5</v>
      </c>
      <c r="D9" s="40">
        <v>9</v>
      </c>
      <c r="E9" s="41">
        <v>28.6</v>
      </c>
      <c r="F9" s="42">
        <f t="shared" si="0"/>
        <v>22.880000000000003</v>
      </c>
      <c r="G9" s="43">
        <f t="shared" si="1"/>
        <v>5.7199999999999989</v>
      </c>
      <c r="H9" s="44">
        <f t="shared" si="2"/>
        <v>9</v>
      </c>
      <c r="I9" s="34"/>
      <c r="J9" s="45">
        <f t="shared" si="3"/>
        <v>0</v>
      </c>
      <c r="K9" s="46"/>
      <c r="L9" s="47">
        <f t="shared" si="4"/>
        <v>0</v>
      </c>
      <c r="M9" s="46"/>
      <c r="N9" s="48">
        <f t="shared" si="5"/>
        <v>13.880000000000003</v>
      </c>
      <c r="O9" s="46"/>
      <c r="P9" s="49">
        <f t="shared" si="6"/>
        <v>5.7199999999999989</v>
      </c>
      <c r="Q9" s="34"/>
      <c r="R9" s="50">
        <f t="shared" si="7"/>
        <v>9</v>
      </c>
      <c r="S9" s="46"/>
      <c r="T9" s="72">
        <f t="shared" si="8"/>
        <v>19.600000000000001</v>
      </c>
      <c r="U9" s="51">
        <f t="shared" si="9"/>
        <v>0</v>
      </c>
      <c r="V9" s="37" t="str">
        <f t="shared" si="10"/>
        <v>ok</v>
      </c>
      <c r="W9" s="37" t="str">
        <f t="shared" si="11"/>
        <v>ok</v>
      </c>
    </row>
    <row r="10" spans="1:23" x14ac:dyDescent="0.25">
      <c r="B10" s="38"/>
      <c r="C10" s="107">
        <v>6</v>
      </c>
      <c r="D10" s="40">
        <v>28.9</v>
      </c>
      <c r="E10" s="41">
        <v>20</v>
      </c>
      <c r="F10" s="42">
        <f t="shared" si="0"/>
        <v>16</v>
      </c>
      <c r="G10" s="43">
        <f t="shared" si="1"/>
        <v>3.9999999999999991</v>
      </c>
      <c r="H10" s="44">
        <f t="shared" si="2"/>
        <v>20</v>
      </c>
      <c r="I10" s="34"/>
      <c r="J10" s="45">
        <f t="shared" si="3"/>
        <v>8.8999999999999986</v>
      </c>
      <c r="K10" s="46"/>
      <c r="L10" s="47">
        <f t="shared" si="4"/>
        <v>3.9999999999999991</v>
      </c>
      <c r="M10" s="46"/>
      <c r="N10" s="48">
        <f t="shared" si="5"/>
        <v>0</v>
      </c>
      <c r="O10" s="46"/>
      <c r="P10" s="49">
        <f t="shared" si="6"/>
        <v>0</v>
      </c>
      <c r="Q10" s="34"/>
      <c r="R10" s="50">
        <f t="shared" si="7"/>
        <v>16</v>
      </c>
      <c r="S10" s="46"/>
      <c r="T10" s="72">
        <f t="shared" si="8"/>
        <v>3.9999999999999991</v>
      </c>
      <c r="U10" s="51">
        <f t="shared" si="9"/>
        <v>12.899999999999999</v>
      </c>
      <c r="V10" s="37" t="str">
        <f t="shared" si="10"/>
        <v>ok</v>
      </c>
      <c r="W10" s="37" t="str">
        <f t="shared" si="11"/>
        <v>ok</v>
      </c>
    </row>
    <row r="11" spans="1:23" x14ac:dyDescent="0.25">
      <c r="B11" s="38"/>
      <c r="C11" s="107">
        <v>7</v>
      </c>
      <c r="D11" s="40">
        <v>23.44</v>
      </c>
      <c r="E11" s="41">
        <v>20.5</v>
      </c>
      <c r="F11" s="42">
        <f t="shared" si="0"/>
        <v>16.400000000000002</v>
      </c>
      <c r="G11" s="43">
        <f t="shared" si="1"/>
        <v>4.0999999999999988</v>
      </c>
      <c r="H11" s="44">
        <f t="shared" si="2"/>
        <v>20.5</v>
      </c>
      <c r="I11" s="34"/>
      <c r="J11" s="45">
        <f t="shared" si="3"/>
        <v>2.9400000000000013</v>
      </c>
      <c r="K11" s="46"/>
      <c r="L11" s="47">
        <f t="shared" si="4"/>
        <v>4.0999999999999988</v>
      </c>
      <c r="M11" s="46"/>
      <c r="N11" s="48">
        <f t="shared" si="5"/>
        <v>0</v>
      </c>
      <c r="O11" s="46"/>
      <c r="P11" s="49">
        <f t="shared" si="6"/>
        <v>0</v>
      </c>
      <c r="Q11" s="34"/>
      <c r="R11" s="50">
        <f t="shared" si="7"/>
        <v>16.400000000000002</v>
      </c>
      <c r="S11" s="46"/>
      <c r="T11" s="72">
        <f t="shared" si="8"/>
        <v>4.0999999999999988</v>
      </c>
      <c r="U11" s="51">
        <f t="shared" si="9"/>
        <v>7.04</v>
      </c>
      <c r="V11" s="37" t="str">
        <f t="shared" si="10"/>
        <v>ok</v>
      </c>
      <c r="W11" s="37" t="str">
        <f t="shared" si="11"/>
        <v>ok</v>
      </c>
    </row>
    <row r="12" spans="1:23" x14ac:dyDescent="0.25">
      <c r="B12" s="38"/>
      <c r="C12" s="107">
        <v>8</v>
      </c>
      <c r="D12" s="40">
        <v>13.55</v>
      </c>
      <c r="E12" s="41">
        <v>11</v>
      </c>
      <c r="F12" s="42">
        <f t="shared" si="0"/>
        <v>8.8000000000000007</v>
      </c>
      <c r="G12" s="43">
        <f t="shared" si="1"/>
        <v>2.1999999999999993</v>
      </c>
      <c r="H12" s="44">
        <f t="shared" si="2"/>
        <v>11</v>
      </c>
      <c r="I12" s="34"/>
      <c r="J12" s="45">
        <f t="shared" si="3"/>
        <v>2.5500000000000007</v>
      </c>
      <c r="K12" s="46"/>
      <c r="L12" s="47">
        <f t="shared" si="4"/>
        <v>2.1999999999999993</v>
      </c>
      <c r="M12" s="46"/>
      <c r="N12" s="48">
        <f t="shared" si="5"/>
        <v>0</v>
      </c>
      <c r="O12" s="46"/>
      <c r="P12" s="49">
        <f t="shared" si="6"/>
        <v>0</v>
      </c>
      <c r="Q12" s="34"/>
      <c r="R12" s="50">
        <f t="shared" si="7"/>
        <v>8.8000000000000007</v>
      </c>
      <c r="S12" s="46"/>
      <c r="T12" s="72">
        <f t="shared" si="8"/>
        <v>2.1999999999999993</v>
      </c>
      <c r="U12" s="51">
        <f t="shared" si="9"/>
        <v>4.75</v>
      </c>
      <c r="V12" s="37" t="str">
        <f t="shared" si="10"/>
        <v>ok</v>
      </c>
      <c r="W12" s="37" t="str">
        <f t="shared" si="11"/>
        <v>ok</v>
      </c>
    </row>
    <row r="13" spans="1:23" x14ac:dyDescent="0.25">
      <c r="B13" s="38"/>
      <c r="C13" s="107">
        <v>9</v>
      </c>
      <c r="D13" s="40">
        <v>10.94</v>
      </c>
      <c r="E13" s="41">
        <v>14</v>
      </c>
      <c r="F13" s="42">
        <f t="shared" si="0"/>
        <v>11.200000000000001</v>
      </c>
      <c r="G13" s="43">
        <f t="shared" si="1"/>
        <v>2.7999999999999994</v>
      </c>
      <c r="H13" s="44">
        <f t="shared" si="2"/>
        <v>10.94</v>
      </c>
      <c r="I13" s="34"/>
      <c r="J13" s="45">
        <f t="shared" si="3"/>
        <v>0</v>
      </c>
      <c r="K13" s="46"/>
      <c r="L13" s="47">
        <f t="shared" si="4"/>
        <v>0</v>
      </c>
      <c r="M13" s="46"/>
      <c r="N13" s="48">
        <f t="shared" si="5"/>
        <v>0.26000000000000156</v>
      </c>
      <c r="O13" s="46"/>
      <c r="P13" s="49">
        <f t="shared" si="6"/>
        <v>2.7999999999999994</v>
      </c>
      <c r="Q13" s="34"/>
      <c r="R13" s="50">
        <f t="shared" si="7"/>
        <v>10.94</v>
      </c>
      <c r="S13" s="46"/>
      <c r="T13" s="72">
        <f t="shared" si="8"/>
        <v>3.0600000000000009</v>
      </c>
      <c r="U13" s="51">
        <f t="shared" si="9"/>
        <v>0</v>
      </c>
      <c r="V13" s="37" t="str">
        <f t="shared" si="10"/>
        <v>ok</v>
      </c>
      <c r="W13" s="37" t="str">
        <f t="shared" si="11"/>
        <v>ok</v>
      </c>
    </row>
    <row r="14" spans="1:23" x14ac:dyDescent="0.25">
      <c r="B14" s="38"/>
      <c r="C14" s="107">
        <v>10</v>
      </c>
      <c r="D14" s="40">
        <v>20.84</v>
      </c>
      <c r="E14" s="41">
        <v>19</v>
      </c>
      <c r="F14" s="42">
        <f t="shared" si="0"/>
        <v>15.200000000000001</v>
      </c>
      <c r="G14" s="43">
        <f t="shared" si="1"/>
        <v>3.7999999999999989</v>
      </c>
      <c r="H14" s="44">
        <f t="shared" si="2"/>
        <v>19</v>
      </c>
      <c r="I14" s="34"/>
      <c r="J14" s="45">
        <f t="shared" si="3"/>
        <v>1.8399999999999999</v>
      </c>
      <c r="K14" s="46"/>
      <c r="L14" s="47">
        <f t="shared" si="4"/>
        <v>3.7999999999999989</v>
      </c>
      <c r="M14" s="46"/>
      <c r="N14" s="48">
        <f t="shared" si="5"/>
        <v>0</v>
      </c>
      <c r="O14" s="46"/>
      <c r="P14" s="49">
        <f t="shared" si="6"/>
        <v>0</v>
      </c>
      <c r="Q14" s="34"/>
      <c r="R14" s="50">
        <f t="shared" si="7"/>
        <v>15.200000000000001</v>
      </c>
      <c r="S14" s="46"/>
      <c r="T14" s="72">
        <f t="shared" si="8"/>
        <v>3.7999999999999989</v>
      </c>
      <c r="U14" s="51">
        <f t="shared" si="9"/>
        <v>5.6399999999999988</v>
      </c>
      <c r="V14" s="37" t="str">
        <f t="shared" si="10"/>
        <v>ok</v>
      </c>
      <c r="W14" s="37" t="str">
        <f t="shared" si="11"/>
        <v>ok</v>
      </c>
    </row>
    <row r="15" spans="1:23" x14ac:dyDescent="0.25">
      <c r="B15" s="38"/>
      <c r="C15" s="107">
        <v>11</v>
      </c>
      <c r="D15" s="40">
        <v>18.11</v>
      </c>
      <c r="E15" s="41">
        <v>30</v>
      </c>
      <c r="F15" s="42">
        <f t="shared" si="0"/>
        <v>24</v>
      </c>
      <c r="G15" s="43">
        <f t="shared" si="1"/>
        <v>5.9999999999999982</v>
      </c>
      <c r="H15" s="44">
        <f t="shared" si="2"/>
        <v>18.11</v>
      </c>
      <c r="I15" s="34"/>
      <c r="J15" s="45">
        <f t="shared" si="3"/>
        <v>0</v>
      </c>
      <c r="K15" s="46"/>
      <c r="L15" s="47">
        <f t="shared" si="4"/>
        <v>0</v>
      </c>
      <c r="M15" s="46"/>
      <c r="N15" s="48">
        <f t="shared" si="5"/>
        <v>5.8900000000000006</v>
      </c>
      <c r="O15" s="46"/>
      <c r="P15" s="49">
        <f t="shared" si="6"/>
        <v>5.9999999999999982</v>
      </c>
      <c r="Q15" s="34"/>
      <c r="R15" s="50">
        <f t="shared" si="7"/>
        <v>18.11</v>
      </c>
      <c r="S15" s="46"/>
      <c r="T15" s="72">
        <f t="shared" si="8"/>
        <v>11.889999999999999</v>
      </c>
      <c r="U15" s="51">
        <f t="shared" si="9"/>
        <v>0</v>
      </c>
      <c r="V15" s="37" t="str">
        <f t="shared" si="10"/>
        <v>ok</v>
      </c>
      <c r="W15" s="37" t="str">
        <f t="shared" si="11"/>
        <v>ok</v>
      </c>
    </row>
    <row r="16" spans="1:23" x14ac:dyDescent="0.25">
      <c r="B16" s="38"/>
      <c r="C16" s="107">
        <v>12</v>
      </c>
      <c r="D16" s="40">
        <v>14.22</v>
      </c>
      <c r="E16" s="41">
        <v>23</v>
      </c>
      <c r="F16" s="42">
        <f t="shared" si="0"/>
        <v>18.400000000000002</v>
      </c>
      <c r="G16" s="43">
        <f t="shared" si="1"/>
        <v>4.5999999999999988</v>
      </c>
      <c r="H16" s="44">
        <f t="shared" si="2"/>
        <v>14.22</v>
      </c>
      <c r="I16" s="34"/>
      <c r="J16" s="45">
        <f t="shared" si="3"/>
        <v>0</v>
      </c>
      <c r="K16" s="46"/>
      <c r="L16" s="47">
        <f t="shared" si="4"/>
        <v>0</v>
      </c>
      <c r="M16" s="46"/>
      <c r="N16" s="48">
        <f t="shared" si="5"/>
        <v>4.1800000000000015</v>
      </c>
      <c r="O16" s="46"/>
      <c r="P16" s="49">
        <f t="shared" si="6"/>
        <v>4.5999999999999988</v>
      </c>
      <c r="Q16" s="34"/>
      <c r="R16" s="50">
        <f t="shared" si="7"/>
        <v>14.22</v>
      </c>
      <c r="S16" s="46"/>
      <c r="T16" s="72">
        <f t="shared" si="8"/>
        <v>8.7800000000000011</v>
      </c>
      <c r="U16" s="51">
        <f t="shared" si="9"/>
        <v>0</v>
      </c>
      <c r="V16" s="37" t="str">
        <f t="shared" si="10"/>
        <v>ok</v>
      </c>
      <c r="W16" s="37" t="str">
        <f t="shared" si="11"/>
        <v>ok</v>
      </c>
    </row>
    <row r="17" spans="2:23" x14ac:dyDescent="0.25">
      <c r="B17" s="38"/>
      <c r="C17" s="107">
        <v>13</v>
      </c>
      <c r="D17" s="40">
        <v>6.22</v>
      </c>
      <c r="E17" s="41">
        <v>11</v>
      </c>
      <c r="F17" s="42">
        <f t="shared" si="0"/>
        <v>8.8000000000000007</v>
      </c>
      <c r="G17" s="43">
        <f t="shared" si="1"/>
        <v>2.1999999999999993</v>
      </c>
      <c r="H17" s="44">
        <f t="shared" si="2"/>
        <v>6.22</v>
      </c>
      <c r="I17" s="34"/>
      <c r="J17" s="45">
        <f t="shared" si="3"/>
        <v>0</v>
      </c>
      <c r="K17" s="46"/>
      <c r="L17" s="47">
        <f t="shared" si="4"/>
        <v>0</v>
      </c>
      <c r="M17" s="46"/>
      <c r="N17" s="48">
        <f t="shared" si="5"/>
        <v>2.580000000000001</v>
      </c>
      <c r="O17" s="46"/>
      <c r="P17" s="49">
        <f t="shared" si="6"/>
        <v>2.1999999999999993</v>
      </c>
      <c r="Q17" s="34"/>
      <c r="R17" s="50">
        <f t="shared" si="7"/>
        <v>6.22</v>
      </c>
      <c r="S17" s="46"/>
      <c r="T17" s="72">
        <f t="shared" si="8"/>
        <v>4.78</v>
      </c>
      <c r="U17" s="51">
        <f t="shared" si="9"/>
        <v>0</v>
      </c>
      <c r="V17" s="37" t="str">
        <f t="shared" si="10"/>
        <v>ok</v>
      </c>
      <c r="W17" s="37" t="str">
        <f t="shared" si="11"/>
        <v>ok</v>
      </c>
    </row>
    <row r="18" spans="2:23" x14ac:dyDescent="0.25">
      <c r="B18" s="38"/>
      <c r="C18" s="107">
        <v>14</v>
      </c>
      <c r="D18" s="40">
        <v>4.34</v>
      </c>
      <c r="E18" s="41">
        <v>18.5</v>
      </c>
      <c r="F18" s="42">
        <f t="shared" si="0"/>
        <v>14.8</v>
      </c>
      <c r="G18" s="43">
        <f t="shared" si="1"/>
        <v>3.6999999999999993</v>
      </c>
      <c r="H18" s="44">
        <f t="shared" si="2"/>
        <v>4.34</v>
      </c>
      <c r="I18" s="34"/>
      <c r="J18" s="45">
        <f t="shared" si="3"/>
        <v>0</v>
      </c>
      <c r="K18" s="46"/>
      <c r="L18" s="47">
        <f t="shared" si="4"/>
        <v>0</v>
      </c>
      <c r="M18" s="46"/>
      <c r="N18" s="48">
        <f t="shared" si="5"/>
        <v>10.46</v>
      </c>
      <c r="O18" s="46"/>
      <c r="P18" s="49">
        <f t="shared" si="6"/>
        <v>3.6999999999999993</v>
      </c>
      <c r="Q18" s="34"/>
      <c r="R18" s="50">
        <f t="shared" si="7"/>
        <v>4.34</v>
      </c>
      <c r="S18" s="46"/>
      <c r="T18" s="72">
        <f t="shared" si="8"/>
        <v>14.16</v>
      </c>
      <c r="U18" s="51">
        <f t="shared" si="9"/>
        <v>0</v>
      </c>
      <c r="V18" s="37" t="str">
        <f t="shared" si="10"/>
        <v>ok</v>
      </c>
      <c r="W18" s="37" t="str">
        <f t="shared" si="11"/>
        <v>ok</v>
      </c>
    </row>
    <row r="19" spans="2:23" x14ac:dyDescent="0.25">
      <c r="B19" s="38"/>
      <c r="C19" s="107">
        <v>15</v>
      </c>
      <c r="D19" s="40">
        <v>9</v>
      </c>
      <c r="E19" s="41">
        <v>22</v>
      </c>
      <c r="F19" s="42">
        <f t="shared" si="0"/>
        <v>17.600000000000001</v>
      </c>
      <c r="G19" s="43">
        <f t="shared" si="1"/>
        <v>4.3999999999999986</v>
      </c>
      <c r="H19" s="44">
        <f t="shared" si="2"/>
        <v>9</v>
      </c>
      <c r="I19" s="34"/>
      <c r="J19" s="45">
        <f t="shared" si="3"/>
        <v>0</v>
      </c>
      <c r="K19" s="46"/>
      <c r="L19" s="47">
        <f t="shared" si="4"/>
        <v>0</v>
      </c>
      <c r="M19" s="46"/>
      <c r="N19" s="48">
        <f t="shared" si="5"/>
        <v>8.6000000000000014</v>
      </c>
      <c r="O19" s="46"/>
      <c r="P19" s="49">
        <f t="shared" si="6"/>
        <v>4.3999999999999986</v>
      </c>
      <c r="Q19" s="34"/>
      <c r="R19" s="50">
        <f t="shared" si="7"/>
        <v>9</v>
      </c>
      <c r="S19" s="46"/>
      <c r="T19" s="72">
        <f t="shared" si="8"/>
        <v>13</v>
      </c>
      <c r="U19" s="51">
        <f t="shared" si="9"/>
        <v>0</v>
      </c>
      <c r="V19" s="37" t="str">
        <f t="shared" si="10"/>
        <v>ok</v>
      </c>
      <c r="W19" s="37" t="str">
        <f t="shared" si="11"/>
        <v>ok</v>
      </c>
    </row>
    <row r="20" spans="2:23" x14ac:dyDescent="0.25">
      <c r="B20" s="38"/>
      <c r="C20" s="107">
        <v>16</v>
      </c>
      <c r="D20" s="40">
        <v>36.119999999999997</v>
      </c>
      <c r="E20" s="41">
        <v>24.75</v>
      </c>
      <c r="F20" s="42">
        <f t="shared" si="0"/>
        <v>19.8</v>
      </c>
      <c r="G20" s="43">
        <f t="shared" si="1"/>
        <v>4.9499999999999993</v>
      </c>
      <c r="H20" s="44">
        <f t="shared" si="2"/>
        <v>24.75</v>
      </c>
      <c r="I20" s="34"/>
      <c r="J20" s="45">
        <f t="shared" si="3"/>
        <v>11.369999999999997</v>
      </c>
      <c r="K20" s="46"/>
      <c r="L20" s="47">
        <f t="shared" si="4"/>
        <v>4.9499999999999993</v>
      </c>
      <c r="M20" s="46"/>
      <c r="N20" s="48">
        <f t="shared" si="5"/>
        <v>0</v>
      </c>
      <c r="O20" s="46"/>
      <c r="P20" s="49">
        <f t="shared" si="6"/>
        <v>0</v>
      </c>
      <c r="Q20" s="34"/>
      <c r="R20" s="50">
        <f t="shared" si="7"/>
        <v>19.8</v>
      </c>
      <c r="S20" s="46"/>
      <c r="T20" s="72">
        <f t="shared" si="8"/>
        <v>4.9499999999999993</v>
      </c>
      <c r="U20" s="51">
        <f t="shared" si="9"/>
        <v>16.319999999999997</v>
      </c>
      <c r="V20" s="37" t="str">
        <f t="shared" si="10"/>
        <v>ok</v>
      </c>
      <c r="W20" s="37" t="str">
        <f t="shared" si="11"/>
        <v>ok</v>
      </c>
    </row>
    <row r="21" spans="2:23" x14ac:dyDescent="0.25">
      <c r="B21" s="38"/>
      <c r="C21" s="107">
        <v>17</v>
      </c>
      <c r="D21" s="40">
        <v>29.4</v>
      </c>
      <c r="E21" s="41">
        <v>15.68</v>
      </c>
      <c r="F21" s="42">
        <f t="shared" si="0"/>
        <v>12.544</v>
      </c>
      <c r="G21" s="43">
        <f t="shared" si="1"/>
        <v>3.1359999999999992</v>
      </c>
      <c r="H21" s="44">
        <f t="shared" si="2"/>
        <v>15.68</v>
      </c>
      <c r="I21" s="34"/>
      <c r="J21" s="45">
        <f t="shared" si="3"/>
        <v>13.719999999999999</v>
      </c>
      <c r="K21" s="46"/>
      <c r="L21" s="47">
        <f t="shared" si="4"/>
        <v>3.1359999999999992</v>
      </c>
      <c r="M21" s="46"/>
      <c r="N21" s="48">
        <f t="shared" si="5"/>
        <v>0</v>
      </c>
      <c r="O21" s="46"/>
      <c r="P21" s="49">
        <f t="shared" si="6"/>
        <v>0</v>
      </c>
      <c r="Q21" s="34"/>
      <c r="R21" s="50">
        <f t="shared" si="7"/>
        <v>12.544</v>
      </c>
      <c r="S21" s="46"/>
      <c r="T21" s="72">
        <f t="shared" si="8"/>
        <v>3.1359999999999992</v>
      </c>
      <c r="U21" s="51">
        <f t="shared" si="9"/>
        <v>16.855999999999998</v>
      </c>
      <c r="V21" s="37" t="str">
        <f t="shared" si="10"/>
        <v>ok</v>
      </c>
      <c r="W21" s="37" t="str">
        <f t="shared" si="11"/>
        <v>ok</v>
      </c>
    </row>
    <row r="22" spans="2:23" x14ac:dyDescent="0.25">
      <c r="B22" s="38"/>
      <c r="C22" s="107">
        <v>18</v>
      </c>
      <c r="D22" s="40">
        <v>16.940000000000001</v>
      </c>
      <c r="E22" s="41">
        <v>7.43</v>
      </c>
      <c r="F22" s="42">
        <f t="shared" si="0"/>
        <v>5.944</v>
      </c>
      <c r="G22" s="43">
        <f t="shared" si="1"/>
        <v>1.4859999999999995</v>
      </c>
      <c r="H22" s="44">
        <f t="shared" si="2"/>
        <v>7.43</v>
      </c>
      <c r="I22" s="34"/>
      <c r="J22" s="45">
        <f t="shared" si="3"/>
        <v>9.5100000000000016</v>
      </c>
      <c r="K22" s="46"/>
      <c r="L22" s="47">
        <f t="shared" si="4"/>
        <v>1.4859999999999995</v>
      </c>
      <c r="M22" s="46"/>
      <c r="N22" s="48">
        <f t="shared" si="5"/>
        <v>0</v>
      </c>
      <c r="O22" s="46"/>
      <c r="P22" s="49">
        <f t="shared" si="6"/>
        <v>0</v>
      </c>
      <c r="Q22" s="34"/>
      <c r="R22" s="50">
        <f t="shared" si="7"/>
        <v>5.944</v>
      </c>
      <c r="S22" s="46"/>
      <c r="T22" s="72">
        <f t="shared" si="8"/>
        <v>1.4859999999999995</v>
      </c>
      <c r="U22" s="51">
        <f t="shared" si="9"/>
        <v>10.996</v>
      </c>
      <c r="V22" s="37" t="str">
        <f t="shared" si="10"/>
        <v>ok</v>
      </c>
      <c r="W22" s="37" t="str">
        <f t="shared" si="11"/>
        <v>ok</v>
      </c>
    </row>
    <row r="23" spans="2:23" x14ac:dyDescent="0.25">
      <c r="B23" s="38"/>
      <c r="C23" s="107">
        <v>19</v>
      </c>
      <c r="D23" s="40">
        <v>13.87</v>
      </c>
      <c r="E23" s="41">
        <v>9.9</v>
      </c>
      <c r="F23" s="42">
        <f t="shared" si="0"/>
        <v>7.9200000000000008</v>
      </c>
      <c r="G23" s="43">
        <f t="shared" si="1"/>
        <v>1.9799999999999995</v>
      </c>
      <c r="H23" s="44">
        <f t="shared" si="2"/>
        <v>9.9</v>
      </c>
      <c r="I23" s="34"/>
      <c r="J23" s="45">
        <f t="shared" si="3"/>
        <v>3.9699999999999989</v>
      </c>
      <c r="K23" s="46"/>
      <c r="L23" s="47">
        <f t="shared" si="4"/>
        <v>1.9799999999999995</v>
      </c>
      <c r="M23" s="46"/>
      <c r="N23" s="48">
        <f t="shared" si="5"/>
        <v>0</v>
      </c>
      <c r="O23" s="46"/>
      <c r="P23" s="49">
        <f t="shared" si="6"/>
        <v>0</v>
      </c>
      <c r="Q23" s="34"/>
      <c r="R23" s="50">
        <f t="shared" si="7"/>
        <v>7.9200000000000008</v>
      </c>
      <c r="S23" s="46"/>
      <c r="T23" s="72">
        <f t="shared" si="8"/>
        <v>1.9799999999999995</v>
      </c>
      <c r="U23" s="51">
        <f t="shared" si="9"/>
        <v>5.9499999999999984</v>
      </c>
      <c r="V23" s="37" t="str">
        <f t="shared" si="10"/>
        <v>ok</v>
      </c>
      <c r="W23" s="37" t="str">
        <f t="shared" si="11"/>
        <v>ok</v>
      </c>
    </row>
    <row r="24" spans="2:23" x14ac:dyDescent="0.25">
      <c r="B24" s="38"/>
      <c r="C24" s="107">
        <v>20</v>
      </c>
      <c r="D24" s="40">
        <v>26.05</v>
      </c>
      <c r="E24" s="41">
        <v>15.68</v>
      </c>
      <c r="F24" s="42">
        <f t="shared" si="0"/>
        <v>12.544</v>
      </c>
      <c r="G24" s="43">
        <f t="shared" si="1"/>
        <v>3.1359999999999992</v>
      </c>
      <c r="H24" s="44">
        <f t="shared" si="2"/>
        <v>15.68</v>
      </c>
      <c r="I24" s="34"/>
      <c r="J24" s="45">
        <f t="shared" si="3"/>
        <v>10.370000000000001</v>
      </c>
      <c r="K24" s="46"/>
      <c r="L24" s="47">
        <f t="shared" si="4"/>
        <v>3.1359999999999992</v>
      </c>
      <c r="M24" s="46"/>
      <c r="N24" s="48">
        <f t="shared" si="5"/>
        <v>0</v>
      </c>
      <c r="O24" s="46"/>
      <c r="P24" s="49">
        <f t="shared" si="6"/>
        <v>0</v>
      </c>
      <c r="Q24" s="34"/>
      <c r="R24" s="50">
        <f t="shared" si="7"/>
        <v>12.544</v>
      </c>
      <c r="S24" s="46"/>
      <c r="T24" s="72">
        <f t="shared" si="8"/>
        <v>3.1359999999999992</v>
      </c>
      <c r="U24" s="51">
        <f t="shared" si="9"/>
        <v>13.506</v>
      </c>
      <c r="V24" s="37" t="str">
        <f t="shared" si="10"/>
        <v>ok</v>
      </c>
      <c r="W24" s="37" t="str">
        <f t="shared" si="11"/>
        <v>ok</v>
      </c>
    </row>
    <row r="25" spans="2:23" x14ac:dyDescent="0.25">
      <c r="B25" s="38"/>
      <c r="C25" s="107">
        <v>21</v>
      </c>
      <c r="D25" s="40">
        <v>43.34</v>
      </c>
      <c r="E25" s="41">
        <v>30</v>
      </c>
      <c r="F25" s="42">
        <f t="shared" si="0"/>
        <v>24</v>
      </c>
      <c r="G25" s="43">
        <f t="shared" si="1"/>
        <v>5.9999999999999982</v>
      </c>
      <c r="H25" s="44">
        <f t="shared" si="2"/>
        <v>30</v>
      </c>
      <c r="I25" s="34"/>
      <c r="J25" s="45">
        <f t="shared" si="3"/>
        <v>13.340000000000003</v>
      </c>
      <c r="K25" s="46"/>
      <c r="L25" s="47">
        <f t="shared" si="4"/>
        <v>5.9999999999999982</v>
      </c>
      <c r="M25" s="46"/>
      <c r="N25" s="48">
        <f t="shared" si="5"/>
        <v>0</v>
      </c>
      <c r="O25" s="46"/>
      <c r="P25" s="49">
        <f t="shared" si="6"/>
        <v>0</v>
      </c>
      <c r="Q25" s="34"/>
      <c r="R25" s="50">
        <f t="shared" si="7"/>
        <v>24</v>
      </c>
      <c r="S25" s="46"/>
      <c r="T25" s="72">
        <f t="shared" si="8"/>
        <v>5.9999999999999982</v>
      </c>
      <c r="U25" s="51">
        <f t="shared" si="9"/>
        <v>19.340000000000003</v>
      </c>
      <c r="V25" s="37" t="str">
        <f t="shared" si="10"/>
        <v>ok</v>
      </c>
      <c r="W25" s="37" t="str">
        <f t="shared" si="11"/>
        <v>ok</v>
      </c>
    </row>
    <row r="26" spans="2:23" x14ac:dyDescent="0.25">
      <c r="B26" s="38"/>
      <c r="C26" s="107">
        <v>22</v>
      </c>
      <c r="D26" s="40">
        <v>35.159999999999997</v>
      </c>
      <c r="E26" s="41">
        <v>21</v>
      </c>
      <c r="F26" s="42">
        <f t="shared" si="0"/>
        <v>16.8</v>
      </c>
      <c r="G26" s="43">
        <f t="shared" si="1"/>
        <v>4.1999999999999993</v>
      </c>
      <c r="H26" s="44">
        <f t="shared" si="2"/>
        <v>21</v>
      </c>
      <c r="I26" s="34"/>
      <c r="J26" s="45">
        <f t="shared" si="3"/>
        <v>14.159999999999997</v>
      </c>
      <c r="K26" s="46"/>
      <c r="L26" s="47">
        <f t="shared" si="4"/>
        <v>4.1999999999999993</v>
      </c>
      <c r="M26" s="46"/>
      <c r="N26" s="48">
        <f t="shared" si="5"/>
        <v>0</v>
      </c>
      <c r="O26" s="46"/>
      <c r="P26" s="49">
        <f t="shared" si="6"/>
        <v>0</v>
      </c>
      <c r="Q26" s="34"/>
      <c r="R26" s="50">
        <f t="shared" si="7"/>
        <v>16.8</v>
      </c>
      <c r="S26" s="46"/>
      <c r="T26" s="72">
        <f t="shared" si="8"/>
        <v>4.1999999999999993</v>
      </c>
      <c r="U26" s="51">
        <f t="shared" si="9"/>
        <v>18.359999999999996</v>
      </c>
      <c r="V26" s="37" t="str">
        <f t="shared" si="10"/>
        <v>ok</v>
      </c>
      <c r="W26" s="37" t="str">
        <f t="shared" si="11"/>
        <v>ok</v>
      </c>
    </row>
    <row r="27" spans="2:23" x14ac:dyDescent="0.25">
      <c r="B27" s="38"/>
      <c r="C27" s="107">
        <v>23</v>
      </c>
      <c r="D27" s="40">
        <v>20.329999999999998</v>
      </c>
      <c r="E27" s="41">
        <v>10</v>
      </c>
      <c r="F27" s="42">
        <f t="shared" si="0"/>
        <v>8</v>
      </c>
      <c r="G27" s="43">
        <f t="shared" si="1"/>
        <v>1.9999999999999996</v>
      </c>
      <c r="H27" s="44">
        <f t="shared" si="2"/>
        <v>10</v>
      </c>
      <c r="I27" s="34"/>
      <c r="J27" s="45">
        <f t="shared" si="3"/>
        <v>10.329999999999998</v>
      </c>
      <c r="K27" s="46"/>
      <c r="L27" s="47">
        <f t="shared" si="4"/>
        <v>1.9999999999999996</v>
      </c>
      <c r="M27" s="46"/>
      <c r="N27" s="48">
        <f t="shared" si="5"/>
        <v>0</v>
      </c>
      <c r="O27" s="46"/>
      <c r="P27" s="49">
        <f t="shared" si="6"/>
        <v>0</v>
      </c>
      <c r="Q27" s="34"/>
      <c r="R27" s="50">
        <f t="shared" si="7"/>
        <v>8</v>
      </c>
      <c r="S27" s="46"/>
      <c r="T27" s="72">
        <f t="shared" si="8"/>
        <v>1.9999999999999996</v>
      </c>
      <c r="U27" s="51">
        <f t="shared" si="9"/>
        <v>12.329999999999998</v>
      </c>
      <c r="V27" s="37" t="str">
        <f t="shared" si="10"/>
        <v>ok</v>
      </c>
      <c r="W27" s="37" t="str">
        <f t="shared" si="11"/>
        <v>ok</v>
      </c>
    </row>
    <row r="28" spans="2:23" ht="3.75" customHeight="1" x14ac:dyDescent="0.2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5"/>
      <c r="Q28" s="34"/>
      <c r="R28" s="36"/>
      <c r="S28" s="34"/>
      <c r="T28" s="34"/>
      <c r="U28" s="34"/>
      <c r="V28" s="37"/>
      <c r="W28" s="37"/>
    </row>
    <row r="29" spans="2:23" ht="15.75" thickBot="1" x14ac:dyDescent="0.3">
      <c r="B29" s="56" t="s">
        <v>53</v>
      </c>
      <c r="C29" s="57"/>
      <c r="D29" s="58">
        <f>SUM(D5:D27)</f>
        <v>422.66</v>
      </c>
      <c r="E29" s="59">
        <f>SUM(E5:E27)</f>
        <v>448.89</v>
      </c>
      <c r="F29" s="60">
        <f>SUM(F5:F27)</f>
        <v>359.11200000000002</v>
      </c>
      <c r="G29" s="61">
        <f>SUM(G5:G27)</f>
        <v>89.777999999999977</v>
      </c>
      <c r="H29" s="62">
        <f>SUM(H5:H27)</f>
        <v>319.66000000000003</v>
      </c>
      <c r="I29" s="63"/>
      <c r="J29" s="64">
        <f>SUM(J5:J27)</f>
        <v>103</v>
      </c>
      <c r="K29" s="65"/>
      <c r="L29" s="66">
        <f>SUM(L5:L27)</f>
        <v>40.988</v>
      </c>
      <c r="M29" s="65"/>
      <c r="N29" s="67">
        <f>SUM(N5:N27)</f>
        <v>80.440000000000026</v>
      </c>
      <c r="O29" s="65"/>
      <c r="P29" s="68">
        <f>SUM(P5:P27)</f>
        <v>48.79</v>
      </c>
      <c r="Q29" s="63"/>
      <c r="R29" s="69">
        <f>SUM(R5:R27)</f>
        <v>278.67200000000003</v>
      </c>
      <c r="S29" s="65"/>
      <c r="T29" s="72">
        <f>SUM(T5:T27)</f>
        <v>170.21799999999996</v>
      </c>
      <c r="U29" s="51">
        <f>SUM(U5:U27)</f>
        <v>143.988</v>
      </c>
      <c r="V29" s="37" t="str">
        <f t="shared" ref="V29" si="12">IF(R29+T29=E29,"ok","bad")</f>
        <v>ok</v>
      </c>
      <c r="W29" s="37" t="str">
        <f t="shared" si="11"/>
        <v>ok</v>
      </c>
    </row>
    <row r="30" spans="2:23" x14ac:dyDescent="0.25">
      <c r="B30" s="73" t="s">
        <v>54</v>
      </c>
      <c r="C30" s="73"/>
      <c r="D30" s="74">
        <f>AVERAGE(D5:D27)</f>
        <v>18.376521739130435</v>
      </c>
      <c r="E30" s="74">
        <f>AVERAGE(E5:E27)</f>
        <v>19.516956521739129</v>
      </c>
      <c r="F30" s="74">
        <f>AVERAGE(F5:F27)</f>
        <v>15.613565217391306</v>
      </c>
      <c r="G30" s="74">
        <f>AVERAGE(G5:G27)</f>
        <v>3.9033913043478252</v>
      </c>
      <c r="H30" s="74">
        <f>AVERAGE(H5:H27)</f>
        <v>13.898260869565219</v>
      </c>
      <c r="I30" s="74"/>
      <c r="J30" s="74">
        <f>AVERAGE(J5:J27)</f>
        <v>4.4782608695652177</v>
      </c>
      <c r="K30" s="74"/>
      <c r="L30" s="74">
        <f>AVERAGE(L5:L27)</f>
        <v>1.7820869565217392</v>
      </c>
      <c r="M30" s="74"/>
      <c r="N30" s="74">
        <f>AVERAGE(N5:N27)</f>
        <v>3.4973913043478273</v>
      </c>
      <c r="O30" s="74"/>
      <c r="P30" s="74">
        <f>AVERAGE(P5:P27)</f>
        <v>2.1213043478260869</v>
      </c>
      <c r="Q30" s="74"/>
      <c r="R30" s="74">
        <f>AVERAGE(R5:R27)</f>
        <v>12.116173913043479</v>
      </c>
      <c r="S30" s="74"/>
      <c r="T30" s="74">
        <f>AVERAGE(T5:T27)</f>
        <v>7.4007826086956507</v>
      </c>
      <c r="U30" s="74">
        <f>AVERAGE(U5:U27)</f>
        <v>6.2603478260869565</v>
      </c>
      <c r="V30" s="73"/>
      <c r="W30" s="73"/>
    </row>
    <row r="34" spans="2:7" ht="15.75" thickBot="1" x14ac:dyDescent="0.3"/>
    <row r="35" spans="2:7" ht="26.25" thickBot="1" x14ac:dyDescent="0.3">
      <c r="B35" s="160"/>
      <c r="C35" s="161"/>
      <c r="D35" s="169" t="s">
        <v>86</v>
      </c>
      <c r="E35" s="169" t="s">
        <v>101</v>
      </c>
      <c r="F35" s="170" t="s">
        <v>87</v>
      </c>
      <c r="G35" s="171" t="s">
        <v>102</v>
      </c>
    </row>
    <row r="36" spans="2:7" ht="4.5" customHeight="1" thickBot="1" x14ac:dyDescent="0.3">
      <c r="B36" s="162"/>
      <c r="C36" s="159"/>
      <c r="D36" s="166"/>
      <c r="E36" s="166"/>
      <c r="F36" s="166"/>
      <c r="G36" s="172"/>
    </row>
    <row r="37" spans="2:7" x14ac:dyDescent="0.25">
      <c r="B37" s="163" t="s">
        <v>74</v>
      </c>
      <c r="C37" s="129">
        <v>1</v>
      </c>
      <c r="D37" s="167">
        <v>0.27200000000000002</v>
      </c>
      <c r="E37" s="242">
        <f>AVERAGE(D71:D93)</f>
        <v>4.9984139130434775</v>
      </c>
      <c r="F37" s="168">
        <v>1.0249999999999999</v>
      </c>
      <c r="G37" s="244">
        <f>AVERAGE(E71:E93)</f>
        <v>20.004880434782603</v>
      </c>
    </row>
    <row r="38" spans="2:7" x14ac:dyDescent="0.25">
      <c r="B38" s="163" t="s">
        <v>75</v>
      </c>
      <c r="C38" s="129">
        <v>2</v>
      </c>
      <c r="D38" s="167">
        <v>0.46300000000000002</v>
      </c>
      <c r="E38" s="242">
        <f>AVERAGE(D94:D113)</f>
        <v>7.4966644999999996</v>
      </c>
      <c r="F38" s="168">
        <v>0.72199999999999998</v>
      </c>
      <c r="G38" s="244">
        <f>AVERAGE(E94:E113)</f>
        <v>14.002829</v>
      </c>
    </row>
    <row r="39" spans="2:7" x14ac:dyDescent="0.25">
      <c r="B39" s="163" t="s">
        <v>76</v>
      </c>
      <c r="C39" s="129">
        <v>3</v>
      </c>
      <c r="D39" s="167">
        <v>0.54700000000000004</v>
      </c>
      <c r="E39" s="242">
        <f>AVERAGE(D114:D135)</f>
        <v>10.00338681818182</v>
      </c>
      <c r="F39" s="168">
        <v>0.42599999999999999</v>
      </c>
      <c r="G39" s="244">
        <f>AVERAGE(E114:E135)</f>
        <v>8.4985063636363645</v>
      </c>
    </row>
    <row r="40" spans="2:7" x14ac:dyDescent="0.25">
      <c r="B40" s="163" t="s">
        <v>77</v>
      </c>
      <c r="C40" s="129">
        <v>4</v>
      </c>
      <c r="D40" s="167">
        <v>0.85799999999999998</v>
      </c>
      <c r="E40" s="242">
        <f>AVERAGE(D136:D156)</f>
        <v>15.001517142857145</v>
      </c>
      <c r="F40" s="168">
        <v>0.35199999999999998</v>
      </c>
      <c r="G40" s="244">
        <f>AVERAGE(E136:E156)</f>
        <v>7.0046323809523816</v>
      </c>
    </row>
    <row r="41" spans="2:7" x14ac:dyDescent="0.25">
      <c r="B41" s="163" t="s">
        <v>78</v>
      </c>
      <c r="C41" s="129">
        <v>5</v>
      </c>
      <c r="D41" s="167">
        <v>1.0885</v>
      </c>
      <c r="E41" s="242">
        <f>AVERAGE(D157:D179)</f>
        <v>20.002843913043474</v>
      </c>
      <c r="F41" s="168">
        <v>0.25600000000000001</v>
      </c>
      <c r="G41" s="244">
        <f>AVERAGE(E157:E179)</f>
        <v>4.9963408695652189</v>
      </c>
    </row>
    <row r="42" spans="2:7" x14ac:dyDescent="0.25">
      <c r="B42" s="163" t="s">
        <v>79</v>
      </c>
      <c r="C42" s="129">
        <v>6</v>
      </c>
      <c r="D42" s="167">
        <v>0.57199999999999995</v>
      </c>
      <c r="E42" s="242">
        <f>AVERAGE(D180:D200)</f>
        <v>10.001011428571427</v>
      </c>
      <c r="F42" s="168">
        <v>0.45250000000000001</v>
      </c>
      <c r="G42" s="244">
        <f>AVERAGE(E180:E200)</f>
        <v>9.0045345238095251</v>
      </c>
    </row>
    <row r="43" spans="2:7" x14ac:dyDescent="0.25">
      <c r="B43" s="163" t="s">
        <v>80</v>
      </c>
      <c r="C43" s="129">
        <v>7</v>
      </c>
      <c r="D43" s="167">
        <v>0.2732</v>
      </c>
      <c r="E43" s="242">
        <f>AVERAGE(D201:D222)</f>
        <v>4.9962070909090892</v>
      </c>
      <c r="F43" s="168">
        <v>0.50149999999999995</v>
      </c>
      <c r="G43" s="244">
        <f>AVERAGE(E201:E222)</f>
        <v>10.004697045454543</v>
      </c>
    </row>
    <row r="44" spans="2:7" x14ac:dyDescent="0.25">
      <c r="B44" s="163" t="s">
        <v>81</v>
      </c>
      <c r="C44" s="129">
        <v>8</v>
      </c>
      <c r="D44" s="167">
        <v>0.27200000000000002</v>
      </c>
      <c r="E44" s="242">
        <f>AVERAGE(D223:D245)</f>
        <v>4.9984139130434775</v>
      </c>
      <c r="F44" s="168">
        <v>0.6915</v>
      </c>
      <c r="G44" s="244">
        <f>AVERAGE(E223:E245)</f>
        <v>13.49597543478261</v>
      </c>
    </row>
    <row r="45" spans="2:7" x14ac:dyDescent="0.25">
      <c r="B45" s="163" t="s">
        <v>82</v>
      </c>
      <c r="C45" s="129">
        <v>9</v>
      </c>
      <c r="D45" s="167">
        <v>0.61750000000000005</v>
      </c>
      <c r="E45" s="242">
        <f>AVERAGE(D246:D265)</f>
        <v>9.9982512500000009</v>
      </c>
      <c r="F45" s="168">
        <v>0.64449999999999996</v>
      </c>
      <c r="G45" s="244">
        <f>AVERAGE(E246:E265)</f>
        <v>12.49975525</v>
      </c>
    </row>
    <row r="46" spans="2:7" x14ac:dyDescent="0.25">
      <c r="B46" s="163" t="s">
        <v>83</v>
      </c>
      <c r="C46" s="129">
        <v>10</v>
      </c>
      <c r="D46" s="167">
        <v>0.46250000000000002</v>
      </c>
      <c r="E46" s="242">
        <f>AVERAGE(D266:D288)</f>
        <v>8.4991413043478268</v>
      </c>
      <c r="F46" s="168">
        <v>0.51249999999999996</v>
      </c>
      <c r="G46" s="244">
        <f>AVERAGE(E266:E288)</f>
        <v>10.002440217391301</v>
      </c>
    </row>
    <row r="47" spans="2:7" x14ac:dyDescent="0.25">
      <c r="B47" s="163" t="s">
        <v>84</v>
      </c>
      <c r="C47" s="129">
        <v>11</v>
      </c>
      <c r="D47" s="167">
        <v>0.38300000000000001</v>
      </c>
      <c r="E47" s="242">
        <f>AVERAGE(D289:D310)</f>
        <v>7.0041995454545463</v>
      </c>
      <c r="F47" s="168">
        <v>0.752</v>
      </c>
      <c r="G47" s="244">
        <f>AVERAGE(E289:E310)</f>
        <v>15.002058181818178</v>
      </c>
    </row>
    <row r="48" spans="2:7" ht="15.75" thickBot="1" x14ac:dyDescent="0.3">
      <c r="B48" s="164" t="s">
        <v>85</v>
      </c>
      <c r="C48" s="165">
        <v>12</v>
      </c>
      <c r="D48" s="173">
        <v>0.28599999999999998</v>
      </c>
      <c r="E48" s="243">
        <f>AVERAGE(D311:D331)</f>
        <v>5.0005057142857137</v>
      </c>
      <c r="F48" s="174">
        <v>1.0049999999999999</v>
      </c>
      <c r="G48" s="245">
        <f>AVERAGE(E311:E331)</f>
        <v>19.999021428571425</v>
      </c>
    </row>
    <row r="68" spans="1:23" ht="15.75" thickBot="1" x14ac:dyDescent="0.3"/>
    <row r="69" spans="1:23" ht="51.75" thickBot="1" x14ac:dyDescent="0.3">
      <c r="A69" s="175">
        <v>2018</v>
      </c>
      <c r="B69" s="216"/>
      <c r="C69" s="217"/>
      <c r="D69" s="218" t="s">
        <v>40</v>
      </c>
      <c r="E69" s="219" t="s">
        <v>41</v>
      </c>
      <c r="F69" s="220" t="s">
        <v>42</v>
      </c>
      <c r="G69" s="221" t="s">
        <v>43</v>
      </c>
      <c r="H69" s="222" t="s">
        <v>44</v>
      </c>
      <c r="I69" s="223"/>
      <c r="J69" s="224" t="s">
        <v>45</v>
      </c>
      <c r="K69" s="225"/>
      <c r="L69" s="226" t="s">
        <v>46</v>
      </c>
      <c r="M69" s="225"/>
      <c r="N69" s="227" t="s">
        <v>47</v>
      </c>
      <c r="O69" s="225"/>
      <c r="P69" s="228" t="s">
        <v>48</v>
      </c>
      <c r="Q69" s="223"/>
      <c r="R69" s="229" t="s">
        <v>49</v>
      </c>
      <c r="S69" s="225"/>
      <c r="T69" s="230" t="s">
        <v>50</v>
      </c>
      <c r="U69" s="231" t="s">
        <v>51</v>
      </c>
      <c r="V69" s="32" t="s">
        <v>52</v>
      </c>
      <c r="W69" s="32"/>
    </row>
    <row r="70" spans="1:23" ht="3" customHeight="1" thickBot="1" x14ac:dyDescent="0.3">
      <c r="A70" s="37"/>
      <c r="B70" s="232"/>
      <c r="C70" s="233"/>
      <c r="D70" s="234"/>
      <c r="E70" s="234"/>
      <c r="F70" s="234"/>
      <c r="G70" s="234"/>
      <c r="H70" s="233"/>
      <c r="I70" s="233"/>
      <c r="J70" s="233"/>
      <c r="K70" s="233"/>
      <c r="L70" s="233"/>
      <c r="M70" s="233"/>
      <c r="N70" s="233"/>
      <c r="O70" s="233"/>
      <c r="P70" s="233"/>
      <c r="Q70" s="233"/>
      <c r="R70" s="235"/>
      <c r="S70" s="233"/>
      <c r="T70" s="233"/>
      <c r="U70" s="236"/>
      <c r="V70" s="37"/>
      <c r="W70" s="37"/>
    </row>
    <row r="71" spans="1:23" x14ac:dyDescent="0.25">
      <c r="A71" s="422" t="s">
        <v>89</v>
      </c>
      <c r="B71" s="182" t="s">
        <v>19</v>
      </c>
      <c r="C71" s="183">
        <v>1</v>
      </c>
      <c r="D71" s="184">
        <f>DMG_1*CMD_1</f>
        <v>4.9259200000000005</v>
      </c>
      <c r="E71" s="185">
        <f>OMG_1*CMO_1</f>
        <v>39.974999999999994</v>
      </c>
      <c r="F71" s="186">
        <f t="shared" ref="F71:F93" si="13">E71*TC</f>
        <v>31.979999999999997</v>
      </c>
      <c r="G71" s="187">
        <f t="shared" ref="G71:G93" si="14">E71*(1-TC)</f>
        <v>7.9949999999999974</v>
      </c>
      <c r="H71" s="188">
        <f>IF(E71&gt;D71,D71,E71)</f>
        <v>4.9259200000000005</v>
      </c>
      <c r="I71" s="189"/>
      <c r="J71" s="190">
        <f>IF(E71&gt;D71,0,D71-E71)</f>
        <v>0</v>
      </c>
      <c r="K71" s="191"/>
      <c r="L71" s="192">
        <f>IF(E71&gt;D71,IF(F71&gt;H71,0,H71-F71),G71)</f>
        <v>0</v>
      </c>
      <c r="M71" s="191"/>
      <c r="N71" s="193">
        <f>IF(E71&gt;D71,IF(F71&gt;H71,F71-H71,0),0)</f>
        <v>27.054079999999995</v>
      </c>
      <c r="O71" s="191"/>
      <c r="P71" s="194">
        <f>IF(E71&gt;D71,IF(F71&gt;H71,G71,E71-H71),0)</f>
        <v>7.9949999999999974</v>
      </c>
      <c r="Q71" s="189"/>
      <c r="R71" s="195">
        <f>H71-L71</f>
        <v>4.9259200000000005</v>
      </c>
      <c r="S71" s="191"/>
      <c r="T71" s="196">
        <f>L71+N71+P71</f>
        <v>35.049079999999989</v>
      </c>
      <c r="U71" s="197">
        <f>J71+L71</f>
        <v>0</v>
      </c>
      <c r="V71" s="37" t="str">
        <f>IF(R71+T71=E71,"ok","bad")</f>
        <v>ok</v>
      </c>
      <c r="W71" s="37" t="str">
        <f>IF(U71+R71=D71,"ok","bad")</f>
        <v>ok</v>
      </c>
    </row>
    <row r="72" spans="1:23" x14ac:dyDescent="0.25">
      <c r="A72" s="423"/>
      <c r="B72" s="198" t="s">
        <v>20</v>
      </c>
      <c r="C72" s="179">
        <v>2</v>
      </c>
      <c r="D72" s="130">
        <f>DMG_2*CMD_1</f>
        <v>3.8678400000000006</v>
      </c>
      <c r="E72" s="131">
        <f>OMG_2*CMO_1</f>
        <v>29.314999999999998</v>
      </c>
      <c r="F72" s="132">
        <f t="shared" si="13"/>
        <v>23.451999999999998</v>
      </c>
      <c r="G72" s="133">
        <f t="shared" si="14"/>
        <v>5.8629999999999987</v>
      </c>
      <c r="H72" s="134">
        <f t="shared" ref="H72:H93" si="15">IF(E72&gt;D72,D72,E72)</f>
        <v>3.8678400000000006</v>
      </c>
      <c r="I72" s="135"/>
      <c r="J72" s="136">
        <f t="shared" ref="J72:J93" si="16">IF(E72&gt;D72,0,D72-E72)</f>
        <v>0</v>
      </c>
      <c r="K72" s="137"/>
      <c r="L72" s="138">
        <f t="shared" ref="L72:L93" si="17">IF(E72&gt;D72,IF(F72&gt;H72,0,H72-F72),G72)</f>
        <v>0</v>
      </c>
      <c r="M72" s="137"/>
      <c r="N72" s="139">
        <f t="shared" ref="N72:N93" si="18">IF(E72&gt;D72,IF(F72&gt;H72,F72-H72,0),0)</f>
        <v>19.584159999999997</v>
      </c>
      <c r="O72" s="137"/>
      <c r="P72" s="140">
        <f t="shared" ref="P72:P93" si="19">IF(E72&gt;D72,IF(F72&gt;H72,G72,E72-H72),0)</f>
        <v>5.8629999999999987</v>
      </c>
      <c r="Q72" s="135"/>
      <c r="R72" s="104">
        <f t="shared" ref="R72:R93" si="20">H72-L72</f>
        <v>3.8678400000000006</v>
      </c>
      <c r="S72" s="137"/>
      <c r="T72" s="141">
        <f t="shared" ref="T72:T93" si="21">L72+N72+P72</f>
        <v>25.447159999999997</v>
      </c>
      <c r="U72" s="199">
        <f t="shared" ref="U72:U93" si="22">J72+L72</f>
        <v>0</v>
      </c>
      <c r="V72" s="37" t="str">
        <f t="shared" ref="V72:V93" si="23">IF(R72+T72=E72,"ok","bad")</f>
        <v>ok</v>
      </c>
      <c r="W72" s="37" t="str">
        <f t="shared" ref="W72:W93" si="24">IF(U72+R72=D72,"ok","bad")</f>
        <v>ok</v>
      </c>
    </row>
    <row r="73" spans="1:23" x14ac:dyDescent="0.25">
      <c r="A73" s="423"/>
      <c r="B73" s="198" t="s">
        <v>21</v>
      </c>
      <c r="C73" s="179">
        <v>3</v>
      </c>
      <c r="D73" s="130">
        <f>DMG_3*CMD_1</f>
        <v>1.69184</v>
      </c>
      <c r="E73" s="131">
        <f>OMG_3*CMO_1</f>
        <v>11.992499999999998</v>
      </c>
      <c r="F73" s="132">
        <f t="shared" si="13"/>
        <v>9.5939999999999994</v>
      </c>
      <c r="G73" s="133">
        <f t="shared" si="14"/>
        <v>2.398499999999999</v>
      </c>
      <c r="H73" s="134">
        <f t="shared" si="15"/>
        <v>1.69184</v>
      </c>
      <c r="I73" s="135"/>
      <c r="J73" s="136">
        <f t="shared" si="16"/>
        <v>0</v>
      </c>
      <c r="K73" s="137"/>
      <c r="L73" s="138">
        <f t="shared" si="17"/>
        <v>0</v>
      </c>
      <c r="M73" s="137"/>
      <c r="N73" s="139">
        <f t="shared" si="18"/>
        <v>7.9021599999999994</v>
      </c>
      <c r="O73" s="137"/>
      <c r="P73" s="140">
        <f t="shared" si="19"/>
        <v>2.398499999999999</v>
      </c>
      <c r="Q73" s="135"/>
      <c r="R73" s="104">
        <f t="shared" si="20"/>
        <v>1.69184</v>
      </c>
      <c r="S73" s="137"/>
      <c r="T73" s="141">
        <f t="shared" si="21"/>
        <v>10.300659999999999</v>
      </c>
      <c r="U73" s="199">
        <f t="shared" si="22"/>
        <v>0</v>
      </c>
      <c r="V73" s="37" t="str">
        <f t="shared" si="23"/>
        <v>ok</v>
      </c>
      <c r="W73" s="37" t="str">
        <f t="shared" si="24"/>
        <v>ok</v>
      </c>
    </row>
    <row r="74" spans="1:23" x14ac:dyDescent="0.25">
      <c r="A74" s="423"/>
      <c r="B74" s="198" t="s">
        <v>22</v>
      </c>
      <c r="C74" s="179">
        <v>4</v>
      </c>
      <c r="D74" s="130">
        <f>DMG_4*CMD_1</f>
        <v>1.18048</v>
      </c>
      <c r="E74" s="131">
        <f>OMG_4*CMO_1</f>
        <v>17.98875</v>
      </c>
      <c r="F74" s="132">
        <f t="shared" si="13"/>
        <v>14.391</v>
      </c>
      <c r="G74" s="133">
        <f t="shared" si="14"/>
        <v>3.5977499999999991</v>
      </c>
      <c r="H74" s="134">
        <f t="shared" si="15"/>
        <v>1.18048</v>
      </c>
      <c r="I74" s="135"/>
      <c r="J74" s="136">
        <f t="shared" si="16"/>
        <v>0</v>
      </c>
      <c r="K74" s="137"/>
      <c r="L74" s="138">
        <f t="shared" si="17"/>
        <v>0</v>
      </c>
      <c r="M74" s="137"/>
      <c r="N74" s="139">
        <f t="shared" si="18"/>
        <v>13.210520000000001</v>
      </c>
      <c r="O74" s="137"/>
      <c r="P74" s="140">
        <f t="shared" si="19"/>
        <v>3.5977499999999991</v>
      </c>
      <c r="Q74" s="135"/>
      <c r="R74" s="104">
        <f t="shared" si="20"/>
        <v>1.18048</v>
      </c>
      <c r="S74" s="137"/>
      <c r="T74" s="141">
        <f t="shared" si="21"/>
        <v>16.80827</v>
      </c>
      <c r="U74" s="199">
        <f t="shared" si="22"/>
        <v>0</v>
      </c>
      <c r="V74" s="37" t="str">
        <f t="shared" si="23"/>
        <v>ok</v>
      </c>
      <c r="W74" s="37" t="str">
        <f t="shared" si="24"/>
        <v>ok</v>
      </c>
    </row>
    <row r="75" spans="1:23" x14ac:dyDescent="0.25">
      <c r="A75" s="423"/>
      <c r="B75" s="198" t="s">
        <v>23</v>
      </c>
      <c r="C75" s="179">
        <v>5</v>
      </c>
      <c r="D75" s="130">
        <f>DMG_5*CMD_1</f>
        <v>2.4480000000000004</v>
      </c>
      <c r="E75" s="131">
        <f>OMG_5*CMO_1</f>
        <v>29.314999999999998</v>
      </c>
      <c r="F75" s="132">
        <f t="shared" si="13"/>
        <v>23.451999999999998</v>
      </c>
      <c r="G75" s="133">
        <f t="shared" si="14"/>
        <v>5.8629999999999987</v>
      </c>
      <c r="H75" s="134">
        <f t="shared" si="15"/>
        <v>2.4480000000000004</v>
      </c>
      <c r="I75" s="135"/>
      <c r="J75" s="136">
        <f t="shared" si="16"/>
        <v>0</v>
      </c>
      <c r="K75" s="137"/>
      <c r="L75" s="138">
        <f t="shared" si="17"/>
        <v>0</v>
      </c>
      <c r="M75" s="137"/>
      <c r="N75" s="139">
        <f t="shared" si="18"/>
        <v>21.003999999999998</v>
      </c>
      <c r="O75" s="137"/>
      <c r="P75" s="140">
        <f t="shared" si="19"/>
        <v>5.8629999999999987</v>
      </c>
      <c r="Q75" s="135"/>
      <c r="R75" s="104">
        <f t="shared" si="20"/>
        <v>2.4480000000000004</v>
      </c>
      <c r="S75" s="137"/>
      <c r="T75" s="141">
        <f t="shared" si="21"/>
        <v>26.866999999999997</v>
      </c>
      <c r="U75" s="199">
        <f t="shared" si="22"/>
        <v>0</v>
      </c>
      <c r="V75" s="37" t="str">
        <f t="shared" si="23"/>
        <v>ok</v>
      </c>
      <c r="W75" s="37" t="str">
        <f t="shared" si="24"/>
        <v>ok</v>
      </c>
    </row>
    <row r="76" spans="1:23" x14ac:dyDescent="0.25">
      <c r="A76" s="423"/>
      <c r="B76" s="198" t="s">
        <v>19</v>
      </c>
      <c r="C76" s="179">
        <v>8</v>
      </c>
      <c r="D76" s="130">
        <f>DMG_6*CMD_1</f>
        <v>7.8608000000000002</v>
      </c>
      <c r="E76" s="131">
        <f>OMG_6*CMO_1</f>
        <v>20.5</v>
      </c>
      <c r="F76" s="132">
        <f t="shared" si="13"/>
        <v>16.400000000000002</v>
      </c>
      <c r="G76" s="133">
        <f t="shared" si="14"/>
        <v>4.0999999999999988</v>
      </c>
      <c r="H76" s="134">
        <f t="shared" si="15"/>
        <v>7.8608000000000002</v>
      </c>
      <c r="I76" s="135"/>
      <c r="J76" s="136">
        <f t="shared" si="16"/>
        <v>0</v>
      </c>
      <c r="K76" s="137"/>
      <c r="L76" s="138">
        <f t="shared" si="17"/>
        <v>0</v>
      </c>
      <c r="M76" s="137"/>
      <c r="N76" s="139">
        <f t="shared" si="18"/>
        <v>8.539200000000001</v>
      </c>
      <c r="O76" s="137"/>
      <c r="P76" s="140">
        <f t="shared" si="19"/>
        <v>4.0999999999999988</v>
      </c>
      <c r="Q76" s="135"/>
      <c r="R76" s="104">
        <f t="shared" si="20"/>
        <v>7.8608000000000002</v>
      </c>
      <c r="S76" s="137"/>
      <c r="T76" s="141">
        <f t="shared" si="21"/>
        <v>12.639199999999999</v>
      </c>
      <c r="U76" s="199">
        <f t="shared" si="22"/>
        <v>0</v>
      </c>
      <c r="V76" s="37" t="str">
        <f t="shared" si="23"/>
        <v>ok</v>
      </c>
      <c r="W76" s="37" t="str">
        <f t="shared" si="24"/>
        <v>ok</v>
      </c>
    </row>
    <row r="77" spans="1:23" x14ac:dyDescent="0.25">
      <c r="A77" s="423"/>
      <c r="B77" s="198" t="s">
        <v>20</v>
      </c>
      <c r="C77" s="179">
        <v>9</v>
      </c>
      <c r="D77" s="130">
        <f>DMG_7*CMD_1</f>
        <v>6.3756800000000009</v>
      </c>
      <c r="E77" s="131">
        <f>OMG_7*CMO_1</f>
        <v>21.012499999999999</v>
      </c>
      <c r="F77" s="132">
        <f t="shared" si="13"/>
        <v>16.809999999999999</v>
      </c>
      <c r="G77" s="133">
        <f t="shared" si="14"/>
        <v>4.2024999999999988</v>
      </c>
      <c r="H77" s="134">
        <f t="shared" si="15"/>
        <v>6.3756800000000009</v>
      </c>
      <c r="I77" s="135"/>
      <c r="J77" s="136">
        <f t="shared" si="16"/>
        <v>0</v>
      </c>
      <c r="K77" s="137"/>
      <c r="L77" s="138">
        <f t="shared" si="17"/>
        <v>0</v>
      </c>
      <c r="M77" s="137"/>
      <c r="N77" s="139">
        <f t="shared" si="18"/>
        <v>10.434319999999998</v>
      </c>
      <c r="O77" s="137"/>
      <c r="P77" s="140">
        <f t="shared" si="19"/>
        <v>4.2024999999999988</v>
      </c>
      <c r="Q77" s="135"/>
      <c r="R77" s="104">
        <f t="shared" si="20"/>
        <v>6.3756800000000009</v>
      </c>
      <c r="S77" s="137"/>
      <c r="T77" s="141">
        <f t="shared" si="21"/>
        <v>14.636819999999997</v>
      </c>
      <c r="U77" s="199">
        <f t="shared" si="22"/>
        <v>0</v>
      </c>
      <c r="V77" s="37" t="str">
        <f t="shared" si="23"/>
        <v>ok</v>
      </c>
      <c r="W77" s="37" t="str">
        <f t="shared" si="24"/>
        <v>ok</v>
      </c>
    </row>
    <row r="78" spans="1:23" x14ac:dyDescent="0.25">
      <c r="A78" s="423"/>
      <c r="B78" s="198" t="s">
        <v>21</v>
      </c>
      <c r="C78" s="179">
        <v>10</v>
      </c>
      <c r="D78" s="130">
        <f>DMG_8*CMD_1</f>
        <v>3.6856000000000004</v>
      </c>
      <c r="E78" s="131">
        <f>OMG_8*CMO_1</f>
        <v>11.274999999999999</v>
      </c>
      <c r="F78" s="132">
        <f t="shared" si="13"/>
        <v>9.02</v>
      </c>
      <c r="G78" s="133">
        <f t="shared" si="14"/>
        <v>2.254999999999999</v>
      </c>
      <c r="H78" s="134">
        <f t="shared" si="15"/>
        <v>3.6856000000000004</v>
      </c>
      <c r="I78" s="135"/>
      <c r="J78" s="136">
        <f t="shared" si="16"/>
        <v>0</v>
      </c>
      <c r="K78" s="137"/>
      <c r="L78" s="138">
        <f t="shared" si="17"/>
        <v>0</v>
      </c>
      <c r="M78" s="137"/>
      <c r="N78" s="139">
        <f t="shared" si="18"/>
        <v>5.3343999999999987</v>
      </c>
      <c r="O78" s="137"/>
      <c r="P78" s="140">
        <f t="shared" si="19"/>
        <v>2.254999999999999</v>
      </c>
      <c r="Q78" s="135"/>
      <c r="R78" s="104">
        <f t="shared" si="20"/>
        <v>3.6856000000000004</v>
      </c>
      <c r="S78" s="137"/>
      <c r="T78" s="141">
        <f t="shared" si="21"/>
        <v>7.5893999999999977</v>
      </c>
      <c r="U78" s="199">
        <f t="shared" si="22"/>
        <v>0</v>
      </c>
      <c r="V78" s="37" t="str">
        <f t="shared" si="23"/>
        <v>ok</v>
      </c>
      <c r="W78" s="37" t="str">
        <f t="shared" si="24"/>
        <v>ok</v>
      </c>
    </row>
    <row r="79" spans="1:23" x14ac:dyDescent="0.25">
      <c r="A79" s="423"/>
      <c r="B79" s="198" t="s">
        <v>22</v>
      </c>
      <c r="C79" s="179">
        <v>11</v>
      </c>
      <c r="D79" s="130">
        <f>DMG_9*CMD_1</f>
        <v>2.9756800000000001</v>
      </c>
      <c r="E79" s="131">
        <f>OMG_9*CMO_1</f>
        <v>14.349999999999998</v>
      </c>
      <c r="F79" s="132">
        <f t="shared" si="13"/>
        <v>11.479999999999999</v>
      </c>
      <c r="G79" s="133">
        <f t="shared" si="14"/>
        <v>2.8699999999999988</v>
      </c>
      <c r="H79" s="134">
        <f t="shared" si="15"/>
        <v>2.9756800000000001</v>
      </c>
      <c r="I79" s="135"/>
      <c r="J79" s="136">
        <f t="shared" si="16"/>
        <v>0</v>
      </c>
      <c r="K79" s="137"/>
      <c r="L79" s="138">
        <f t="shared" si="17"/>
        <v>0</v>
      </c>
      <c r="M79" s="137"/>
      <c r="N79" s="139">
        <f t="shared" si="18"/>
        <v>8.5043199999999981</v>
      </c>
      <c r="O79" s="137"/>
      <c r="P79" s="140">
        <f t="shared" si="19"/>
        <v>2.8699999999999988</v>
      </c>
      <c r="Q79" s="135"/>
      <c r="R79" s="104">
        <f t="shared" si="20"/>
        <v>2.9756800000000001</v>
      </c>
      <c r="S79" s="137"/>
      <c r="T79" s="141">
        <f t="shared" si="21"/>
        <v>11.374319999999997</v>
      </c>
      <c r="U79" s="199">
        <f t="shared" si="22"/>
        <v>0</v>
      </c>
      <c r="V79" s="37" t="str">
        <f t="shared" si="23"/>
        <v>ok</v>
      </c>
      <c r="W79" s="37" t="str">
        <f t="shared" si="24"/>
        <v>ok</v>
      </c>
    </row>
    <row r="80" spans="1:23" x14ac:dyDescent="0.25">
      <c r="A80" s="423"/>
      <c r="B80" s="198" t="s">
        <v>23</v>
      </c>
      <c r="C80" s="179">
        <v>12</v>
      </c>
      <c r="D80" s="130">
        <f>DMG_10*CMD_1</f>
        <v>5.6684800000000006</v>
      </c>
      <c r="E80" s="131">
        <f>OMG_10*CMO_1</f>
        <v>19.474999999999998</v>
      </c>
      <c r="F80" s="132">
        <f t="shared" si="13"/>
        <v>15.579999999999998</v>
      </c>
      <c r="G80" s="133">
        <f t="shared" si="14"/>
        <v>3.8949999999999987</v>
      </c>
      <c r="H80" s="134">
        <f t="shared" si="15"/>
        <v>5.6684800000000006</v>
      </c>
      <c r="I80" s="135"/>
      <c r="J80" s="136">
        <f t="shared" si="16"/>
        <v>0</v>
      </c>
      <c r="K80" s="137"/>
      <c r="L80" s="138">
        <f t="shared" si="17"/>
        <v>0</v>
      </c>
      <c r="M80" s="137"/>
      <c r="N80" s="139">
        <f t="shared" si="18"/>
        <v>9.9115199999999977</v>
      </c>
      <c r="O80" s="137"/>
      <c r="P80" s="140">
        <f t="shared" si="19"/>
        <v>3.8949999999999987</v>
      </c>
      <c r="Q80" s="135"/>
      <c r="R80" s="104">
        <f t="shared" si="20"/>
        <v>5.6684800000000006</v>
      </c>
      <c r="S80" s="137"/>
      <c r="T80" s="141">
        <f t="shared" si="21"/>
        <v>13.806519999999995</v>
      </c>
      <c r="U80" s="199">
        <f t="shared" si="22"/>
        <v>0</v>
      </c>
      <c r="V80" s="37" t="str">
        <f t="shared" si="23"/>
        <v>ok</v>
      </c>
      <c r="W80" s="37" t="str">
        <f t="shared" si="24"/>
        <v>ok</v>
      </c>
    </row>
    <row r="81" spans="1:23" x14ac:dyDescent="0.25">
      <c r="A81" s="423"/>
      <c r="B81" s="198" t="s">
        <v>19</v>
      </c>
      <c r="C81" s="179">
        <v>15</v>
      </c>
      <c r="D81" s="130">
        <f>DMG_11*CMD_1</f>
        <v>4.9259200000000005</v>
      </c>
      <c r="E81" s="131">
        <f>OMG_11*CMO_1</f>
        <v>30.749999999999996</v>
      </c>
      <c r="F81" s="132">
        <f t="shared" si="13"/>
        <v>24.599999999999998</v>
      </c>
      <c r="G81" s="133">
        <f t="shared" si="14"/>
        <v>6.1499999999999977</v>
      </c>
      <c r="H81" s="134">
        <f t="shared" si="15"/>
        <v>4.9259200000000005</v>
      </c>
      <c r="I81" s="135"/>
      <c r="J81" s="136">
        <f t="shared" si="16"/>
        <v>0</v>
      </c>
      <c r="K81" s="137"/>
      <c r="L81" s="138">
        <f t="shared" si="17"/>
        <v>0</v>
      </c>
      <c r="M81" s="137"/>
      <c r="N81" s="139">
        <f t="shared" si="18"/>
        <v>19.674079999999996</v>
      </c>
      <c r="O81" s="137"/>
      <c r="P81" s="140">
        <f t="shared" si="19"/>
        <v>6.1499999999999977</v>
      </c>
      <c r="Q81" s="135"/>
      <c r="R81" s="104">
        <f t="shared" si="20"/>
        <v>4.9259200000000005</v>
      </c>
      <c r="S81" s="137"/>
      <c r="T81" s="141">
        <f t="shared" si="21"/>
        <v>25.824079999999995</v>
      </c>
      <c r="U81" s="199">
        <f t="shared" si="22"/>
        <v>0</v>
      </c>
      <c r="V81" s="37" t="str">
        <f t="shared" si="23"/>
        <v>ok</v>
      </c>
      <c r="W81" s="37" t="str">
        <f t="shared" si="24"/>
        <v>ok</v>
      </c>
    </row>
    <row r="82" spans="1:23" x14ac:dyDescent="0.25">
      <c r="A82" s="423"/>
      <c r="B82" s="198" t="s">
        <v>20</v>
      </c>
      <c r="C82" s="179">
        <v>16</v>
      </c>
      <c r="D82" s="130">
        <f>DMG_12*CMD_1</f>
        <v>3.8678400000000006</v>
      </c>
      <c r="E82" s="131">
        <f>OMG_12*CMO_1</f>
        <v>23.574999999999999</v>
      </c>
      <c r="F82" s="132">
        <f t="shared" si="13"/>
        <v>18.86</v>
      </c>
      <c r="G82" s="133">
        <f t="shared" si="14"/>
        <v>4.714999999999999</v>
      </c>
      <c r="H82" s="134">
        <f t="shared" si="15"/>
        <v>3.8678400000000006</v>
      </c>
      <c r="I82" s="135"/>
      <c r="J82" s="136">
        <f t="shared" si="16"/>
        <v>0</v>
      </c>
      <c r="K82" s="137"/>
      <c r="L82" s="138">
        <f t="shared" si="17"/>
        <v>0</v>
      </c>
      <c r="M82" s="137"/>
      <c r="N82" s="139">
        <f t="shared" si="18"/>
        <v>14.992159999999998</v>
      </c>
      <c r="O82" s="137"/>
      <c r="P82" s="140">
        <f t="shared" si="19"/>
        <v>4.714999999999999</v>
      </c>
      <c r="Q82" s="135"/>
      <c r="R82" s="104">
        <f t="shared" si="20"/>
        <v>3.8678400000000006</v>
      </c>
      <c r="S82" s="137"/>
      <c r="T82" s="141">
        <f t="shared" si="21"/>
        <v>19.707159999999998</v>
      </c>
      <c r="U82" s="199">
        <f t="shared" si="22"/>
        <v>0</v>
      </c>
      <c r="V82" s="37" t="str">
        <f t="shared" si="23"/>
        <v>ok</v>
      </c>
      <c r="W82" s="37" t="str">
        <f t="shared" si="24"/>
        <v>ok</v>
      </c>
    </row>
    <row r="83" spans="1:23" x14ac:dyDescent="0.25">
      <c r="A83" s="423"/>
      <c r="B83" s="198" t="s">
        <v>21</v>
      </c>
      <c r="C83" s="179">
        <v>17</v>
      </c>
      <c r="D83" s="130">
        <f>DMG_13*CMD_1</f>
        <v>1.69184</v>
      </c>
      <c r="E83" s="131">
        <f>OMG_13*CMO_1</f>
        <v>11.274999999999999</v>
      </c>
      <c r="F83" s="132">
        <f t="shared" si="13"/>
        <v>9.02</v>
      </c>
      <c r="G83" s="133">
        <f t="shared" si="14"/>
        <v>2.254999999999999</v>
      </c>
      <c r="H83" s="134">
        <f t="shared" si="15"/>
        <v>1.69184</v>
      </c>
      <c r="I83" s="135"/>
      <c r="J83" s="136">
        <f t="shared" si="16"/>
        <v>0</v>
      </c>
      <c r="K83" s="137"/>
      <c r="L83" s="138">
        <f t="shared" si="17"/>
        <v>0</v>
      </c>
      <c r="M83" s="137"/>
      <c r="N83" s="139">
        <f t="shared" si="18"/>
        <v>7.3281599999999996</v>
      </c>
      <c r="O83" s="137"/>
      <c r="P83" s="140">
        <f t="shared" si="19"/>
        <v>2.254999999999999</v>
      </c>
      <c r="Q83" s="135"/>
      <c r="R83" s="104">
        <f t="shared" si="20"/>
        <v>1.69184</v>
      </c>
      <c r="S83" s="137"/>
      <c r="T83" s="141">
        <f t="shared" si="21"/>
        <v>9.5831599999999995</v>
      </c>
      <c r="U83" s="199">
        <f t="shared" si="22"/>
        <v>0</v>
      </c>
      <c r="V83" s="37" t="str">
        <f t="shared" si="23"/>
        <v>ok</v>
      </c>
      <c r="W83" s="37" t="str">
        <f t="shared" si="24"/>
        <v>ok</v>
      </c>
    </row>
    <row r="84" spans="1:23" x14ac:dyDescent="0.25">
      <c r="A84" s="423"/>
      <c r="B84" s="198" t="s">
        <v>22</v>
      </c>
      <c r="C84" s="179">
        <v>18</v>
      </c>
      <c r="D84" s="130">
        <f>DMG_14*CMD_1</f>
        <v>1.18048</v>
      </c>
      <c r="E84" s="131">
        <f>OMG_14*CMO_1</f>
        <v>18.962499999999999</v>
      </c>
      <c r="F84" s="132">
        <f t="shared" si="13"/>
        <v>15.17</v>
      </c>
      <c r="G84" s="133">
        <f t="shared" si="14"/>
        <v>3.7924999999999991</v>
      </c>
      <c r="H84" s="134">
        <f t="shared" si="15"/>
        <v>1.18048</v>
      </c>
      <c r="I84" s="135"/>
      <c r="J84" s="136">
        <f t="shared" si="16"/>
        <v>0</v>
      </c>
      <c r="K84" s="137"/>
      <c r="L84" s="138">
        <f t="shared" si="17"/>
        <v>0</v>
      </c>
      <c r="M84" s="137"/>
      <c r="N84" s="139">
        <f t="shared" si="18"/>
        <v>13.989520000000001</v>
      </c>
      <c r="O84" s="137"/>
      <c r="P84" s="140">
        <f t="shared" si="19"/>
        <v>3.7924999999999991</v>
      </c>
      <c r="Q84" s="135"/>
      <c r="R84" s="104">
        <f t="shared" si="20"/>
        <v>1.18048</v>
      </c>
      <c r="S84" s="137"/>
      <c r="T84" s="141">
        <f t="shared" si="21"/>
        <v>17.782019999999999</v>
      </c>
      <c r="U84" s="199">
        <f t="shared" si="22"/>
        <v>0</v>
      </c>
      <c r="V84" s="37" t="str">
        <f t="shared" si="23"/>
        <v>ok</v>
      </c>
      <c r="W84" s="37" t="str">
        <f t="shared" si="24"/>
        <v>ok</v>
      </c>
    </row>
    <row r="85" spans="1:23" x14ac:dyDescent="0.25">
      <c r="A85" s="423"/>
      <c r="B85" s="198" t="s">
        <v>23</v>
      </c>
      <c r="C85" s="179">
        <v>19</v>
      </c>
      <c r="D85" s="130">
        <f>DMG_15*CMD_1</f>
        <v>2.4480000000000004</v>
      </c>
      <c r="E85" s="131">
        <f>OMG_15*CMO_1</f>
        <v>22.549999999999997</v>
      </c>
      <c r="F85" s="132">
        <f t="shared" si="13"/>
        <v>18.04</v>
      </c>
      <c r="G85" s="133">
        <f t="shared" si="14"/>
        <v>4.509999999999998</v>
      </c>
      <c r="H85" s="134">
        <f t="shared" si="15"/>
        <v>2.4480000000000004</v>
      </c>
      <c r="I85" s="135"/>
      <c r="J85" s="136">
        <f t="shared" si="16"/>
        <v>0</v>
      </c>
      <c r="K85" s="137"/>
      <c r="L85" s="138">
        <f t="shared" si="17"/>
        <v>0</v>
      </c>
      <c r="M85" s="137"/>
      <c r="N85" s="139">
        <f t="shared" si="18"/>
        <v>15.591999999999999</v>
      </c>
      <c r="O85" s="137"/>
      <c r="P85" s="140">
        <f t="shared" si="19"/>
        <v>4.509999999999998</v>
      </c>
      <c r="Q85" s="135"/>
      <c r="R85" s="104">
        <f t="shared" si="20"/>
        <v>2.4480000000000004</v>
      </c>
      <c r="S85" s="137"/>
      <c r="T85" s="141">
        <f t="shared" si="21"/>
        <v>20.101999999999997</v>
      </c>
      <c r="U85" s="199">
        <f t="shared" si="22"/>
        <v>0</v>
      </c>
      <c r="V85" s="37" t="str">
        <f t="shared" si="23"/>
        <v>ok</v>
      </c>
      <c r="W85" s="37" t="str">
        <f t="shared" si="24"/>
        <v>ok</v>
      </c>
    </row>
    <row r="86" spans="1:23" x14ac:dyDescent="0.25">
      <c r="A86" s="423"/>
      <c r="B86" s="198" t="s">
        <v>19</v>
      </c>
      <c r="C86" s="179">
        <v>22</v>
      </c>
      <c r="D86" s="130">
        <f>DMG_16*CMD_1</f>
        <v>9.8246400000000005</v>
      </c>
      <c r="E86" s="131">
        <f>OMG_16*CMO_1</f>
        <v>25.368749999999999</v>
      </c>
      <c r="F86" s="132">
        <f t="shared" si="13"/>
        <v>20.295000000000002</v>
      </c>
      <c r="G86" s="133">
        <f t="shared" si="14"/>
        <v>5.0737499999999986</v>
      </c>
      <c r="H86" s="134">
        <f t="shared" si="15"/>
        <v>9.8246400000000005</v>
      </c>
      <c r="I86" s="135"/>
      <c r="J86" s="136">
        <f t="shared" si="16"/>
        <v>0</v>
      </c>
      <c r="K86" s="137"/>
      <c r="L86" s="138">
        <f t="shared" si="17"/>
        <v>0</v>
      </c>
      <c r="M86" s="137"/>
      <c r="N86" s="139">
        <f t="shared" si="18"/>
        <v>10.470360000000001</v>
      </c>
      <c r="O86" s="137"/>
      <c r="P86" s="140">
        <f t="shared" si="19"/>
        <v>5.0737499999999986</v>
      </c>
      <c r="Q86" s="135"/>
      <c r="R86" s="104">
        <f t="shared" si="20"/>
        <v>9.8246400000000005</v>
      </c>
      <c r="S86" s="137"/>
      <c r="T86" s="141">
        <f t="shared" si="21"/>
        <v>15.54411</v>
      </c>
      <c r="U86" s="199">
        <f t="shared" si="22"/>
        <v>0</v>
      </c>
      <c r="V86" s="37" t="str">
        <f t="shared" si="23"/>
        <v>ok</v>
      </c>
      <c r="W86" s="37" t="str">
        <f t="shared" si="24"/>
        <v>ok</v>
      </c>
    </row>
    <row r="87" spans="1:23" x14ac:dyDescent="0.25">
      <c r="A87" s="423"/>
      <c r="B87" s="198" t="s">
        <v>20</v>
      </c>
      <c r="C87" s="179">
        <v>23</v>
      </c>
      <c r="D87" s="130">
        <f>DMG_17*CMD_1</f>
        <v>7.9968000000000004</v>
      </c>
      <c r="E87" s="131">
        <f>OMG_17*CMO_1</f>
        <v>16.071999999999999</v>
      </c>
      <c r="F87" s="132">
        <f t="shared" si="13"/>
        <v>12.8576</v>
      </c>
      <c r="G87" s="133">
        <f t="shared" si="14"/>
        <v>3.214399999999999</v>
      </c>
      <c r="H87" s="134">
        <f t="shared" si="15"/>
        <v>7.9968000000000004</v>
      </c>
      <c r="I87" s="135"/>
      <c r="J87" s="136">
        <f t="shared" si="16"/>
        <v>0</v>
      </c>
      <c r="K87" s="137"/>
      <c r="L87" s="138">
        <f t="shared" si="17"/>
        <v>0</v>
      </c>
      <c r="M87" s="137"/>
      <c r="N87" s="139">
        <f t="shared" si="18"/>
        <v>4.8607999999999993</v>
      </c>
      <c r="O87" s="137"/>
      <c r="P87" s="140">
        <f t="shared" si="19"/>
        <v>3.214399999999999</v>
      </c>
      <c r="Q87" s="135"/>
      <c r="R87" s="104">
        <f t="shared" si="20"/>
        <v>7.9968000000000004</v>
      </c>
      <c r="S87" s="137"/>
      <c r="T87" s="141">
        <f t="shared" si="21"/>
        <v>8.0751999999999988</v>
      </c>
      <c r="U87" s="199">
        <f t="shared" si="22"/>
        <v>0</v>
      </c>
      <c r="V87" s="37" t="str">
        <f t="shared" si="23"/>
        <v>ok</v>
      </c>
      <c r="W87" s="37" t="str">
        <f t="shared" si="24"/>
        <v>ok</v>
      </c>
    </row>
    <row r="88" spans="1:23" x14ac:dyDescent="0.25">
      <c r="A88" s="423"/>
      <c r="B88" s="198" t="s">
        <v>21</v>
      </c>
      <c r="C88" s="179">
        <v>24</v>
      </c>
      <c r="D88" s="130">
        <f>DMG_18*CMD_1</f>
        <v>4.6076800000000011</v>
      </c>
      <c r="E88" s="131">
        <f>OMG_18*CMO_1</f>
        <v>7.6157499999999994</v>
      </c>
      <c r="F88" s="132">
        <f t="shared" si="13"/>
        <v>6.0926</v>
      </c>
      <c r="G88" s="133">
        <f t="shared" si="14"/>
        <v>1.5231499999999996</v>
      </c>
      <c r="H88" s="134">
        <f t="shared" si="15"/>
        <v>4.6076800000000011</v>
      </c>
      <c r="I88" s="135"/>
      <c r="J88" s="136">
        <f t="shared" si="16"/>
        <v>0</v>
      </c>
      <c r="K88" s="137"/>
      <c r="L88" s="138">
        <f t="shared" si="17"/>
        <v>0</v>
      </c>
      <c r="M88" s="137"/>
      <c r="N88" s="139">
        <f t="shared" si="18"/>
        <v>1.4849199999999989</v>
      </c>
      <c r="O88" s="137"/>
      <c r="P88" s="140">
        <f t="shared" si="19"/>
        <v>1.5231499999999996</v>
      </c>
      <c r="Q88" s="135"/>
      <c r="R88" s="104">
        <f t="shared" si="20"/>
        <v>4.6076800000000011</v>
      </c>
      <c r="S88" s="137"/>
      <c r="T88" s="141">
        <f t="shared" si="21"/>
        <v>3.0080699999999982</v>
      </c>
      <c r="U88" s="199">
        <f t="shared" si="22"/>
        <v>0</v>
      </c>
      <c r="V88" s="37" t="str">
        <f t="shared" si="23"/>
        <v>ok</v>
      </c>
      <c r="W88" s="37" t="str">
        <f t="shared" si="24"/>
        <v>ok</v>
      </c>
    </row>
    <row r="89" spans="1:23" x14ac:dyDescent="0.25">
      <c r="A89" s="423"/>
      <c r="B89" s="198" t="s">
        <v>22</v>
      </c>
      <c r="C89" s="179">
        <v>25</v>
      </c>
      <c r="D89" s="130">
        <f>DMG_19*CMD_1</f>
        <v>3.77264</v>
      </c>
      <c r="E89" s="131">
        <f>OMG_19*CMO_1</f>
        <v>10.147499999999999</v>
      </c>
      <c r="F89" s="132">
        <f t="shared" si="13"/>
        <v>8.1180000000000003</v>
      </c>
      <c r="G89" s="133">
        <f t="shared" si="14"/>
        <v>2.0294999999999992</v>
      </c>
      <c r="H89" s="134">
        <f t="shared" si="15"/>
        <v>3.77264</v>
      </c>
      <c r="I89" s="135"/>
      <c r="J89" s="136">
        <f t="shared" si="16"/>
        <v>0</v>
      </c>
      <c r="K89" s="137"/>
      <c r="L89" s="138">
        <f t="shared" si="17"/>
        <v>0</v>
      </c>
      <c r="M89" s="137"/>
      <c r="N89" s="139">
        <f t="shared" si="18"/>
        <v>4.3453600000000003</v>
      </c>
      <c r="O89" s="137"/>
      <c r="P89" s="140">
        <f t="shared" si="19"/>
        <v>2.0294999999999992</v>
      </c>
      <c r="Q89" s="135"/>
      <c r="R89" s="104">
        <f t="shared" si="20"/>
        <v>3.77264</v>
      </c>
      <c r="S89" s="137"/>
      <c r="T89" s="141">
        <f t="shared" si="21"/>
        <v>6.37486</v>
      </c>
      <c r="U89" s="199">
        <f t="shared" si="22"/>
        <v>0</v>
      </c>
      <c r="V89" s="37" t="str">
        <f t="shared" si="23"/>
        <v>ok</v>
      </c>
      <c r="W89" s="37" t="str">
        <f t="shared" si="24"/>
        <v>ok</v>
      </c>
    </row>
    <row r="90" spans="1:23" x14ac:dyDescent="0.25">
      <c r="A90" s="423"/>
      <c r="B90" s="198" t="s">
        <v>23</v>
      </c>
      <c r="C90" s="179">
        <v>26</v>
      </c>
      <c r="D90" s="130">
        <f>DMG_20*CMD_1</f>
        <v>7.0856000000000003</v>
      </c>
      <c r="E90" s="131">
        <f>OMG_20*CMO_1</f>
        <v>16.071999999999999</v>
      </c>
      <c r="F90" s="132">
        <f t="shared" si="13"/>
        <v>12.8576</v>
      </c>
      <c r="G90" s="133">
        <f t="shared" si="14"/>
        <v>3.214399999999999</v>
      </c>
      <c r="H90" s="134">
        <f t="shared" si="15"/>
        <v>7.0856000000000003</v>
      </c>
      <c r="I90" s="135"/>
      <c r="J90" s="136">
        <f t="shared" si="16"/>
        <v>0</v>
      </c>
      <c r="K90" s="137"/>
      <c r="L90" s="138">
        <f t="shared" si="17"/>
        <v>0</v>
      </c>
      <c r="M90" s="137"/>
      <c r="N90" s="139">
        <f t="shared" si="18"/>
        <v>5.7719999999999994</v>
      </c>
      <c r="O90" s="137"/>
      <c r="P90" s="140">
        <f t="shared" si="19"/>
        <v>3.214399999999999</v>
      </c>
      <c r="Q90" s="135"/>
      <c r="R90" s="104">
        <f t="shared" si="20"/>
        <v>7.0856000000000003</v>
      </c>
      <c r="S90" s="137"/>
      <c r="T90" s="141">
        <f t="shared" si="21"/>
        <v>8.9863999999999979</v>
      </c>
      <c r="U90" s="199">
        <f t="shared" si="22"/>
        <v>0</v>
      </c>
      <c r="V90" s="37" t="str">
        <f t="shared" si="23"/>
        <v>ok</v>
      </c>
      <c r="W90" s="37" t="str">
        <f t="shared" si="24"/>
        <v>ok</v>
      </c>
    </row>
    <row r="91" spans="1:23" x14ac:dyDescent="0.25">
      <c r="A91" s="423"/>
      <c r="B91" s="198" t="s">
        <v>19</v>
      </c>
      <c r="C91" s="179">
        <v>29</v>
      </c>
      <c r="D91" s="130">
        <f>DMG_21*CMD_1</f>
        <v>11.788480000000002</v>
      </c>
      <c r="E91" s="131">
        <f>OMG_21*CMO_1</f>
        <v>30.749999999999996</v>
      </c>
      <c r="F91" s="132">
        <f t="shared" si="13"/>
        <v>24.599999999999998</v>
      </c>
      <c r="G91" s="133">
        <f t="shared" si="14"/>
        <v>6.1499999999999977</v>
      </c>
      <c r="H91" s="134">
        <f t="shared" si="15"/>
        <v>11.788480000000002</v>
      </c>
      <c r="I91" s="135"/>
      <c r="J91" s="136">
        <f t="shared" si="16"/>
        <v>0</v>
      </c>
      <c r="K91" s="137"/>
      <c r="L91" s="138">
        <f t="shared" si="17"/>
        <v>0</v>
      </c>
      <c r="M91" s="137"/>
      <c r="N91" s="139">
        <f t="shared" si="18"/>
        <v>12.811519999999996</v>
      </c>
      <c r="O91" s="137"/>
      <c r="P91" s="140">
        <f t="shared" si="19"/>
        <v>6.1499999999999977</v>
      </c>
      <c r="Q91" s="135"/>
      <c r="R91" s="104">
        <f t="shared" si="20"/>
        <v>11.788480000000002</v>
      </c>
      <c r="S91" s="137"/>
      <c r="T91" s="141">
        <f t="shared" si="21"/>
        <v>18.961519999999993</v>
      </c>
      <c r="U91" s="199">
        <f t="shared" si="22"/>
        <v>0</v>
      </c>
      <c r="V91" s="37" t="str">
        <f t="shared" si="23"/>
        <v>ok</v>
      </c>
      <c r="W91" s="37" t="str">
        <f t="shared" si="24"/>
        <v>ok</v>
      </c>
    </row>
    <row r="92" spans="1:23" x14ac:dyDescent="0.25">
      <c r="A92" s="423"/>
      <c r="B92" s="198" t="s">
        <v>20</v>
      </c>
      <c r="C92" s="179">
        <v>30</v>
      </c>
      <c r="D92" s="130">
        <f>DMG_22*CMD_1</f>
        <v>9.5635200000000005</v>
      </c>
      <c r="E92" s="131">
        <f>OMG_22*CMO_1</f>
        <v>21.524999999999999</v>
      </c>
      <c r="F92" s="132">
        <f t="shared" si="13"/>
        <v>17.22</v>
      </c>
      <c r="G92" s="133">
        <f t="shared" si="14"/>
        <v>4.3049999999999988</v>
      </c>
      <c r="H92" s="134">
        <f t="shared" si="15"/>
        <v>9.5635200000000005</v>
      </c>
      <c r="I92" s="135"/>
      <c r="J92" s="136">
        <f t="shared" si="16"/>
        <v>0</v>
      </c>
      <c r="K92" s="137"/>
      <c r="L92" s="138">
        <f t="shared" si="17"/>
        <v>0</v>
      </c>
      <c r="M92" s="137"/>
      <c r="N92" s="139">
        <f t="shared" si="18"/>
        <v>7.6564799999999984</v>
      </c>
      <c r="O92" s="137"/>
      <c r="P92" s="140">
        <f t="shared" si="19"/>
        <v>4.3049999999999988</v>
      </c>
      <c r="Q92" s="135"/>
      <c r="R92" s="104">
        <f t="shared" si="20"/>
        <v>9.5635200000000005</v>
      </c>
      <c r="S92" s="137"/>
      <c r="T92" s="141">
        <f t="shared" si="21"/>
        <v>11.961479999999998</v>
      </c>
      <c r="U92" s="199">
        <f t="shared" si="22"/>
        <v>0</v>
      </c>
      <c r="V92" s="37" t="str">
        <f t="shared" si="23"/>
        <v>ok</v>
      </c>
      <c r="W92" s="37" t="str">
        <f t="shared" si="24"/>
        <v>ok</v>
      </c>
    </row>
    <row r="93" spans="1:23" ht="15.75" thickBot="1" x14ac:dyDescent="0.3">
      <c r="A93" s="424"/>
      <c r="B93" s="200" t="s">
        <v>21</v>
      </c>
      <c r="C93" s="201">
        <v>31</v>
      </c>
      <c r="D93" s="202">
        <f>DMG_23*CMD_1</f>
        <v>5.5297599999999996</v>
      </c>
      <c r="E93" s="203">
        <f>OMG_23*CMO_1</f>
        <v>10.25</v>
      </c>
      <c r="F93" s="204">
        <f t="shared" si="13"/>
        <v>8.2000000000000011</v>
      </c>
      <c r="G93" s="205">
        <f t="shared" si="14"/>
        <v>2.0499999999999994</v>
      </c>
      <c r="H93" s="206">
        <f t="shared" si="15"/>
        <v>5.5297599999999996</v>
      </c>
      <c r="I93" s="207"/>
      <c r="J93" s="208">
        <f t="shared" si="16"/>
        <v>0</v>
      </c>
      <c r="K93" s="209"/>
      <c r="L93" s="210">
        <f t="shared" si="17"/>
        <v>0</v>
      </c>
      <c r="M93" s="209"/>
      <c r="N93" s="211">
        <f t="shared" si="18"/>
        <v>2.6702400000000015</v>
      </c>
      <c r="O93" s="209"/>
      <c r="P93" s="212">
        <f t="shared" si="19"/>
        <v>2.0499999999999994</v>
      </c>
      <c r="Q93" s="207"/>
      <c r="R93" s="213">
        <f t="shared" si="20"/>
        <v>5.5297599999999996</v>
      </c>
      <c r="S93" s="209"/>
      <c r="T93" s="214">
        <f t="shared" si="21"/>
        <v>4.7202400000000004</v>
      </c>
      <c r="U93" s="215">
        <f t="shared" si="22"/>
        <v>0</v>
      </c>
      <c r="V93" s="37" t="str">
        <f t="shared" si="23"/>
        <v>ok</v>
      </c>
      <c r="W93" s="37" t="str">
        <f t="shared" si="24"/>
        <v>ok</v>
      </c>
    </row>
    <row r="94" spans="1:23" x14ac:dyDescent="0.25">
      <c r="A94" s="419" t="s">
        <v>90</v>
      </c>
      <c r="B94" s="178" t="s">
        <v>22</v>
      </c>
      <c r="C94" s="129">
        <v>1</v>
      </c>
      <c r="D94" s="238">
        <f>DMG_1*CMD_2</f>
        <v>8.3849300000000007</v>
      </c>
      <c r="E94" s="185">
        <f>OMG_1*CMO_2</f>
        <v>28.157999999999998</v>
      </c>
      <c r="F94" s="186">
        <f t="shared" ref="F94:F157" si="25">E94*TC</f>
        <v>22.526399999999999</v>
      </c>
      <c r="G94" s="187">
        <f t="shared" ref="G94:G157" si="26">E94*(1-TC)</f>
        <v>5.6315999999999979</v>
      </c>
      <c r="H94" s="188">
        <f>IF(E94&gt;D94,D94,E94)</f>
        <v>8.3849300000000007</v>
      </c>
      <c r="I94" s="189"/>
      <c r="J94" s="190">
        <f>IF(E94&gt;D94,0,D94-E94)</f>
        <v>0</v>
      </c>
      <c r="K94" s="191"/>
      <c r="L94" s="192">
        <f>IF(E94&gt;D94,IF(F94&gt;H94,0,H94-F94),G94)</f>
        <v>0</v>
      </c>
      <c r="M94" s="191"/>
      <c r="N94" s="193">
        <f>IF(E94&gt;D94,IF(F94&gt;H94,F94-H94,0),0)</f>
        <v>14.141469999999998</v>
      </c>
      <c r="O94" s="191"/>
      <c r="P94" s="194">
        <f>IF(E94&gt;D94,IF(F94&gt;H94,G94,E94-H94),0)</f>
        <v>5.6315999999999979</v>
      </c>
      <c r="Q94" s="189"/>
      <c r="R94" s="195">
        <f>H94-L94</f>
        <v>8.3849300000000007</v>
      </c>
      <c r="S94" s="191"/>
      <c r="T94" s="196">
        <f>L94+N94+P94</f>
        <v>19.773069999999997</v>
      </c>
      <c r="U94" s="197">
        <f>J94+L94</f>
        <v>0</v>
      </c>
      <c r="V94" s="37" t="str">
        <f>IF(R94+T94=E94,"ok","bad")</f>
        <v>ok</v>
      </c>
      <c r="W94" s="37" t="str">
        <f>IF(U94+R94=D94,"ok","bad")</f>
        <v>ok</v>
      </c>
    </row>
    <row r="95" spans="1:23" x14ac:dyDescent="0.25">
      <c r="A95" s="420"/>
      <c r="B95" s="178" t="s">
        <v>23</v>
      </c>
      <c r="C95" s="129">
        <v>2</v>
      </c>
      <c r="D95" s="239">
        <f>DMG_2*CMD_2</f>
        <v>6.5838600000000005</v>
      </c>
      <c r="E95" s="131">
        <f>OMG_2*CMO_2</f>
        <v>20.6492</v>
      </c>
      <c r="F95" s="132">
        <f t="shared" si="25"/>
        <v>16.519360000000002</v>
      </c>
      <c r="G95" s="133">
        <f t="shared" si="26"/>
        <v>4.1298399999999988</v>
      </c>
      <c r="H95" s="134">
        <f t="shared" ref="H95:H113" si="27">IF(E95&gt;D95,D95,E95)</f>
        <v>6.5838600000000005</v>
      </c>
      <c r="I95" s="135"/>
      <c r="J95" s="136">
        <f t="shared" ref="J95:J113" si="28">IF(E95&gt;D95,0,D95-E95)</f>
        <v>0</v>
      </c>
      <c r="K95" s="137"/>
      <c r="L95" s="138">
        <f t="shared" ref="L95:L113" si="29">IF(E95&gt;D95,IF(F95&gt;H95,0,H95-F95),G95)</f>
        <v>0</v>
      </c>
      <c r="M95" s="137"/>
      <c r="N95" s="139">
        <f t="shared" ref="N95:N113" si="30">IF(E95&gt;D95,IF(F95&gt;H95,F95-H95,0),0)</f>
        <v>9.9355000000000011</v>
      </c>
      <c r="O95" s="137"/>
      <c r="P95" s="140">
        <f t="shared" ref="P95:P113" si="31">IF(E95&gt;D95,IF(F95&gt;H95,G95,E95-H95),0)</f>
        <v>4.1298399999999988</v>
      </c>
      <c r="Q95" s="135"/>
      <c r="R95" s="104">
        <f t="shared" ref="R95:R113" si="32">H95-L95</f>
        <v>6.5838600000000005</v>
      </c>
      <c r="S95" s="137"/>
      <c r="T95" s="141">
        <f t="shared" ref="T95:T113" si="33">L95+N95+P95</f>
        <v>14.065339999999999</v>
      </c>
      <c r="U95" s="199">
        <f t="shared" ref="U95:U113" si="34">J95+L95</f>
        <v>0</v>
      </c>
      <c r="V95" s="37" t="str">
        <f t="shared" ref="V95:V113" si="35">IF(R95+T95=E95,"ok","bad")</f>
        <v>ok</v>
      </c>
      <c r="W95" s="37" t="str">
        <f t="shared" ref="W95:W113" si="36">IF(U95+R95=D95,"ok","bad")</f>
        <v>ok</v>
      </c>
    </row>
    <row r="96" spans="1:23" x14ac:dyDescent="0.25">
      <c r="A96" s="420"/>
      <c r="B96" s="178" t="s">
        <v>19</v>
      </c>
      <c r="C96" s="129">
        <v>5</v>
      </c>
      <c r="D96" s="239">
        <f>DMG_3*CMD_2</f>
        <v>2.8798599999999999</v>
      </c>
      <c r="E96" s="131">
        <f>OMG_3*CMO_2</f>
        <v>8.4474</v>
      </c>
      <c r="F96" s="132">
        <f t="shared" si="25"/>
        <v>6.7579200000000004</v>
      </c>
      <c r="G96" s="133">
        <f t="shared" si="26"/>
        <v>1.6894799999999996</v>
      </c>
      <c r="H96" s="134">
        <f t="shared" si="27"/>
        <v>2.8798599999999999</v>
      </c>
      <c r="I96" s="135"/>
      <c r="J96" s="136">
        <f t="shared" si="28"/>
        <v>0</v>
      </c>
      <c r="K96" s="137"/>
      <c r="L96" s="138">
        <f t="shared" si="29"/>
        <v>0</v>
      </c>
      <c r="M96" s="137"/>
      <c r="N96" s="139">
        <f t="shared" si="30"/>
        <v>3.8780600000000005</v>
      </c>
      <c r="O96" s="137"/>
      <c r="P96" s="140">
        <f t="shared" si="31"/>
        <v>1.6894799999999996</v>
      </c>
      <c r="Q96" s="135"/>
      <c r="R96" s="104">
        <f t="shared" si="32"/>
        <v>2.8798599999999999</v>
      </c>
      <c r="S96" s="137"/>
      <c r="T96" s="141">
        <f t="shared" si="33"/>
        <v>5.5675400000000002</v>
      </c>
      <c r="U96" s="199">
        <f t="shared" si="34"/>
        <v>0</v>
      </c>
      <c r="V96" s="37" t="str">
        <f t="shared" si="35"/>
        <v>ok</v>
      </c>
      <c r="W96" s="37" t="str">
        <f t="shared" si="36"/>
        <v>ok</v>
      </c>
    </row>
    <row r="97" spans="1:23" x14ac:dyDescent="0.25">
      <c r="A97" s="420"/>
      <c r="B97" s="178" t="s">
        <v>20</v>
      </c>
      <c r="C97" s="129">
        <v>6</v>
      </c>
      <c r="D97" s="239">
        <f>DMG_4*CMD_2</f>
        <v>2.00942</v>
      </c>
      <c r="E97" s="131">
        <f>OMG_4*CMO_2</f>
        <v>12.671100000000001</v>
      </c>
      <c r="F97" s="132">
        <f t="shared" si="25"/>
        <v>10.136880000000001</v>
      </c>
      <c r="G97" s="133">
        <f t="shared" si="26"/>
        <v>2.5342199999999995</v>
      </c>
      <c r="H97" s="134">
        <f t="shared" si="27"/>
        <v>2.00942</v>
      </c>
      <c r="I97" s="135"/>
      <c r="J97" s="136">
        <f t="shared" si="28"/>
        <v>0</v>
      </c>
      <c r="K97" s="137"/>
      <c r="L97" s="138">
        <f t="shared" si="29"/>
        <v>0</v>
      </c>
      <c r="M97" s="137"/>
      <c r="N97" s="139">
        <f t="shared" si="30"/>
        <v>8.127460000000001</v>
      </c>
      <c r="O97" s="137"/>
      <c r="P97" s="140">
        <f t="shared" si="31"/>
        <v>2.5342199999999995</v>
      </c>
      <c r="Q97" s="135"/>
      <c r="R97" s="104">
        <f t="shared" si="32"/>
        <v>2.00942</v>
      </c>
      <c r="S97" s="137"/>
      <c r="T97" s="141">
        <f t="shared" si="33"/>
        <v>10.66168</v>
      </c>
      <c r="U97" s="199">
        <f t="shared" si="34"/>
        <v>0</v>
      </c>
      <c r="V97" s="37" t="str">
        <f t="shared" si="35"/>
        <v>ok</v>
      </c>
      <c r="W97" s="37" t="str">
        <f t="shared" si="36"/>
        <v>ok</v>
      </c>
    </row>
    <row r="98" spans="1:23" x14ac:dyDescent="0.25">
      <c r="A98" s="420"/>
      <c r="B98" s="178" t="s">
        <v>21</v>
      </c>
      <c r="C98" s="129">
        <v>7</v>
      </c>
      <c r="D98" s="239">
        <f>DMG_5*CMD_2</f>
        <v>4.1669999999999998</v>
      </c>
      <c r="E98" s="131">
        <f>OMG_5*CMO_2</f>
        <v>20.6492</v>
      </c>
      <c r="F98" s="132">
        <f t="shared" si="25"/>
        <v>16.519360000000002</v>
      </c>
      <c r="G98" s="133">
        <f t="shared" si="26"/>
        <v>4.1298399999999988</v>
      </c>
      <c r="H98" s="134">
        <f t="shared" si="27"/>
        <v>4.1669999999999998</v>
      </c>
      <c r="I98" s="135"/>
      <c r="J98" s="136">
        <f t="shared" si="28"/>
        <v>0</v>
      </c>
      <c r="K98" s="137"/>
      <c r="L98" s="138">
        <f t="shared" si="29"/>
        <v>0</v>
      </c>
      <c r="M98" s="137"/>
      <c r="N98" s="139">
        <f t="shared" si="30"/>
        <v>12.352360000000003</v>
      </c>
      <c r="O98" s="137"/>
      <c r="P98" s="140">
        <f t="shared" si="31"/>
        <v>4.1298399999999988</v>
      </c>
      <c r="Q98" s="135"/>
      <c r="R98" s="104">
        <f t="shared" si="32"/>
        <v>4.1669999999999998</v>
      </c>
      <c r="S98" s="137"/>
      <c r="T98" s="141">
        <f t="shared" si="33"/>
        <v>16.482200000000002</v>
      </c>
      <c r="U98" s="199">
        <f t="shared" si="34"/>
        <v>0</v>
      </c>
      <c r="V98" s="37" t="str">
        <f t="shared" si="35"/>
        <v>ok</v>
      </c>
      <c r="W98" s="37" t="str">
        <f t="shared" si="36"/>
        <v>ok</v>
      </c>
    </row>
    <row r="99" spans="1:23" x14ac:dyDescent="0.25">
      <c r="A99" s="420"/>
      <c r="B99" s="178" t="s">
        <v>22</v>
      </c>
      <c r="C99" s="129">
        <v>8</v>
      </c>
      <c r="D99" s="239">
        <f>DMG_6*CMD_2</f>
        <v>13.380699999999999</v>
      </c>
      <c r="E99" s="131">
        <f>OMG_6*CMO_2</f>
        <v>14.44</v>
      </c>
      <c r="F99" s="132">
        <f t="shared" si="25"/>
        <v>11.552</v>
      </c>
      <c r="G99" s="133">
        <f t="shared" si="26"/>
        <v>2.8879999999999995</v>
      </c>
      <c r="H99" s="134">
        <f t="shared" si="27"/>
        <v>13.380699999999999</v>
      </c>
      <c r="I99" s="135"/>
      <c r="J99" s="136">
        <f t="shared" si="28"/>
        <v>0</v>
      </c>
      <c r="K99" s="137"/>
      <c r="L99" s="138">
        <f t="shared" si="29"/>
        <v>1.8286999999999995</v>
      </c>
      <c r="M99" s="137"/>
      <c r="N99" s="139">
        <f t="shared" si="30"/>
        <v>0</v>
      </c>
      <c r="O99" s="137"/>
      <c r="P99" s="140">
        <f t="shared" si="31"/>
        <v>1.0593000000000004</v>
      </c>
      <c r="Q99" s="135"/>
      <c r="R99" s="104">
        <f t="shared" si="32"/>
        <v>11.552</v>
      </c>
      <c r="S99" s="137"/>
      <c r="T99" s="141">
        <f t="shared" si="33"/>
        <v>2.8879999999999999</v>
      </c>
      <c r="U99" s="199">
        <f t="shared" si="34"/>
        <v>1.8286999999999995</v>
      </c>
      <c r="V99" s="37" t="str">
        <f t="shared" si="35"/>
        <v>ok</v>
      </c>
      <c r="W99" s="37" t="str">
        <f t="shared" si="36"/>
        <v>ok</v>
      </c>
    </row>
    <row r="100" spans="1:23" x14ac:dyDescent="0.25">
      <c r="A100" s="420"/>
      <c r="B100" s="178" t="s">
        <v>23</v>
      </c>
      <c r="C100" s="129">
        <v>9</v>
      </c>
      <c r="D100" s="239">
        <f>DMG_7*CMD_2</f>
        <v>10.852720000000001</v>
      </c>
      <c r="E100" s="131">
        <f>OMG_7*CMO_2</f>
        <v>14.801</v>
      </c>
      <c r="F100" s="132">
        <f t="shared" si="25"/>
        <v>11.840800000000002</v>
      </c>
      <c r="G100" s="133">
        <f t="shared" si="26"/>
        <v>2.9601999999999995</v>
      </c>
      <c r="H100" s="134">
        <f t="shared" si="27"/>
        <v>10.852720000000001</v>
      </c>
      <c r="I100" s="135"/>
      <c r="J100" s="136">
        <f t="shared" si="28"/>
        <v>0</v>
      </c>
      <c r="K100" s="137"/>
      <c r="L100" s="138">
        <f t="shared" si="29"/>
        <v>0</v>
      </c>
      <c r="M100" s="137"/>
      <c r="N100" s="139">
        <f t="shared" si="30"/>
        <v>0.98808000000000007</v>
      </c>
      <c r="O100" s="137"/>
      <c r="P100" s="140">
        <f t="shared" si="31"/>
        <v>2.9601999999999995</v>
      </c>
      <c r="Q100" s="135"/>
      <c r="R100" s="104">
        <f t="shared" si="32"/>
        <v>10.852720000000001</v>
      </c>
      <c r="S100" s="137"/>
      <c r="T100" s="141">
        <f t="shared" si="33"/>
        <v>3.9482799999999996</v>
      </c>
      <c r="U100" s="199">
        <f t="shared" si="34"/>
        <v>0</v>
      </c>
      <c r="V100" s="37" t="str">
        <f t="shared" si="35"/>
        <v>ok</v>
      </c>
      <c r="W100" s="37" t="str">
        <f t="shared" si="36"/>
        <v>ok</v>
      </c>
    </row>
    <row r="101" spans="1:23" x14ac:dyDescent="0.25">
      <c r="A101" s="420"/>
      <c r="B101" s="178" t="s">
        <v>19</v>
      </c>
      <c r="C101" s="129">
        <v>12</v>
      </c>
      <c r="D101" s="239">
        <f>DMG_8*CMD_2</f>
        <v>6.2736500000000008</v>
      </c>
      <c r="E101" s="131">
        <f>OMG_8*CMO_2</f>
        <v>7.9420000000000002</v>
      </c>
      <c r="F101" s="132">
        <f t="shared" si="25"/>
        <v>6.3536000000000001</v>
      </c>
      <c r="G101" s="133">
        <f t="shared" si="26"/>
        <v>1.5883999999999996</v>
      </c>
      <c r="H101" s="134">
        <f t="shared" si="27"/>
        <v>6.2736500000000008</v>
      </c>
      <c r="I101" s="135"/>
      <c r="J101" s="136">
        <f t="shared" si="28"/>
        <v>0</v>
      </c>
      <c r="K101" s="137"/>
      <c r="L101" s="138">
        <f t="shared" si="29"/>
        <v>0</v>
      </c>
      <c r="M101" s="137"/>
      <c r="N101" s="139">
        <f t="shared" si="30"/>
        <v>7.9949999999999299E-2</v>
      </c>
      <c r="O101" s="137"/>
      <c r="P101" s="140">
        <f t="shared" si="31"/>
        <v>1.5883999999999996</v>
      </c>
      <c r="Q101" s="135"/>
      <c r="R101" s="104">
        <f t="shared" si="32"/>
        <v>6.2736500000000008</v>
      </c>
      <c r="S101" s="137"/>
      <c r="T101" s="141">
        <f t="shared" si="33"/>
        <v>1.6683499999999989</v>
      </c>
      <c r="U101" s="199">
        <f t="shared" si="34"/>
        <v>0</v>
      </c>
      <c r="V101" s="37" t="str">
        <f t="shared" si="35"/>
        <v>ok</v>
      </c>
      <c r="W101" s="37" t="str">
        <f t="shared" si="36"/>
        <v>ok</v>
      </c>
    </row>
    <row r="102" spans="1:23" x14ac:dyDescent="0.25">
      <c r="A102" s="420"/>
      <c r="B102" s="178" t="s">
        <v>20</v>
      </c>
      <c r="C102" s="129">
        <v>13</v>
      </c>
      <c r="D102" s="239">
        <f>DMG_9*CMD_2</f>
        <v>5.0652200000000001</v>
      </c>
      <c r="E102" s="131">
        <f>OMG_9*CMO_2</f>
        <v>10.108000000000001</v>
      </c>
      <c r="F102" s="132">
        <f t="shared" si="25"/>
        <v>8.0864000000000011</v>
      </c>
      <c r="G102" s="133">
        <f t="shared" si="26"/>
        <v>2.0215999999999998</v>
      </c>
      <c r="H102" s="134">
        <f t="shared" si="27"/>
        <v>5.0652200000000001</v>
      </c>
      <c r="I102" s="135"/>
      <c r="J102" s="136">
        <f t="shared" si="28"/>
        <v>0</v>
      </c>
      <c r="K102" s="137"/>
      <c r="L102" s="138">
        <f t="shared" si="29"/>
        <v>0</v>
      </c>
      <c r="M102" s="137"/>
      <c r="N102" s="139">
        <f t="shared" si="30"/>
        <v>3.0211800000000011</v>
      </c>
      <c r="O102" s="137"/>
      <c r="P102" s="140">
        <f t="shared" si="31"/>
        <v>2.0215999999999998</v>
      </c>
      <c r="Q102" s="135"/>
      <c r="R102" s="104">
        <f t="shared" si="32"/>
        <v>5.0652200000000001</v>
      </c>
      <c r="S102" s="137"/>
      <c r="T102" s="141">
        <f t="shared" si="33"/>
        <v>5.0427800000000005</v>
      </c>
      <c r="U102" s="199">
        <f t="shared" si="34"/>
        <v>0</v>
      </c>
      <c r="V102" s="37" t="str">
        <f t="shared" si="35"/>
        <v>ok</v>
      </c>
      <c r="W102" s="37" t="str">
        <f t="shared" si="36"/>
        <v>ok</v>
      </c>
    </row>
    <row r="103" spans="1:23" x14ac:dyDescent="0.25">
      <c r="A103" s="420"/>
      <c r="B103" s="178" t="s">
        <v>21</v>
      </c>
      <c r="C103" s="129">
        <v>14</v>
      </c>
      <c r="D103" s="239">
        <f>DMG_10*CMD_2</f>
        <v>9.6489200000000004</v>
      </c>
      <c r="E103" s="131">
        <f>OMG_10*CMO_2</f>
        <v>13.718</v>
      </c>
      <c r="F103" s="132">
        <f t="shared" si="25"/>
        <v>10.974400000000001</v>
      </c>
      <c r="G103" s="133">
        <f t="shared" si="26"/>
        <v>2.7435999999999994</v>
      </c>
      <c r="H103" s="134">
        <f t="shared" si="27"/>
        <v>9.6489200000000004</v>
      </c>
      <c r="I103" s="135"/>
      <c r="J103" s="136">
        <f t="shared" si="28"/>
        <v>0</v>
      </c>
      <c r="K103" s="137"/>
      <c r="L103" s="138">
        <f t="shared" si="29"/>
        <v>0</v>
      </c>
      <c r="M103" s="137"/>
      <c r="N103" s="139">
        <f t="shared" si="30"/>
        <v>1.3254800000000007</v>
      </c>
      <c r="O103" s="137"/>
      <c r="P103" s="140">
        <f t="shared" si="31"/>
        <v>2.7435999999999994</v>
      </c>
      <c r="Q103" s="135"/>
      <c r="R103" s="104">
        <f t="shared" si="32"/>
        <v>9.6489200000000004</v>
      </c>
      <c r="S103" s="137"/>
      <c r="T103" s="141">
        <f t="shared" si="33"/>
        <v>4.0690799999999996</v>
      </c>
      <c r="U103" s="199">
        <f t="shared" si="34"/>
        <v>0</v>
      </c>
      <c r="V103" s="37" t="str">
        <f t="shared" si="35"/>
        <v>ok</v>
      </c>
      <c r="W103" s="37" t="str">
        <f t="shared" si="36"/>
        <v>ok</v>
      </c>
    </row>
    <row r="104" spans="1:23" x14ac:dyDescent="0.25">
      <c r="A104" s="420"/>
      <c r="B104" s="178" t="s">
        <v>22</v>
      </c>
      <c r="C104" s="129">
        <v>15</v>
      </c>
      <c r="D104" s="239">
        <f>DMG_11*CMD_2</f>
        <v>8.3849300000000007</v>
      </c>
      <c r="E104" s="131">
        <f>OMG_11*CMO_2</f>
        <v>21.66</v>
      </c>
      <c r="F104" s="132">
        <f t="shared" si="25"/>
        <v>17.327999999999999</v>
      </c>
      <c r="G104" s="133">
        <f t="shared" si="26"/>
        <v>4.331999999999999</v>
      </c>
      <c r="H104" s="134">
        <f t="shared" si="27"/>
        <v>8.3849300000000007</v>
      </c>
      <c r="I104" s="135"/>
      <c r="J104" s="136">
        <f t="shared" si="28"/>
        <v>0</v>
      </c>
      <c r="K104" s="137"/>
      <c r="L104" s="138">
        <f t="shared" si="29"/>
        <v>0</v>
      </c>
      <c r="M104" s="137"/>
      <c r="N104" s="139">
        <f t="shared" si="30"/>
        <v>8.9430699999999987</v>
      </c>
      <c r="O104" s="137"/>
      <c r="P104" s="140">
        <f t="shared" si="31"/>
        <v>4.331999999999999</v>
      </c>
      <c r="Q104" s="135"/>
      <c r="R104" s="104">
        <f t="shared" si="32"/>
        <v>8.3849300000000007</v>
      </c>
      <c r="S104" s="137"/>
      <c r="T104" s="141">
        <f t="shared" si="33"/>
        <v>13.275069999999998</v>
      </c>
      <c r="U104" s="199">
        <f t="shared" si="34"/>
        <v>0</v>
      </c>
      <c r="V104" s="37" t="str">
        <f t="shared" si="35"/>
        <v>ok</v>
      </c>
      <c r="W104" s="37" t="str">
        <f t="shared" si="36"/>
        <v>ok</v>
      </c>
    </row>
    <row r="105" spans="1:23" x14ac:dyDescent="0.25">
      <c r="A105" s="420"/>
      <c r="B105" s="178" t="s">
        <v>23</v>
      </c>
      <c r="C105" s="129">
        <v>16</v>
      </c>
      <c r="D105" s="239">
        <f>DMG_12*CMD_2</f>
        <v>6.5838600000000005</v>
      </c>
      <c r="E105" s="131">
        <f>OMG_12*CMO_2</f>
        <v>16.605999999999998</v>
      </c>
      <c r="F105" s="132">
        <f t="shared" si="25"/>
        <v>13.284799999999999</v>
      </c>
      <c r="G105" s="133">
        <f t="shared" si="26"/>
        <v>3.3211999999999988</v>
      </c>
      <c r="H105" s="134">
        <f t="shared" si="27"/>
        <v>6.5838600000000005</v>
      </c>
      <c r="I105" s="135"/>
      <c r="J105" s="136">
        <f t="shared" si="28"/>
        <v>0</v>
      </c>
      <c r="K105" s="137"/>
      <c r="L105" s="138">
        <f t="shared" si="29"/>
        <v>0</v>
      </c>
      <c r="M105" s="137"/>
      <c r="N105" s="139">
        <f t="shared" si="30"/>
        <v>6.7009399999999983</v>
      </c>
      <c r="O105" s="137"/>
      <c r="P105" s="140">
        <f t="shared" si="31"/>
        <v>3.3211999999999988</v>
      </c>
      <c r="Q105" s="135"/>
      <c r="R105" s="104">
        <f t="shared" si="32"/>
        <v>6.5838600000000005</v>
      </c>
      <c r="S105" s="137"/>
      <c r="T105" s="141">
        <f t="shared" si="33"/>
        <v>10.022139999999997</v>
      </c>
      <c r="U105" s="199">
        <f t="shared" si="34"/>
        <v>0</v>
      </c>
      <c r="V105" s="37" t="str">
        <f t="shared" si="35"/>
        <v>ok</v>
      </c>
      <c r="W105" s="37" t="str">
        <f t="shared" si="36"/>
        <v>ok</v>
      </c>
    </row>
    <row r="106" spans="1:23" x14ac:dyDescent="0.25">
      <c r="A106" s="420"/>
      <c r="B106" s="178" t="s">
        <v>19</v>
      </c>
      <c r="C106" s="129">
        <v>19</v>
      </c>
      <c r="D106" s="239">
        <f>DMG_13*CMD_2</f>
        <v>2.8798599999999999</v>
      </c>
      <c r="E106" s="131">
        <f>OMG_13*CMO_2</f>
        <v>7.9420000000000002</v>
      </c>
      <c r="F106" s="132">
        <f t="shared" si="25"/>
        <v>6.3536000000000001</v>
      </c>
      <c r="G106" s="133">
        <f t="shared" si="26"/>
        <v>1.5883999999999996</v>
      </c>
      <c r="H106" s="134">
        <f t="shared" si="27"/>
        <v>2.8798599999999999</v>
      </c>
      <c r="I106" s="135"/>
      <c r="J106" s="136">
        <f t="shared" si="28"/>
        <v>0</v>
      </c>
      <c r="K106" s="137"/>
      <c r="L106" s="138">
        <f t="shared" si="29"/>
        <v>0</v>
      </c>
      <c r="M106" s="137"/>
      <c r="N106" s="139">
        <f t="shared" si="30"/>
        <v>3.4737400000000003</v>
      </c>
      <c r="O106" s="137"/>
      <c r="P106" s="140">
        <f t="shared" si="31"/>
        <v>1.5883999999999996</v>
      </c>
      <c r="Q106" s="135"/>
      <c r="R106" s="104">
        <f t="shared" si="32"/>
        <v>2.8798599999999999</v>
      </c>
      <c r="S106" s="137"/>
      <c r="T106" s="141">
        <f t="shared" si="33"/>
        <v>5.0621399999999994</v>
      </c>
      <c r="U106" s="199">
        <f t="shared" si="34"/>
        <v>0</v>
      </c>
      <c r="V106" s="37" t="str">
        <f t="shared" si="35"/>
        <v>ok</v>
      </c>
      <c r="W106" s="37" t="str">
        <f t="shared" si="36"/>
        <v>ok</v>
      </c>
    </row>
    <row r="107" spans="1:23" x14ac:dyDescent="0.25">
      <c r="A107" s="420"/>
      <c r="B107" s="178" t="s">
        <v>20</v>
      </c>
      <c r="C107" s="129">
        <v>20</v>
      </c>
      <c r="D107" s="239">
        <f>DMG_14*CMD_2</f>
        <v>2.00942</v>
      </c>
      <c r="E107" s="131">
        <f>OMG_14*CMO_2</f>
        <v>13.356999999999999</v>
      </c>
      <c r="F107" s="132">
        <f t="shared" si="25"/>
        <v>10.685600000000001</v>
      </c>
      <c r="G107" s="133">
        <f t="shared" si="26"/>
        <v>2.6713999999999993</v>
      </c>
      <c r="H107" s="134">
        <f t="shared" si="27"/>
        <v>2.00942</v>
      </c>
      <c r="I107" s="135"/>
      <c r="J107" s="136">
        <f t="shared" si="28"/>
        <v>0</v>
      </c>
      <c r="K107" s="137"/>
      <c r="L107" s="138">
        <f t="shared" si="29"/>
        <v>0</v>
      </c>
      <c r="M107" s="137"/>
      <c r="N107" s="139">
        <f t="shared" si="30"/>
        <v>8.6761800000000004</v>
      </c>
      <c r="O107" s="137"/>
      <c r="P107" s="140">
        <f t="shared" si="31"/>
        <v>2.6713999999999993</v>
      </c>
      <c r="Q107" s="135"/>
      <c r="R107" s="104">
        <f t="shared" si="32"/>
        <v>2.00942</v>
      </c>
      <c r="S107" s="137"/>
      <c r="T107" s="141">
        <f t="shared" si="33"/>
        <v>11.347580000000001</v>
      </c>
      <c r="U107" s="199">
        <f t="shared" si="34"/>
        <v>0</v>
      </c>
      <c r="V107" s="37" t="str">
        <f t="shared" si="35"/>
        <v>ok</v>
      </c>
      <c r="W107" s="37" t="str">
        <f t="shared" si="36"/>
        <v>ok</v>
      </c>
    </row>
    <row r="108" spans="1:23" x14ac:dyDescent="0.25">
      <c r="A108" s="420"/>
      <c r="B108" s="178" t="s">
        <v>21</v>
      </c>
      <c r="C108" s="129">
        <v>21</v>
      </c>
      <c r="D108" s="239">
        <f>DMG_15*CMD_2</f>
        <v>4.1669999999999998</v>
      </c>
      <c r="E108" s="131">
        <f>OMG_15*CMO_2</f>
        <v>15.884</v>
      </c>
      <c r="F108" s="132">
        <f t="shared" si="25"/>
        <v>12.7072</v>
      </c>
      <c r="G108" s="133">
        <f t="shared" si="26"/>
        <v>3.1767999999999992</v>
      </c>
      <c r="H108" s="134">
        <f t="shared" si="27"/>
        <v>4.1669999999999998</v>
      </c>
      <c r="I108" s="135"/>
      <c r="J108" s="136">
        <f t="shared" si="28"/>
        <v>0</v>
      </c>
      <c r="K108" s="137"/>
      <c r="L108" s="138">
        <f t="shared" si="29"/>
        <v>0</v>
      </c>
      <c r="M108" s="137"/>
      <c r="N108" s="139">
        <f t="shared" si="30"/>
        <v>8.5402000000000005</v>
      </c>
      <c r="O108" s="137"/>
      <c r="P108" s="140">
        <f t="shared" si="31"/>
        <v>3.1767999999999992</v>
      </c>
      <c r="Q108" s="135"/>
      <c r="R108" s="104">
        <f t="shared" si="32"/>
        <v>4.1669999999999998</v>
      </c>
      <c r="S108" s="137"/>
      <c r="T108" s="141">
        <f t="shared" si="33"/>
        <v>11.716999999999999</v>
      </c>
      <c r="U108" s="199">
        <f t="shared" si="34"/>
        <v>0</v>
      </c>
      <c r="V108" s="37" t="str">
        <f t="shared" si="35"/>
        <v>ok</v>
      </c>
      <c r="W108" s="37" t="str">
        <f t="shared" si="36"/>
        <v>ok</v>
      </c>
    </row>
    <row r="109" spans="1:23" x14ac:dyDescent="0.25">
      <c r="A109" s="420"/>
      <c r="B109" s="178" t="s">
        <v>22</v>
      </c>
      <c r="C109" s="129">
        <v>22</v>
      </c>
      <c r="D109" s="239">
        <f>DMG_16*CMD_2</f>
        <v>16.723559999999999</v>
      </c>
      <c r="E109" s="131">
        <f>OMG_16*CMO_2</f>
        <v>17.869499999999999</v>
      </c>
      <c r="F109" s="132">
        <f t="shared" si="25"/>
        <v>14.2956</v>
      </c>
      <c r="G109" s="133">
        <f t="shared" si="26"/>
        <v>3.5738999999999987</v>
      </c>
      <c r="H109" s="134">
        <f t="shared" si="27"/>
        <v>16.723559999999999</v>
      </c>
      <c r="I109" s="135"/>
      <c r="J109" s="136">
        <f t="shared" si="28"/>
        <v>0</v>
      </c>
      <c r="K109" s="137"/>
      <c r="L109" s="138">
        <f t="shared" si="29"/>
        <v>2.4279599999999988</v>
      </c>
      <c r="M109" s="137"/>
      <c r="N109" s="139">
        <f t="shared" si="30"/>
        <v>0</v>
      </c>
      <c r="O109" s="137"/>
      <c r="P109" s="140">
        <f t="shared" si="31"/>
        <v>1.1459399999999995</v>
      </c>
      <c r="Q109" s="135"/>
      <c r="R109" s="104">
        <f t="shared" si="32"/>
        <v>14.2956</v>
      </c>
      <c r="S109" s="137"/>
      <c r="T109" s="141">
        <f t="shared" si="33"/>
        <v>3.5738999999999983</v>
      </c>
      <c r="U109" s="199">
        <f t="shared" si="34"/>
        <v>2.4279599999999988</v>
      </c>
      <c r="V109" s="37" t="str">
        <f t="shared" si="35"/>
        <v>ok</v>
      </c>
      <c r="W109" s="37" t="str">
        <f t="shared" si="36"/>
        <v>ok</v>
      </c>
    </row>
    <row r="110" spans="1:23" x14ac:dyDescent="0.25">
      <c r="A110" s="420"/>
      <c r="B110" s="178" t="s">
        <v>23</v>
      </c>
      <c r="C110" s="129">
        <v>23</v>
      </c>
      <c r="D110" s="239">
        <f>DMG_17*CMD_2</f>
        <v>13.6122</v>
      </c>
      <c r="E110" s="131">
        <f>OMG_17*CMO_2</f>
        <v>11.320959999999999</v>
      </c>
      <c r="F110" s="132">
        <f t="shared" si="25"/>
        <v>9.0567679999999999</v>
      </c>
      <c r="G110" s="133">
        <f t="shared" si="26"/>
        <v>2.2641919999999995</v>
      </c>
      <c r="H110" s="134">
        <f t="shared" si="27"/>
        <v>11.320959999999999</v>
      </c>
      <c r="I110" s="135"/>
      <c r="J110" s="136">
        <f t="shared" si="28"/>
        <v>2.2912400000000002</v>
      </c>
      <c r="K110" s="137"/>
      <c r="L110" s="138">
        <f t="shared" si="29"/>
        <v>2.2641919999999995</v>
      </c>
      <c r="M110" s="137"/>
      <c r="N110" s="139">
        <f t="shared" si="30"/>
        <v>0</v>
      </c>
      <c r="O110" s="137"/>
      <c r="P110" s="140">
        <f t="shared" si="31"/>
        <v>0</v>
      </c>
      <c r="Q110" s="135"/>
      <c r="R110" s="104">
        <f t="shared" si="32"/>
        <v>9.0567679999999999</v>
      </c>
      <c r="S110" s="137"/>
      <c r="T110" s="141">
        <f t="shared" si="33"/>
        <v>2.2641919999999995</v>
      </c>
      <c r="U110" s="199">
        <f t="shared" si="34"/>
        <v>4.5554319999999997</v>
      </c>
      <c r="V110" s="37" t="str">
        <f t="shared" si="35"/>
        <v>ok</v>
      </c>
      <c r="W110" s="37" t="str">
        <f t="shared" si="36"/>
        <v>ok</v>
      </c>
    </row>
    <row r="111" spans="1:23" x14ac:dyDescent="0.25">
      <c r="A111" s="420"/>
      <c r="B111" s="178" t="s">
        <v>19</v>
      </c>
      <c r="C111" s="129">
        <v>26</v>
      </c>
      <c r="D111" s="239">
        <f>DMG_18*CMD_2</f>
        <v>7.8432200000000014</v>
      </c>
      <c r="E111" s="131">
        <f>OMG_18*CMO_2</f>
        <v>5.3644599999999993</v>
      </c>
      <c r="F111" s="132">
        <f t="shared" si="25"/>
        <v>4.2915679999999998</v>
      </c>
      <c r="G111" s="133">
        <f t="shared" si="26"/>
        <v>1.0728919999999997</v>
      </c>
      <c r="H111" s="134">
        <f t="shared" si="27"/>
        <v>5.3644599999999993</v>
      </c>
      <c r="I111" s="135"/>
      <c r="J111" s="136">
        <f t="shared" si="28"/>
        <v>2.4787600000000021</v>
      </c>
      <c r="K111" s="137"/>
      <c r="L111" s="138">
        <f t="shared" si="29"/>
        <v>1.0728919999999997</v>
      </c>
      <c r="M111" s="137"/>
      <c r="N111" s="139">
        <f t="shared" si="30"/>
        <v>0</v>
      </c>
      <c r="O111" s="137"/>
      <c r="P111" s="140">
        <f t="shared" si="31"/>
        <v>0</v>
      </c>
      <c r="Q111" s="135"/>
      <c r="R111" s="104">
        <f t="shared" si="32"/>
        <v>4.2915679999999998</v>
      </c>
      <c r="S111" s="137"/>
      <c r="T111" s="141">
        <f t="shared" si="33"/>
        <v>1.0728919999999997</v>
      </c>
      <c r="U111" s="199">
        <f t="shared" si="34"/>
        <v>3.5516520000000016</v>
      </c>
      <c r="V111" s="37" t="str">
        <f t="shared" si="35"/>
        <v>ok</v>
      </c>
      <c r="W111" s="37" t="str">
        <f t="shared" si="36"/>
        <v>ok</v>
      </c>
    </row>
    <row r="112" spans="1:23" x14ac:dyDescent="0.25">
      <c r="A112" s="420"/>
      <c r="B112" s="178" t="s">
        <v>20</v>
      </c>
      <c r="C112" s="129">
        <v>27</v>
      </c>
      <c r="D112" s="239">
        <f>DMG_19*CMD_2</f>
        <v>6.4218099999999998</v>
      </c>
      <c r="E112" s="131">
        <f>OMG_19*CMO_2</f>
        <v>7.1478000000000002</v>
      </c>
      <c r="F112" s="132">
        <f t="shared" si="25"/>
        <v>5.7182400000000007</v>
      </c>
      <c r="G112" s="133">
        <f t="shared" si="26"/>
        <v>1.4295599999999997</v>
      </c>
      <c r="H112" s="134">
        <f t="shared" si="27"/>
        <v>6.4218099999999998</v>
      </c>
      <c r="I112" s="135"/>
      <c r="J112" s="136">
        <f t="shared" si="28"/>
        <v>0</v>
      </c>
      <c r="K112" s="137"/>
      <c r="L112" s="138">
        <f t="shared" si="29"/>
        <v>0.70356999999999914</v>
      </c>
      <c r="M112" s="137"/>
      <c r="N112" s="139">
        <f t="shared" si="30"/>
        <v>0</v>
      </c>
      <c r="O112" s="137"/>
      <c r="P112" s="140">
        <f t="shared" si="31"/>
        <v>0.72599000000000036</v>
      </c>
      <c r="Q112" s="135"/>
      <c r="R112" s="104">
        <f t="shared" si="32"/>
        <v>5.7182400000000007</v>
      </c>
      <c r="S112" s="137"/>
      <c r="T112" s="141">
        <f t="shared" si="33"/>
        <v>1.4295599999999995</v>
      </c>
      <c r="U112" s="199">
        <f t="shared" si="34"/>
        <v>0.70356999999999914</v>
      </c>
      <c r="V112" s="37" t="str">
        <f t="shared" si="35"/>
        <v>ok</v>
      </c>
      <c r="W112" s="37" t="str">
        <f t="shared" si="36"/>
        <v>ok</v>
      </c>
    </row>
    <row r="113" spans="1:23" ht="15.75" thickBot="1" x14ac:dyDescent="0.3">
      <c r="A113" s="421"/>
      <c r="B113" s="180" t="s">
        <v>21</v>
      </c>
      <c r="C113" s="237">
        <v>28</v>
      </c>
      <c r="D113" s="240">
        <f>DMG_20*CMD_2</f>
        <v>12.061150000000001</v>
      </c>
      <c r="E113" s="203">
        <f>OMG_20*CMO_2</f>
        <v>11.320959999999999</v>
      </c>
      <c r="F113" s="204">
        <f t="shared" si="25"/>
        <v>9.0567679999999999</v>
      </c>
      <c r="G113" s="205">
        <f t="shared" si="26"/>
        <v>2.2641919999999995</v>
      </c>
      <c r="H113" s="206">
        <f t="shared" si="27"/>
        <v>11.320959999999999</v>
      </c>
      <c r="I113" s="207"/>
      <c r="J113" s="208">
        <f t="shared" si="28"/>
        <v>0.7401900000000019</v>
      </c>
      <c r="K113" s="209"/>
      <c r="L113" s="210">
        <f t="shared" si="29"/>
        <v>2.2641919999999995</v>
      </c>
      <c r="M113" s="209"/>
      <c r="N113" s="211">
        <f t="shared" si="30"/>
        <v>0</v>
      </c>
      <c r="O113" s="209"/>
      <c r="P113" s="212">
        <f t="shared" si="31"/>
        <v>0</v>
      </c>
      <c r="Q113" s="207"/>
      <c r="R113" s="213">
        <f t="shared" si="32"/>
        <v>9.0567679999999999</v>
      </c>
      <c r="S113" s="209"/>
      <c r="T113" s="214">
        <f t="shared" si="33"/>
        <v>2.2641919999999995</v>
      </c>
      <c r="U113" s="215">
        <f t="shared" si="34"/>
        <v>3.0043820000000014</v>
      </c>
      <c r="V113" s="37" t="str">
        <f t="shared" si="35"/>
        <v>ok</v>
      </c>
      <c r="W113" s="37" t="str">
        <f t="shared" si="36"/>
        <v>ok</v>
      </c>
    </row>
    <row r="114" spans="1:23" x14ac:dyDescent="0.25">
      <c r="A114" s="419" t="s">
        <v>91</v>
      </c>
      <c r="B114" s="176" t="s">
        <v>22</v>
      </c>
      <c r="C114" s="241">
        <v>1</v>
      </c>
      <c r="D114" s="238">
        <f>DMG_1*CMD_3</f>
        <v>9.9061700000000013</v>
      </c>
      <c r="E114" s="185">
        <f>OMG_1*CMO_3</f>
        <v>16.614000000000001</v>
      </c>
      <c r="F114" s="186">
        <f t="shared" si="25"/>
        <v>13.291200000000002</v>
      </c>
      <c r="G114" s="187">
        <f t="shared" si="26"/>
        <v>3.3227999999999995</v>
      </c>
      <c r="H114" s="188">
        <f>IF(E114&gt;D114,D114,E114)</f>
        <v>9.9061700000000013</v>
      </c>
      <c r="I114" s="189"/>
      <c r="J114" s="190">
        <f>IF(E114&gt;D114,0,D114-E114)</f>
        <v>0</v>
      </c>
      <c r="K114" s="191"/>
      <c r="L114" s="192">
        <f>IF(E114&gt;D114,IF(F114&gt;H114,0,H114-F114),G114)</f>
        <v>0</v>
      </c>
      <c r="M114" s="191"/>
      <c r="N114" s="193">
        <f>IF(E114&gt;D114,IF(F114&gt;H114,F114-H114,0),0)</f>
        <v>3.3850300000000004</v>
      </c>
      <c r="O114" s="191"/>
      <c r="P114" s="194">
        <f>IF(E114&gt;D114,IF(F114&gt;H114,G114,E114-H114),0)</f>
        <v>3.3227999999999995</v>
      </c>
      <c r="Q114" s="189"/>
      <c r="R114" s="195">
        <f>H114-L114</f>
        <v>9.9061700000000013</v>
      </c>
      <c r="S114" s="191"/>
      <c r="T114" s="196">
        <f>L114+N114+P114</f>
        <v>6.7078299999999995</v>
      </c>
      <c r="U114" s="197">
        <f>J114+L114</f>
        <v>0</v>
      </c>
      <c r="V114" s="37" t="str">
        <f>IF(R114+T114=E114,"ok","bad")</f>
        <v>ok</v>
      </c>
      <c r="W114" s="37" t="str">
        <f>IF(U114+R114=D114,"ok","bad")</f>
        <v>ok</v>
      </c>
    </row>
    <row r="115" spans="1:23" x14ac:dyDescent="0.25">
      <c r="A115" s="420"/>
      <c r="B115" s="178" t="s">
        <v>23</v>
      </c>
      <c r="C115" s="129">
        <v>2</v>
      </c>
      <c r="D115" s="239">
        <f>DMG_2*CMD_3</f>
        <v>7.7783400000000009</v>
      </c>
      <c r="E115" s="131">
        <f>OMG_2*CMO_3</f>
        <v>12.1836</v>
      </c>
      <c r="F115" s="132">
        <f t="shared" si="25"/>
        <v>9.7468800000000009</v>
      </c>
      <c r="G115" s="133">
        <f t="shared" si="26"/>
        <v>2.4367199999999993</v>
      </c>
      <c r="H115" s="134">
        <f t="shared" ref="H115:H135" si="37">IF(E115&gt;D115,D115,E115)</f>
        <v>7.7783400000000009</v>
      </c>
      <c r="I115" s="135"/>
      <c r="J115" s="136">
        <f t="shared" ref="J115:J135" si="38">IF(E115&gt;D115,0,D115-E115)</f>
        <v>0</v>
      </c>
      <c r="K115" s="137"/>
      <c r="L115" s="138">
        <f t="shared" ref="L115:L135" si="39">IF(E115&gt;D115,IF(F115&gt;H115,0,H115-F115),G115)</f>
        <v>0</v>
      </c>
      <c r="M115" s="137"/>
      <c r="N115" s="139">
        <f t="shared" ref="N115:N135" si="40">IF(E115&gt;D115,IF(F115&gt;H115,F115-H115,0),0)</f>
        <v>1.96854</v>
      </c>
      <c r="O115" s="137"/>
      <c r="P115" s="140">
        <f t="shared" ref="P115:P135" si="41">IF(E115&gt;D115,IF(F115&gt;H115,G115,E115-H115),0)</f>
        <v>2.4367199999999993</v>
      </c>
      <c r="Q115" s="135"/>
      <c r="R115" s="104">
        <f t="shared" ref="R115:R135" si="42">H115-L115</f>
        <v>7.7783400000000009</v>
      </c>
      <c r="S115" s="137"/>
      <c r="T115" s="141">
        <f t="shared" ref="T115:T135" si="43">L115+N115+P115</f>
        <v>4.4052599999999993</v>
      </c>
      <c r="U115" s="199">
        <f t="shared" ref="U115:U135" si="44">J115+L115</f>
        <v>0</v>
      </c>
      <c r="V115" s="37" t="str">
        <f t="shared" ref="V115:V135" si="45">IF(R115+T115=E115,"ok","bad")</f>
        <v>ok</v>
      </c>
      <c r="W115" s="37" t="str">
        <f t="shared" ref="W115:W135" si="46">IF(U115+R115=D115,"ok","bad")</f>
        <v>ok</v>
      </c>
    </row>
    <row r="116" spans="1:23" x14ac:dyDescent="0.25">
      <c r="A116" s="420"/>
      <c r="B116" s="178" t="s">
        <v>19</v>
      </c>
      <c r="C116" s="129">
        <v>5</v>
      </c>
      <c r="D116" s="239">
        <f>DMG_3*CMD_3</f>
        <v>3.4023400000000001</v>
      </c>
      <c r="E116" s="131">
        <f>OMG_3*CMO_3</f>
        <v>4.9841999999999995</v>
      </c>
      <c r="F116" s="132">
        <f t="shared" si="25"/>
        <v>3.9873599999999998</v>
      </c>
      <c r="G116" s="133">
        <f t="shared" si="26"/>
        <v>0.99683999999999973</v>
      </c>
      <c r="H116" s="134">
        <f t="shared" si="37"/>
        <v>3.4023400000000001</v>
      </c>
      <c r="I116" s="135"/>
      <c r="J116" s="136">
        <f t="shared" si="38"/>
        <v>0</v>
      </c>
      <c r="K116" s="137"/>
      <c r="L116" s="138">
        <f t="shared" si="39"/>
        <v>0</v>
      </c>
      <c r="M116" s="137"/>
      <c r="N116" s="139">
        <f t="shared" si="40"/>
        <v>0.58501999999999965</v>
      </c>
      <c r="O116" s="137"/>
      <c r="P116" s="140">
        <f t="shared" si="41"/>
        <v>0.99683999999999973</v>
      </c>
      <c r="Q116" s="135"/>
      <c r="R116" s="104">
        <f t="shared" si="42"/>
        <v>3.4023400000000001</v>
      </c>
      <c r="S116" s="137"/>
      <c r="T116" s="141">
        <f t="shared" si="43"/>
        <v>1.5818599999999994</v>
      </c>
      <c r="U116" s="199">
        <f t="shared" si="44"/>
        <v>0</v>
      </c>
      <c r="V116" s="37" t="str">
        <f t="shared" si="45"/>
        <v>ok</v>
      </c>
      <c r="W116" s="37" t="str">
        <f t="shared" si="46"/>
        <v>ok</v>
      </c>
    </row>
    <row r="117" spans="1:23" x14ac:dyDescent="0.25">
      <c r="A117" s="420"/>
      <c r="B117" s="178" t="s">
        <v>20</v>
      </c>
      <c r="C117" s="129">
        <v>6</v>
      </c>
      <c r="D117" s="239">
        <f>DMG_4*CMD_3</f>
        <v>2.37398</v>
      </c>
      <c r="E117" s="131">
        <f>OMG_4*CMO_3</f>
        <v>7.4763000000000002</v>
      </c>
      <c r="F117" s="132">
        <f t="shared" si="25"/>
        <v>5.9810400000000001</v>
      </c>
      <c r="G117" s="133">
        <f t="shared" si="26"/>
        <v>1.4952599999999998</v>
      </c>
      <c r="H117" s="134">
        <f t="shared" si="37"/>
        <v>2.37398</v>
      </c>
      <c r="I117" s="135"/>
      <c r="J117" s="136">
        <f t="shared" si="38"/>
        <v>0</v>
      </c>
      <c r="K117" s="137"/>
      <c r="L117" s="138">
        <f t="shared" si="39"/>
        <v>0</v>
      </c>
      <c r="M117" s="137"/>
      <c r="N117" s="139">
        <f t="shared" si="40"/>
        <v>3.6070600000000002</v>
      </c>
      <c r="O117" s="137"/>
      <c r="P117" s="140">
        <f t="shared" si="41"/>
        <v>1.4952599999999998</v>
      </c>
      <c r="Q117" s="135"/>
      <c r="R117" s="104">
        <f t="shared" si="42"/>
        <v>2.37398</v>
      </c>
      <c r="S117" s="137"/>
      <c r="T117" s="141">
        <f t="shared" si="43"/>
        <v>5.1023199999999997</v>
      </c>
      <c r="U117" s="199">
        <f t="shared" si="44"/>
        <v>0</v>
      </c>
      <c r="V117" s="37" t="str">
        <f t="shared" si="45"/>
        <v>ok</v>
      </c>
      <c r="W117" s="37" t="str">
        <f t="shared" si="46"/>
        <v>ok</v>
      </c>
    </row>
    <row r="118" spans="1:23" x14ac:dyDescent="0.25">
      <c r="A118" s="420"/>
      <c r="B118" s="178" t="s">
        <v>21</v>
      </c>
      <c r="C118" s="129">
        <v>7</v>
      </c>
      <c r="D118" s="239">
        <f>DMG_5*CMD_3</f>
        <v>4.923</v>
      </c>
      <c r="E118" s="131">
        <f>OMG_5*CMO_3</f>
        <v>12.1836</v>
      </c>
      <c r="F118" s="132">
        <f t="shared" si="25"/>
        <v>9.7468800000000009</v>
      </c>
      <c r="G118" s="133">
        <f t="shared" si="26"/>
        <v>2.4367199999999993</v>
      </c>
      <c r="H118" s="134">
        <f t="shared" si="37"/>
        <v>4.923</v>
      </c>
      <c r="I118" s="135"/>
      <c r="J118" s="136">
        <f t="shared" si="38"/>
        <v>0</v>
      </c>
      <c r="K118" s="137"/>
      <c r="L118" s="138">
        <f t="shared" si="39"/>
        <v>0</v>
      </c>
      <c r="M118" s="137"/>
      <c r="N118" s="139">
        <f t="shared" si="40"/>
        <v>4.8238800000000008</v>
      </c>
      <c r="O118" s="137"/>
      <c r="P118" s="140">
        <f t="shared" si="41"/>
        <v>2.4367199999999993</v>
      </c>
      <c r="Q118" s="135"/>
      <c r="R118" s="104">
        <f t="shared" si="42"/>
        <v>4.923</v>
      </c>
      <c r="S118" s="137"/>
      <c r="T118" s="141">
        <f t="shared" si="43"/>
        <v>7.2606000000000002</v>
      </c>
      <c r="U118" s="199">
        <f t="shared" si="44"/>
        <v>0</v>
      </c>
      <c r="V118" s="37" t="str">
        <f t="shared" si="45"/>
        <v>ok</v>
      </c>
      <c r="W118" s="37" t="str">
        <f t="shared" si="46"/>
        <v>ok</v>
      </c>
    </row>
    <row r="119" spans="1:23" x14ac:dyDescent="0.25">
      <c r="A119" s="420"/>
      <c r="B119" s="178" t="s">
        <v>22</v>
      </c>
      <c r="C119" s="129">
        <v>8</v>
      </c>
      <c r="D119" s="239">
        <f>DMG_6*CMD_3</f>
        <v>15.808300000000001</v>
      </c>
      <c r="E119" s="131">
        <f>OMG_6*CMO_3</f>
        <v>8.52</v>
      </c>
      <c r="F119" s="132">
        <f t="shared" si="25"/>
        <v>6.8159999999999998</v>
      </c>
      <c r="G119" s="133">
        <f t="shared" si="26"/>
        <v>1.7039999999999995</v>
      </c>
      <c r="H119" s="134">
        <f t="shared" si="37"/>
        <v>8.52</v>
      </c>
      <c r="I119" s="135"/>
      <c r="J119" s="136">
        <f t="shared" si="38"/>
        <v>7.2883000000000013</v>
      </c>
      <c r="K119" s="137"/>
      <c r="L119" s="138">
        <f t="shared" si="39"/>
        <v>1.7039999999999995</v>
      </c>
      <c r="M119" s="137"/>
      <c r="N119" s="139">
        <f t="shared" si="40"/>
        <v>0</v>
      </c>
      <c r="O119" s="137"/>
      <c r="P119" s="140">
        <f t="shared" si="41"/>
        <v>0</v>
      </c>
      <c r="Q119" s="135"/>
      <c r="R119" s="104">
        <f t="shared" si="42"/>
        <v>6.8159999999999998</v>
      </c>
      <c r="S119" s="137"/>
      <c r="T119" s="141">
        <f t="shared" si="43"/>
        <v>1.7039999999999995</v>
      </c>
      <c r="U119" s="199">
        <f t="shared" si="44"/>
        <v>8.9923000000000002</v>
      </c>
      <c r="V119" s="37" t="str">
        <f t="shared" si="45"/>
        <v>ok</v>
      </c>
      <c r="W119" s="37" t="str">
        <f t="shared" si="46"/>
        <v>ok</v>
      </c>
    </row>
    <row r="120" spans="1:23" x14ac:dyDescent="0.25">
      <c r="A120" s="420"/>
      <c r="B120" s="178" t="s">
        <v>23</v>
      </c>
      <c r="C120" s="129">
        <v>9</v>
      </c>
      <c r="D120" s="239">
        <f>DMG_7*CMD_3</f>
        <v>12.821680000000002</v>
      </c>
      <c r="E120" s="131">
        <f>OMG_7*CMO_3</f>
        <v>8.7330000000000005</v>
      </c>
      <c r="F120" s="132">
        <f t="shared" si="25"/>
        <v>6.9864000000000006</v>
      </c>
      <c r="G120" s="133">
        <f t="shared" si="26"/>
        <v>1.7465999999999997</v>
      </c>
      <c r="H120" s="134">
        <f t="shared" si="37"/>
        <v>8.7330000000000005</v>
      </c>
      <c r="I120" s="135"/>
      <c r="J120" s="136">
        <f t="shared" si="38"/>
        <v>4.0886800000000019</v>
      </c>
      <c r="K120" s="137"/>
      <c r="L120" s="138">
        <f t="shared" si="39"/>
        <v>1.7465999999999997</v>
      </c>
      <c r="M120" s="137"/>
      <c r="N120" s="139">
        <f t="shared" si="40"/>
        <v>0</v>
      </c>
      <c r="O120" s="137"/>
      <c r="P120" s="140">
        <f t="shared" si="41"/>
        <v>0</v>
      </c>
      <c r="Q120" s="135"/>
      <c r="R120" s="104">
        <f t="shared" si="42"/>
        <v>6.9864000000000006</v>
      </c>
      <c r="S120" s="137"/>
      <c r="T120" s="141">
        <f t="shared" si="43"/>
        <v>1.7465999999999997</v>
      </c>
      <c r="U120" s="199">
        <f t="shared" si="44"/>
        <v>5.8352800000000018</v>
      </c>
      <c r="V120" s="37" t="str">
        <f t="shared" si="45"/>
        <v>ok</v>
      </c>
      <c r="W120" s="37" t="str">
        <f t="shared" si="46"/>
        <v>ok</v>
      </c>
    </row>
    <row r="121" spans="1:23" x14ac:dyDescent="0.25">
      <c r="A121" s="420"/>
      <c r="B121" s="178" t="s">
        <v>19</v>
      </c>
      <c r="C121" s="129">
        <v>12</v>
      </c>
      <c r="D121" s="239">
        <f>DMG_8*CMD_3</f>
        <v>7.4118500000000012</v>
      </c>
      <c r="E121" s="131">
        <f>OMG_8*CMO_3</f>
        <v>4.6859999999999999</v>
      </c>
      <c r="F121" s="132">
        <f t="shared" si="25"/>
        <v>3.7488000000000001</v>
      </c>
      <c r="G121" s="133">
        <f t="shared" si="26"/>
        <v>0.93719999999999981</v>
      </c>
      <c r="H121" s="134">
        <f t="shared" si="37"/>
        <v>4.6859999999999999</v>
      </c>
      <c r="I121" s="135"/>
      <c r="J121" s="136">
        <f t="shared" si="38"/>
        <v>2.7258500000000012</v>
      </c>
      <c r="K121" s="137"/>
      <c r="L121" s="138">
        <f t="shared" si="39"/>
        <v>0.93719999999999981</v>
      </c>
      <c r="M121" s="137"/>
      <c r="N121" s="139">
        <f t="shared" si="40"/>
        <v>0</v>
      </c>
      <c r="O121" s="137"/>
      <c r="P121" s="140">
        <f t="shared" si="41"/>
        <v>0</v>
      </c>
      <c r="Q121" s="135"/>
      <c r="R121" s="104">
        <f t="shared" si="42"/>
        <v>3.7488000000000001</v>
      </c>
      <c r="S121" s="137"/>
      <c r="T121" s="141">
        <f t="shared" si="43"/>
        <v>0.93719999999999981</v>
      </c>
      <c r="U121" s="199">
        <f t="shared" si="44"/>
        <v>3.663050000000001</v>
      </c>
      <c r="V121" s="37" t="str">
        <f t="shared" si="45"/>
        <v>ok</v>
      </c>
      <c r="W121" s="37" t="str">
        <f t="shared" si="46"/>
        <v>ok</v>
      </c>
    </row>
    <row r="122" spans="1:23" x14ac:dyDescent="0.25">
      <c r="A122" s="420"/>
      <c r="B122" s="178" t="s">
        <v>20</v>
      </c>
      <c r="C122" s="129">
        <v>13</v>
      </c>
      <c r="D122" s="239">
        <f>DMG_9*CMD_3</f>
        <v>5.9841800000000003</v>
      </c>
      <c r="E122" s="131">
        <f>OMG_9*CMO_3</f>
        <v>5.9639999999999995</v>
      </c>
      <c r="F122" s="132">
        <f t="shared" si="25"/>
        <v>4.7711999999999994</v>
      </c>
      <c r="G122" s="133">
        <f t="shared" si="26"/>
        <v>1.1927999999999996</v>
      </c>
      <c r="H122" s="134">
        <f t="shared" si="37"/>
        <v>5.9639999999999995</v>
      </c>
      <c r="I122" s="135"/>
      <c r="J122" s="136">
        <f t="shared" si="38"/>
        <v>2.0180000000000753E-2</v>
      </c>
      <c r="K122" s="137"/>
      <c r="L122" s="138">
        <f t="shared" si="39"/>
        <v>1.1927999999999996</v>
      </c>
      <c r="M122" s="137"/>
      <c r="N122" s="139">
        <f t="shared" si="40"/>
        <v>0</v>
      </c>
      <c r="O122" s="137"/>
      <c r="P122" s="140">
        <f t="shared" si="41"/>
        <v>0</v>
      </c>
      <c r="Q122" s="135"/>
      <c r="R122" s="104">
        <f t="shared" si="42"/>
        <v>4.7712000000000003</v>
      </c>
      <c r="S122" s="137"/>
      <c r="T122" s="141">
        <f t="shared" si="43"/>
        <v>1.1927999999999996</v>
      </c>
      <c r="U122" s="199">
        <f t="shared" si="44"/>
        <v>1.2129800000000004</v>
      </c>
      <c r="V122" s="37" t="str">
        <f t="shared" si="45"/>
        <v>ok</v>
      </c>
      <c r="W122" s="37" t="str">
        <f t="shared" si="46"/>
        <v>ok</v>
      </c>
    </row>
    <row r="123" spans="1:23" x14ac:dyDescent="0.25">
      <c r="A123" s="420"/>
      <c r="B123" s="178" t="s">
        <v>21</v>
      </c>
      <c r="C123" s="129">
        <v>14</v>
      </c>
      <c r="D123" s="239">
        <f>DMG_10*CMD_3</f>
        <v>11.399480000000001</v>
      </c>
      <c r="E123" s="131">
        <f>OMG_10*CMO_3</f>
        <v>8.0939999999999994</v>
      </c>
      <c r="F123" s="132">
        <f t="shared" si="25"/>
        <v>6.4752000000000001</v>
      </c>
      <c r="G123" s="133">
        <f t="shared" si="26"/>
        <v>1.6187999999999996</v>
      </c>
      <c r="H123" s="134">
        <f t="shared" si="37"/>
        <v>8.0939999999999994</v>
      </c>
      <c r="I123" s="135"/>
      <c r="J123" s="136">
        <f t="shared" si="38"/>
        <v>3.3054800000000011</v>
      </c>
      <c r="K123" s="137"/>
      <c r="L123" s="138">
        <f t="shared" si="39"/>
        <v>1.6187999999999996</v>
      </c>
      <c r="M123" s="137"/>
      <c r="N123" s="139">
        <f t="shared" si="40"/>
        <v>0</v>
      </c>
      <c r="O123" s="137"/>
      <c r="P123" s="140">
        <f t="shared" si="41"/>
        <v>0</v>
      </c>
      <c r="Q123" s="135"/>
      <c r="R123" s="104">
        <f t="shared" si="42"/>
        <v>6.4752000000000001</v>
      </c>
      <c r="S123" s="137"/>
      <c r="T123" s="141">
        <f t="shared" si="43"/>
        <v>1.6187999999999996</v>
      </c>
      <c r="U123" s="199">
        <f t="shared" si="44"/>
        <v>4.9242800000000004</v>
      </c>
      <c r="V123" s="37" t="str">
        <f t="shared" si="45"/>
        <v>ok</v>
      </c>
      <c r="W123" s="37" t="str">
        <f t="shared" si="46"/>
        <v>ok</v>
      </c>
    </row>
    <row r="124" spans="1:23" x14ac:dyDescent="0.25">
      <c r="A124" s="420"/>
      <c r="B124" s="178" t="s">
        <v>22</v>
      </c>
      <c r="C124" s="129">
        <v>15</v>
      </c>
      <c r="D124" s="239">
        <f>DMG_11*CMD_3</f>
        <v>9.9061700000000013</v>
      </c>
      <c r="E124" s="131">
        <f>OMG_11*CMO_3</f>
        <v>12.78</v>
      </c>
      <c r="F124" s="132">
        <f t="shared" si="25"/>
        <v>10.224</v>
      </c>
      <c r="G124" s="133">
        <f t="shared" si="26"/>
        <v>2.5559999999999992</v>
      </c>
      <c r="H124" s="134">
        <f t="shared" si="37"/>
        <v>9.9061700000000013</v>
      </c>
      <c r="I124" s="135"/>
      <c r="J124" s="136">
        <f t="shared" si="38"/>
        <v>0</v>
      </c>
      <c r="K124" s="137"/>
      <c r="L124" s="138">
        <f t="shared" si="39"/>
        <v>0</v>
      </c>
      <c r="M124" s="137"/>
      <c r="N124" s="139">
        <f t="shared" si="40"/>
        <v>0.31782999999999895</v>
      </c>
      <c r="O124" s="137"/>
      <c r="P124" s="140">
        <f t="shared" si="41"/>
        <v>2.5559999999999992</v>
      </c>
      <c r="Q124" s="135"/>
      <c r="R124" s="104">
        <f t="shared" si="42"/>
        <v>9.9061700000000013</v>
      </c>
      <c r="S124" s="137"/>
      <c r="T124" s="141">
        <f t="shared" si="43"/>
        <v>2.8738299999999981</v>
      </c>
      <c r="U124" s="199">
        <f t="shared" si="44"/>
        <v>0</v>
      </c>
      <c r="V124" s="37" t="str">
        <f t="shared" si="45"/>
        <v>ok</v>
      </c>
      <c r="W124" s="37" t="str">
        <f t="shared" si="46"/>
        <v>ok</v>
      </c>
    </row>
    <row r="125" spans="1:23" x14ac:dyDescent="0.25">
      <c r="A125" s="420"/>
      <c r="B125" s="178" t="s">
        <v>23</v>
      </c>
      <c r="C125" s="129">
        <v>16</v>
      </c>
      <c r="D125" s="239">
        <f>DMG_12*CMD_3</f>
        <v>7.7783400000000009</v>
      </c>
      <c r="E125" s="131">
        <f>OMG_12*CMO_3</f>
        <v>9.798</v>
      </c>
      <c r="F125" s="132">
        <f t="shared" si="25"/>
        <v>7.8384</v>
      </c>
      <c r="G125" s="133">
        <f t="shared" si="26"/>
        <v>1.9595999999999996</v>
      </c>
      <c r="H125" s="134">
        <f t="shared" si="37"/>
        <v>7.7783400000000009</v>
      </c>
      <c r="I125" s="135"/>
      <c r="J125" s="136">
        <f t="shared" si="38"/>
        <v>0</v>
      </c>
      <c r="K125" s="137"/>
      <c r="L125" s="138">
        <f t="shared" si="39"/>
        <v>0</v>
      </c>
      <c r="M125" s="137"/>
      <c r="N125" s="139">
        <f t="shared" si="40"/>
        <v>6.0059999999999114E-2</v>
      </c>
      <c r="O125" s="137"/>
      <c r="P125" s="140">
        <f t="shared" si="41"/>
        <v>1.9595999999999996</v>
      </c>
      <c r="Q125" s="135"/>
      <c r="R125" s="104">
        <f t="shared" si="42"/>
        <v>7.7783400000000009</v>
      </c>
      <c r="S125" s="137"/>
      <c r="T125" s="141">
        <f t="shared" si="43"/>
        <v>2.0196599999999987</v>
      </c>
      <c r="U125" s="199">
        <f t="shared" si="44"/>
        <v>0</v>
      </c>
      <c r="V125" s="37" t="str">
        <f t="shared" si="45"/>
        <v>ok</v>
      </c>
      <c r="W125" s="37" t="str">
        <f t="shared" si="46"/>
        <v>ok</v>
      </c>
    </row>
    <row r="126" spans="1:23" x14ac:dyDescent="0.25">
      <c r="A126" s="420"/>
      <c r="B126" s="178" t="s">
        <v>19</v>
      </c>
      <c r="C126" s="129">
        <v>19</v>
      </c>
      <c r="D126" s="239">
        <f>DMG_13*CMD_3</f>
        <v>3.4023400000000001</v>
      </c>
      <c r="E126" s="131">
        <f>OMG_13*CMO_3</f>
        <v>4.6859999999999999</v>
      </c>
      <c r="F126" s="132">
        <f t="shared" si="25"/>
        <v>3.7488000000000001</v>
      </c>
      <c r="G126" s="133">
        <f t="shared" si="26"/>
        <v>0.93719999999999981</v>
      </c>
      <c r="H126" s="134">
        <f t="shared" si="37"/>
        <v>3.4023400000000001</v>
      </c>
      <c r="I126" s="135"/>
      <c r="J126" s="136">
        <f t="shared" si="38"/>
        <v>0</v>
      </c>
      <c r="K126" s="137"/>
      <c r="L126" s="138">
        <f t="shared" si="39"/>
        <v>0</v>
      </c>
      <c r="M126" s="137"/>
      <c r="N126" s="139">
        <f t="shared" si="40"/>
        <v>0.34645999999999999</v>
      </c>
      <c r="O126" s="137"/>
      <c r="P126" s="140">
        <f t="shared" si="41"/>
        <v>0.93719999999999981</v>
      </c>
      <c r="Q126" s="135"/>
      <c r="R126" s="104">
        <f t="shared" si="42"/>
        <v>3.4023400000000001</v>
      </c>
      <c r="S126" s="137"/>
      <c r="T126" s="141">
        <f t="shared" si="43"/>
        <v>1.2836599999999998</v>
      </c>
      <c r="U126" s="199">
        <f t="shared" si="44"/>
        <v>0</v>
      </c>
      <c r="V126" s="37" t="str">
        <f t="shared" si="45"/>
        <v>ok</v>
      </c>
      <c r="W126" s="37" t="str">
        <f t="shared" si="46"/>
        <v>ok</v>
      </c>
    </row>
    <row r="127" spans="1:23" x14ac:dyDescent="0.25">
      <c r="A127" s="420"/>
      <c r="B127" s="178" t="s">
        <v>20</v>
      </c>
      <c r="C127" s="129">
        <v>20</v>
      </c>
      <c r="D127" s="239">
        <f>DMG_14*CMD_3</f>
        <v>2.37398</v>
      </c>
      <c r="E127" s="131">
        <f>OMG_14*CMO_3</f>
        <v>7.8810000000000002</v>
      </c>
      <c r="F127" s="132">
        <f t="shared" si="25"/>
        <v>6.3048000000000002</v>
      </c>
      <c r="G127" s="133">
        <f t="shared" si="26"/>
        <v>1.5761999999999996</v>
      </c>
      <c r="H127" s="134">
        <f t="shared" si="37"/>
        <v>2.37398</v>
      </c>
      <c r="I127" s="135"/>
      <c r="J127" s="136">
        <f t="shared" si="38"/>
        <v>0</v>
      </c>
      <c r="K127" s="137"/>
      <c r="L127" s="138">
        <f t="shared" si="39"/>
        <v>0</v>
      </c>
      <c r="M127" s="137"/>
      <c r="N127" s="139">
        <f t="shared" si="40"/>
        <v>3.9308200000000002</v>
      </c>
      <c r="O127" s="137"/>
      <c r="P127" s="140">
        <f t="shared" si="41"/>
        <v>1.5761999999999996</v>
      </c>
      <c r="Q127" s="135"/>
      <c r="R127" s="104">
        <f t="shared" si="42"/>
        <v>2.37398</v>
      </c>
      <c r="S127" s="137"/>
      <c r="T127" s="141">
        <f t="shared" si="43"/>
        <v>5.5070199999999998</v>
      </c>
      <c r="U127" s="199">
        <f t="shared" si="44"/>
        <v>0</v>
      </c>
      <c r="V127" s="37" t="str">
        <f t="shared" si="45"/>
        <v>ok</v>
      </c>
      <c r="W127" s="37" t="str">
        <f t="shared" si="46"/>
        <v>ok</v>
      </c>
    </row>
    <row r="128" spans="1:23" x14ac:dyDescent="0.25">
      <c r="A128" s="420"/>
      <c r="B128" s="178" t="s">
        <v>21</v>
      </c>
      <c r="C128" s="129">
        <v>21</v>
      </c>
      <c r="D128" s="239">
        <f>DMG_15*CMD_3</f>
        <v>4.923</v>
      </c>
      <c r="E128" s="131">
        <f>OMG_15*CMO_3</f>
        <v>9.3719999999999999</v>
      </c>
      <c r="F128" s="132">
        <f t="shared" si="25"/>
        <v>7.4976000000000003</v>
      </c>
      <c r="G128" s="133">
        <f t="shared" si="26"/>
        <v>1.8743999999999996</v>
      </c>
      <c r="H128" s="134">
        <f t="shared" si="37"/>
        <v>4.923</v>
      </c>
      <c r="I128" s="135"/>
      <c r="J128" s="136">
        <f t="shared" si="38"/>
        <v>0</v>
      </c>
      <c r="K128" s="137"/>
      <c r="L128" s="138">
        <f t="shared" si="39"/>
        <v>0</v>
      </c>
      <c r="M128" s="137"/>
      <c r="N128" s="139">
        <f t="shared" si="40"/>
        <v>2.5746000000000002</v>
      </c>
      <c r="O128" s="137"/>
      <c r="P128" s="140">
        <f t="shared" si="41"/>
        <v>1.8743999999999996</v>
      </c>
      <c r="Q128" s="135"/>
      <c r="R128" s="104">
        <f t="shared" si="42"/>
        <v>4.923</v>
      </c>
      <c r="S128" s="137"/>
      <c r="T128" s="141">
        <f t="shared" si="43"/>
        <v>4.4489999999999998</v>
      </c>
      <c r="U128" s="199">
        <f t="shared" si="44"/>
        <v>0</v>
      </c>
      <c r="V128" s="37" t="str">
        <f t="shared" si="45"/>
        <v>ok</v>
      </c>
      <c r="W128" s="37" t="str">
        <f t="shared" si="46"/>
        <v>ok</v>
      </c>
    </row>
    <row r="129" spans="1:23" x14ac:dyDescent="0.25">
      <c r="A129" s="420"/>
      <c r="B129" s="178" t="s">
        <v>22</v>
      </c>
      <c r="C129" s="129">
        <v>22</v>
      </c>
      <c r="D129" s="239">
        <f>DMG_16*CMD_3</f>
        <v>19.757639999999999</v>
      </c>
      <c r="E129" s="131">
        <f>OMG_16*CMO_3</f>
        <v>10.5435</v>
      </c>
      <c r="F129" s="132">
        <f t="shared" si="25"/>
        <v>8.434800000000001</v>
      </c>
      <c r="G129" s="133">
        <f t="shared" si="26"/>
        <v>2.1086999999999994</v>
      </c>
      <c r="H129" s="134">
        <f t="shared" si="37"/>
        <v>10.5435</v>
      </c>
      <c r="I129" s="135"/>
      <c r="J129" s="136">
        <f t="shared" si="38"/>
        <v>9.2141399999999987</v>
      </c>
      <c r="K129" s="137"/>
      <c r="L129" s="138">
        <f t="shared" si="39"/>
        <v>2.1086999999999994</v>
      </c>
      <c r="M129" s="137"/>
      <c r="N129" s="139">
        <f t="shared" si="40"/>
        <v>0</v>
      </c>
      <c r="O129" s="137"/>
      <c r="P129" s="140">
        <f t="shared" si="41"/>
        <v>0</v>
      </c>
      <c r="Q129" s="135"/>
      <c r="R129" s="104">
        <f t="shared" si="42"/>
        <v>8.434800000000001</v>
      </c>
      <c r="S129" s="137"/>
      <c r="T129" s="141">
        <f t="shared" si="43"/>
        <v>2.1086999999999994</v>
      </c>
      <c r="U129" s="199">
        <f t="shared" si="44"/>
        <v>11.322839999999998</v>
      </c>
      <c r="V129" s="37" t="str">
        <f t="shared" si="45"/>
        <v>ok</v>
      </c>
      <c r="W129" s="37" t="str">
        <f t="shared" si="46"/>
        <v>ok</v>
      </c>
    </row>
    <row r="130" spans="1:23" x14ac:dyDescent="0.25">
      <c r="A130" s="420"/>
      <c r="B130" s="178" t="s">
        <v>23</v>
      </c>
      <c r="C130" s="129">
        <v>23</v>
      </c>
      <c r="D130" s="239">
        <f>DMG_17*CMD_3</f>
        <v>16.081800000000001</v>
      </c>
      <c r="E130" s="131">
        <f>OMG_17*CMO_3</f>
        <v>6.6796799999999994</v>
      </c>
      <c r="F130" s="132">
        <f t="shared" si="25"/>
        <v>5.343744</v>
      </c>
      <c r="G130" s="133">
        <f t="shared" si="26"/>
        <v>1.3359359999999996</v>
      </c>
      <c r="H130" s="134">
        <f t="shared" si="37"/>
        <v>6.6796799999999994</v>
      </c>
      <c r="I130" s="135"/>
      <c r="J130" s="136">
        <f t="shared" si="38"/>
        <v>9.4021200000000018</v>
      </c>
      <c r="K130" s="137"/>
      <c r="L130" s="138">
        <f t="shared" si="39"/>
        <v>1.3359359999999996</v>
      </c>
      <c r="M130" s="137"/>
      <c r="N130" s="139">
        <f t="shared" si="40"/>
        <v>0</v>
      </c>
      <c r="O130" s="137"/>
      <c r="P130" s="140">
        <f t="shared" si="41"/>
        <v>0</v>
      </c>
      <c r="Q130" s="135"/>
      <c r="R130" s="104">
        <f t="shared" si="42"/>
        <v>5.343744</v>
      </c>
      <c r="S130" s="137"/>
      <c r="T130" s="141">
        <f t="shared" si="43"/>
        <v>1.3359359999999996</v>
      </c>
      <c r="U130" s="199">
        <f t="shared" si="44"/>
        <v>10.738056000000002</v>
      </c>
      <c r="V130" s="37" t="str">
        <f t="shared" si="45"/>
        <v>ok</v>
      </c>
      <c r="W130" s="37" t="str">
        <f t="shared" si="46"/>
        <v>ok</v>
      </c>
    </row>
    <row r="131" spans="1:23" x14ac:dyDescent="0.25">
      <c r="A131" s="420"/>
      <c r="B131" s="178" t="s">
        <v>19</v>
      </c>
      <c r="C131" s="129">
        <v>26</v>
      </c>
      <c r="D131" s="239">
        <f>DMG_18*CMD_3</f>
        <v>9.2661800000000021</v>
      </c>
      <c r="E131" s="131">
        <f>OMG_18*CMO_3</f>
        <v>3.1651799999999999</v>
      </c>
      <c r="F131" s="132">
        <f t="shared" si="25"/>
        <v>2.5321440000000002</v>
      </c>
      <c r="G131" s="133">
        <f t="shared" si="26"/>
        <v>0.63303599999999982</v>
      </c>
      <c r="H131" s="134">
        <f t="shared" si="37"/>
        <v>3.1651799999999999</v>
      </c>
      <c r="I131" s="135"/>
      <c r="J131" s="136">
        <f t="shared" si="38"/>
        <v>6.1010000000000026</v>
      </c>
      <c r="K131" s="137"/>
      <c r="L131" s="138">
        <f t="shared" si="39"/>
        <v>0.63303599999999982</v>
      </c>
      <c r="M131" s="137"/>
      <c r="N131" s="139">
        <f t="shared" si="40"/>
        <v>0</v>
      </c>
      <c r="O131" s="137"/>
      <c r="P131" s="140">
        <f t="shared" si="41"/>
        <v>0</v>
      </c>
      <c r="Q131" s="135"/>
      <c r="R131" s="104">
        <f t="shared" si="42"/>
        <v>2.5321440000000002</v>
      </c>
      <c r="S131" s="137"/>
      <c r="T131" s="141">
        <f t="shared" si="43"/>
        <v>0.63303599999999982</v>
      </c>
      <c r="U131" s="199">
        <f t="shared" si="44"/>
        <v>6.7340360000000024</v>
      </c>
      <c r="V131" s="37" t="str">
        <f t="shared" si="45"/>
        <v>ok</v>
      </c>
      <c r="W131" s="37" t="str">
        <f t="shared" si="46"/>
        <v>ok</v>
      </c>
    </row>
    <row r="132" spans="1:23" x14ac:dyDescent="0.25">
      <c r="A132" s="420"/>
      <c r="B132" s="178" t="s">
        <v>20</v>
      </c>
      <c r="C132" s="129">
        <v>27</v>
      </c>
      <c r="D132" s="239">
        <f>DMG_19*CMD_3</f>
        <v>7.5868900000000004</v>
      </c>
      <c r="E132" s="131">
        <f>OMG_19*CMO_3</f>
        <v>4.2174000000000005</v>
      </c>
      <c r="F132" s="132">
        <f t="shared" si="25"/>
        <v>3.3739200000000005</v>
      </c>
      <c r="G132" s="133">
        <f t="shared" si="26"/>
        <v>0.8434799999999999</v>
      </c>
      <c r="H132" s="134">
        <f t="shared" si="37"/>
        <v>4.2174000000000005</v>
      </c>
      <c r="I132" s="135"/>
      <c r="J132" s="136">
        <f t="shared" si="38"/>
        <v>3.3694899999999999</v>
      </c>
      <c r="K132" s="137"/>
      <c r="L132" s="138">
        <f t="shared" si="39"/>
        <v>0.8434799999999999</v>
      </c>
      <c r="M132" s="137"/>
      <c r="N132" s="139">
        <f t="shared" si="40"/>
        <v>0</v>
      </c>
      <c r="O132" s="137"/>
      <c r="P132" s="140">
        <f t="shared" si="41"/>
        <v>0</v>
      </c>
      <c r="Q132" s="135"/>
      <c r="R132" s="104">
        <f t="shared" si="42"/>
        <v>3.3739200000000005</v>
      </c>
      <c r="S132" s="137"/>
      <c r="T132" s="141">
        <f t="shared" si="43"/>
        <v>0.8434799999999999</v>
      </c>
      <c r="U132" s="199">
        <f t="shared" si="44"/>
        <v>4.2129699999999994</v>
      </c>
      <c r="V132" s="37" t="str">
        <f t="shared" si="45"/>
        <v>ok</v>
      </c>
      <c r="W132" s="37" t="str">
        <f t="shared" si="46"/>
        <v>ok</v>
      </c>
    </row>
    <row r="133" spans="1:23" x14ac:dyDescent="0.25">
      <c r="A133" s="420"/>
      <c r="B133" s="178" t="s">
        <v>21</v>
      </c>
      <c r="C133" s="129">
        <v>28</v>
      </c>
      <c r="D133" s="239">
        <f>DMG_20*CMD_3</f>
        <v>14.249350000000002</v>
      </c>
      <c r="E133" s="131">
        <f>OMG_20*CMO_3</f>
        <v>6.6796799999999994</v>
      </c>
      <c r="F133" s="132">
        <f t="shared" si="25"/>
        <v>5.343744</v>
      </c>
      <c r="G133" s="133">
        <f t="shared" si="26"/>
        <v>1.3359359999999996</v>
      </c>
      <c r="H133" s="134">
        <f t="shared" si="37"/>
        <v>6.6796799999999994</v>
      </c>
      <c r="I133" s="135"/>
      <c r="J133" s="136">
        <f t="shared" si="38"/>
        <v>7.5696700000000021</v>
      </c>
      <c r="K133" s="137"/>
      <c r="L133" s="138">
        <f t="shared" si="39"/>
        <v>1.3359359999999996</v>
      </c>
      <c r="M133" s="137"/>
      <c r="N133" s="139">
        <f t="shared" si="40"/>
        <v>0</v>
      </c>
      <c r="O133" s="137"/>
      <c r="P133" s="140">
        <f t="shared" si="41"/>
        <v>0</v>
      </c>
      <c r="Q133" s="135"/>
      <c r="R133" s="104">
        <f t="shared" si="42"/>
        <v>5.343744</v>
      </c>
      <c r="S133" s="137"/>
      <c r="T133" s="141">
        <f t="shared" si="43"/>
        <v>1.3359359999999996</v>
      </c>
      <c r="U133" s="199">
        <f t="shared" si="44"/>
        <v>8.9056060000000024</v>
      </c>
      <c r="V133" s="37" t="str">
        <f t="shared" si="45"/>
        <v>ok</v>
      </c>
      <c r="W133" s="37" t="str">
        <f t="shared" si="46"/>
        <v>ok</v>
      </c>
    </row>
    <row r="134" spans="1:23" x14ac:dyDescent="0.25">
      <c r="A134" s="420"/>
      <c r="B134" s="178" t="s">
        <v>22</v>
      </c>
      <c r="C134" s="129">
        <v>29</v>
      </c>
      <c r="D134" s="239">
        <f>DMG_21*CMD_3</f>
        <v>23.706980000000005</v>
      </c>
      <c r="E134" s="131">
        <f>OMG_21*CMO_3</f>
        <v>12.78</v>
      </c>
      <c r="F134" s="132">
        <f t="shared" si="25"/>
        <v>10.224</v>
      </c>
      <c r="G134" s="133">
        <f t="shared" si="26"/>
        <v>2.5559999999999992</v>
      </c>
      <c r="H134" s="134">
        <f t="shared" si="37"/>
        <v>12.78</v>
      </c>
      <c r="I134" s="135"/>
      <c r="J134" s="136">
        <f t="shared" si="38"/>
        <v>10.926980000000006</v>
      </c>
      <c r="K134" s="137"/>
      <c r="L134" s="138">
        <f t="shared" si="39"/>
        <v>2.5559999999999992</v>
      </c>
      <c r="M134" s="137"/>
      <c r="N134" s="139">
        <f t="shared" si="40"/>
        <v>0</v>
      </c>
      <c r="O134" s="137"/>
      <c r="P134" s="140">
        <f t="shared" si="41"/>
        <v>0</v>
      </c>
      <c r="Q134" s="135"/>
      <c r="R134" s="104">
        <f t="shared" si="42"/>
        <v>10.224</v>
      </c>
      <c r="S134" s="137"/>
      <c r="T134" s="141">
        <f t="shared" si="43"/>
        <v>2.5559999999999992</v>
      </c>
      <c r="U134" s="199">
        <f t="shared" si="44"/>
        <v>13.482980000000005</v>
      </c>
      <c r="V134" s="37" t="str">
        <f t="shared" si="45"/>
        <v>ok</v>
      </c>
      <c r="W134" s="37" t="str">
        <f t="shared" si="46"/>
        <v>ok</v>
      </c>
    </row>
    <row r="135" spans="1:23" ht="15.75" thickBot="1" x14ac:dyDescent="0.3">
      <c r="A135" s="421"/>
      <c r="B135" s="180" t="s">
        <v>23</v>
      </c>
      <c r="C135" s="237">
        <v>30</v>
      </c>
      <c r="D135" s="240">
        <f>DMG_22*CMD_3</f>
        <v>19.232520000000001</v>
      </c>
      <c r="E135" s="203">
        <f>OMG_22*CMO_3</f>
        <v>8.9459999999999997</v>
      </c>
      <c r="F135" s="204">
        <f t="shared" si="25"/>
        <v>7.1568000000000005</v>
      </c>
      <c r="G135" s="205">
        <f t="shared" si="26"/>
        <v>1.7891999999999995</v>
      </c>
      <c r="H135" s="206">
        <f t="shared" si="37"/>
        <v>8.9459999999999997</v>
      </c>
      <c r="I135" s="207"/>
      <c r="J135" s="208">
        <f t="shared" si="38"/>
        <v>10.286520000000001</v>
      </c>
      <c r="K135" s="209"/>
      <c r="L135" s="210">
        <f t="shared" si="39"/>
        <v>1.7891999999999995</v>
      </c>
      <c r="M135" s="209"/>
      <c r="N135" s="211">
        <f t="shared" si="40"/>
        <v>0</v>
      </c>
      <c r="O135" s="209"/>
      <c r="P135" s="212">
        <f t="shared" si="41"/>
        <v>0</v>
      </c>
      <c r="Q135" s="207"/>
      <c r="R135" s="213">
        <f t="shared" si="42"/>
        <v>7.1568000000000005</v>
      </c>
      <c r="S135" s="209"/>
      <c r="T135" s="214">
        <f t="shared" si="43"/>
        <v>1.7891999999999995</v>
      </c>
      <c r="U135" s="215">
        <f t="shared" si="44"/>
        <v>12.07572</v>
      </c>
      <c r="V135" s="37" t="str">
        <f t="shared" si="45"/>
        <v>ok</v>
      </c>
      <c r="W135" s="37" t="str">
        <f t="shared" si="46"/>
        <v>ok</v>
      </c>
    </row>
    <row r="136" spans="1:23" x14ac:dyDescent="0.25">
      <c r="A136" s="419" t="s">
        <v>92</v>
      </c>
      <c r="B136" s="176" t="s">
        <v>19</v>
      </c>
      <c r="C136" s="241">
        <v>2</v>
      </c>
      <c r="D136" s="238">
        <f>DMG_1*CMD_4</f>
        <v>15.53838</v>
      </c>
      <c r="E136" s="185">
        <f>OMG_1*CMO_4</f>
        <v>13.728</v>
      </c>
      <c r="F136" s="186">
        <f t="shared" si="25"/>
        <v>10.9824</v>
      </c>
      <c r="G136" s="187">
        <f t="shared" si="26"/>
        <v>2.7455999999999992</v>
      </c>
      <c r="H136" s="188">
        <f>IF(E136&gt;D136,D136,E136)</f>
        <v>13.728</v>
      </c>
      <c r="I136" s="189"/>
      <c r="J136" s="190">
        <f>IF(E136&gt;D136,0,D136-E136)</f>
        <v>1.8103800000000003</v>
      </c>
      <c r="K136" s="191"/>
      <c r="L136" s="192">
        <f>IF(E136&gt;D136,IF(F136&gt;H136,0,H136-F136),G136)</f>
        <v>2.7455999999999992</v>
      </c>
      <c r="M136" s="191"/>
      <c r="N136" s="193">
        <f>IF(E136&gt;D136,IF(F136&gt;H136,F136-H136,0),0)</f>
        <v>0</v>
      </c>
      <c r="O136" s="191"/>
      <c r="P136" s="194">
        <f>IF(E136&gt;D136,IF(F136&gt;H136,G136,E136-H136),0)</f>
        <v>0</v>
      </c>
      <c r="Q136" s="189"/>
      <c r="R136" s="195">
        <f>H136-L136</f>
        <v>10.9824</v>
      </c>
      <c r="S136" s="191"/>
      <c r="T136" s="196">
        <f>L136+N136+P136</f>
        <v>2.7455999999999992</v>
      </c>
      <c r="U136" s="197">
        <f>J136+L136</f>
        <v>4.5559799999999999</v>
      </c>
      <c r="V136" s="37" t="str">
        <f>IF(R136+T136=E136,"ok","bad")</f>
        <v>ok</v>
      </c>
      <c r="W136" s="37" t="str">
        <f>IF(U136+R136=D136,"ok","bad")</f>
        <v>ok</v>
      </c>
    </row>
    <row r="137" spans="1:23" x14ac:dyDescent="0.25">
      <c r="A137" s="420"/>
      <c r="B137" s="178" t="s">
        <v>20</v>
      </c>
      <c r="C137" s="129">
        <v>3</v>
      </c>
      <c r="D137" s="239">
        <f>DMG_2*CMD_4</f>
        <v>12.200760000000001</v>
      </c>
      <c r="E137" s="131">
        <f>OMG_2*CMO_4</f>
        <v>10.0672</v>
      </c>
      <c r="F137" s="132">
        <f t="shared" si="25"/>
        <v>8.0537600000000005</v>
      </c>
      <c r="G137" s="133">
        <f t="shared" si="26"/>
        <v>2.0134399999999997</v>
      </c>
      <c r="H137" s="134">
        <f t="shared" ref="H137:H156" si="47">IF(E137&gt;D137,D137,E137)</f>
        <v>10.0672</v>
      </c>
      <c r="I137" s="135"/>
      <c r="J137" s="136">
        <f t="shared" ref="J137:J156" si="48">IF(E137&gt;D137,0,D137-E137)</f>
        <v>2.133560000000001</v>
      </c>
      <c r="K137" s="137"/>
      <c r="L137" s="138">
        <f t="shared" ref="L137:L156" si="49">IF(E137&gt;D137,IF(F137&gt;H137,0,H137-F137),G137)</f>
        <v>2.0134399999999997</v>
      </c>
      <c r="M137" s="137"/>
      <c r="N137" s="139">
        <f t="shared" ref="N137:N156" si="50">IF(E137&gt;D137,IF(F137&gt;H137,F137-H137,0),0)</f>
        <v>0</v>
      </c>
      <c r="O137" s="137"/>
      <c r="P137" s="140">
        <f t="shared" ref="P137:P156" si="51">IF(E137&gt;D137,IF(F137&gt;H137,G137,E137-H137),0)</f>
        <v>0</v>
      </c>
      <c r="Q137" s="135"/>
      <c r="R137" s="104">
        <f t="shared" ref="R137:R156" si="52">H137-L137</f>
        <v>8.0537600000000005</v>
      </c>
      <c r="S137" s="137"/>
      <c r="T137" s="141">
        <f t="shared" ref="T137:T156" si="53">L137+N137+P137</f>
        <v>2.0134399999999997</v>
      </c>
      <c r="U137" s="199">
        <f t="shared" ref="U137:U156" si="54">J137+L137</f>
        <v>4.1470000000000002</v>
      </c>
      <c r="V137" s="37" t="str">
        <f t="shared" ref="V137:V156" si="55">IF(R137+T137=E137,"ok","bad")</f>
        <v>ok</v>
      </c>
      <c r="W137" s="37" t="str">
        <f t="shared" ref="W137:W156" si="56">IF(U137+R137=D137,"ok","bad")</f>
        <v>ok</v>
      </c>
    </row>
    <row r="138" spans="1:23" x14ac:dyDescent="0.25">
      <c r="A138" s="420"/>
      <c r="B138" s="178" t="s">
        <v>21</v>
      </c>
      <c r="C138" s="129">
        <v>4</v>
      </c>
      <c r="D138" s="239">
        <f>DMG_3*CMD_4</f>
        <v>5.3367599999999999</v>
      </c>
      <c r="E138" s="131">
        <f>OMG_3*CMO_4</f>
        <v>4.1183999999999994</v>
      </c>
      <c r="F138" s="132">
        <f t="shared" si="25"/>
        <v>3.2947199999999999</v>
      </c>
      <c r="G138" s="133">
        <f t="shared" si="26"/>
        <v>0.82367999999999975</v>
      </c>
      <c r="H138" s="134">
        <f t="shared" si="47"/>
        <v>4.1183999999999994</v>
      </c>
      <c r="I138" s="135"/>
      <c r="J138" s="136">
        <f t="shared" si="48"/>
        <v>1.2183600000000006</v>
      </c>
      <c r="K138" s="137"/>
      <c r="L138" s="138">
        <f t="shared" si="49"/>
        <v>0.82367999999999975</v>
      </c>
      <c r="M138" s="137"/>
      <c r="N138" s="139">
        <f t="shared" si="50"/>
        <v>0</v>
      </c>
      <c r="O138" s="137"/>
      <c r="P138" s="140">
        <f t="shared" si="51"/>
        <v>0</v>
      </c>
      <c r="Q138" s="135"/>
      <c r="R138" s="104">
        <f t="shared" si="52"/>
        <v>3.2947199999999999</v>
      </c>
      <c r="S138" s="137"/>
      <c r="T138" s="141">
        <f t="shared" si="53"/>
        <v>0.82367999999999975</v>
      </c>
      <c r="U138" s="199">
        <f t="shared" si="54"/>
        <v>2.0420400000000001</v>
      </c>
      <c r="V138" s="37" t="str">
        <f t="shared" si="55"/>
        <v>ok</v>
      </c>
      <c r="W138" s="37" t="str">
        <f t="shared" si="56"/>
        <v>ok</v>
      </c>
    </row>
    <row r="139" spans="1:23" x14ac:dyDescent="0.25">
      <c r="A139" s="420"/>
      <c r="B139" s="178" t="s">
        <v>22</v>
      </c>
      <c r="C139" s="129">
        <v>5</v>
      </c>
      <c r="D139" s="239">
        <f>DMG_4*CMD_4</f>
        <v>3.7237199999999997</v>
      </c>
      <c r="E139" s="131">
        <f>OMG_4*CMO_4</f>
        <v>6.1776</v>
      </c>
      <c r="F139" s="132">
        <f t="shared" si="25"/>
        <v>4.9420800000000007</v>
      </c>
      <c r="G139" s="133">
        <f t="shared" si="26"/>
        <v>1.2355199999999997</v>
      </c>
      <c r="H139" s="134">
        <f t="shared" si="47"/>
        <v>3.7237199999999997</v>
      </c>
      <c r="I139" s="135"/>
      <c r="J139" s="136">
        <f t="shared" si="48"/>
        <v>0</v>
      </c>
      <c r="K139" s="137"/>
      <c r="L139" s="138">
        <f t="shared" si="49"/>
        <v>0</v>
      </c>
      <c r="M139" s="137"/>
      <c r="N139" s="139">
        <f t="shared" si="50"/>
        <v>1.218360000000001</v>
      </c>
      <c r="O139" s="137"/>
      <c r="P139" s="140">
        <f t="shared" si="51"/>
        <v>1.2355199999999997</v>
      </c>
      <c r="Q139" s="135"/>
      <c r="R139" s="104">
        <f t="shared" si="52"/>
        <v>3.7237199999999997</v>
      </c>
      <c r="S139" s="137"/>
      <c r="T139" s="141">
        <f t="shared" si="53"/>
        <v>2.4538800000000007</v>
      </c>
      <c r="U139" s="199">
        <f t="shared" si="54"/>
        <v>0</v>
      </c>
      <c r="V139" s="37" t="str">
        <f t="shared" si="55"/>
        <v>ok</v>
      </c>
      <c r="W139" s="37" t="str">
        <f t="shared" si="56"/>
        <v>ok</v>
      </c>
    </row>
    <row r="140" spans="1:23" x14ac:dyDescent="0.25">
      <c r="A140" s="420"/>
      <c r="B140" s="178" t="s">
        <v>23</v>
      </c>
      <c r="C140" s="129">
        <v>6</v>
      </c>
      <c r="D140" s="239">
        <f>DMG_5*CMD_4</f>
        <v>7.7219999999999995</v>
      </c>
      <c r="E140" s="131">
        <f>OMG_5*CMO_4</f>
        <v>10.0672</v>
      </c>
      <c r="F140" s="132">
        <f t="shared" si="25"/>
        <v>8.0537600000000005</v>
      </c>
      <c r="G140" s="133">
        <f t="shared" si="26"/>
        <v>2.0134399999999997</v>
      </c>
      <c r="H140" s="134">
        <f t="shared" si="47"/>
        <v>7.7219999999999995</v>
      </c>
      <c r="I140" s="135"/>
      <c r="J140" s="136">
        <f t="shared" si="48"/>
        <v>0</v>
      </c>
      <c r="K140" s="137"/>
      <c r="L140" s="138">
        <f t="shared" si="49"/>
        <v>0</v>
      </c>
      <c r="M140" s="137"/>
      <c r="N140" s="139">
        <f t="shared" si="50"/>
        <v>0.33176000000000094</v>
      </c>
      <c r="O140" s="137"/>
      <c r="P140" s="140">
        <f t="shared" si="51"/>
        <v>2.0134399999999997</v>
      </c>
      <c r="Q140" s="135"/>
      <c r="R140" s="104">
        <f t="shared" si="52"/>
        <v>7.7219999999999995</v>
      </c>
      <c r="S140" s="137"/>
      <c r="T140" s="141">
        <f t="shared" si="53"/>
        <v>2.3452000000000006</v>
      </c>
      <c r="U140" s="199">
        <f t="shared" si="54"/>
        <v>0</v>
      </c>
      <c r="V140" s="37" t="str">
        <f t="shared" si="55"/>
        <v>ok</v>
      </c>
      <c r="W140" s="37" t="str">
        <f t="shared" si="56"/>
        <v>ok</v>
      </c>
    </row>
    <row r="141" spans="1:23" x14ac:dyDescent="0.25">
      <c r="A141" s="420"/>
      <c r="B141" s="178" t="s">
        <v>19</v>
      </c>
      <c r="C141" s="129">
        <v>9</v>
      </c>
      <c r="D141" s="239">
        <f>DMG_6*CMD_4</f>
        <v>24.796199999999999</v>
      </c>
      <c r="E141" s="131">
        <f>OMG_6*CMO_4</f>
        <v>7.0399999999999991</v>
      </c>
      <c r="F141" s="132">
        <f t="shared" si="25"/>
        <v>5.6319999999999997</v>
      </c>
      <c r="G141" s="133">
        <f t="shared" si="26"/>
        <v>1.4079999999999995</v>
      </c>
      <c r="H141" s="134">
        <f t="shared" si="47"/>
        <v>7.0399999999999991</v>
      </c>
      <c r="I141" s="135"/>
      <c r="J141" s="136">
        <f t="shared" si="48"/>
        <v>17.7562</v>
      </c>
      <c r="K141" s="137"/>
      <c r="L141" s="138">
        <f t="shared" si="49"/>
        <v>1.4079999999999995</v>
      </c>
      <c r="M141" s="137"/>
      <c r="N141" s="139">
        <f t="shared" si="50"/>
        <v>0</v>
      </c>
      <c r="O141" s="137"/>
      <c r="P141" s="140">
        <f t="shared" si="51"/>
        <v>0</v>
      </c>
      <c r="Q141" s="135"/>
      <c r="R141" s="104">
        <f t="shared" si="52"/>
        <v>5.6319999999999997</v>
      </c>
      <c r="S141" s="137"/>
      <c r="T141" s="141">
        <f t="shared" si="53"/>
        <v>1.4079999999999995</v>
      </c>
      <c r="U141" s="199">
        <f t="shared" si="54"/>
        <v>19.164200000000001</v>
      </c>
      <c r="V141" s="37" t="str">
        <f t="shared" si="55"/>
        <v>ok</v>
      </c>
      <c r="W141" s="37" t="str">
        <f t="shared" si="56"/>
        <v>ok</v>
      </c>
    </row>
    <row r="142" spans="1:23" x14ac:dyDescent="0.25">
      <c r="A142" s="420"/>
      <c r="B142" s="178" t="s">
        <v>20</v>
      </c>
      <c r="C142" s="129">
        <v>10</v>
      </c>
      <c r="D142" s="239">
        <f>DMG_7*CMD_4</f>
        <v>20.111520000000002</v>
      </c>
      <c r="E142" s="131">
        <f>OMG_7*CMO_4</f>
        <v>7.2159999999999993</v>
      </c>
      <c r="F142" s="132">
        <f t="shared" si="25"/>
        <v>5.7728000000000002</v>
      </c>
      <c r="G142" s="133">
        <f t="shared" si="26"/>
        <v>1.4431999999999996</v>
      </c>
      <c r="H142" s="134">
        <f t="shared" si="47"/>
        <v>7.2159999999999993</v>
      </c>
      <c r="I142" s="135"/>
      <c r="J142" s="136">
        <f t="shared" si="48"/>
        <v>12.895520000000003</v>
      </c>
      <c r="K142" s="137"/>
      <c r="L142" s="138">
        <f t="shared" si="49"/>
        <v>1.4431999999999996</v>
      </c>
      <c r="M142" s="137"/>
      <c r="N142" s="139">
        <f t="shared" si="50"/>
        <v>0</v>
      </c>
      <c r="O142" s="137"/>
      <c r="P142" s="140">
        <f t="shared" si="51"/>
        <v>0</v>
      </c>
      <c r="Q142" s="135"/>
      <c r="R142" s="104">
        <f t="shared" si="52"/>
        <v>5.7728000000000002</v>
      </c>
      <c r="S142" s="137"/>
      <c r="T142" s="141">
        <f t="shared" si="53"/>
        <v>1.4431999999999996</v>
      </c>
      <c r="U142" s="199">
        <f t="shared" si="54"/>
        <v>14.338720000000002</v>
      </c>
      <c r="V142" s="37" t="str">
        <f t="shared" si="55"/>
        <v>ok</v>
      </c>
      <c r="W142" s="37" t="str">
        <f t="shared" si="56"/>
        <v>ok</v>
      </c>
    </row>
    <row r="143" spans="1:23" x14ac:dyDescent="0.25">
      <c r="A143" s="420"/>
      <c r="B143" s="178" t="s">
        <v>21</v>
      </c>
      <c r="C143" s="129">
        <v>11</v>
      </c>
      <c r="D143" s="239">
        <f>DMG_8*CMD_4</f>
        <v>11.6259</v>
      </c>
      <c r="E143" s="131">
        <f>OMG_8*CMO_4</f>
        <v>3.8719999999999999</v>
      </c>
      <c r="F143" s="132">
        <f t="shared" si="25"/>
        <v>3.0975999999999999</v>
      </c>
      <c r="G143" s="133">
        <f t="shared" si="26"/>
        <v>0.77439999999999976</v>
      </c>
      <c r="H143" s="134">
        <f t="shared" si="47"/>
        <v>3.8719999999999999</v>
      </c>
      <c r="I143" s="135"/>
      <c r="J143" s="136">
        <f t="shared" si="48"/>
        <v>7.7538999999999998</v>
      </c>
      <c r="K143" s="137"/>
      <c r="L143" s="138">
        <f t="shared" si="49"/>
        <v>0.77439999999999976</v>
      </c>
      <c r="M143" s="137"/>
      <c r="N143" s="139">
        <f t="shared" si="50"/>
        <v>0</v>
      </c>
      <c r="O143" s="137"/>
      <c r="P143" s="140">
        <f t="shared" si="51"/>
        <v>0</v>
      </c>
      <c r="Q143" s="135"/>
      <c r="R143" s="104">
        <f t="shared" si="52"/>
        <v>3.0975999999999999</v>
      </c>
      <c r="S143" s="137"/>
      <c r="T143" s="141">
        <f t="shared" si="53"/>
        <v>0.77439999999999976</v>
      </c>
      <c r="U143" s="199">
        <f t="shared" si="54"/>
        <v>8.5282999999999998</v>
      </c>
      <c r="V143" s="37" t="str">
        <f t="shared" si="55"/>
        <v>ok</v>
      </c>
      <c r="W143" s="37" t="str">
        <f t="shared" si="56"/>
        <v>ok</v>
      </c>
    </row>
    <row r="144" spans="1:23" x14ac:dyDescent="0.25">
      <c r="A144" s="420"/>
      <c r="B144" s="178" t="s">
        <v>22</v>
      </c>
      <c r="C144" s="129">
        <v>12</v>
      </c>
      <c r="D144" s="239">
        <f>DMG_9*CMD_4</f>
        <v>9.3865199999999991</v>
      </c>
      <c r="E144" s="131">
        <f>OMG_9*CMO_4</f>
        <v>4.9279999999999999</v>
      </c>
      <c r="F144" s="132">
        <f t="shared" si="25"/>
        <v>3.9424000000000001</v>
      </c>
      <c r="G144" s="133">
        <f t="shared" si="26"/>
        <v>0.98559999999999981</v>
      </c>
      <c r="H144" s="134">
        <f t="shared" si="47"/>
        <v>4.9279999999999999</v>
      </c>
      <c r="I144" s="135"/>
      <c r="J144" s="136">
        <f t="shared" si="48"/>
        <v>4.4585199999999992</v>
      </c>
      <c r="K144" s="137"/>
      <c r="L144" s="138">
        <f t="shared" si="49"/>
        <v>0.98559999999999981</v>
      </c>
      <c r="M144" s="137"/>
      <c r="N144" s="139">
        <f t="shared" si="50"/>
        <v>0</v>
      </c>
      <c r="O144" s="137"/>
      <c r="P144" s="140">
        <f t="shared" si="51"/>
        <v>0</v>
      </c>
      <c r="Q144" s="135"/>
      <c r="R144" s="104">
        <f t="shared" si="52"/>
        <v>3.9424000000000001</v>
      </c>
      <c r="S144" s="137"/>
      <c r="T144" s="141">
        <f t="shared" si="53"/>
        <v>0.98559999999999981</v>
      </c>
      <c r="U144" s="199">
        <f t="shared" si="54"/>
        <v>5.444119999999999</v>
      </c>
      <c r="V144" s="37" t="str">
        <f t="shared" si="55"/>
        <v>ok</v>
      </c>
      <c r="W144" s="37" t="str">
        <f t="shared" si="56"/>
        <v>ok</v>
      </c>
    </row>
    <row r="145" spans="1:23" x14ac:dyDescent="0.25">
      <c r="A145" s="420"/>
      <c r="B145" s="178" t="s">
        <v>23</v>
      </c>
      <c r="C145" s="129">
        <v>13</v>
      </c>
      <c r="D145" s="239">
        <f>DMG_10*CMD_4</f>
        <v>17.88072</v>
      </c>
      <c r="E145" s="131">
        <f>OMG_10*CMO_4</f>
        <v>6.6879999999999997</v>
      </c>
      <c r="F145" s="132">
        <f t="shared" si="25"/>
        <v>5.3504000000000005</v>
      </c>
      <c r="G145" s="133">
        <f t="shared" si="26"/>
        <v>1.3375999999999997</v>
      </c>
      <c r="H145" s="134">
        <f t="shared" si="47"/>
        <v>6.6879999999999997</v>
      </c>
      <c r="I145" s="135"/>
      <c r="J145" s="136">
        <f t="shared" si="48"/>
        <v>11.192720000000001</v>
      </c>
      <c r="K145" s="137"/>
      <c r="L145" s="138">
        <f t="shared" si="49"/>
        <v>1.3375999999999997</v>
      </c>
      <c r="M145" s="137"/>
      <c r="N145" s="139">
        <f t="shared" si="50"/>
        <v>0</v>
      </c>
      <c r="O145" s="137"/>
      <c r="P145" s="140">
        <f t="shared" si="51"/>
        <v>0</v>
      </c>
      <c r="Q145" s="135"/>
      <c r="R145" s="104">
        <f t="shared" si="52"/>
        <v>5.3504000000000005</v>
      </c>
      <c r="S145" s="137"/>
      <c r="T145" s="141">
        <f t="shared" si="53"/>
        <v>1.3375999999999997</v>
      </c>
      <c r="U145" s="199">
        <f t="shared" si="54"/>
        <v>12.530320000000001</v>
      </c>
      <c r="V145" s="37" t="str">
        <f t="shared" si="55"/>
        <v>ok</v>
      </c>
      <c r="W145" s="37" t="str">
        <f t="shared" si="56"/>
        <v>ok</v>
      </c>
    </row>
    <row r="146" spans="1:23" x14ac:dyDescent="0.25">
      <c r="A146" s="420"/>
      <c r="B146" s="178" t="s">
        <v>19</v>
      </c>
      <c r="C146" s="129">
        <v>16</v>
      </c>
      <c r="D146" s="239">
        <f>DMG_11*CMD_4</f>
        <v>15.53838</v>
      </c>
      <c r="E146" s="131">
        <f>OMG_11*CMO_4</f>
        <v>10.559999999999999</v>
      </c>
      <c r="F146" s="132">
        <f t="shared" si="25"/>
        <v>8.4479999999999986</v>
      </c>
      <c r="G146" s="133">
        <f t="shared" si="26"/>
        <v>2.1119999999999992</v>
      </c>
      <c r="H146" s="134">
        <f t="shared" si="47"/>
        <v>10.559999999999999</v>
      </c>
      <c r="I146" s="135"/>
      <c r="J146" s="136">
        <f t="shared" si="48"/>
        <v>4.9783800000000014</v>
      </c>
      <c r="K146" s="137"/>
      <c r="L146" s="138">
        <f t="shared" si="49"/>
        <v>2.1119999999999992</v>
      </c>
      <c r="M146" s="137"/>
      <c r="N146" s="139">
        <f t="shared" si="50"/>
        <v>0</v>
      </c>
      <c r="O146" s="137"/>
      <c r="P146" s="140">
        <f t="shared" si="51"/>
        <v>0</v>
      </c>
      <c r="Q146" s="135"/>
      <c r="R146" s="104">
        <f t="shared" si="52"/>
        <v>8.4480000000000004</v>
      </c>
      <c r="S146" s="137"/>
      <c r="T146" s="141">
        <f t="shared" si="53"/>
        <v>2.1119999999999992</v>
      </c>
      <c r="U146" s="199">
        <f t="shared" si="54"/>
        <v>7.0903800000000006</v>
      </c>
      <c r="V146" s="37" t="str">
        <f t="shared" si="55"/>
        <v>ok</v>
      </c>
      <c r="W146" s="37" t="str">
        <f t="shared" si="56"/>
        <v>ok</v>
      </c>
    </row>
    <row r="147" spans="1:23" x14ac:dyDescent="0.25">
      <c r="A147" s="420"/>
      <c r="B147" s="178" t="s">
        <v>20</v>
      </c>
      <c r="C147" s="129">
        <v>17</v>
      </c>
      <c r="D147" s="239">
        <f>DMG_12*CMD_4</f>
        <v>12.200760000000001</v>
      </c>
      <c r="E147" s="131">
        <f>OMG_12*CMO_4</f>
        <v>8.0960000000000001</v>
      </c>
      <c r="F147" s="132">
        <f t="shared" si="25"/>
        <v>6.4768000000000008</v>
      </c>
      <c r="G147" s="133">
        <f t="shared" si="26"/>
        <v>1.6191999999999998</v>
      </c>
      <c r="H147" s="134">
        <f t="shared" si="47"/>
        <v>8.0960000000000001</v>
      </c>
      <c r="I147" s="135"/>
      <c r="J147" s="136">
        <f t="shared" si="48"/>
        <v>4.1047600000000006</v>
      </c>
      <c r="K147" s="137"/>
      <c r="L147" s="138">
        <f t="shared" si="49"/>
        <v>1.6191999999999998</v>
      </c>
      <c r="M147" s="137"/>
      <c r="N147" s="139">
        <f t="shared" si="50"/>
        <v>0</v>
      </c>
      <c r="O147" s="137"/>
      <c r="P147" s="140">
        <f t="shared" si="51"/>
        <v>0</v>
      </c>
      <c r="Q147" s="135"/>
      <c r="R147" s="104">
        <f t="shared" si="52"/>
        <v>6.4768000000000008</v>
      </c>
      <c r="S147" s="137"/>
      <c r="T147" s="141">
        <f t="shared" si="53"/>
        <v>1.6191999999999998</v>
      </c>
      <c r="U147" s="199">
        <f t="shared" si="54"/>
        <v>5.7239599999999999</v>
      </c>
      <c r="V147" s="37" t="str">
        <f t="shared" si="55"/>
        <v>ok</v>
      </c>
      <c r="W147" s="37" t="str">
        <f t="shared" si="56"/>
        <v>ok</v>
      </c>
    </row>
    <row r="148" spans="1:23" x14ac:dyDescent="0.25">
      <c r="A148" s="420"/>
      <c r="B148" s="178" t="s">
        <v>21</v>
      </c>
      <c r="C148" s="129">
        <v>18</v>
      </c>
      <c r="D148" s="239">
        <f>DMG_13*CMD_4</f>
        <v>5.3367599999999999</v>
      </c>
      <c r="E148" s="131">
        <f>OMG_13*CMO_4</f>
        <v>3.8719999999999999</v>
      </c>
      <c r="F148" s="132">
        <f t="shared" si="25"/>
        <v>3.0975999999999999</v>
      </c>
      <c r="G148" s="133">
        <f t="shared" si="26"/>
        <v>0.77439999999999976</v>
      </c>
      <c r="H148" s="134">
        <f t="shared" si="47"/>
        <v>3.8719999999999999</v>
      </c>
      <c r="I148" s="135"/>
      <c r="J148" s="136">
        <f t="shared" si="48"/>
        <v>1.4647600000000001</v>
      </c>
      <c r="K148" s="137"/>
      <c r="L148" s="138">
        <f t="shared" si="49"/>
        <v>0.77439999999999976</v>
      </c>
      <c r="M148" s="137"/>
      <c r="N148" s="139">
        <f t="shared" si="50"/>
        <v>0</v>
      </c>
      <c r="O148" s="137"/>
      <c r="P148" s="140">
        <f t="shared" si="51"/>
        <v>0</v>
      </c>
      <c r="Q148" s="135"/>
      <c r="R148" s="104">
        <f t="shared" si="52"/>
        <v>3.0975999999999999</v>
      </c>
      <c r="S148" s="137"/>
      <c r="T148" s="141">
        <f t="shared" si="53"/>
        <v>0.77439999999999976</v>
      </c>
      <c r="U148" s="199">
        <f t="shared" si="54"/>
        <v>2.23916</v>
      </c>
      <c r="V148" s="37" t="str">
        <f t="shared" si="55"/>
        <v>ok</v>
      </c>
      <c r="W148" s="37" t="str">
        <f t="shared" si="56"/>
        <v>ok</v>
      </c>
    </row>
    <row r="149" spans="1:23" x14ac:dyDescent="0.25">
      <c r="A149" s="420"/>
      <c r="B149" s="178" t="s">
        <v>22</v>
      </c>
      <c r="C149" s="129">
        <v>19</v>
      </c>
      <c r="D149" s="239">
        <f>DMG_14*CMD_4</f>
        <v>3.7237199999999997</v>
      </c>
      <c r="E149" s="131">
        <f>OMG_14*CMO_4</f>
        <v>6.5119999999999996</v>
      </c>
      <c r="F149" s="132">
        <f t="shared" si="25"/>
        <v>5.2096</v>
      </c>
      <c r="G149" s="133">
        <f t="shared" si="26"/>
        <v>1.3023999999999996</v>
      </c>
      <c r="H149" s="134">
        <f t="shared" si="47"/>
        <v>3.7237199999999997</v>
      </c>
      <c r="I149" s="135"/>
      <c r="J149" s="136">
        <f t="shared" si="48"/>
        <v>0</v>
      </c>
      <c r="K149" s="137"/>
      <c r="L149" s="138">
        <f t="shared" si="49"/>
        <v>0</v>
      </c>
      <c r="M149" s="137"/>
      <c r="N149" s="139">
        <f t="shared" si="50"/>
        <v>1.4858800000000003</v>
      </c>
      <c r="O149" s="137"/>
      <c r="P149" s="140">
        <f t="shared" si="51"/>
        <v>1.3023999999999996</v>
      </c>
      <c r="Q149" s="135"/>
      <c r="R149" s="104">
        <f t="shared" si="52"/>
        <v>3.7237199999999997</v>
      </c>
      <c r="S149" s="137"/>
      <c r="T149" s="141">
        <f t="shared" si="53"/>
        <v>2.7882799999999999</v>
      </c>
      <c r="U149" s="199">
        <f t="shared" si="54"/>
        <v>0</v>
      </c>
      <c r="V149" s="37" t="str">
        <f t="shared" si="55"/>
        <v>ok</v>
      </c>
      <c r="W149" s="37" t="str">
        <f t="shared" si="56"/>
        <v>ok</v>
      </c>
    </row>
    <row r="150" spans="1:23" x14ac:dyDescent="0.25">
      <c r="A150" s="420"/>
      <c r="B150" s="178" t="s">
        <v>23</v>
      </c>
      <c r="C150" s="129">
        <v>20</v>
      </c>
      <c r="D150" s="239">
        <f>DMG_15*CMD_4</f>
        <v>7.7219999999999995</v>
      </c>
      <c r="E150" s="131">
        <f>OMG_15*CMO_4</f>
        <v>7.7439999999999998</v>
      </c>
      <c r="F150" s="132">
        <f t="shared" si="25"/>
        <v>6.1951999999999998</v>
      </c>
      <c r="G150" s="133">
        <f t="shared" si="26"/>
        <v>1.5487999999999995</v>
      </c>
      <c r="H150" s="134">
        <f t="shared" si="47"/>
        <v>7.7219999999999995</v>
      </c>
      <c r="I150" s="135"/>
      <c r="J150" s="136">
        <f t="shared" si="48"/>
        <v>0</v>
      </c>
      <c r="K150" s="137"/>
      <c r="L150" s="138">
        <f t="shared" si="49"/>
        <v>1.5267999999999997</v>
      </c>
      <c r="M150" s="137"/>
      <c r="N150" s="139">
        <f t="shared" si="50"/>
        <v>0</v>
      </c>
      <c r="O150" s="137"/>
      <c r="P150" s="140">
        <f t="shared" si="51"/>
        <v>2.2000000000000242E-2</v>
      </c>
      <c r="Q150" s="135"/>
      <c r="R150" s="104">
        <f t="shared" si="52"/>
        <v>6.1951999999999998</v>
      </c>
      <c r="S150" s="137"/>
      <c r="T150" s="141">
        <f t="shared" si="53"/>
        <v>1.5488</v>
      </c>
      <c r="U150" s="199">
        <f t="shared" si="54"/>
        <v>1.5267999999999997</v>
      </c>
      <c r="V150" s="37" t="str">
        <f t="shared" si="55"/>
        <v>ok</v>
      </c>
      <c r="W150" s="37" t="str">
        <f t="shared" si="56"/>
        <v>ok</v>
      </c>
    </row>
    <row r="151" spans="1:23" x14ac:dyDescent="0.25">
      <c r="A151" s="420"/>
      <c r="B151" s="178" t="s">
        <v>19</v>
      </c>
      <c r="C151" s="129">
        <v>23</v>
      </c>
      <c r="D151" s="239">
        <f>DMG_16*CMD_4</f>
        <v>30.990959999999998</v>
      </c>
      <c r="E151" s="131">
        <f>OMG_16*CMO_4</f>
        <v>8.7119999999999997</v>
      </c>
      <c r="F151" s="132">
        <f t="shared" si="25"/>
        <v>6.9695999999999998</v>
      </c>
      <c r="G151" s="133">
        <f t="shared" si="26"/>
        <v>1.7423999999999995</v>
      </c>
      <c r="H151" s="134">
        <f t="shared" si="47"/>
        <v>8.7119999999999997</v>
      </c>
      <c r="I151" s="135"/>
      <c r="J151" s="136">
        <f t="shared" si="48"/>
        <v>22.278959999999998</v>
      </c>
      <c r="K151" s="137"/>
      <c r="L151" s="138">
        <f t="shared" si="49"/>
        <v>1.7423999999999995</v>
      </c>
      <c r="M151" s="137"/>
      <c r="N151" s="139">
        <f t="shared" si="50"/>
        <v>0</v>
      </c>
      <c r="O151" s="137"/>
      <c r="P151" s="140">
        <f t="shared" si="51"/>
        <v>0</v>
      </c>
      <c r="Q151" s="135"/>
      <c r="R151" s="104">
        <f t="shared" si="52"/>
        <v>6.9695999999999998</v>
      </c>
      <c r="S151" s="137"/>
      <c r="T151" s="141">
        <f t="shared" si="53"/>
        <v>1.7423999999999995</v>
      </c>
      <c r="U151" s="199">
        <f t="shared" si="54"/>
        <v>24.021359999999998</v>
      </c>
      <c r="V151" s="37" t="str">
        <f t="shared" si="55"/>
        <v>ok</v>
      </c>
      <c r="W151" s="37" t="str">
        <f t="shared" si="56"/>
        <v>ok</v>
      </c>
    </row>
    <row r="152" spans="1:23" x14ac:dyDescent="0.25">
      <c r="A152" s="420"/>
      <c r="B152" s="178" t="s">
        <v>20</v>
      </c>
      <c r="C152" s="129">
        <v>24</v>
      </c>
      <c r="D152" s="239">
        <f>DMG_17*CMD_4</f>
        <v>25.225199999999997</v>
      </c>
      <c r="E152" s="131">
        <f>OMG_17*CMO_4</f>
        <v>5.5193599999999998</v>
      </c>
      <c r="F152" s="132">
        <f t="shared" si="25"/>
        <v>4.4154879999999999</v>
      </c>
      <c r="G152" s="133">
        <f t="shared" si="26"/>
        <v>1.1038719999999997</v>
      </c>
      <c r="H152" s="134">
        <f t="shared" si="47"/>
        <v>5.5193599999999998</v>
      </c>
      <c r="I152" s="135"/>
      <c r="J152" s="136">
        <f t="shared" si="48"/>
        <v>19.705839999999998</v>
      </c>
      <c r="K152" s="137"/>
      <c r="L152" s="138">
        <f t="shared" si="49"/>
        <v>1.1038719999999997</v>
      </c>
      <c r="M152" s="137"/>
      <c r="N152" s="139">
        <f t="shared" si="50"/>
        <v>0</v>
      </c>
      <c r="O152" s="137"/>
      <c r="P152" s="140">
        <f t="shared" si="51"/>
        <v>0</v>
      </c>
      <c r="Q152" s="135"/>
      <c r="R152" s="104">
        <f t="shared" si="52"/>
        <v>4.4154879999999999</v>
      </c>
      <c r="S152" s="137"/>
      <c r="T152" s="141">
        <f t="shared" si="53"/>
        <v>1.1038719999999997</v>
      </c>
      <c r="U152" s="199">
        <f t="shared" si="54"/>
        <v>20.809711999999998</v>
      </c>
      <c r="V152" s="37" t="str">
        <f t="shared" si="55"/>
        <v>ok</v>
      </c>
      <c r="W152" s="37" t="str">
        <f t="shared" si="56"/>
        <v>ok</v>
      </c>
    </row>
    <row r="153" spans="1:23" x14ac:dyDescent="0.25">
      <c r="A153" s="420"/>
      <c r="B153" s="178" t="s">
        <v>21</v>
      </c>
      <c r="C153" s="129">
        <v>25</v>
      </c>
      <c r="D153" s="239">
        <f>DMG_18*CMD_4</f>
        <v>14.534520000000001</v>
      </c>
      <c r="E153" s="131">
        <f>OMG_18*CMO_4</f>
        <v>2.6153599999999999</v>
      </c>
      <c r="F153" s="132">
        <f t="shared" si="25"/>
        <v>2.0922879999999999</v>
      </c>
      <c r="G153" s="133">
        <f t="shared" si="26"/>
        <v>0.52307199999999987</v>
      </c>
      <c r="H153" s="134">
        <f t="shared" si="47"/>
        <v>2.6153599999999999</v>
      </c>
      <c r="I153" s="135"/>
      <c r="J153" s="136">
        <f t="shared" si="48"/>
        <v>11.919160000000002</v>
      </c>
      <c r="K153" s="137"/>
      <c r="L153" s="138">
        <f t="shared" si="49"/>
        <v>0.52307199999999987</v>
      </c>
      <c r="M153" s="137"/>
      <c r="N153" s="139">
        <f t="shared" si="50"/>
        <v>0</v>
      </c>
      <c r="O153" s="137"/>
      <c r="P153" s="140">
        <f t="shared" si="51"/>
        <v>0</v>
      </c>
      <c r="Q153" s="135"/>
      <c r="R153" s="104">
        <f t="shared" si="52"/>
        <v>2.0922879999999999</v>
      </c>
      <c r="S153" s="137"/>
      <c r="T153" s="141">
        <f t="shared" si="53"/>
        <v>0.52307199999999987</v>
      </c>
      <c r="U153" s="199">
        <f t="shared" si="54"/>
        <v>12.442232000000001</v>
      </c>
      <c r="V153" s="37" t="str">
        <f t="shared" si="55"/>
        <v>ok</v>
      </c>
      <c r="W153" s="37" t="str">
        <f t="shared" si="56"/>
        <v>ok</v>
      </c>
    </row>
    <row r="154" spans="1:23" x14ac:dyDescent="0.25">
      <c r="A154" s="420"/>
      <c r="B154" s="178" t="s">
        <v>22</v>
      </c>
      <c r="C154" s="129">
        <v>26</v>
      </c>
      <c r="D154" s="239">
        <f>DMG_19*CMD_4</f>
        <v>11.900459999999999</v>
      </c>
      <c r="E154" s="131">
        <f>OMG_19*CMO_4</f>
        <v>3.4847999999999999</v>
      </c>
      <c r="F154" s="132">
        <f t="shared" si="25"/>
        <v>2.7878400000000001</v>
      </c>
      <c r="G154" s="133">
        <f t="shared" si="26"/>
        <v>0.6969599999999998</v>
      </c>
      <c r="H154" s="134">
        <f t="shared" si="47"/>
        <v>3.4847999999999999</v>
      </c>
      <c r="I154" s="135"/>
      <c r="J154" s="136">
        <f t="shared" si="48"/>
        <v>8.415659999999999</v>
      </c>
      <c r="K154" s="137"/>
      <c r="L154" s="138">
        <f t="shared" si="49"/>
        <v>0.6969599999999998</v>
      </c>
      <c r="M154" s="137"/>
      <c r="N154" s="139">
        <f t="shared" si="50"/>
        <v>0</v>
      </c>
      <c r="O154" s="137"/>
      <c r="P154" s="140">
        <f t="shared" si="51"/>
        <v>0</v>
      </c>
      <c r="Q154" s="135"/>
      <c r="R154" s="104">
        <f t="shared" si="52"/>
        <v>2.7878400000000001</v>
      </c>
      <c r="S154" s="137"/>
      <c r="T154" s="141">
        <f t="shared" si="53"/>
        <v>0.6969599999999998</v>
      </c>
      <c r="U154" s="199">
        <f t="shared" si="54"/>
        <v>9.1126199999999997</v>
      </c>
      <c r="V154" s="37" t="str">
        <f t="shared" si="55"/>
        <v>ok</v>
      </c>
      <c r="W154" s="37" t="str">
        <f t="shared" si="56"/>
        <v>ok</v>
      </c>
    </row>
    <row r="155" spans="1:23" x14ac:dyDescent="0.25">
      <c r="A155" s="420"/>
      <c r="B155" s="178" t="s">
        <v>23</v>
      </c>
      <c r="C155" s="129">
        <v>27</v>
      </c>
      <c r="D155" s="239">
        <f>DMG_20*CMD_4</f>
        <v>22.350899999999999</v>
      </c>
      <c r="E155" s="131">
        <f>OMG_20*CMO_4</f>
        <v>5.5193599999999998</v>
      </c>
      <c r="F155" s="132">
        <f t="shared" si="25"/>
        <v>4.4154879999999999</v>
      </c>
      <c r="G155" s="133">
        <f t="shared" si="26"/>
        <v>1.1038719999999997</v>
      </c>
      <c r="H155" s="134">
        <f t="shared" si="47"/>
        <v>5.5193599999999998</v>
      </c>
      <c r="I155" s="135"/>
      <c r="J155" s="136">
        <f t="shared" si="48"/>
        <v>16.83154</v>
      </c>
      <c r="K155" s="137"/>
      <c r="L155" s="138">
        <f t="shared" si="49"/>
        <v>1.1038719999999997</v>
      </c>
      <c r="M155" s="137"/>
      <c r="N155" s="139">
        <f t="shared" si="50"/>
        <v>0</v>
      </c>
      <c r="O155" s="137"/>
      <c r="P155" s="140">
        <f t="shared" si="51"/>
        <v>0</v>
      </c>
      <c r="Q155" s="135"/>
      <c r="R155" s="104">
        <f t="shared" si="52"/>
        <v>4.4154879999999999</v>
      </c>
      <c r="S155" s="137"/>
      <c r="T155" s="141">
        <f t="shared" si="53"/>
        <v>1.1038719999999997</v>
      </c>
      <c r="U155" s="199">
        <f t="shared" si="54"/>
        <v>17.935411999999999</v>
      </c>
      <c r="V155" s="37" t="str">
        <f t="shared" si="55"/>
        <v>ok</v>
      </c>
      <c r="W155" s="37" t="str">
        <f t="shared" si="56"/>
        <v>ok</v>
      </c>
    </row>
    <row r="156" spans="1:23" ht="15.75" thickBot="1" x14ac:dyDescent="0.3">
      <c r="A156" s="421"/>
      <c r="B156" s="180" t="s">
        <v>19</v>
      </c>
      <c r="C156" s="237">
        <v>30</v>
      </c>
      <c r="D156" s="240">
        <f>DMG_21*CMD_4</f>
        <v>37.185720000000003</v>
      </c>
      <c r="E156" s="203">
        <f>OMG_21*CMO_4</f>
        <v>10.559999999999999</v>
      </c>
      <c r="F156" s="204">
        <f t="shared" si="25"/>
        <v>8.4479999999999986</v>
      </c>
      <c r="G156" s="205">
        <f t="shared" si="26"/>
        <v>2.1119999999999992</v>
      </c>
      <c r="H156" s="206">
        <f t="shared" si="47"/>
        <v>10.559999999999999</v>
      </c>
      <c r="I156" s="207"/>
      <c r="J156" s="208">
        <f t="shared" si="48"/>
        <v>26.625720000000005</v>
      </c>
      <c r="K156" s="209"/>
      <c r="L156" s="210">
        <f t="shared" si="49"/>
        <v>2.1119999999999992</v>
      </c>
      <c r="M156" s="209"/>
      <c r="N156" s="211">
        <f t="shared" si="50"/>
        <v>0</v>
      </c>
      <c r="O156" s="209"/>
      <c r="P156" s="212">
        <f t="shared" si="51"/>
        <v>0</v>
      </c>
      <c r="Q156" s="207"/>
      <c r="R156" s="213">
        <f t="shared" si="52"/>
        <v>8.4480000000000004</v>
      </c>
      <c r="S156" s="209"/>
      <c r="T156" s="214">
        <f t="shared" si="53"/>
        <v>2.1119999999999992</v>
      </c>
      <c r="U156" s="215">
        <f t="shared" si="54"/>
        <v>28.737720000000003</v>
      </c>
      <c r="V156" s="37" t="str">
        <f t="shared" si="55"/>
        <v>ok</v>
      </c>
      <c r="W156" s="37" t="str">
        <f t="shared" si="56"/>
        <v>ok</v>
      </c>
    </row>
    <row r="157" spans="1:23" x14ac:dyDescent="0.25">
      <c r="A157" s="419" t="s">
        <v>93</v>
      </c>
      <c r="B157" s="176" t="s">
        <v>20</v>
      </c>
      <c r="C157" s="177">
        <v>1</v>
      </c>
      <c r="D157" s="184">
        <f>DMG_1*CMD_5</f>
        <v>19.712734999999999</v>
      </c>
      <c r="E157" s="185">
        <f>OMG_1*CMO_5</f>
        <v>9.984</v>
      </c>
      <c r="F157" s="186">
        <f t="shared" si="25"/>
        <v>7.9872000000000005</v>
      </c>
      <c r="G157" s="187">
        <f t="shared" si="26"/>
        <v>1.9967999999999995</v>
      </c>
      <c r="H157" s="188">
        <f>IF(E157&gt;D157,D157,E157)</f>
        <v>9.984</v>
      </c>
      <c r="I157" s="189"/>
      <c r="J157" s="190">
        <f>IF(E157&gt;D157,0,D157-E157)</f>
        <v>9.7287349999999986</v>
      </c>
      <c r="K157" s="191"/>
      <c r="L157" s="192">
        <f>IF(E157&gt;D157,IF(F157&gt;H157,0,H157-F157),G157)</f>
        <v>1.9967999999999995</v>
      </c>
      <c r="M157" s="191"/>
      <c r="N157" s="193">
        <f>IF(E157&gt;D157,IF(F157&gt;H157,F157-H157,0),0)</f>
        <v>0</v>
      </c>
      <c r="O157" s="191"/>
      <c r="P157" s="194">
        <f>IF(E157&gt;D157,IF(F157&gt;H157,G157,E157-H157),0)</f>
        <v>0</v>
      </c>
      <c r="Q157" s="189"/>
      <c r="R157" s="195">
        <f>H157-L157</f>
        <v>7.9872000000000005</v>
      </c>
      <c r="S157" s="191"/>
      <c r="T157" s="196">
        <f>L157+N157+P157</f>
        <v>1.9967999999999995</v>
      </c>
      <c r="U157" s="197">
        <f>J157+L157</f>
        <v>11.725534999999997</v>
      </c>
      <c r="V157" s="37" t="str">
        <f>IF(R157+T157=E157,"ok","bad")</f>
        <v>ok</v>
      </c>
      <c r="W157" s="37" t="str">
        <f>IF(U157+R157=D157,"ok","bad")</f>
        <v>ok</v>
      </c>
    </row>
    <row r="158" spans="1:23" x14ac:dyDescent="0.25">
      <c r="A158" s="420"/>
      <c r="B158" s="178" t="s">
        <v>21</v>
      </c>
      <c r="C158" s="179">
        <v>2</v>
      </c>
      <c r="D158" s="130">
        <f>DMG_2*CMD_5</f>
        <v>15.478470000000002</v>
      </c>
      <c r="E158" s="131">
        <f>OMG_2*CMO_5</f>
        <v>7.3216000000000001</v>
      </c>
      <c r="F158" s="132">
        <f t="shared" ref="F158:F221" si="57">E158*TC</f>
        <v>5.8572800000000003</v>
      </c>
      <c r="G158" s="133">
        <f t="shared" ref="G158:G221" si="58">E158*(1-TC)</f>
        <v>1.4643199999999996</v>
      </c>
      <c r="H158" s="134">
        <f t="shared" ref="H158:H179" si="59">IF(E158&gt;D158,D158,E158)</f>
        <v>7.3216000000000001</v>
      </c>
      <c r="I158" s="135"/>
      <c r="J158" s="136">
        <f t="shared" ref="J158:J179" si="60">IF(E158&gt;D158,0,D158-E158)</f>
        <v>8.1568700000000014</v>
      </c>
      <c r="K158" s="137"/>
      <c r="L158" s="138">
        <f t="shared" ref="L158:L179" si="61">IF(E158&gt;D158,IF(F158&gt;H158,0,H158-F158),G158)</f>
        <v>1.4643199999999996</v>
      </c>
      <c r="M158" s="137"/>
      <c r="N158" s="139">
        <f t="shared" ref="N158:N179" si="62">IF(E158&gt;D158,IF(F158&gt;H158,F158-H158,0),0)</f>
        <v>0</v>
      </c>
      <c r="O158" s="137"/>
      <c r="P158" s="140">
        <f t="shared" ref="P158:P179" si="63">IF(E158&gt;D158,IF(F158&gt;H158,G158,E158-H158),0)</f>
        <v>0</v>
      </c>
      <c r="Q158" s="135"/>
      <c r="R158" s="104">
        <f t="shared" ref="R158:R179" si="64">H158-L158</f>
        <v>5.8572800000000003</v>
      </c>
      <c r="S158" s="137"/>
      <c r="T158" s="141">
        <f t="shared" ref="T158:T179" si="65">L158+N158+P158</f>
        <v>1.4643199999999996</v>
      </c>
      <c r="U158" s="199">
        <f t="shared" ref="U158:U179" si="66">J158+L158</f>
        <v>9.6211900000000004</v>
      </c>
      <c r="V158" s="37" t="str">
        <f t="shared" ref="V158:V179" si="67">IF(R158+T158=E158,"ok","bad")</f>
        <v>ok</v>
      </c>
      <c r="W158" s="37" t="str">
        <f t="shared" ref="W158:W179" si="68">IF(U158+R158=D158,"ok","bad")</f>
        <v>ok</v>
      </c>
    </row>
    <row r="159" spans="1:23" x14ac:dyDescent="0.25">
      <c r="A159" s="420"/>
      <c r="B159" s="178" t="s">
        <v>22</v>
      </c>
      <c r="C159" s="179">
        <v>3</v>
      </c>
      <c r="D159" s="130">
        <f>DMG_3*CMD_5</f>
        <v>6.7704699999999995</v>
      </c>
      <c r="E159" s="131">
        <f>OMG_3*CMO_5</f>
        <v>2.9952000000000001</v>
      </c>
      <c r="F159" s="132">
        <f t="shared" si="57"/>
        <v>2.3961600000000001</v>
      </c>
      <c r="G159" s="133">
        <f t="shared" si="58"/>
        <v>0.59903999999999991</v>
      </c>
      <c r="H159" s="134">
        <f t="shared" si="59"/>
        <v>2.9952000000000001</v>
      </c>
      <c r="I159" s="135"/>
      <c r="J159" s="136">
        <f t="shared" si="60"/>
        <v>3.7752699999999995</v>
      </c>
      <c r="K159" s="137"/>
      <c r="L159" s="138">
        <f t="shared" si="61"/>
        <v>0.59903999999999991</v>
      </c>
      <c r="M159" s="137"/>
      <c r="N159" s="139">
        <f t="shared" si="62"/>
        <v>0</v>
      </c>
      <c r="O159" s="137"/>
      <c r="P159" s="140">
        <f t="shared" si="63"/>
        <v>0</v>
      </c>
      <c r="Q159" s="135"/>
      <c r="R159" s="104">
        <f t="shared" si="64"/>
        <v>2.3961600000000001</v>
      </c>
      <c r="S159" s="137"/>
      <c r="T159" s="141">
        <f t="shared" si="65"/>
        <v>0.59903999999999991</v>
      </c>
      <c r="U159" s="199">
        <f t="shared" si="66"/>
        <v>4.3743099999999995</v>
      </c>
      <c r="V159" s="37" t="str">
        <f t="shared" si="67"/>
        <v>ok</v>
      </c>
      <c r="W159" s="37" t="str">
        <f t="shared" si="68"/>
        <v>ok</v>
      </c>
    </row>
    <row r="160" spans="1:23" x14ac:dyDescent="0.25">
      <c r="A160" s="420"/>
      <c r="B160" s="178" t="s">
        <v>23</v>
      </c>
      <c r="C160" s="179">
        <v>4</v>
      </c>
      <c r="D160" s="130">
        <f>DMG_4*CMD_5</f>
        <v>4.7240900000000003</v>
      </c>
      <c r="E160" s="131">
        <f>OMG_4*CMO_5</f>
        <v>4.4927999999999999</v>
      </c>
      <c r="F160" s="132">
        <f t="shared" si="57"/>
        <v>3.5942400000000001</v>
      </c>
      <c r="G160" s="133">
        <f t="shared" si="58"/>
        <v>0.8985599999999998</v>
      </c>
      <c r="H160" s="134">
        <f t="shared" si="59"/>
        <v>4.4927999999999999</v>
      </c>
      <c r="I160" s="135"/>
      <c r="J160" s="136">
        <f t="shared" si="60"/>
        <v>0.23129000000000044</v>
      </c>
      <c r="K160" s="137"/>
      <c r="L160" s="138">
        <f t="shared" si="61"/>
        <v>0.8985599999999998</v>
      </c>
      <c r="M160" s="137"/>
      <c r="N160" s="139">
        <f t="shared" si="62"/>
        <v>0</v>
      </c>
      <c r="O160" s="137"/>
      <c r="P160" s="140">
        <f t="shared" si="63"/>
        <v>0</v>
      </c>
      <c r="Q160" s="135"/>
      <c r="R160" s="104">
        <f t="shared" si="64"/>
        <v>3.5942400000000001</v>
      </c>
      <c r="S160" s="137"/>
      <c r="T160" s="141">
        <f t="shared" si="65"/>
        <v>0.8985599999999998</v>
      </c>
      <c r="U160" s="199">
        <f t="shared" si="66"/>
        <v>1.1298500000000002</v>
      </c>
      <c r="V160" s="37" t="str">
        <f t="shared" si="67"/>
        <v>ok</v>
      </c>
      <c r="W160" s="37" t="str">
        <f t="shared" si="68"/>
        <v>ok</v>
      </c>
    </row>
    <row r="161" spans="1:23" x14ac:dyDescent="0.25">
      <c r="A161" s="420"/>
      <c r="B161" s="178" t="s">
        <v>19</v>
      </c>
      <c r="C161" s="179">
        <v>7</v>
      </c>
      <c r="D161" s="130">
        <f>DMG_5*CMD_5</f>
        <v>9.7965</v>
      </c>
      <c r="E161" s="131">
        <f>OMG_5*CMO_5</f>
        <v>7.3216000000000001</v>
      </c>
      <c r="F161" s="132">
        <f t="shared" si="57"/>
        <v>5.8572800000000003</v>
      </c>
      <c r="G161" s="133">
        <f t="shared" si="58"/>
        <v>1.4643199999999996</v>
      </c>
      <c r="H161" s="134">
        <f t="shared" si="59"/>
        <v>7.3216000000000001</v>
      </c>
      <c r="I161" s="135"/>
      <c r="J161" s="136">
        <f t="shared" si="60"/>
        <v>2.4748999999999999</v>
      </c>
      <c r="K161" s="137"/>
      <c r="L161" s="138">
        <f t="shared" si="61"/>
        <v>1.4643199999999996</v>
      </c>
      <c r="M161" s="137"/>
      <c r="N161" s="139">
        <f t="shared" si="62"/>
        <v>0</v>
      </c>
      <c r="O161" s="137"/>
      <c r="P161" s="140">
        <f t="shared" si="63"/>
        <v>0</v>
      </c>
      <c r="Q161" s="135"/>
      <c r="R161" s="104">
        <f t="shared" si="64"/>
        <v>5.8572800000000003</v>
      </c>
      <c r="S161" s="137"/>
      <c r="T161" s="141">
        <f t="shared" si="65"/>
        <v>1.4643199999999996</v>
      </c>
      <c r="U161" s="199">
        <f t="shared" si="66"/>
        <v>3.9392199999999997</v>
      </c>
      <c r="V161" s="37" t="str">
        <f t="shared" si="67"/>
        <v>ok</v>
      </c>
      <c r="W161" s="37" t="str">
        <f t="shared" si="68"/>
        <v>ok</v>
      </c>
    </row>
    <row r="162" spans="1:23" x14ac:dyDescent="0.25">
      <c r="A162" s="420"/>
      <c r="B162" s="178" t="s">
        <v>20</v>
      </c>
      <c r="C162" s="179">
        <v>8</v>
      </c>
      <c r="D162" s="130">
        <f>DMG_6*CMD_5</f>
        <v>31.457649999999997</v>
      </c>
      <c r="E162" s="131">
        <f>OMG_6*CMO_5</f>
        <v>5.12</v>
      </c>
      <c r="F162" s="132">
        <f t="shared" si="57"/>
        <v>4.0960000000000001</v>
      </c>
      <c r="G162" s="133">
        <f t="shared" si="58"/>
        <v>1.0239999999999998</v>
      </c>
      <c r="H162" s="134">
        <f t="shared" si="59"/>
        <v>5.12</v>
      </c>
      <c r="I162" s="135"/>
      <c r="J162" s="136">
        <f t="shared" si="60"/>
        <v>26.337649999999996</v>
      </c>
      <c r="K162" s="137"/>
      <c r="L162" s="138">
        <f t="shared" si="61"/>
        <v>1.0239999999999998</v>
      </c>
      <c r="M162" s="137"/>
      <c r="N162" s="139">
        <f t="shared" si="62"/>
        <v>0</v>
      </c>
      <c r="O162" s="137"/>
      <c r="P162" s="140">
        <f t="shared" si="63"/>
        <v>0</v>
      </c>
      <c r="Q162" s="135"/>
      <c r="R162" s="104">
        <f t="shared" si="64"/>
        <v>4.0960000000000001</v>
      </c>
      <c r="S162" s="137"/>
      <c r="T162" s="141">
        <f t="shared" si="65"/>
        <v>1.0239999999999998</v>
      </c>
      <c r="U162" s="199">
        <f t="shared" si="66"/>
        <v>27.361649999999997</v>
      </c>
      <c r="V162" s="37" t="str">
        <f t="shared" si="67"/>
        <v>ok</v>
      </c>
      <c r="W162" s="37" t="str">
        <f t="shared" si="68"/>
        <v>ok</v>
      </c>
    </row>
    <row r="163" spans="1:23" x14ac:dyDescent="0.25">
      <c r="A163" s="420"/>
      <c r="B163" s="178" t="s">
        <v>21</v>
      </c>
      <c r="C163" s="179">
        <v>9</v>
      </c>
      <c r="D163" s="130">
        <f>DMG_7*CMD_5</f>
        <v>25.51444</v>
      </c>
      <c r="E163" s="131">
        <f>OMG_7*CMO_5</f>
        <v>5.2480000000000002</v>
      </c>
      <c r="F163" s="132">
        <f t="shared" si="57"/>
        <v>4.1984000000000004</v>
      </c>
      <c r="G163" s="133">
        <f t="shared" si="58"/>
        <v>1.0495999999999999</v>
      </c>
      <c r="H163" s="134">
        <f t="shared" si="59"/>
        <v>5.2480000000000002</v>
      </c>
      <c r="I163" s="135"/>
      <c r="J163" s="136">
        <f t="shared" si="60"/>
        <v>20.266439999999999</v>
      </c>
      <c r="K163" s="137"/>
      <c r="L163" s="138">
        <f t="shared" si="61"/>
        <v>1.0495999999999999</v>
      </c>
      <c r="M163" s="137"/>
      <c r="N163" s="139">
        <f t="shared" si="62"/>
        <v>0</v>
      </c>
      <c r="O163" s="137"/>
      <c r="P163" s="140">
        <f t="shared" si="63"/>
        <v>0</v>
      </c>
      <c r="Q163" s="135"/>
      <c r="R163" s="104">
        <f t="shared" si="64"/>
        <v>4.1984000000000004</v>
      </c>
      <c r="S163" s="137"/>
      <c r="T163" s="141">
        <f t="shared" si="65"/>
        <v>1.0495999999999999</v>
      </c>
      <c r="U163" s="199">
        <f t="shared" si="66"/>
        <v>21.316040000000001</v>
      </c>
      <c r="V163" s="37" t="str">
        <f t="shared" si="67"/>
        <v>ok</v>
      </c>
      <c r="W163" s="37" t="str">
        <f t="shared" si="68"/>
        <v>ok</v>
      </c>
    </row>
    <row r="164" spans="1:23" x14ac:dyDescent="0.25">
      <c r="A164" s="420"/>
      <c r="B164" s="178" t="s">
        <v>22</v>
      </c>
      <c r="C164" s="179">
        <v>10</v>
      </c>
      <c r="D164" s="130">
        <f>DMG_8*CMD_5</f>
        <v>14.749175000000001</v>
      </c>
      <c r="E164" s="131">
        <f>OMG_8*CMO_5</f>
        <v>2.8159999999999998</v>
      </c>
      <c r="F164" s="132">
        <f t="shared" si="57"/>
        <v>2.2528000000000001</v>
      </c>
      <c r="G164" s="133">
        <f t="shared" si="58"/>
        <v>0.56319999999999981</v>
      </c>
      <c r="H164" s="134">
        <f t="shared" si="59"/>
        <v>2.8159999999999998</v>
      </c>
      <c r="I164" s="135"/>
      <c r="J164" s="136">
        <f t="shared" si="60"/>
        <v>11.933175000000002</v>
      </c>
      <c r="K164" s="137"/>
      <c r="L164" s="138">
        <f t="shared" si="61"/>
        <v>0.56319999999999981</v>
      </c>
      <c r="M164" s="137"/>
      <c r="N164" s="139">
        <f t="shared" si="62"/>
        <v>0</v>
      </c>
      <c r="O164" s="137"/>
      <c r="P164" s="140">
        <f t="shared" si="63"/>
        <v>0</v>
      </c>
      <c r="Q164" s="135"/>
      <c r="R164" s="104">
        <f t="shared" si="64"/>
        <v>2.2528000000000001</v>
      </c>
      <c r="S164" s="137"/>
      <c r="T164" s="141">
        <f t="shared" si="65"/>
        <v>0.56319999999999981</v>
      </c>
      <c r="U164" s="199">
        <f t="shared" si="66"/>
        <v>12.496375000000002</v>
      </c>
      <c r="V164" s="37" t="str">
        <f t="shared" si="67"/>
        <v>ok</v>
      </c>
      <c r="W164" s="37" t="str">
        <f t="shared" si="68"/>
        <v>ok</v>
      </c>
    </row>
    <row r="165" spans="1:23" x14ac:dyDescent="0.25">
      <c r="A165" s="420"/>
      <c r="B165" s="178" t="s">
        <v>23</v>
      </c>
      <c r="C165" s="179">
        <v>11</v>
      </c>
      <c r="D165" s="130">
        <f>DMG_9*CMD_5</f>
        <v>11.908189999999999</v>
      </c>
      <c r="E165" s="131">
        <f>OMG_9*CMO_5</f>
        <v>3.5840000000000001</v>
      </c>
      <c r="F165" s="132">
        <f t="shared" si="57"/>
        <v>2.8672000000000004</v>
      </c>
      <c r="G165" s="133">
        <f t="shared" si="58"/>
        <v>0.71679999999999988</v>
      </c>
      <c r="H165" s="134">
        <f t="shared" si="59"/>
        <v>3.5840000000000001</v>
      </c>
      <c r="I165" s="135"/>
      <c r="J165" s="136">
        <f t="shared" si="60"/>
        <v>8.3241899999999998</v>
      </c>
      <c r="K165" s="137"/>
      <c r="L165" s="138">
        <f t="shared" si="61"/>
        <v>0.71679999999999988</v>
      </c>
      <c r="M165" s="137"/>
      <c r="N165" s="139">
        <f t="shared" si="62"/>
        <v>0</v>
      </c>
      <c r="O165" s="137"/>
      <c r="P165" s="140">
        <f t="shared" si="63"/>
        <v>0</v>
      </c>
      <c r="Q165" s="135"/>
      <c r="R165" s="104">
        <f t="shared" si="64"/>
        <v>2.8672000000000004</v>
      </c>
      <c r="S165" s="137"/>
      <c r="T165" s="141">
        <f t="shared" si="65"/>
        <v>0.71679999999999988</v>
      </c>
      <c r="U165" s="199">
        <f t="shared" si="66"/>
        <v>9.040989999999999</v>
      </c>
      <c r="V165" s="37" t="str">
        <f t="shared" si="67"/>
        <v>ok</v>
      </c>
      <c r="W165" s="37" t="str">
        <f t="shared" si="68"/>
        <v>ok</v>
      </c>
    </row>
    <row r="166" spans="1:23" x14ac:dyDescent="0.25">
      <c r="A166" s="420"/>
      <c r="B166" s="178" t="s">
        <v>19</v>
      </c>
      <c r="C166" s="179">
        <v>14</v>
      </c>
      <c r="D166" s="130">
        <f>DMG_10*CMD_5</f>
        <v>22.684339999999999</v>
      </c>
      <c r="E166" s="131">
        <f>OMG_10*CMO_5</f>
        <v>4.8639999999999999</v>
      </c>
      <c r="F166" s="132">
        <f t="shared" si="57"/>
        <v>3.8912</v>
      </c>
      <c r="G166" s="133">
        <f t="shared" si="58"/>
        <v>0.97279999999999978</v>
      </c>
      <c r="H166" s="134">
        <f t="shared" si="59"/>
        <v>4.8639999999999999</v>
      </c>
      <c r="I166" s="135"/>
      <c r="J166" s="136">
        <f t="shared" si="60"/>
        <v>17.820339999999998</v>
      </c>
      <c r="K166" s="137"/>
      <c r="L166" s="138">
        <f t="shared" si="61"/>
        <v>0.97279999999999978</v>
      </c>
      <c r="M166" s="137"/>
      <c r="N166" s="139">
        <f t="shared" si="62"/>
        <v>0</v>
      </c>
      <c r="O166" s="137"/>
      <c r="P166" s="140">
        <f t="shared" si="63"/>
        <v>0</v>
      </c>
      <c r="Q166" s="135"/>
      <c r="R166" s="104">
        <f t="shared" si="64"/>
        <v>3.8912</v>
      </c>
      <c r="S166" s="137"/>
      <c r="T166" s="141">
        <f t="shared" si="65"/>
        <v>0.97279999999999978</v>
      </c>
      <c r="U166" s="199">
        <f t="shared" si="66"/>
        <v>18.793139999999998</v>
      </c>
      <c r="V166" s="37" t="str">
        <f t="shared" si="67"/>
        <v>ok</v>
      </c>
      <c r="W166" s="37" t="str">
        <f t="shared" si="68"/>
        <v>ok</v>
      </c>
    </row>
    <row r="167" spans="1:23" x14ac:dyDescent="0.25">
      <c r="A167" s="420"/>
      <c r="B167" s="178" t="s">
        <v>20</v>
      </c>
      <c r="C167" s="179">
        <v>15</v>
      </c>
      <c r="D167" s="130">
        <f>DMG_11*CMD_5</f>
        <v>19.712734999999999</v>
      </c>
      <c r="E167" s="131">
        <f>OMG_11*CMO_5</f>
        <v>7.68</v>
      </c>
      <c r="F167" s="132">
        <f t="shared" si="57"/>
        <v>6.1440000000000001</v>
      </c>
      <c r="G167" s="133">
        <f t="shared" si="58"/>
        <v>1.5359999999999996</v>
      </c>
      <c r="H167" s="134">
        <f t="shared" si="59"/>
        <v>7.68</v>
      </c>
      <c r="I167" s="135"/>
      <c r="J167" s="136">
        <f t="shared" si="60"/>
        <v>12.032734999999999</v>
      </c>
      <c r="K167" s="137"/>
      <c r="L167" s="138">
        <f t="shared" si="61"/>
        <v>1.5359999999999996</v>
      </c>
      <c r="M167" s="137"/>
      <c r="N167" s="139">
        <f t="shared" si="62"/>
        <v>0</v>
      </c>
      <c r="O167" s="137"/>
      <c r="P167" s="140">
        <f t="shared" si="63"/>
        <v>0</v>
      </c>
      <c r="Q167" s="135"/>
      <c r="R167" s="104">
        <f t="shared" si="64"/>
        <v>6.1440000000000001</v>
      </c>
      <c r="S167" s="137"/>
      <c r="T167" s="141">
        <f t="shared" si="65"/>
        <v>1.5359999999999996</v>
      </c>
      <c r="U167" s="199">
        <f t="shared" si="66"/>
        <v>13.568734999999998</v>
      </c>
      <c r="V167" s="37" t="str">
        <f t="shared" si="67"/>
        <v>ok</v>
      </c>
      <c r="W167" s="37" t="str">
        <f t="shared" si="68"/>
        <v>ok</v>
      </c>
    </row>
    <row r="168" spans="1:23" x14ac:dyDescent="0.25">
      <c r="A168" s="420"/>
      <c r="B168" s="178" t="s">
        <v>21</v>
      </c>
      <c r="C168" s="179">
        <v>16</v>
      </c>
      <c r="D168" s="130">
        <f>DMG_12*CMD_5</f>
        <v>15.478470000000002</v>
      </c>
      <c r="E168" s="131">
        <f>OMG_12*CMO_5</f>
        <v>5.8879999999999999</v>
      </c>
      <c r="F168" s="132">
        <f t="shared" si="57"/>
        <v>4.7103999999999999</v>
      </c>
      <c r="G168" s="133">
        <f t="shared" si="58"/>
        <v>1.1775999999999998</v>
      </c>
      <c r="H168" s="134">
        <f t="shared" si="59"/>
        <v>5.8879999999999999</v>
      </c>
      <c r="I168" s="135"/>
      <c r="J168" s="136">
        <f t="shared" si="60"/>
        <v>9.5904700000000016</v>
      </c>
      <c r="K168" s="137"/>
      <c r="L168" s="138">
        <f t="shared" si="61"/>
        <v>1.1775999999999998</v>
      </c>
      <c r="M168" s="137"/>
      <c r="N168" s="139">
        <f t="shared" si="62"/>
        <v>0</v>
      </c>
      <c r="O168" s="137"/>
      <c r="P168" s="140">
        <f t="shared" si="63"/>
        <v>0</v>
      </c>
      <c r="Q168" s="135"/>
      <c r="R168" s="104">
        <f t="shared" si="64"/>
        <v>4.7103999999999999</v>
      </c>
      <c r="S168" s="137"/>
      <c r="T168" s="141">
        <f t="shared" si="65"/>
        <v>1.1775999999999998</v>
      </c>
      <c r="U168" s="199">
        <f t="shared" si="66"/>
        <v>10.768070000000002</v>
      </c>
      <c r="V168" s="37" t="str">
        <f t="shared" si="67"/>
        <v>ok</v>
      </c>
      <c r="W168" s="37" t="str">
        <f t="shared" si="68"/>
        <v>ok</v>
      </c>
    </row>
    <row r="169" spans="1:23" x14ac:dyDescent="0.25">
      <c r="A169" s="420"/>
      <c r="B169" s="178" t="s">
        <v>22</v>
      </c>
      <c r="C169" s="179">
        <v>17</v>
      </c>
      <c r="D169" s="130">
        <f>DMG_13*CMD_5</f>
        <v>6.7704699999999995</v>
      </c>
      <c r="E169" s="131">
        <f>OMG_13*CMO_5</f>
        <v>2.8159999999999998</v>
      </c>
      <c r="F169" s="132">
        <f t="shared" si="57"/>
        <v>2.2528000000000001</v>
      </c>
      <c r="G169" s="133">
        <f t="shared" si="58"/>
        <v>0.56319999999999981</v>
      </c>
      <c r="H169" s="134">
        <f t="shared" si="59"/>
        <v>2.8159999999999998</v>
      </c>
      <c r="I169" s="135"/>
      <c r="J169" s="136">
        <f t="shared" si="60"/>
        <v>3.9544699999999997</v>
      </c>
      <c r="K169" s="137"/>
      <c r="L169" s="138">
        <f t="shared" si="61"/>
        <v>0.56319999999999981</v>
      </c>
      <c r="M169" s="137"/>
      <c r="N169" s="139">
        <f t="shared" si="62"/>
        <v>0</v>
      </c>
      <c r="O169" s="137"/>
      <c r="P169" s="140">
        <f t="shared" si="63"/>
        <v>0</v>
      </c>
      <c r="Q169" s="135"/>
      <c r="R169" s="104">
        <f t="shared" si="64"/>
        <v>2.2528000000000001</v>
      </c>
      <c r="S169" s="137"/>
      <c r="T169" s="141">
        <f t="shared" si="65"/>
        <v>0.56319999999999981</v>
      </c>
      <c r="U169" s="199">
        <f t="shared" si="66"/>
        <v>4.5176699999999999</v>
      </c>
      <c r="V169" s="37" t="str">
        <f t="shared" si="67"/>
        <v>ok</v>
      </c>
      <c r="W169" s="37" t="str">
        <f t="shared" si="68"/>
        <v>ok</v>
      </c>
    </row>
    <row r="170" spans="1:23" x14ac:dyDescent="0.25">
      <c r="A170" s="420"/>
      <c r="B170" s="178" t="s">
        <v>23</v>
      </c>
      <c r="C170" s="179">
        <v>18</v>
      </c>
      <c r="D170" s="130">
        <f>DMG_14*CMD_5</f>
        <v>4.7240900000000003</v>
      </c>
      <c r="E170" s="131">
        <f>OMG_14*CMO_5</f>
        <v>4.7359999999999998</v>
      </c>
      <c r="F170" s="132">
        <f t="shared" si="57"/>
        <v>3.7888000000000002</v>
      </c>
      <c r="G170" s="133">
        <f t="shared" si="58"/>
        <v>0.94719999999999971</v>
      </c>
      <c r="H170" s="134">
        <f t="shared" si="59"/>
        <v>4.7240900000000003</v>
      </c>
      <c r="I170" s="135"/>
      <c r="J170" s="136">
        <f t="shared" si="60"/>
        <v>0</v>
      </c>
      <c r="K170" s="137"/>
      <c r="L170" s="138">
        <f t="shared" si="61"/>
        <v>0.93529000000000018</v>
      </c>
      <c r="M170" s="137"/>
      <c r="N170" s="139">
        <f t="shared" si="62"/>
        <v>0</v>
      </c>
      <c r="O170" s="137"/>
      <c r="P170" s="140">
        <f t="shared" si="63"/>
        <v>1.1909999999999421E-2</v>
      </c>
      <c r="Q170" s="135"/>
      <c r="R170" s="104">
        <f t="shared" si="64"/>
        <v>3.7888000000000002</v>
      </c>
      <c r="S170" s="137"/>
      <c r="T170" s="141">
        <f t="shared" si="65"/>
        <v>0.9471999999999996</v>
      </c>
      <c r="U170" s="199">
        <f t="shared" si="66"/>
        <v>0.93529000000000018</v>
      </c>
      <c r="V170" s="37" t="str">
        <f t="shared" si="67"/>
        <v>ok</v>
      </c>
      <c r="W170" s="37" t="str">
        <f t="shared" si="68"/>
        <v>ok</v>
      </c>
    </row>
    <row r="171" spans="1:23" x14ac:dyDescent="0.25">
      <c r="A171" s="420"/>
      <c r="B171" s="178" t="s">
        <v>19</v>
      </c>
      <c r="C171" s="179">
        <v>21</v>
      </c>
      <c r="D171" s="130">
        <f>DMG_15*CMD_5</f>
        <v>9.7965</v>
      </c>
      <c r="E171" s="131">
        <f>OMG_15*CMO_5</f>
        <v>5.6319999999999997</v>
      </c>
      <c r="F171" s="132">
        <f t="shared" si="57"/>
        <v>4.5056000000000003</v>
      </c>
      <c r="G171" s="133">
        <f t="shared" si="58"/>
        <v>1.1263999999999996</v>
      </c>
      <c r="H171" s="134">
        <f t="shared" si="59"/>
        <v>5.6319999999999997</v>
      </c>
      <c r="I171" s="135"/>
      <c r="J171" s="136">
        <f t="shared" si="60"/>
        <v>4.1645000000000003</v>
      </c>
      <c r="K171" s="137"/>
      <c r="L171" s="138">
        <f t="shared" si="61"/>
        <v>1.1263999999999996</v>
      </c>
      <c r="M171" s="137"/>
      <c r="N171" s="139">
        <f t="shared" si="62"/>
        <v>0</v>
      </c>
      <c r="O171" s="137"/>
      <c r="P171" s="140">
        <f t="shared" si="63"/>
        <v>0</v>
      </c>
      <c r="Q171" s="135"/>
      <c r="R171" s="104">
        <f t="shared" si="64"/>
        <v>4.5056000000000003</v>
      </c>
      <c r="S171" s="137"/>
      <c r="T171" s="141">
        <f t="shared" si="65"/>
        <v>1.1263999999999996</v>
      </c>
      <c r="U171" s="199">
        <f t="shared" si="66"/>
        <v>5.2908999999999997</v>
      </c>
      <c r="V171" s="37" t="str">
        <f t="shared" si="67"/>
        <v>ok</v>
      </c>
      <c r="W171" s="37" t="str">
        <f t="shared" si="68"/>
        <v>ok</v>
      </c>
    </row>
    <row r="172" spans="1:23" x14ac:dyDescent="0.25">
      <c r="A172" s="420"/>
      <c r="B172" s="178" t="s">
        <v>20</v>
      </c>
      <c r="C172" s="179">
        <v>22</v>
      </c>
      <c r="D172" s="130">
        <f>DMG_16*CMD_5</f>
        <v>39.31662</v>
      </c>
      <c r="E172" s="131">
        <f>OMG_16*CMO_5</f>
        <v>6.3360000000000003</v>
      </c>
      <c r="F172" s="132">
        <f t="shared" si="57"/>
        <v>5.0688000000000004</v>
      </c>
      <c r="G172" s="133">
        <f t="shared" si="58"/>
        <v>1.2671999999999999</v>
      </c>
      <c r="H172" s="134">
        <f t="shared" si="59"/>
        <v>6.3360000000000003</v>
      </c>
      <c r="I172" s="135"/>
      <c r="J172" s="136">
        <f t="shared" si="60"/>
        <v>32.980620000000002</v>
      </c>
      <c r="K172" s="137"/>
      <c r="L172" s="138">
        <f t="shared" si="61"/>
        <v>1.2671999999999999</v>
      </c>
      <c r="M172" s="137"/>
      <c r="N172" s="139">
        <f t="shared" si="62"/>
        <v>0</v>
      </c>
      <c r="O172" s="137"/>
      <c r="P172" s="140">
        <f t="shared" si="63"/>
        <v>0</v>
      </c>
      <c r="Q172" s="135"/>
      <c r="R172" s="104">
        <f t="shared" si="64"/>
        <v>5.0688000000000004</v>
      </c>
      <c r="S172" s="137"/>
      <c r="T172" s="141">
        <f t="shared" si="65"/>
        <v>1.2671999999999999</v>
      </c>
      <c r="U172" s="199">
        <f t="shared" si="66"/>
        <v>34.247820000000004</v>
      </c>
      <c r="V172" s="37" t="str">
        <f t="shared" si="67"/>
        <v>ok</v>
      </c>
      <c r="W172" s="37" t="str">
        <f t="shared" si="68"/>
        <v>ok</v>
      </c>
    </row>
    <row r="173" spans="1:23" x14ac:dyDescent="0.25">
      <c r="A173" s="420"/>
      <c r="B173" s="178" t="s">
        <v>21</v>
      </c>
      <c r="C173" s="179">
        <v>23</v>
      </c>
      <c r="D173" s="130">
        <f>DMG_17*CMD_5</f>
        <v>32.001899999999999</v>
      </c>
      <c r="E173" s="131">
        <f>OMG_17*CMO_5</f>
        <v>4.0140799999999999</v>
      </c>
      <c r="F173" s="132">
        <f t="shared" si="57"/>
        <v>3.2112639999999999</v>
      </c>
      <c r="G173" s="133">
        <f t="shared" si="58"/>
        <v>0.80281599999999975</v>
      </c>
      <c r="H173" s="134">
        <f t="shared" si="59"/>
        <v>4.0140799999999999</v>
      </c>
      <c r="I173" s="135"/>
      <c r="J173" s="136">
        <f t="shared" si="60"/>
        <v>27.987819999999999</v>
      </c>
      <c r="K173" s="137"/>
      <c r="L173" s="138">
        <f t="shared" si="61"/>
        <v>0.80281599999999975</v>
      </c>
      <c r="M173" s="137"/>
      <c r="N173" s="139">
        <f t="shared" si="62"/>
        <v>0</v>
      </c>
      <c r="O173" s="137"/>
      <c r="P173" s="140">
        <f t="shared" si="63"/>
        <v>0</v>
      </c>
      <c r="Q173" s="135"/>
      <c r="R173" s="104">
        <f t="shared" si="64"/>
        <v>3.2112639999999999</v>
      </c>
      <c r="S173" s="137"/>
      <c r="T173" s="141">
        <f t="shared" si="65"/>
        <v>0.80281599999999975</v>
      </c>
      <c r="U173" s="199">
        <f t="shared" si="66"/>
        <v>28.790635999999999</v>
      </c>
      <c r="V173" s="37" t="str">
        <f t="shared" si="67"/>
        <v>ok</v>
      </c>
      <c r="W173" s="37" t="str">
        <f t="shared" si="68"/>
        <v>ok</v>
      </c>
    </row>
    <row r="174" spans="1:23" x14ac:dyDescent="0.25">
      <c r="A174" s="420"/>
      <c r="B174" s="178" t="s">
        <v>22</v>
      </c>
      <c r="C174" s="179">
        <v>24</v>
      </c>
      <c r="D174" s="130">
        <f>DMG_18*CMD_5</f>
        <v>18.439190000000004</v>
      </c>
      <c r="E174" s="131">
        <f>OMG_18*CMO_5</f>
        <v>1.90208</v>
      </c>
      <c r="F174" s="132">
        <f t="shared" si="57"/>
        <v>1.5216640000000001</v>
      </c>
      <c r="G174" s="133">
        <f t="shared" si="58"/>
        <v>0.38041599999999992</v>
      </c>
      <c r="H174" s="134">
        <f t="shared" si="59"/>
        <v>1.90208</v>
      </c>
      <c r="I174" s="135"/>
      <c r="J174" s="136">
        <f t="shared" si="60"/>
        <v>16.537110000000002</v>
      </c>
      <c r="K174" s="137"/>
      <c r="L174" s="138">
        <f t="shared" si="61"/>
        <v>0.38041599999999992</v>
      </c>
      <c r="M174" s="137"/>
      <c r="N174" s="139">
        <f t="shared" si="62"/>
        <v>0</v>
      </c>
      <c r="O174" s="137"/>
      <c r="P174" s="140">
        <f t="shared" si="63"/>
        <v>0</v>
      </c>
      <c r="Q174" s="135"/>
      <c r="R174" s="104">
        <f t="shared" si="64"/>
        <v>1.5216640000000001</v>
      </c>
      <c r="S174" s="137"/>
      <c r="T174" s="141">
        <f t="shared" si="65"/>
        <v>0.38041599999999992</v>
      </c>
      <c r="U174" s="199">
        <f t="shared" si="66"/>
        <v>16.917526000000002</v>
      </c>
      <c r="V174" s="37" t="str">
        <f t="shared" si="67"/>
        <v>ok</v>
      </c>
      <c r="W174" s="37" t="str">
        <f t="shared" si="68"/>
        <v>ok</v>
      </c>
    </row>
    <row r="175" spans="1:23" x14ac:dyDescent="0.25">
      <c r="A175" s="420"/>
      <c r="B175" s="178" t="s">
        <v>23</v>
      </c>
      <c r="C175" s="179">
        <v>25</v>
      </c>
      <c r="D175" s="130">
        <f>DMG_19*CMD_5</f>
        <v>15.097495</v>
      </c>
      <c r="E175" s="131">
        <f>OMG_19*CMO_5</f>
        <v>2.5344000000000002</v>
      </c>
      <c r="F175" s="132">
        <f t="shared" si="57"/>
        <v>2.0275200000000004</v>
      </c>
      <c r="G175" s="133">
        <f t="shared" si="58"/>
        <v>0.50687999999999989</v>
      </c>
      <c r="H175" s="134">
        <f t="shared" si="59"/>
        <v>2.5344000000000002</v>
      </c>
      <c r="I175" s="135"/>
      <c r="J175" s="136">
        <f t="shared" si="60"/>
        <v>12.563095000000001</v>
      </c>
      <c r="K175" s="137"/>
      <c r="L175" s="138">
        <f t="shared" si="61"/>
        <v>0.50687999999999989</v>
      </c>
      <c r="M175" s="137"/>
      <c r="N175" s="139">
        <f t="shared" si="62"/>
        <v>0</v>
      </c>
      <c r="O175" s="137"/>
      <c r="P175" s="140">
        <f t="shared" si="63"/>
        <v>0</v>
      </c>
      <c r="Q175" s="135"/>
      <c r="R175" s="104">
        <f t="shared" si="64"/>
        <v>2.0275200000000004</v>
      </c>
      <c r="S175" s="137"/>
      <c r="T175" s="141">
        <f t="shared" si="65"/>
        <v>0.50687999999999989</v>
      </c>
      <c r="U175" s="199">
        <f t="shared" si="66"/>
        <v>13.069975000000001</v>
      </c>
      <c r="V175" s="37" t="str">
        <f t="shared" si="67"/>
        <v>ok</v>
      </c>
      <c r="W175" s="37" t="str">
        <f t="shared" si="68"/>
        <v>ok</v>
      </c>
    </row>
    <row r="176" spans="1:23" x14ac:dyDescent="0.25">
      <c r="A176" s="420"/>
      <c r="B176" s="178" t="s">
        <v>19</v>
      </c>
      <c r="C176" s="179">
        <v>28</v>
      </c>
      <c r="D176" s="130">
        <f>DMG_20*CMD_5</f>
        <v>28.355425</v>
      </c>
      <c r="E176" s="131">
        <f>OMG_20*CMO_5</f>
        <v>4.0140799999999999</v>
      </c>
      <c r="F176" s="132">
        <f t="shared" si="57"/>
        <v>3.2112639999999999</v>
      </c>
      <c r="G176" s="133">
        <f t="shared" si="58"/>
        <v>0.80281599999999975</v>
      </c>
      <c r="H176" s="134">
        <f t="shared" si="59"/>
        <v>4.0140799999999999</v>
      </c>
      <c r="I176" s="135"/>
      <c r="J176" s="136">
        <f t="shared" si="60"/>
        <v>24.341345</v>
      </c>
      <c r="K176" s="137"/>
      <c r="L176" s="138">
        <f t="shared" si="61"/>
        <v>0.80281599999999975</v>
      </c>
      <c r="M176" s="137"/>
      <c r="N176" s="139">
        <f t="shared" si="62"/>
        <v>0</v>
      </c>
      <c r="O176" s="137"/>
      <c r="P176" s="140">
        <f t="shared" si="63"/>
        <v>0</v>
      </c>
      <c r="Q176" s="135"/>
      <c r="R176" s="104">
        <f t="shared" si="64"/>
        <v>3.2112639999999999</v>
      </c>
      <c r="S176" s="137"/>
      <c r="T176" s="141">
        <f t="shared" si="65"/>
        <v>0.80281599999999975</v>
      </c>
      <c r="U176" s="199">
        <f t="shared" si="66"/>
        <v>25.144161</v>
      </c>
      <c r="V176" s="37" t="str">
        <f t="shared" si="67"/>
        <v>ok</v>
      </c>
      <c r="W176" s="37" t="str">
        <f t="shared" si="68"/>
        <v>ok</v>
      </c>
    </row>
    <row r="177" spans="1:23" x14ac:dyDescent="0.25">
      <c r="A177" s="420"/>
      <c r="B177" s="178" t="s">
        <v>20</v>
      </c>
      <c r="C177" s="179">
        <v>29</v>
      </c>
      <c r="D177" s="130">
        <f>DMG_21*CMD_5</f>
        <v>47.175590000000007</v>
      </c>
      <c r="E177" s="131">
        <f>OMG_21*CMO_5</f>
        <v>7.68</v>
      </c>
      <c r="F177" s="132">
        <f t="shared" si="57"/>
        <v>6.1440000000000001</v>
      </c>
      <c r="G177" s="133">
        <f t="shared" si="58"/>
        <v>1.5359999999999996</v>
      </c>
      <c r="H177" s="134">
        <f t="shared" si="59"/>
        <v>7.68</v>
      </c>
      <c r="I177" s="135"/>
      <c r="J177" s="136">
        <f t="shared" si="60"/>
        <v>39.495590000000007</v>
      </c>
      <c r="K177" s="137"/>
      <c r="L177" s="138">
        <f t="shared" si="61"/>
        <v>1.5359999999999996</v>
      </c>
      <c r="M177" s="137"/>
      <c r="N177" s="139">
        <f t="shared" si="62"/>
        <v>0</v>
      </c>
      <c r="O177" s="137"/>
      <c r="P177" s="140">
        <f t="shared" si="63"/>
        <v>0</v>
      </c>
      <c r="Q177" s="135"/>
      <c r="R177" s="104">
        <f t="shared" si="64"/>
        <v>6.1440000000000001</v>
      </c>
      <c r="S177" s="137"/>
      <c r="T177" s="141">
        <f t="shared" si="65"/>
        <v>1.5359999999999996</v>
      </c>
      <c r="U177" s="199">
        <f t="shared" si="66"/>
        <v>41.031590000000008</v>
      </c>
      <c r="V177" s="37" t="str">
        <f t="shared" si="67"/>
        <v>ok</v>
      </c>
      <c r="W177" s="37" t="str">
        <f t="shared" si="68"/>
        <v>ok</v>
      </c>
    </row>
    <row r="178" spans="1:23" x14ac:dyDescent="0.25">
      <c r="A178" s="420"/>
      <c r="B178" s="178" t="s">
        <v>21</v>
      </c>
      <c r="C178" s="179">
        <v>30</v>
      </c>
      <c r="D178" s="130">
        <f>DMG_22*CMD_5</f>
        <v>38.271659999999997</v>
      </c>
      <c r="E178" s="131">
        <f>OMG_22*CMO_5</f>
        <v>5.3760000000000003</v>
      </c>
      <c r="F178" s="132">
        <f t="shared" si="57"/>
        <v>4.3008000000000006</v>
      </c>
      <c r="G178" s="133">
        <f t="shared" si="58"/>
        <v>1.0751999999999999</v>
      </c>
      <c r="H178" s="134">
        <f t="shared" si="59"/>
        <v>5.3760000000000003</v>
      </c>
      <c r="I178" s="135"/>
      <c r="J178" s="136">
        <f t="shared" si="60"/>
        <v>32.895659999999999</v>
      </c>
      <c r="K178" s="137"/>
      <c r="L178" s="138">
        <f t="shared" si="61"/>
        <v>1.0751999999999999</v>
      </c>
      <c r="M178" s="137"/>
      <c r="N178" s="139">
        <f t="shared" si="62"/>
        <v>0</v>
      </c>
      <c r="O178" s="137"/>
      <c r="P178" s="140">
        <f t="shared" si="63"/>
        <v>0</v>
      </c>
      <c r="Q178" s="135"/>
      <c r="R178" s="104">
        <f t="shared" si="64"/>
        <v>4.3008000000000006</v>
      </c>
      <c r="S178" s="137"/>
      <c r="T178" s="141">
        <f t="shared" si="65"/>
        <v>1.0751999999999999</v>
      </c>
      <c r="U178" s="199">
        <f t="shared" si="66"/>
        <v>33.970860000000002</v>
      </c>
      <c r="V178" s="37" t="str">
        <f t="shared" si="67"/>
        <v>ok</v>
      </c>
      <c r="W178" s="37" t="str">
        <f t="shared" si="68"/>
        <v>ok</v>
      </c>
    </row>
    <row r="179" spans="1:23" ht="15.75" thickBot="1" x14ac:dyDescent="0.3">
      <c r="A179" s="421"/>
      <c r="B179" s="180" t="s">
        <v>22</v>
      </c>
      <c r="C179" s="181">
        <v>31</v>
      </c>
      <c r="D179" s="202">
        <f>DMG_23*CMD_5</f>
        <v>22.129204999999999</v>
      </c>
      <c r="E179" s="203">
        <f>OMG_23*CMO_5</f>
        <v>2.56</v>
      </c>
      <c r="F179" s="204">
        <f t="shared" si="57"/>
        <v>2.048</v>
      </c>
      <c r="G179" s="205">
        <f t="shared" si="58"/>
        <v>0.5119999999999999</v>
      </c>
      <c r="H179" s="206">
        <f t="shared" si="59"/>
        <v>2.56</v>
      </c>
      <c r="I179" s="207"/>
      <c r="J179" s="208">
        <f t="shared" si="60"/>
        <v>19.569205</v>
      </c>
      <c r="K179" s="209"/>
      <c r="L179" s="210">
        <f t="shared" si="61"/>
        <v>0.5119999999999999</v>
      </c>
      <c r="M179" s="209"/>
      <c r="N179" s="211">
        <f t="shared" si="62"/>
        <v>0</v>
      </c>
      <c r="O179" s="209"/>
      <c r="P179" s="212">
        <f t="shared" si="63"/>
        <v>0</v>
      </c>
      <c r="Q179" s="207"/>
      <c r="R179" s="213">
        <f t="shared" si="64"/>
        <v>2.048</v>
      </c>
      <c r="S179" s="209"/>
      <c r="T179" s="214">
        <f t="shared" si="65"/>
        <v>0.5119999999999999</v>
      </c>
      <c r="U179" s="215">
        <f t="shared" si="66"/>
        <v>20.081205000000001</v>
      </c>
      <c r="V179" s="37" t="str">
        <f t="shared" si="67"/>
        <v>ok</v>
      </c>
      <c r="W179" s="37" t="str">
        <f t="shared" si="68"/>
        <v>ok</v>
      </c>
    </row>
    <row r="180" spans="1:23" x14ac:dyDescent="0.25">
      <c r="A180" s="419" t="s">
        <v>94</v>
      </c>
      <c r="B180" s="176" t="s">
        <v>23</v>
      </c>
      <c r="C180" s="241">
        <v>1</v>
      </c>
      <c r="D180" s="238">
        <f>DMG_1*CMD_6</f>
        <v>10.358919999999999</v>
      </c>
      <c r="E180" s="185">
        <f>OMG_1*CMO_6</f>
        <v>17.647500000000001</v>
      </c>
      <c r="F180" s="186">
        <f t="shared" si="57"/>
        <v>14.118000000000002</v>
      </c>
      <c r="G180" s="187">
        <f t="shared" si="58"/>
        <v>3.5294999999999992</v>
      </c>
      <c r="H180" s="188">
        <f>IF(E180&gt;D180,D180,E180)</f>
        <v>10.358919999999999</v>
      </c>
      <c r="I180" s="189"/>
      <c r="J180" s="190">
        <f>IF(E180&gt;D180,0,D180-E180)</f>
        <v>0</v>
      </c>
      <c r="K180" s="191"/>
      <c r="L180" s="192">
        <f>IF(E180&gt;D180,IF(F180&gt;H180,0,H180-F180),G180)</f>
        <v>0</v>
      </c>
      <c r="M180" s="191"/>
      <c r="N180" s="193">
        <f>IF(E180&gt;D180,IF(F180&gt;H180,F180-H180,0),0)</f>
        <v>3.7590800000000026</v>
      </c>
      <c r="O180" s="191"/>
      <c r="P180" s="194">
        <f>IF(E180&gt;D180,IF(F180&gt;H180,G180,E180-H180),0)</f>
        <v>3.5294999999999992</v>
      </c>
      <c r="Q180" s="189"/>
      <c r="R180" s="195">
        <f>H180-L180</f>
        <v>10.358919999999999</v>
      </c>
      <c r="S180" s="191"/>
      <c r="T180" s="196">
        <f>L180+N180+P180</f>
        <v>7.2885800000000014</v>
      </c>
      <c r="U180" s="197">
        <f>J180+L180</f>
        <v>0</v>
      </c>
      <c r="V180" s="37" t="str">
        <f>IF(R180+T180=E180,"ok","bad")</f>
        <v>ok</v>
      </c>
      <c r="W180" s="37" t="str">
        <f>IF(U180+R180=D180,"ok","bad")</f>
        <v>ok</v>
      </c>
    </row>
    <row r="181" spans="1:23" x14ac:dyDescent="0.25">
      <c r="A181" s="420"/>
      <c r="B181" s="178" t="s">
        <v>19</v>
      </c>
      <c r="C181" s="129">
        <v>4</v>
      </c>
      <c r="D181" s="239">
        <f>DMG_2*CMD_6</f>
        <v>8.1338399999999993</v>
      </c>
      <c r="E181" s="131">
        <f>OMG_2*CMO_6</f>
        <v>12.941500000000001</v>
      </c>
      <c r="F181" s="132">
        <f t="shared" si="57"/>
        <v>10.353200000000001</v>
      </c>
      <c r="G181" s="133">
        <f t="shared" si="58"/>
        <v>2.5882999999999998</v>
      </c>
      <c r="H181" s="134">
        <f t="shared" ref="H181:H200" si="69">IF(E181&gt;D181,D181,E181)</f>
        <v>8.1338399999999993</v>
      </c>
      <c r="I181" s="135"/>
      <c r="J181" s="136">
        <f t="shared" ref="J181:J200" si="70">IF(E181&gt;D181,0,D181-E181)</f>
        <v>0</v>
      </c>
      <c r="K181" s="137"/>
      <c r="L181" s="138">
        <f t="shared" ref="L181:L200" si="71">IF(E181&gt;D181,IF(F181&gt;H181,0,H181-F181),G181)</f>
        <v>0</v>
      </c>
      <c r="M181" s="137"/>
      <c r="N181" s="139">
        <f t="shared" ref="N181:N200" si="72">IF(E181&gt;D181,IF(F181&gt;H181,F181-H181,0),0)</f>
        <v>2.2193600000000018</v>
      </c>
      <c r="O181" s="137"/>
      <c r="P181" s="140">
        <f t="shared" ref="P181:P200" si="73">IF(E181&gt;D181,IF(F181&gt;H181,G181,E181-H181),0)</f>
        <v>2.5882999999999998</v>
      </c>
      <c r="Q181" s="135"/>
      <c r="R181" s="104">
        <f t="shared" ref="R181:R200" si="74">H181-L181</f>
        <v>8.1338399999999993</v>
      </c>
      <c r="S181" s="137"/>
      <c r="T181" s="141">
        <f t="shared" ref="T181:T200" si="75">L181+N181+P181</f>
        <v>4.807660000000002</v>
      </c>
      <c r="U181" s="199">
        <f t="shared" ref="U181:U200" si="76">J181+L181</f>
        <v>0</v>
      </c>
      <c r="V181" s="37" t="str">
        <f t="shared" ref="V181:V200" si="77">IF(R181+T181=E181,"ok","bad")</f>
        <v>ok</v>
      </c>
      <c r="W181" s="37" t="str">
        <f t="shared" ref="W181:W200" si="78">IF(U181+R181=D181,"ok","bad")</f>
        <v>ok</v>
      </c>
    </row>
    <row r="182" spans="1:23" x14ac:dyDescent="0.25">
      <c r="A182" s="420"/>
      <c r="B182" s="178" t="s">
        <v>20</v>
      </c>
      <c r="C182" s="129">
        <v>5</v>
      </c>
      <c r="D182" s="239">
        <f>DMG_3*CMD_6</f>
        <v>3.5578399999999997</v>
      </c>
      <c r="E182" s="131">
        <f>OMG_3*CMO_6</f>
        <v>5.2942499999999999</v>
      </c>
      <c r="F182" s="132">
        <f t="shared" si="57"/>
        <v>4.2354000000000003</v>
      </c>
      <c r="G182" s="133">
        <f t="shared" si="58"/>
        <v>1.0588499999999998</v>
      </c>
      <c r="H182" s="134">
        <f t="shared" si="69"/>
        <v>3.5578399999999997</v>
      </c>
      <c r="I182" s="135"/>
      <c r="J182" s="136">
        <f t="shared" si="70"/>
        <v>0</v>
      </c>
      <c r="K182" s="137"/>
      <c r="L182" s="138">
        <f t="shared" si="71"/>
        <v>0</v>
      </c>
      <c r="M182" s="137"/>
      <c r="N182" s="139">
        <f t="shared" si="72"/>
        <v>0.67756000000000061</v>
      </c>
      <c r="O182" s="137"/>
      <c r="P182" s="140">
        <f t="shared" si="73"/>
        <v>1.0588499999999998</v>
      </c>
      <c r="Q182" s="135"/>
      <c r="R182" s="104">
        <f t="shared" si="74"/>
        <v>3.5578399999999997</v>
      </c>
      <c r="S182" s="137"/>
      <c r="T182" s="141">
        <f t="shared" si="75"/>
        <v>1.7364100000000005</v>
      </c>
      <c r="U182" s="199">
        <f t="shared" si="76"/>
        <v>0</v>
      </c>
      <c r="V182" s="37" t="str">
        <f t="shared" si="77"/>
        <v>ok</v>
      </c>
      <c r="W182" s="37" t="str">
        <f t="shared" si="78"/>
        <v>ok</v>
      </c>
    </row>
    <row r="183" spans="1:23" x14ac:dyDescent="0.25">
      <c r="A183" s="420"/>
      <c r="B183" s="178" t="s">
        <v>21</v>
      </c>
      <c r="C183" s="129">
        <v>6</v>
      </c>
      <c r="D183" s="239">
        <f>DMG_4*CMD_6</f>
        <v>2.4824799999999998</v>
      </c>
      <c r="E183" s="131">
        <f>OMG_4*CMO_6</f>
        <v>7.9413750000000007</v>
      </c>
      <c r="F183" s="132">
        <f t="shared" si="57"/>
        <v>6.3531000000000013</v>
      </c>
      <c r="G183" s="133">
        <f t="shared" si="58"/>
        <v>1.5882749999999999</v>
      </c>
      <c r="H183" s="134">
        <f t="shared" si="69"/>
        <v>2.4824799999999998</v>
      </c>
      <c r="I183" s="135"/>
      <c r="J183" s="136">
        <f t="shared" si="70"/>
        <v>0</v>
      </c>
      <c r="K183" s="137"/>
      <c r="L183" s="138">
        <f t="shared" si="71"/>
        <v>0</v>
      </c>
      <c r="M183" s="137"/>
      <c r="N183" s="139">
        <f t="shared" si="72"/>
        <v>3.8706200000000015</v>
      </c>
      <c r="O183" s="137"/>
      <c r="P183" s="140">
        <f t="shared" si="73"/>
        <v>1.5882749999999999</v>
      </c>
      <c r="Q183" s="135"/>
      <c r="R183" s="104">
        <f t="shared" si="74"/>
        <v>2.4824799999999998</v>
      </c>
      <c r="S183" s="137"/>
      <c r="T183" s="141">
        <f t="shared" si="75"/>
        <v>5.4588950000000018</v>
      </c>
      <c r="U183" s="199">
        <f t="shared" si="76"/>
        <v>0</v>
      </c>
      <c r="V183" s="37" t="str">
        <f t="shared" si="77"/>
        <v>ok</v>
      </c>
      <c r="W183" s="37" t="str">
        <f t="shared" si="78"/>
        <v>ok</v>
      </c>
    </row>
    <row r="184" spans="1:23" x14ac:dyDescent="0.25">
      <c r="A184" s="420"/>
      <c r="B184" s="178" t="s">
        <v>22</v>
      </c>
      <c r="C184" s="129">
        <v>7</v>
      </c>
      <c r="D184" s="239">
        <f>DMG_5*CMD_6</f>
        <v>5.1479999999999997</v>
      </c>
      <c r="E184" s="131">
        <f>OMG_5*CMO_6</f>
        <v>12.941500000000001</v>
      </c>
      <c r="F184" s="132">
        <f t="shared" si="57"/>
        <v>10.353200000000001</v>
      </c>
      <c r="G184" s="133">
        <f t="shared" si="58"/>
        <v>2.5882999999999998</v>
      </c>
      <c r="H184" s="134">
        <f t="shared" si="69"/>
        <v>5.1479999999999997</v>
      </c>
      <c r="I184" s="135"/>
      <c r="J184" s="136">
        <f t="shared" si="70"/>
        <v>0</v>
      </c>
      <c r="K184" s="137"/>
      <c r="L184" s="138">
        <f t="shared" si="71"/>
        <v>0</v>
      </c>
      <c r="M184" s="137"/>
      <c r="N184" s="139">
        <f t="shared" si="72"/>
        <v>5.2052000000000014</v>
      </c>
      <c r="O184" s="137"/>
      <c r="P184" s="140">
        <f t="shared" si="73"/>
        <v>2.5882999999999998</v>
      </c>
      <c r="Q184" s="135"/>
      <c r="R184" s="104">
        <f t="shared" si="74"/>
        <v>5.1479999999999997</v>
      </c>
      <c r="S184" s="137"/>
      <c r="T184" s="141">
        <f t="shared" si="75"/>
        <v>7.7935000000000016</v>
      </c>
      <c r="U184" s="199">
        <f t="shared" si="76"/>
        <v>0</v>
      </c>
      <c r="V184" s="37" t="str">
        <f t="shared" si="77"/>
        <v>ok</v>
      </c>
      <c r="W184" s="37" t="str">
        <f t="shared" si="78"/>
        <v>ok</v>
      </c>
    </row>
    <row r="185" spans="1:23" x14ac:dyDescent="0.25">
      <c r="A185" s="420"/>
      <c r="B185" s="178" t="s">
        <v>23</v>
      </c>
      <c r="C185" s="129">
        <v>8</v>
      </c>
      <c r="D185" s="239">
        <f>DMG_6*CMD_6</f>
        <v>16.530799999999999</v>
      </c>
      <c r="E185" s="131">
        <f>OMG_6*CMO_6</f>
        <v>9.0500000000000007</v>
      </c>
      <c r="F185" s="132">
        <f t="shared" si="57"/>
        <v>7.2400000000000011</v>
      </c>
      <c r="G185" s="133">
        <f t="shared" si="58"/>
        <v>1.8099999999999998</v>
      </c>
      <c r="H185" s="134">
        <f t="shared" si="69"/>
        <v>9.0500000000000007</v>
      </c>
      <c r="I185" s="135"/>
      <c r="J185" s="136">
        <f t="shared" si="70"/>
        <v>7.4807999999999986</v>
      </c>
      <c r="K185" s="137"/>
      <c r="L185" s="138">
        <f t="shared" si="71"/>
        <v>1.8099999999999998</v>
      </c>
      <c r="M185" s="137"/>
      <c r="N185" s="139">
        <f t="shared" si="72"/>
        <v>0</v>
      </c>
      <c r="O185" s="137"/>
      <c r="P185" s="140">
        <f t="shared" si="73"/>
        <v>0</v>
      </c>
      <c r="Q185" s="135"/>
      <c r="R185" s="104">
        <f t="shared" si="74"/>
        <v>7.2400000000000011</v>
      </c>
      <c r="S185" s="137"/>
      <c r="T185" s="141">
        <f t="shared" si="75"/>
        <v>1.8099999999999998</v>
      </c>
      <c r="U185" s="199">
        <f t="shared" si="76"/>
        <v>9.2907999999999991</v>
      </c>
      <c r="V185" s="37" t="str">
        <f t="shared" si="77"/>
        <v>ok</v>
      </c>
      <c r="W185" s="37" t="str">
        <f t="shared" si="78"/>
        <v>ok</v>
      </c>
    </row>
    <row r="186" spans="1:23" x14ac:dyDescent="0.25">
      <c r="A186" s="420"/>
      <c r="B186" s="178" t="s">
        <v>19</v>
      </c>
      <c r="C186" s="129">
        <v>11</v>
      </c>
      <c r="D186" s="239">
        <f>DMG_7*CMD_6</f>
        <v>13.407679999999999</v>
      </c>
      <c r="E186" s="131">
        <f>OMG_7*CMO_6</f>
        <v>9.276250000000001</v>
      </c>
      <c r="F186" s="132">
        <f t="shared" si="57"/>
        <v>7.4210000000000012</v>
      </c>
      <c r="G186" s="133">
        <f t="shared" si="58"/>
        <v>1.8552499999999998</v>
      </c>
      <c r="H186" s="134">
        <f t="shared" si="69"/>
        <v>9.276250000000001</v>
      </c>
      <c r="I186" s="135"/>
      <c r="J186" s="136">
        <f t="shared" si="70"/>
        <v>4.1314299999999982</v>
      </c>
      <c r="K186" s="137"/>
      <c r="L186" s="138">
        <f t="shared" si="71"/>
        <v>1.8552499999999998</v>
      </c>
      <c r="M186" s="137"/>
      <c r="N186" s="139">
        <f t="shared" si="72"/>
        <v>0</v>
      </c>
      <c r="O186" s="137"/>
      <c r="P186" s="140">
        <f t="shared" si="73"/>
        <v>0</v>
      </c>
      <c r="Q186" s="135"/>
      <c r="R186" s="104">
        <f t="shared" si="74"/>
        <v>7.4210000000000012</v>
      </c>
      <c r="S186" s="137"/>
      <c r="T186" s="141">
        <f t="shared" si="75"/>
        <v>1.8552499999999998</v>
      </c>
      <c r="U186" s="199">
        <f t="shared" si="76"/>
        <v>5.986679999999998</v>
      </c>
      <c r="V186" s="37" t="str">
        <f t="shared" si="77"/>
        <v>ok</v>
      </c>
      <c r="W186" s="37" t="str">
        <f t="shared" si="78"/>
        <v>ok</v>
      </c>
    </row>
    <row r="187" spans="1:23" x14ac:dyDescent="0.25">
      <c r="A187" s="420"/>
      <c r="B187" s="178" t="s">
        <v>20</v>
      </c>
      <c r="C187" s="129">
        <v>12</v>
      </c>
      <c r="D187" s="239">
        <f>DMG_8*CMD_6</f>
        <v>7.7505999999999995</v>
      </c>
      <c r="E187" s="131">
        <f>OMG_8*CMO_6</f>
        <v>4.9775</v>
      </c>
      <c r="F187" s="132">
        <f t="shared" si="57"/>
        <v>3.9820000000000002</v>
      </c>
      <c r="G187" s="133">
        <f t="shared" si="58"/>
        <v>0.99549999999999983</v>
      </c>
      <c r="H187" s="134">
        <f t="shared" si="69"/>
        <v>4.9775</v>
      </c>
      <c r="I187" s="135"/>
      <c r="J187" s="136">
        <f t="shared" si="70"/>
        <v>2.7730999999999995</v>
      </c>
      <c r="K187" s="137"/>
      <c r="L187" s="138">
        <f t="shared" si="71"/>
        <v>0.99549999999999983</v>
      </c>
      <c r="M187" s="137"/>
      <c r="N187" s="139">
        <f t="shared" si="72"/>
        <v>0</v>
      </c>
      <c r="O187" s="137"/>
      <c r="P187" s="140">
        <f t="shared" si="73"/>
        <v>0</v>
      </c>
      <c r="Q187" s="135"/>
      <c r="R187" s="104">
        <f t="shared" si="74"/>
        <v>3.9820000000000002</v>
      </c>
      <c r="S187" s="137"/>
      <c r="T187" s="141">
        <f t="shared" si="75"/>
        <v>0.99549999999999983</v>
      </c>
      <c r="U187" s="199">
        <f t="shared" si="76"/>
        <v>3.7685999999999993</v>
      </c>
      <c r="V187" s="37" t="str">
        <f t="shared" si="77"/>
        <v>ok</v>
      </c>
      <c r="W187" s="37" t="str">
        <f t="shared" si="78"/>
        <v>ok</v>
      </c>
    </row>
    <row r="188" spans="1:23" x14ac:dyDescent="0.25">
      <c r="A188" s="420"/>
      <c r="B188" s="178" t="s">
        <v>21</v>
      </c>
      <c r="C188" s="129">
        <v>13</v>
      </c>
      <c r="D188" s="239">
        <f>DMG_9*CMD_6</f>
        <v>6.2576799999999988</v>
      </c>
      <c r="E188" s="131">
        <f>OMG_9*CMO_6</f>
        <v>6.335</v>
      </c>
      <c r="F188" s="132">
        <f t="shared" si="57"/>
        <v>5.0680000000000005</v>
      </c>
      <c r="G188" s="133">
        <f t="shared" si="58"/>
        <v>1.2669999999999997</v>
      </c>
      <c r="H188" s="134">
        <f t="shared" si="69"/>
        <v>6.2576799999999988</v>
      </c>
      <c r="I188" s="135"/>
      <c r="J188" s="136">
        <f t="shared" si="70"/>
        <v>0</v>
      </c>
      <c r="K188" s="137"/>
      <c r="L188" s="138">
        <f t="shared" si="71"/>
        <v>1.1896799999999983</v>
      </c>
      <c r="M188" s="137"/>
      <c r="N188" s="139">
        <f t="shared" si="72"/>
        <v>0</v>
      </c>
      <c r="O188" s="137"/>
      <c r="P188" s="140">
        <f t="shared" si="73"/>
        <v>7.7320000000001166E-2</v>
      </c>
      <c r="Q188" s="135"/>
      <c r="R188" s="104">
        <f t="shared" si="74"/>
        <v>5.0680000000000005</v>
      </c>
      <c r="S188" s="137"/>
      <c r="T188" s="141">
        <f t="shared" si="75"/>
        <v>1.2669999999999995</v>
      </c>
      <c r="U188" s="199">
        <f t="shared" si="76"/>
        <v>1.1896799999999983</v>
      </c>
      <c r="V188" s="37" t="str">
        <f t="shared" si="77"/>
        <v>ok</v>
      </c>
      <c r="W188" s="37" t="str">
        <f t="shared" si="78"/>
        <v>ok</v>
      </c>
    </row>
    <row r="189" spans="1:23" x14ac:dyDescent="0.25">
      <c r="A189" s="420"/>
      <c r="B189" s="178" t="s">
        <v>22</v>
      </c>
      <c r="C189" s="129">
        <v>14</v>
      </c>
      <c r="D189" s="239">
        <f>DMG_10*CMD_6</f>
        <v>11.92048</v>
      </c>
      <c r="E189" s="131">
        <f>OMG_10*CMO_6</f>
        <v>8.5975000000000001</v>
      </c>
      <c r="F189" s="132">
        <f t="shared" si="57"/>
        <v>6.8780000000000001</v>
      </c>
      <c r="G189" s="133">
        <f t="shared" si="58"/>
        <v>1.7194999999999996</v>
      </c>
      <c r="H189" s="134">
        <f t="shared" si="69"/>
        <v>8.5975000000000001</v>
      </c>
      <c r="I189" s="135"/>
      <c r="J189" s="136">
        <f t="shared" si="70"/>
        <v>3.3229799999999994</v>
      </c>
      <c r="K189" s="137"/>
      <c r="L189" s="138">
        <f t="shared" si="71"/>
        <v>1.7194999999999996</v>
      </c>
      <c r="M189" s="137"/>
      <c r="N189" s="139">
        <f t="shared" si="72"/>
        <v>0</v>
      </c>
      <c r="O189" s="137"/>
      <c r="P189" s="140">
        <f t="shared" si="73"/>
        <v>0</v>
      </c>
      <c r="Q189" s="135"/>
      <c r="R189" s="104">
        <f t="shared" si="74"/>
        <v>6.8780000000000001</v>
      </c>
      <c r="S189" s="137"/>
      <c r="T189" s="141">
        <f t="shared" si="75"/>
        <v>1.7194999999999996</v>
      </c>
      <c r="U189" s="199">
        <f t="shared" si="76"/>
        <v>5.0424799999999994</v>
      </c>
      <c r="V189" s="37" t="str">
        <f t="shared" si="77"/>
        <v>ok</v>
      </c>
      <c r="W189" s="37" t="str">
        <f t="shared" si="78"/>
        <v>ok</v>
      </c>
    </row>
    <row r="190" spans="1:23" x14ac:dyDescent="0.25">
      <c r="A190" s="420"/>
      <c r="B190" s="178" t="s">
        <v>23</v>
      </c>
      <c r="C190" s="129">
        <v>15</v>
      </c>
      <c r="D190" s="239">
        <f>DMG_11*CMD_6</f>
        <v>10.358919999999999</v>
      </c>
      <c r="E190" s="131">
        <f>OMG_11*CMO_6</f>
        <v>13.575000000000001</v>
      </c>
      <c r="F190" s="132">
        <f t="shared" si="57"/>
        <v>10.860000000000001</v>
      </c>
      <c r="G190" s="133">
        <f t="shared" si="58"/>
        <v>2.7149999999999994</v>
      </c>
      <c r="H190" s="134">
        <f t="shared" si="69"/>
        <v>10.358919999999999</v>
      </c>
      <c r="I190" s="135"/>
      <c r="J190" s="136">
        <f t="shared" si="70"/>
        <v>0</v>
      </c>
      <c r="K190" s="137"/>
      <c r="L190" s="138">
        <f t="shared" si="71"/>
        <v>0</v>
      </c>
      <c r="M190" s="137"/>
      <c r="N190" s="139">
        <f t="shared" si="72"/>
        <v>0.50108000000000175</v>
      </c>
      <c r="O190" s="137"/>
      <c r="P190" s="140">
        <f t="shared" si="73"/>
        <v>2.7149999999999994</v>
      </c>
      <c r="Q190" s="135"/>
      <c r="R190" s="104">
        <f t="shared" si="74"/>
        <v>10.358919999999999</v>
      </c>
      <c r="S190" s="137"/>
      <c r="T190" s="141">
        <f t="shared" si="75"/>
        <v>3.2160800000000012</v>
      </c>
      <c r="U190" s="199">
        <f t="shared" si="76"/>
        <v>0</v>
      </c>
      <c r="V190" s="37" t="str">
        <f t="shared" si="77"/>
        <v>ok</v>
      </c>
      <c r="W190" s="37" t="str">
        <f t="shared" si="78"/>
        <v>ok</v>
      </c>
    </row>
    <row r="191" spans="1:23" x14ac:dyDescent="0.25">
      <c r="A191" s="420"/>
      <c r="B191" s="178" t="s">
        <v>19</v>
      </c>
      <c r="C191" s="129">
        <v>18</v>
      </c>
      <c r="D191" s="239">
        <f>DMG_12*CMD_6</f>
        <v>8.1338399999999993</v>
      </c>
      <c r="E191" s="131">
        <f>OMG_12*CMO_6</f>
        <v>10.407500000000001</v>
      </c>
      <c r="F191" s="132">
        <f t="shared" si="57"/>
        <v>8.3260000000000005</v>
      </c>
      <c r="G191" s="133">
        <f t="shared" si="58"/>
        <v>2.0814999999999997</v>
      </c>
      <c r="H191" s="134">
        <f t="shared" si="69"/>
        <v>8.1338399999999993</v>
      </c>
      <c r="I191" s="135"/>
      <c r="J191" s="136">
        <f t="shared" si="70"/>
        <v>0</v>
      </c>
      <c r="K191" s="137"/>
      <c r="L191" s="138">
        <f t="shared" si="71"/>
        <v>0</v>
      </c>
      <c r="M191" s="137"/>
      <c r="N191" s="139">
        <f t="shared" si="72"/>
        <v>0.19216000000000122</v>
      </c>
      <c r="O191" s="137"/>
      <c r="P191" s="140">
        <f t="shared" si="73"/>
        <v>2.0814999999999997</v>
      </c>
      <c r="Q191" s="135"/>
      <c r="R191" s="104">
        <f t="shared" si="74"/>
        <v>8.1338399999999993</v>
      </c>
      <c r="S191" s="137"/>
      <c r="T191" s="141">
        <f t="shared" si="75"/>
        <v>2.2736600000000009</v>
      </c>
      <c r="U191" s="199">
        <f t="shared" si="76"/>
        <v>0</v>
      </c>
      <c r="V191" s="37" t="str">
        <f t="shared" si="77"/>
        <v>ok</v>
      </c>
      <c r="W191" s="37" t="str">
        <f t="shared" si="78"/>
        <v>ok</v>
      </c>
    </row>
    <row r="192" spans="1:23" x14ac:dyDescent="0.25">
      <c r="A192" s="420"/>
      <c r="B192" s="178" t="s">
        <v>20</v>
      </c>
      <c r="C192" s="129">
        <v>19</v>
      </c>
      <c r="D192" s="239">
        <f>DMG_13*CMD_6</f>
        <v>3.5578399999999997</v>
      </c>
      <c r="E192" s="131">
        <f>OMG_13*CMO_6</f>
        <v>4.9775</v>
      </c>
      <c r="F192" s="132">
        <f t="shared" si="57"/>
        <v>3.9820000000000002</v>
      </c>
      <c r="G192" s="133">
        <f t="shared" si="58"/>
        <v>0.99549999999999983</v>
      </c>
      <c r="H192" s="134">
        <f t="shared" si="69"/>
        <v>3.5578399999999997</v>
      </c>
      <c r="I192" s="135"/>
      <c r="J192" s="136">
        <f t="shared" si="70"/>
        <v>0</v>
      </c>
      <c r="K192" s="137"/>
      <c r="L192" s="138">
        <f t="shared" si="71"/>
        <v>0</v>
      </c>
      <c r="M192" s="137"/>
      <c r="N192" s="139">
        <f t="shared" si="72"/>
        <v>0.42416000000000054</v>
      </c>
      <c r="O192" s="137"/>
      <c r="P192" s="140">
        <f t="shared" si="73"/>
        <v>0.99549999999999983</v>
      </c>
      <c r="Q192" s="135"/>
      <c r="R192" s="104">
        <f t="shared" si="74"/>
        <v>3.5578399999999997</v>
      </c>
      <c r="S192" s="137"/>
      <c r="T192" s="141">
        <f t="shared" si="75"/>
        <v>1.4196600000000004</v>
      </c>
      <c r="U192" s="199">
        <f t="shared" si="76"/>
        <v>0</v>
      </c>
      <c r="V192" s="37" t="str">
        <f t="shared" si="77"/>
        <v>ok</v>
      </c>
      <c r="W192" s="37" t="str">
        <f t="shared" si="78"/>
        <v>ok</v>
      </c>
    </row>
    <row r="193" spans="1:23" x14ac:dyDescent="0.25">
      <c r="A193" s="420"/>
      <c r="B193" s="178" t="s">
        <v>21</v>
      </c>
      <c r="C193" s="129">
        <v>20</v>
      </c>
      <c r="D193" s="239">
        <f>DMG_14*CMD_6</f>
        <v>2.4824799999999998</v>
      </c>
      <c r="E193" s="131">
        <f>OMG_14*CMO_6</f>
        <v>8.3712499999999999</v>
      </c>
      <c r="F193" s="132">
        <f t="shared" si="57"/>
        <v>6.6970000000000001</v>
      </c>
      <c r="G193" s="133">
        <f t="shared" si="58"/>
        <v>1.6742499999999996</v>
      </c>
      <c r="H193" s="134">
        <f t="shared" si="69"/>
        <v>2.4824799999999998</v>
      </c>
      <c r="I193" s="135"/>
      <c r="J193" s="136">
        <f t="shared" si="70"/>
        <v>0</v>
      </c>
      <c r="K193" s="137"/>
      <c r="L193" s="138">
        <f t="shared" si="71"/>
        <v>0</v>
      </c>
      <c r="M193" s="137"/>
      <c r="N193" s="139">
        <f t="shared" si="72"/>
        <v>4.2145200000000003</v>
      </c>
      <c r="O193" s="137"/>
      <c r="P193" s="140">
        <f t="shared" si="73"/>
        <v>1.6742499999999996</v>
      </c>
      <c r="Q193" s="135"/>
      <c r="R193" s="104">
        <f t="shared" si="74"/>
        <v>2.4824799999999998</v>
      </c>
      <c r="S193" s="137"/>
      <c r="T193" s="141">
        <f t="shared" si="75"/>
        <v>5.8887700000000001</v>
      </c>
      <c r="U193" s="199">
        <f t="shared" si="76"/>
        <v>0</v>
      </c>
      <c r="V193" s="37" t="str">
        <f t="shared" si="77"/>
        <v>ok</v>
      </c>
      <c r="W193" s="37" t="str">
        <f t="shared" si="78"/>
        <v>ok</v>
      </c>
    </row>
    <row r="194" spans="1:23" x14ac:dyDescent="0.25">
      <c r="A194" s="420"/>
      <c r="B194" s="178" t="s">
        <v>22</v>
      </c>
      <c r="C194" s="129">
        <v>21</v>
      </c>
      <c r="D194" s="239">
        <f>DMG_15*CMD_6</f>
        <v>5.1479999999999997</v>
      </c>
      <c r="E194" s="131">
        <f>OMG_15*CMO_6</f>
        <v>9.9550000000000001</v>
      </c>
      <c r="F194" s="132">
        <f t="shared" si="57"/>
        <v>7.9640000000000004</v>
      </c>
      <c r="G194" s="133">
        <f t="shared" si="58"/>
        <v>1.9909999999999997</v>
      </c>
      <c r="H194" s="134">
        <f t="shared" si="69"/>
        <v>5.1479999999999997</v>
      </c>
      <c r="I194" s="135"/>
      <c r="J194" s="136">
        <f t="shared" si="70"/>
        <v>0</v>
      </c>
      <c r="K194" s="137"/>
      <c r="L194" s="138">
        <f t="shared" si="71"/>
        <v>0</v>
      </c>
      <c r="M194" s="137"/>
      <c r="N194" s="139">
        <f t="shared" si="72"/>
        <v>2.8160000000000007</v>
      </c>
      <c r="O194" s="137"/>
      <c r="P194" s="140">
        <f t="shared" si="73"/>
        <v>1.9909999999999997</v>
      </c>
      <c r="Q194" s="135"/>
      <c r="R194" s="104">
        <f t="shared" si="74"/>
        <v>5.1479999999999997</v>
      </c>
      <c r="S194" s="137"/>
      <c r="T194" s="141">
        <f t="shared" si="75"/>
        <v>4.8070000000000004</v>
      </c>
      <c r="U194" s="199">
        <f t="shared" si="76"/>
        <v>0</v>
      </c>
      <c r="V194" s="37" t="str">
        <f t="shared" si="77"/>
        <v>ok</v>
      </c>
      <c r="W194" s="37" t="str">
        <f t="shared" si="78"/>
        <v>ok</v>
      </c>
    </row>
    <row r="195" spans="1:23" x14ac:dyDescent="0.25">
      <c r="A195" s="420"/>
      <c r="B195" s="178" t="s">
        <v>23</v>
      </c>
      <c r="C195" s="129">
        <v>22</v>
      </c>
      <c r="D195" s="239">
        <f>DMG_16*CMD_6</f>
        <v>20.660639999999997</v>
      </c>
      <c r="E195" s="131">
        <f>OMG_16*CMO_6</f>
        <v>11.199375</v>
      </c>
      <c r="F195" s="132">
        <f t="shared" si="57"/>
        <v>8.9595000000000002</v>
      </c>
      <c r="G195" s="133">
        <f t="shared" si="58"/>
        <v>2.2398749999999996</v>
      </c>
      <c r="H195" s="134">
        <f t="shared" si="69"/>
        <v>11.199375</v>
      </c>
      <c r="I195" s="135"/>
      <c r="J195" s="136">
        <f t="shared" si="70"/>
        <v>9.4612649999999974</v>
      </c>
      <c r="K195" s="137"/>
      <c r="L195" s="138">
        <f t="shared" si="71"/>
        <v>2.2398749999999996</v>
      </c>
      <c r="M195" s="137"/>
      <c r="N195" s="139">
        <f t="shared" si="72"/>
        <v>0</v>
      </c>
      <c r="O195" s="137"/>
      <c r="P195" s="140">
        <f t="shared" si="73"/>
        <v>0</v>
      </c>
      <c r="Q195" s="135"/>
      <c r="R195" s="104">
        <f t="shared" si="74"/>
        <v>8.9595000000000002</v>
      </c>
      <c r="S195" s="137"/>
      <c r="T195" s="141">
        <f t="shared" si="75"/>
        <v>2.2398749999999996</v>
      </c>
      <c r="U195" s="199">
        <f t="shared" si="76"/>
        <v>11.701139999999997</v>
      </c>
      <c r="V195" s="37" t="str">
        <f t="shared" si="77"/>
        <v>ok</v>
      </c>
      <c r="W195" s="37" t="str">
        <f t="shared" si="78"/>
        <v>ok</v>
      </c>
    </row>
    <row r="196" spans="1:23" x14ac:dyDescent="0.25">
      <c r="A196" s="420"/>
      <c r="B196" s="178" t="s">
        <v>19</v>
      </c>
      <c r="C196" s="129">
        <v>25</v>
      </c>
      <c r="D196" s="239">
        <f>DMG_17*CMD_6</f>
        <v>16.816799999999997</v>
      </c>
      <c r="E196" s="131">
        <f>OMG_17*CMO_6</f>
        <v>7.0952000000000002</v>
      </c>
      <c r="F196" s="132">
        <f t="shared" si="57"/>
        <v>5.6761600000000003</v>
      </c>
      <c r="G196" s="133">
        <f t="shared" si="58"/>
        <v>1.4190399999999996</v>
      </c>
      <c r="H196" s="134">
        <f t="shared" si="69"/>
        <v>7.0952000000000002</v>
      </c>
      <c r="I196" s="135"/>
      <c r="J196" s="136">
        <f t="shared" si="70"/>
        <v>9.7215999999999969</v>
      </c>
      <c r="K196" s="137"/>
      <c r="L196" s="138">
        <f t="shared" si="71"/>
        <v>1.4190399999999996</v>
      </c>
      <c r="M196" s="137"/>
      <c r="N196" s="139">
        <f t="shared" si="72"/>
        <v>0</v>
      </c>
      <c r="O196" s="137"/>
      <c r="P196" s="140">
        <f t="shared" si="73"/>
        <v>0</v>
      </c>
      <c r="Q196" s="135"/>
      <c r="R196" s="104">
        <f t="shared" si="74"/>
        <v>5.6761600000000003</v>
      </c>
      <c r="S196" s="137"/>
      <c r="T196" s="141">
        <f t="shared" si="75"/>
        <v>1.4190399999999996</v>
      </c>
      <c r="U196" s="199">
        <f t="shared" si="76"/>
        <v>11.140639999999996</v>
      </c>
      <c r="V196" s="37" t="str">
        <f t="shared" si="77"/>
        <v>ok</v>
      </c>
      <c r="W196" s="37" t="str">
        <f t="shared" si="78"/>
        <v>ok</v>
      </c>
    </row>
    <row r="197" spans="1:23" x14ac:dyDescent="0.25">
      <c r="A197" s="420"/>
      <c r="B197" s="178" t="s">
        <v>20</v>
      </c>
      <c r="C197" s="129">
        <v>26</v>
      </c>
      <c r="D197" s="239">
        <f>DMG_18*CMD_6</f>
        <v>9.6896799999999992</v>
      </c>
      <c r="E197" s="131">
        <f>OMG_18*CMO_6</f>
        <v>3.3620749999999999</v>
      </c>
      <c r="F197" s="132">
        <f t="shared" si="57"/>
        <v>2.6896599999999999</v>
      </c>
      <c r="G197" s="133">
        <f t="shared" si="58"/>
        <v>0.67241499999999987</v>
      </c>
      <c r="H197" s="134">
        <f t="shared" si="69"/>
        <v>3.3620749999999999</v>
      </c>
      <c r="I197" s="135"/>
      <c r="J197" s="136">
        <f t="shared" si="70"/>
        <v>6.3276049999999993</v>
      </c>
      <c r="K197" s="137"/>
      <c r="L197" s="138">
        <f t="shared" si="71"/>
        <v>0.67241499999999987</v>
      </c>
      <c r="M197" s="137"/>
      <c r="N197" s="139">
        <f t="shared" si="72"/>
        <v>0</v>
      </c>
      <c r="O197" s="137"/>
      <c r="P197" s="140">
        <f t="shared" si="73"/>
        <v>0</v>
      </c>
      <c r="Q197" s="135"/>
      <c r="R197" s="104">
        <f t="shared" si="74"/>
        <v>2.6896599999999999</v>
      </c>
      <c r="S197" s="137"/>
      <c r="T197" s="141">
        <f t="shared" si="75"/>
        <v>0.67241499999999987</v>
      </c>
      <c r="U197" s="199">
        <f t="shared" si="76"/>
        <v>7.0000199999999992</v>
      </c>
      <c r="V197" s="37" t="str">
        <f t="shared" si="77"/>
        <v>ok</v>
      </c>
      <c r="W197" s="37" t="str">
        <f t="shared" si="78"/>
        <v>ok</v>
      </c>
    </row>
    <row r="198" spans="1:23" x14ac:dyDescent="0.25">
      <c r="A198" s="420"/>
      <c r="B198" s="178" t="s">
        <v>21</v>
      </c>
      <c r="C198" s="129">
        <v>27</v>
      </c>
      <c r="D198" s="239">
        <f>DMG_19*CMD_6</f>
        <v>7.9336399999999987</v>
      </c>
      <c r="E198" s="131">
        <f>OMG_19*CMO_6</f>
        <v>4.4797500000000001</v>
      </c>
      <c r="F198" s="132">
        <f t="shared" si="57"/>
        <v>3.5838000000000001</v>
      </c>
      <c r="G198" s="133">
        <f t="shared" si="58"/>
        <v>0.8959499999999998</v>
      </c>
      <c r="H198" s="134">
        <f t="shared" si="69"/>
        <v>4.4797500000000001</v>
      </c>
      <c r="I198" s="135"/>
      <c r="J198" s="136">
        <f t="shared" si="70"/>
        <v>3.4538899999999986</v>
      </c>
      <c r="K198" s="137"/>
      <c r="L198" s="138">
        <f t="shared" si="71"/>
        <v>0.8959499999999998</v>
      </c>
      <c r="M198" s="137"/>
      <c r="N198" s="139">
        <f t="shared" si="72"/>
        <v>0</v>
      </c>
      <c r="O198" s="137"/>
      <c r="P198" s="140">
        <f t="shared" si="73"/>
        <v>0</v>
      </c>
      <c r="Q198" s="135"/>
      <c r="R198" s="104">
        <f t="shared" si="74"/>
        <v>3.5838000000000001</v>
      </c>
      <c r="S198" s="137"/>
      <c r="T198" s="141">
        <f t="shared" si="75"/>
        <v>0.8959499999999998</v>
      </c>
      <c r="U198" s="199">
        <f t="shared" si="76"/>
        <v>4.3498399999999986</v>
      </c>
      <c r="V198" s="37" t="str">
        <f t="shared" si="77"/>
        <v>ok</v>
      </c>
      <c r="W198" s="37" t="str">
        <f t="shared" si="78"/>
        <v>ok</v>
      </c>
    </row>
    <row r="199" spans="1:23" x14ac:dyDescent="0.25">
      <c r="A199" s="420"/>
      <c r="B199" s="178" t="s">
        <v>22</v>
      </c>
      <c r="C199" s="129">
        <v>28</v>
      </c>
      <c r="D199" s="239">
        <f>DMG_20*CMD_6</f>
        <v>14.900599999999999</v>
      </c>
      <c r="E199" s="131">
        <f>OMG_20*CMO_6</f>
        <v>7.0952000000000002</v>
      </c>
      <c r="F199" s="132">
        <f t="shared" si="57"/>
        <v>5.6761600000000003</v>
      </c>
      <c r="G199" s="133">
        <f t="shared" si="58"/>
        <v>1.4190399999999996</v>
      </c>
      <c r="H199" s="134">
        <f t="shared" si="69"/>
        <v>7.0952000000000002</v>
      </c>
      <c r="I199" s="135"/>
      <c r="J199" s="136">
        <f t="shared" si="70"/>
        <v>7.8053999999999988</v>
      </c>
      <c r="K199" s="137"/>
      <c r="L199" s="138">
        <f t="shared" si="71"/>
        <v>1.4190399999999996</v>
      </c>
      <c r="M199" s="137"/>
      <c r="N199" s="139">
        <f t="shared" si="72"/>
        <v>0</v>
      </c>
      <c r="O199" s="137"/>
      <c r="P199" s="140">
        <f t="shared" si="73"/>
        <v>0</v>
      </c>
      <c r="Q199" s="135"/>
      <c r="R199" s="104">
        <f t="shared" si="74"/>
        <v>5.6761600000000003</v>
      </c>
      <c r="S199" s="137"/>
      <c r="T199" s="141">
        <f t="shared" si="75"/>
        <v>1.4190399999999996</v>
      </c>
      <c r="U199" s="199">
        <f t="shared" si="76"/>
        <v>9.2244399999999978</v>
      </c>
      <c r="V199" s="37" t="str">
        <f t="shared" si="77"/>
        <v>ok</v>
      </c>
      <c r="W199" s="37" t="str">
        <f t="shared" si="78"/>
        <v>ok</v>
      </c>
    </row>
    <row r="200" spans="1:23" ht="15.75" thickBot="1" x14ac:dyDescent="0.3">
      <c r="A200" s="421"/>
      <c r="B200" s="180" t="s">
        <v>23</v>
      </c>
      <c r="C200" s="237">
        <v>29</v>
      </c>
      <c r="D200" s="240">
        <f>DMG_21*CMD_6</f>
        <v>24.790479999999999</v>
      </c>
      <c r="E200" s="203">
        <f>OMG_21*CMO_6</f>
        <v>13.575000000000001</v>
      </c>
      <c r="F200" s="204">
        <f t="shared" si="57"/>
        <v>10.860000000000001</v>
      </c>
      <c r="G200" s="205">
        <f t="shared" si="58"/>
        <v>2.7149999999999994</v>
      </c>
      <c r="H200" s="206">
        <f t="shared" si="69"/>
        <v>13.575000000000001</v>
      </c>
      <c r="I200" s="207"/>
      <c r="J200" s="208">
        <f t="shared" si="70"/>
        <v>11.215479999999998</v>
      </c>
      <c r="K200" s="209"/>
      <c r="L200" s="210">
        <f t="shared" si="71"/>
        <v>2.7149999999999994</v>
      </c>
      <c r="M200" s="209"/>
      <c r="N200" s="211">
        <f t="shared" si="72"/>
        <v>0</v>
      </c>
      <c r="O200" s="209"/>
      <c r="P200" s="212">
        <f t="shared" si="73"/>
        <v>0</v>
      </c>
      <c r="Q200" s="207"/>
      <c r="R200" s="213">
        <f t="shared" si="74"/>
        <v>10.860000000000001</v>
      </c>
      <c r="S200" s="209"/>
      <c r="T200" s="214">
        <f t="shared" si="75"/>
        <v>2.7149999999999994</v>
      </c>
      <c r="U200" s="215">
        <f t="shared" si="76"/>
        <v>13.930479999999998</v>
      </c>
      <c r="V200" s="37" t="str">
        <f t="shared" si="77"/>
        <v>ok</v>
      </c>
      <c r="W200" s="37" t="str">
        <f t="shared" si="78"/>
        <v>ok</v>
      </c>
    </row>
    <row r="201" spans="1:23" x14ac:dyDescent="0.25">
      <c r="A201" s="419" t="s">
        <v>95</v>
      </c>
      <c r="B201" s="176" t="s">
        <v>19</v>
      </c>
      <c r="C201" s="241">
        <v>2</v>
      </c>
      <c r="D201" s="238">
        <f>DMG_1*CMD_7</f>
        <v>4.9476519999999997</v>
      </c>
      <c r="E201" s="185">
        <f>OMG_1*CMO_7</f>
        <v>19.558499999999999</v>
      </c>
      <c r="F201" s="186">
        <f t="shared" si="57"/>
        <v>15.646799999999999</v>
      </c>
      <c r="G201" s="187">
        <f t="shared" si="58"/>
        <v>3.9116999999999988</v>
      </c>
      <c r="H201" s="188">
        <f>IF(E201&gt;D201,D201,E201)</f>
        <v>4.9476519999999997</v>
      </c>
      <c r="I201" s="189"/>
      <c r="J201" s="190">
        <f>IF(E201&gt;D201,0,D201-E201)</f>
        <v>0</v>
      </c>
      <c r="K201" s="191"/>
      <c r="L201" s="192">
        <f>IF(E201&gt;D201,IF(F201&gt;H201,0,H201-F201),G201)</f>
        <v>0</v>
      </c>
      <c r="M201" s="191"/>
      <c r="N201" s="193">
        <f>IF(E201&gt;D201,IF(F201&gt;H201,F201-H201,0),0)</f>
        <v>10.699147999999999</v>
      </c>
      <c r="O201" s="191"/>
      <c r="P201" s="194">
        <f>IF(E201&gt;D201,IF(F201&gt;H201,G201,E201-H201),0)</f>
        <v>3.9116999999999988</v>
      </c>
      <c r="Q201" s="189"/>
      <c r="R201" s="195">
        <f>H201-L201</f>
        <v>4.9476519999999997</v>
      </c>
      <c r="S201" s="191"/>
      <c r="T201" s="196">
        <f>L201+N201+P201</f>
        <v>14.610847999999997</v>
      </c>
      <c r="U201" s="197">
        <f>J201+L201</f>
        <v>0</v>
      </c>
      <c r="V201" s="37" t="str">
        <f>IF(R201+T201=E201,"ok","bad")</f>
        <v>ok</v>
      </c>
      <c r="W201" s="37" t="str">
        <f>IF(U201+R201=D201,"ok","bad")</f>
        <v>ok</v>
      </c>
    </row>
    <row r="202" spans="1:23" x14ac:dyDescent="0.25">
      <c r="A202" s="420"/>
      <c r="B202" s="178" t="s">
        <v>20</v>
      </c>
      <c r="C202" s="129">
        <v>3</v>
      </c>
      <c r="D202" s="239">
        <f>DMG_2*CMD_7</f>
        <v>3.8849040000000001</v>
      </c>
      <c r="E202" s="131">
        <f>OMG_2*CMO_7</f>
        <v>14.342899999999998</v>
      </c>
      <c r="F202" s="132">
        <f t="shared" si="57"/>
        <v>11.474319999999999</v>
      </c>
      <c r="G202" s="133">
        <f t="shared" si="58"/>
        <v>2.8685799999999992</v>
      </c>
      <c r="H202" s="134">
        <f t="shared" ref="H202:H222" si="79">IF(E202&gt;D202,D202,E202)</f>
        <v>3.8849040000000001</v>
      </c>
      <c r="I202" s="135"/>
      <c r="J202" s="136">
        <f t="shared" ref="J202:J222" si="80">IF(E202&gt;D202,0,D202-E202)</f>
        <v>0</v>
      </c>
      <c r="K202" s="137"/>
      <c r="L202" s="138">
        <f t="shared" ref="L202:L222" si="81">IF(E202&gt;D202,IF(F202&gt;H202,0,H202-F202),G202)</f>
        <v>0</v>
      </c>
      <c r="M202" s="137"/>
      <c r="N202" s="139">
        <f t="shared" ref="N202:N222" si="82">IF(E202&gt;D202,IF(F202&gt;H202,F202-H202,0),0)</f>
        <v>7.5894159999999982</v>
      </c>
      <c r="O202" s="137"/>
      <c r="P202" s="140">
        <f t="shared" ref="P202:P222" si="83">IF(E202&gt;D202,IF(F202&gt;H202,G202,E202-H202),0)</f>
        <v>2.8685799999999992</v>
      </c>
      <c r="Q202" s="135"/>
      <c r="R202" s="104">
        <f t="shared" ref="R202:R222" si="84">H202-L202</f>
        <v>3.8849040000000001</v>
      </c>
      <c r="S202" s="137"/>
      <c r="T202" s="141">
        <f t="shared" ref="T202:T222" si="85">L202+N202+P202</f>
        <v>10.457995999999998</v>
      </c>
      <c r="U202" s="199">
        <f t="shared" ref="U202:U222" si="86">J202+L202</f>
        <v>0</v>
      </c>
      <c r="V202" s="37" t="str">
        <f t="shared" ref="V202:V222" si="87">IF(R202+T202=E202,"ok","bad")</f>
        <v>ok</v>
      </c>
      <c r="W202" s="37" t="str">
        <f t="shared" ref="W202:W222" si="88">IF(U202+R202=D202,"ok","bad")</f>
        <v>ok</v>
      </c>
    </row>
    <row r="203" spans="1:23" x14ac:dyDescent="0.25">
      <c r="A203" s="420"/>
      <c r="B203" s="178" t="s">
        <v>21</v>
      </c>
      <c r="C203" s="129">
        <v>4</v>
      </c>
      <c r="D203" s="239">
        <f>DMG_3*CMD_7</f>
        <v>1.6993039999999999</v>
      </c>
      <c r="E203" s="131">
        <f>OMG_3*CMO_7</f>
        <v>5.8675499999999987</v>
      </c>
      <c r="F203" s="132">
        <f t="shared" si="57"/>
        <v>4.6940399999999993</v>
      </c>
      <c r="G203" s="133">
        <f t="shared" si="58"/>
        <v>1.1735099999999994</v>
      </c>
      <c r="H203" s="134">
        <f t="shared" si="79"/>
        <v>1.6993039999999999</v>
      </c>
      <c r="I203" s="135"/>
      <c r="J203" s="136">
        <f t="shared" si="80"/>
        <v>0</v>
      </c>
      <c r="K203" s="137"/>
      <c r="L203" s="138">
        <f t="shared" si="81"/>
        <v>0</v>
      </c>
      <c r="M203" s="137"/>
      <c r="N203" s="139">
        <f t="shared" si="82"/>
        <v>2.9947359999999996</v>
      </c>
      <c r="O203" s="137"/>
      <c r="P203" s="140">
        <f t="shared" si="83"/>
        <v>1.1735099999999994</v>
      </c>
      <c r="Q203" s="135"/>
      <c r="R203" s="104">
        <f t="shared" si="84"/>
        <v>1.6993039999999999</v>
      </c>
      <c r="S203" s="137"/>
      <c r="T203" s="141">
        <f t="shared" si="85"/>
        <v>4.168245999999999</v>
      </c>
      <c r="U203" s="199">
        <f t="shared" si="86"/>
        <v>0</v>
      </c>
      <c r="V203" s="37" t="str">
        <f t="shared" si="87"/>
        <v>ok</v>
      </c>
      <c r="W203" s="37" t="str">
        <f t="shared" si="88"/>
        <v>ok</v>
      </c>
    </row>
    <row r="204" spans="1:23" x14ac:dyDescent="0.25">
      <c r="A204" s="420"/>
      <c r="B204" s="178" t="s">
        <v>22</v>
      </c>
      <c r="C204" s="129">
        <v>5</v>
      </c>
      <c r="D204" s="239">
        <f>DMG_4*CMD_7</f>
        <v>1.1856879999999999</v>
      </c>
      <c r="E204" s="131">
        <f>OMG_4*CMO_7</f>
        <v>8.8013250000000003</v>
      </c>
      <c r="F204" s="132">
        <f t="shared" si="57"/>
        <v>7.0410600000000008</v>
      </c>
      <c r="G204" s="133">
        <f t="shared" si="58"/>
        <v>1.7602649999999997</v>
      </c>
      <c r="H204" s="134">
        <f t="shared" si="79"/>
        <v>1.1856879999999999</v>
      </c>
      <c r="I204" s="135"/>
      <c r="J204" s="136">
        <f t="shared" si="80"/>
        <v>0</v>
      </c>
      <c r="K204" s="137"/>
      <c r="L204" s="138">
        <f t="shared" si="81"/>
        <v>0</v>
      </c>
      <c r="M204" s="137"/>
      <c r="N204" s="139">
        <f t="shared" si="82"/>
        <v>5.8553720000000009</v>
      </c>
      <c r="O204" s="137"/>
      <c r="P204" s="140">
        <f t="shared" si="83"/>
        <v>1.7602649999999997</v>
      </c>
      <c r="Q204" s="135"/>
      <c r="R204" s="104">
        <f t="shared" si="84"/>
        <v>1.1856879999999999</v>
      </c>
      <c r="S204" s="137"/>
      <c r="T204" s="141">
        <f t="shared" si="85"/>
        <v>7.6156370000000004</v>
      </c>
      <c r="U204" s="199">
        <f t="shared" si="86"/>
        <v>0</v>
      </c>
      <c r="V204" s="37" t="str">
        <f t="shared" si="87"/>
        <v>ok</v>
      </c>
      <c r="W204" s="37" t="str">
        <f t="shared" si="88"/>
        <v>ok</v>
      </c>
    </row>
    <row r="205" spans="1:23" x14ac:dyDescent="0.25">
      <c r="A205" s="420"/>
      <c r="B205" s="178" t="s">
        <v>23</v>
      </c>
      <c r="C205" s="129">
        <v>6</v>
      </c>
      <c r="D205" s="239">
        <f>DMG_5*CMD_7</f>
        <v>2.4588000000000001</v>
      </c>
      <c r="E205" s="131">
        <f>OMG_5*CMO_7</f>
        <v>14.342899999999998</v>
      </c>
      <c r="F205" s="132">
        <f t="shared" si="57"/>
        <v>11.474319999999999</v>
      </c>
      <c r="G205" s="133">
        <f t="shared" si="58"/>
        <v>2.8685799999999992</v>
      </c>
      <c r="H205" s="134">
        <f t="shared" si="79"/>
        <v>2.4588000000000001</v>
      </c>
      <c r="I205" s="135"/>
      <c r="J205" s="136">
        <f t="shared" si="80"/>
        <v>0</v>
      </c>
      <c r="K205" s="137"/>
      <c r="L205" s="138">
        <f t="shared" si="81"/>
        <v>0</v>
      </c>
      <c r="M205" s="137"/>
      <c r="N205" s="139">
        <f t="shared" si="82"/>
        <v>9.0155199999999986</v>
      </c>
      <c r="O205" s="137"/>
      <c r="P205" s="140">
        <f t="shared" si="83"/>
        <v>2.8685799999999992</v>
      </c>
      <c r="Q205" s="135"/>
      <c r="R205" s="104">
        <f t="shared" si="84"/>
        <v>2.4588000000000001</v>
      </c>
      <c r="S205" s="137"/>
      <c r="T205" s="141">
        <f t="shared" si="85"/>
        <v>11.884099999999998</v>
      </c>
      <c r="U205" s="199">
        <f t="shared" si="86"/>
        <v>0</v>
      </c>
      <c r="V205" s="37" t="str">
        <f t="shared" si="87"/>
        <v>ok</v>
      </c>
      <c r="W205" s="37" t="str">
        <f t="shared" si="88"/>
        <v>ok</v>
      </c>
    </row>
    <row r="206" spans="1:23" x14ac:dyDescent="0.25">
      <c r="A206" s="420"/>
      <c r="B206" s="178" t="s">
        <v>19</v>
      </c>
      <c r="C206" s="129">
        <v>9</v>
      </c>
      <c r="D206" s="239">
        <f>DMG_6*CMD_7</f>
        <v>7.8954799999999992</v>
      </c>
      <c r="E206" s="131">
        <f>OMG_6*CMO_7</f>
        <v>10.029999999999999</v>
      </c>
      <c r="F206" s="132">
        <f t="shared" si="57"/>
        <v>8.0239999999999991</v>
      </c>
      <c r="G206" s="133">
        <f t="shared" si="58"/>
        <v>2.0059999999999993</v>
      </c>
      <c r="H206" s="134">
        <f t="shared" si="79"/>
        <v>7.8954799999999992</v>
      </c>
      <c r="I206" s="135"/>
      <c r="J206" s="136">
        <f t="shared" si="80"/>
        <v>0</v>
      </c>
      <c r="K206" s="137"/>
      <c r="L206" s="138">
        <f t="shared" si="81"/>
        <v>0</v>
      </c>
      <c r="M206" s="137"/>
      <c r="N206" s="139">
        <f t="shared" si="82"/>
        <v>0.12851999999999997</v>
      </c>
      <c r="O206" s="137"/>
      <c r="P206" s="140">
        <f t="shared" si="83"/>
        <v>2.0059999999999993</v>
      </c>
      <c r="Q206" s="135"/>
      <c r="R206" s="104">
        <f t="shared" si="84"/>
        <v>7.8954799999999992</v>
      </c>
      <c r="S206" s="137"/>
      <c r="T206" s="141">
        <f t="shared" si="85"/>
        <v>2.1345199999999993</v>
      </c>
      <c r="U206" s="199">
        <f t="shared" si="86"/>
        <v>0</v>
      </c>
      <c r="V206" s="37" t="str">
        <f t="shared" si="87"/>
        <v>ok</v>
      </c>
      <c r="W206" s="37" t="str">
        <f t="shared" si="88"/>
        <v>ok</v>
      </c>
    </row>
    <row r="207" spans="1:23" x14ac:dyDescent="0.25">
      <c r="A207" s="420"/>
      <c r="B207" s="178" t="s">
        <v>20</v>
      </c>
      <c r="C207" s="129">
        <v>10</v>
      </c>
      <c r="D207" s="239">
        <f>DMG_7*CMD_7</f>
        <v>6.4038080000000006</v>
      </c>
      <c r="E207" s="131">
        <f>OMG_7*CMO_7</f>
        <v>10.280749999999999</v>
      </c>
      <c r="F207" s="132">
        <f t="shared" si="57"/>
        <v>8.2246000000000006</v>
      </c>
      <c r="G207" s="133">
        <f t="shared" si="58"/>
        <v>2.0561499999999993</v>
      </c>
      <c r="H207" s="134">
        <f t="shared" si="79"/>
        <v>6.4038080000000006</v>
      </c>
      <c r="I207" s="135"/>
      <c r="J207" s="136">
        <f t="shared" si="80"/>
        <v>0</v>
      </c>
      <c r="K207" s="137"/>
      <c r="L207" s="138">
        <f t="shared" si="81"/>
        <v>0</v>
      </c>
      <c r="M207" s="137"/>
      <c r="N207" s="139">
        <f t="shared" si="82"/>
        <v>1.820792</v>
      </c>
      <c r="O207" s="137"/>
      <c r="P207" s="140">
        <f t="shared" si="83"/>
        <v>2.0561499999999993</v>
      </c>
      <c r="Q207" s="135"/>
      <c r="R207" s="104">
        <f t="shared" si="84"/>
        <v>6.4038080000000006</v>
      </c>
      <c r="S207" s="137"/>
      <c r="T207" s="141">
        <f t="shared" si="85"/>
        <v>3.8769419999999992</v>
      </c>
      <c r="U207" s="199">
        <f t="shared" si="86"/>
        <v>0</v>
      </c>
      <c r="V207" s="37" t="str">
        <f t="shared" si="87"/>
        <v>ok</v>
      </c>
      <c r="W207" s="37" t="str">
        <f t="shared" si="88"/>
        <v>ok</v>
      </c>
    </row>
    <row r="208" spans="1:23" x14ac:dyDescent="0.25">
      <c r="A208" s="420"/>
      <c r="B208" s="178" t="s">
        <v>21</v>
      </c>
      <c r="C208" s="129">
        <v>11</v>
      </c>
      <c r="D208" s="239">
        <f>DMG_8*CMD_7</f>
        <v>3.7018600000000004</v>
      </c>
      <c r="E208" s="131">
        <f>OMG_8*CMO_7</f>
        <v>5.5164999999999997</v>
      </c>
      <c r="F208" s="132">
        <f t="shared" si="57"/>
        <v>4.4131999999999998</v>
      </c>
      <c r="G208" s="133">
        <f t="shared" si="58"/>
        <v>1.1032999999999997</v>
      </c>
      <c r="H208" s="134">
        <f t="shared" si="79"/>
        <v>3.7018600000000004</v>
      </c>
      <c r="I208" s="135"/>
      <c r="J208" s="136">
        <f t="shared" si="80"/>
        <v>0</v>
      </c>
      <c r="K208" s="137"/>
      <c r="L208" s="138">
        <f t="shared" si="81"/>
        <v>0</v>
      </c>
      <c r="M208" s="137"/>
      <c r="N208" s="139">
        <f t="shared" si="82"/>
        <v>0.71133999999999942</v>
      </c>
      <c r="O208" s="137"/>
      <c r="P208" s="140">
        <f t="shared" si="83"/>
        <v>1.1032999999999997</v>
      </c>
      <c r="Q208" s="135"/>
      <c r="R208" s="104">
        <f t="shared" si="84"/>
        <v>3.7018600000000004</v>
      </c>
      <c r="S208" s="137"/>
      <c r="T208" s="141">
        <f t="shared" si="85"/>
        <v>1.8146399999999991</v>
      </c>
      <c r="U208" s="199">
        <f t="shared" si="86"/>
        <v>0</v>
      </c>
      <c r="V208" s="37" t="str">
        <f t="shared" si="87"/>
        <v>ok</v>
      </c>
      <c r="W208" s="37" t="str">
        <f t="shared" si="88"/>
        <v>ok</v>
      </c>
    </row>
    <row r="209" spans="1:23" x14ac:dyDescent="0.25">
      <c r="A209" s="420"/>
      <c r="B209" s="178" t="s">
        <v>22</v>
      </c>
      <c r="C209" s="129">
        <v>12</v>
      </c>
      <c r="D209" s="239">
        <f>DMG_9*CMD_7</f>
        <v>2.9888079999999997</v>
      </c>
      <c r="E209" s="131">
        <f>OMG_9*CMO_7</f>
        <v>7.020999999999999</v>
      </c>
      <c r="F209" s="132">
        <f t="shared" si="57"/>
        <v>5.6167999999999996</v>
      </c>
      <c r="G209" s="133">
        <f t="shared" si="58"/>
        <v>1.4041999999999994</v>
      </c>
      <c r="H209" s="134">
        <f t="shared" si="79"/>
        <v>2.9888079999999997</v>
      </c>
      <c r="I209" s="135"/>
      <c r="J209" s="136">
        <f t="shared" si="80"/>
        <v>0</v>
      </c>
      <c r="K209" s="137"/>
      <c r="L209" s="138">
        <f t="shared" si="81"/>
        <v>0</v>
      </c>
      <c r="M209" s="137"/>
      <c r="N209" s="139">
        <f t="shared" si="82"/>
        <v>2.6279919999999999</v>
      </c>
      <c r="O209" s="137"/>
      <c r="P209" s="140">
        <f t="shared" si="83"/>
        <v>1.4041999999999994</v>
      </c>
      <c r="Q209" s="135"/>
      <c r="R209" s="104">
        <f t="shared" si="84"/>
        <v>2.9888079999999997</v>
      </c>
      <c r="S209" s="137"/>
      <c r="T209" s="141">
        <f t="shared" si="85"/>
        <v>4.0321919999999993</v>
      </c>
      <c r="U209" s="199">
        <f t="shared" si="86"/>
        <v>0</v>
      </c>
      <c r="V209" s="37" t="str">
        <f t="shared" si="87"/>
        <v>ok</v>
      </c>
      <c r="W209" s="37" t="str">
        <f t="shared" si="88"/>
        <v>ok</v>
      </c>
    </row>
    <row r="210" spans="1:23" x14ac:dyDescent="0.25">
      <c r="A210" s="420"/>
      <c r="B210" s="178" t="s">
        <v>23</v>
      </c>
      <c r="C210" s="129">
        <v>13</v>
      </c>
      <c r="D210" s="239">
        <f>DMG_10*CMD_7</f>
        <v>5.6934880000000003</v>
      </c>
      <c r="E210" s="131">
        <f>OMG_10*CMO_7</f>
        <v>9.5284999999999993</v>
      </c>
      <c r="F210" s="132">
        <f t="shared" si="57"/>
        <v>7.6227999999999998</v>
      </c>
      <c r="G210" s="133">
        <f t="shared" si="58"/>
        <v>1.9056999999999995</v>
      </c>
      <c r="H210" s="134">
        <f t="shared" si="79"/>
        <v>5.6934880000000003</v>
      </c>
      <c r="I210" s="135"/>
      <c r="J210" s="136">
        <f t="shared" si="80"/>
        <v>0</v>
      </c>
      <c r="K210" s="137"/>
      <c r="L210" s="138">
        <f t="shared" si="81"/>
        <v>0</v>
      </c>
      <c r="M210" s="137"/>
      <c r="N210" s="139">
        <f t="shared" si="82"/>
        <v>1.9293119999999995</v>
      </c>
      <c r="O210" s="137"/>
      <c r="P210" s="140">
        <f t="shared" si="83"/>
        <v>1.9056999999999995</v>
      </c>
      <c r="Q210" s="135"/>
      <c r="R210" s="104">
        <f t="shared" si="84"/>
        <v>5.6934880000000003</v>
      </c>
      <c r="S210" s="137"/>
      <c r="T210" s="141">
        <f t="shared" si="85"/>
        <v>3.835011999999999</v>
      </c>
      <c r="U210" s="199">
        <f t="shared" si="86"/>
        <v>0</v>
      </c>
      <c r="V210" s="37" t="str">
        <f t="shared" si="87"/>
        <v>ok</v>
      </c>
      <c r="W210" s="37" t="str">
        <f t="shared" si="88"/>
        <v>ok</v>
      </c>
    </row>
    <row r="211" spans="1:23" x14ac:dyDescent="0.25">
      <c r="A211" s="420"/>
      <c r="B211" s="178" t="s">
        <v>19</v>
      </c>
      <c r="C211" s="129">
        <v>16</v>
      </c>
      <c r="D211" s="239">
        <f>DMG_11*CMD_7</f>
        <v>4.9476519999999997</v>
      </c>
      <c r="E211" s="131">
        <f>OMG_11*CMO_7</f>
        <v>15.044999999999998</v>
      </c>
      <c r="F211" s="132">
        <f t="shared" si="57"/>
        <v>12.036</v>
      </c>
      <c r="G211" s="133">
        <f t="shared" si="58"/>
        <v>3.008999999999999</v>
      </c>
      <c r="H211" s="134">
        <f t="shared" si="79"/>
        <v>4.9476519999999997</v>
      </c>
      <c r="I211" s="135"/>
      <c r="J211" s="136">
        <f t="shared" si="80"/>
        <v>0</v>
      </c>
      <c r="K211" s="137"/>
      <c r="L211" s="138">
        <f t="shared" si="81"/>
        <v>0</v>
      </c>
      <c r="M211" s="137"/>
      <c r="N211" s="139">
        <f t="shared" si="82"/>
        <v>7.0883479999999999</v>
      </c>
      <c r="O211" s="137"/>
      <c r="P211" s="140">
        <f t="shared" si="83"/>
        <v>3.008999999999999</v>
      </c>
      <c r="Q211" s="135"/>
      <c r="R211" s="104">
        <f t="shared" si="84"/>
        <v>4.9476519999999997</v>
      </c>
      <c r="S211" s="137"/>
      <c r="T211" s="141">
        <f t="shared" si="85"/>
        <v>10.097347999999998</v>
      </c>
      <c r="U211" s="199">
        <f t="shared" si="86"/>
        <v>0</v>
      </c>
      <c r="V211" s="37" t="str">
        <f t="shared" si="87"/>
        <v>ok</v>
      </c>
      <c r="W211" s="37" t="str">
        <f t="shared" si="88"/>
        <v>ok</v>
      </c>
    </row>
    <row r="212" spans="1:23" x14ac:dyDescent="0.25">
      <c r="A212" s="420"/>
      <c r="B212" s="178" t="s">
        <v>20</v>
      </c>
      <c r="C212" s="129">
        <v>17</v>
      </c>
      <c r="D212" s="239">
        <f>DMG_12*CMD_7</f>
        <v>3.8849040000000001</v>
      </c>
      <c r="E212" s="131">
        <f>OMG_12*CMO_7</f>
        <v>11.5345</v>
      </c>
      <c r="F212" s="132">
        <f t="shared" si="57"/>
        <v>9.2276000000000007</v>
      </c>
      <c r="G212" s="133">
        <f t="shared" si="58"/>
        <v>2.3068999999999993</v>
      </c>
      <c r="H212" s="134">
        <f t="shared" si="79"/>
        <v>3.8849040000000001</v>
      </c>
      <c r="I212" s="135"/>
      <c r="J212" s="136">
        <f t="shared" si="80"/>
        <v>0</v>
      </c>
      <c r="K212" s="137"/>
      <c r="L212" s="138">
        <f t="shared" si="81"/>
        <v>0</v>
      </c>
      <c r="M212" s="137"/>
      <c r="N212" s="139">
        <f t="shared" si="82"/>
        <v>5.3426960000000001</v>
      </c>
      <c r="O212" s="137"/>
      <c r="P212" s="140">
        <f t="shared" si="83"/>
        <v>2.3068999999999993</v>
      </c>
      <c r="Q212" s="135"/>
      <c r="R212" s="104">
        <f t="shared" si="84"/>
        <v>3.8849040000000001</v>
      </c>
      <c r="S212" s="137"/>
      <c r="T212" s="141">
        <f t="shared" si="85"/>
        <v>7.649595999999999</v>
      </c>
      <c r="U212" s="199">
        <f t="shared" si="86"/>
        <v>0</v>
      </c>
      <c r="V212" s="37" t="str">
        <f t="shared" si="87"/>
        <v>ok</v>
      </c>
      <c r="W212" s="37" t="str">
        <f t="shared" si="88"/>
        <v>ok</v>
      </c>
    </row>
    <row r="213" spans="1:23" x14ac:dyDescent="0.25">
      <c r="A213" s="420"/>
      <c r="B213" s="178" t="s">
        <v>21</v>
      </c>
      <c r="C213" s="129">
        <v>18</v>
      </c>
      <c r="D213" s="239">
        <f>DMG_13*CMD_7</f>
        <v>1.6993039999999999</v>
      </c>
      <c r="E213" s="131">
        <f>OMG_13*CMO_7</f>
        <v>5.5164999999999997</v>
      </c>
      <c r="F213" s="132">
        <f t="shared" si="57"/>
        <v>4.4131999999999998</v>
      </c>
      <c r="G213" s="133">
        <f t="shared" si="58"/>
        <v>1.1032999999999997</v>
      </c>
      <c r="H213" s="134">
        <f t="shared" si="79"/>
        <v>1.6993039999999999</v>
      </c>
      <c r="I213" s="135"/>
      <c r="J213" s="136">
        <f t="shared" si="80"/>
        <v>0</v>
      </c>
      <c r="K213" s="137"/>
      <c r="L213" s="138">
        <f t="shared" si="81"/>
        <v>0</v>
      </c>
      <c r="M213" s="137"/>
      <c r="N213" s="139">
        <f t="shared" si="82"/>
        <v>2.7138960000000001</v>
      </c>
      <c r="O213" s="137"/>
      <c r="P213" s="140">
        <f t="shared" si="83"/>
        <v>1.1032999999999997</v>
      </c>
      <c r="Q213" s="135"/>
      <c r="R213" s="104">
        <f t="shared" si="84"/>
        <v>1.6993039999999999</v>
      </c>
      <c r="S213" s="137"/>
      <c r="T213" s="141">
        <f t="shared" si="85"/>
        <v>3.817196</v>
      </c>
      <c r="U213" s="199">
        <f t="shared" si="86"/>
        <v>0</v>
      </c>
      <c r="V213" s="37" t="str">
        <f t="shared" si="87"/>
        <v>ok</v>
      </c>
      <c r="W213" s="37" t="str">
        <f t="shared" si="88"/>
        <v>ok</v>
      </c>
    </row>
    <row r="214" spans="1:23" x14ac:dyDescent="0.25">
      <c r="A214" s="420"/>
      <c r="B214" s="178" t="s">
        <v>22</v>
      </c>
      <c r="C214" s="129">
        <v>19</v>
      </c>
      <c r="D214" s="239">
        <f>DMG_14*CMD_7</f>
        <v>1.1856879999999999</v>
      </c>
      <c r="E214" s="131">
        <f>OMG_14*CMO_7</f>
        <v>9.2777499999999993</v>
      </c>
      <c r="F214" s="132">
        <f t="shared" si="57"/>
        <v>7.4222000000000001</v>
      </c>
      <c r="G214" s="133">
        <f t="shared" si="58"/>
        <v>1.8555499999999994</v>
      </c>
      <c r="H214" s="134">
        <f t="shared" si="79"/>
        <v>1.1856879999999999</v>
      </c>
      <c r="I214" s="135"/>
      <c r="J214" s="136">
        <f t="shared" si="80"/>
        <v>0</v>
      </c>
      <c r="K214" s="137"/>
      <c r="L214" s="138">
        <f t="shared" si="81"/>
        <v>0</v>
      </c>
      <c r="M214" s="137"/>
      <c r="N214" s="139">
        <f t="shared" si="82"/>
        <v>6.2365120000000003</v>
      </c>
      <c r="O214" s="137"/>
      <c r="P214" s="140">
        <f t="shared" si="83"/>
        <v>1.8555499999999994</v>
      </c>
      <c r="Q214" s="135"/>
      <c r="R214" s="104">
        <f t="shared" si="84"/>
        <v>1.1856879999999999</v>
      </c>
      <c r="S214" s="137"/>
      <c r="T214" s="141">
        <f t="shared" si="85"/>
        <v>8.0920620000000003</v>
      </c>
      <c r="U214" s="199">
        <f t="shared" si="86"/>
        <v>0</v>
      </c>
      <c r="V214" s="37" t="str">
        <f t="shared" si="87"/>
        <v>ok</v>
      </c>
      <c r="W214" s="37" t="str">
        <f t="shared" si="88"/>
        <v>ok</v>
      </c>
    </row>
    <row r="215" spans="1:23" x14ac:dyDescent="0.25">
      <c r="A215" s="420"/>
      <c r="B215" s="178" t="s">
        <v>23</v>
      </c>
      <c r="C215" s="129">
        <v>20</v>
      </c>
      <c r="D215" s="239">
        <f>DMG_15*CMD_7</f>
        <v>2.4588000000000001</v>
      </c>
      <c r="E215" s="131">
        <f>OMG_15*CMO_7</f>
        <v>11.032999999999999</v>
      </c>
      <c r="F215" s="132">
        <f t="shared" si="57"/>
        <v>8.8263999999999996</v>
      </c>
      <c r="G215" s="133">
        <f t="shared" si="58"/>
        <v>2.2065999999999995</v>
      </c>
      <c r="H215" s="134">
        <f t="shared" si="79"/>
        <v>2.4588000000000001</v>
      </c>
      <c r="I215" s="135"/>
      <c r="J215" s="136">
        <f t="shared" si="80"/>
        <v>0</v>
      </c>
      <c r="K215" s="137"/>
      <c r="L215" s="138">
        <f t="shared" si="81"/>
        <v>0</v>
      </c>
      <c r="M215" s="137"/>
      <c r="N215" s="139">
        <f t="shared" si="82"/>
        <v>6.3675999999999995</v>
      </c>
      <c r="O215" s="137"/>
      <c r="P215" s="140">
        <f t="shared" si="83"/>
        <v>2.2065999999999995</v>
      </c>
      <c r="Q215" s="135"/>
      <c r="R215" s="104">
        <f t="shared" si="84"/>
        <v>2.4588000000000001</v>
      </c>
      <c r="S215" s="137"/>
      <c r="T215" s="141">
        <f t="shared" si="85"/>
        <v>8.5741999999999994</v>
      </c>
      <c r="U215" s="199">
        <f t="shared" si="86"/>
        <v>0</v>
      </c>
      <c r="V215" s="37" t="str">
        <f t="shared" si="87"/>
        <v>ok</v>
      </c>
      <c r="W215" s="37" t="str">
        <f t="shared" si="88"/>
        <v>ok</v>
      </c>
    </row>
    <row r="216" spans="1:23" x14ac:dyDescent="0.25">
      <c r="A216" s="420"/>
      <c r="B216" s="178" t="s">
        <v>19</v>
      </c>
      <c r="C216" s="129">
        <v>23</v>
      </c>
      <c r="D216" s="239">
        <f>DMG_16*CMD_7</f>
        <v>9.8679839999999999</v>
      </c>
      <c r="E216" s="131">
        <f>OMG_16*CMO_7</f>
        <v>12.412124999999998</v>
      </c>
      <c r="F216" s="132">
        <f t="shared" si="57"/>
        <v>9.9296999999999986</v>
      </c>
      <c r="G216" s="133">
        <f t="shared" si="58"/>
        <v>2.4824249999999992</v>
      </c>
      <c r="H216" s="134">
        <f t="shared" si="79"/>
        <v>9.8679839999999999</v>
      </c>
      <c r="I216" s="135"/>
      <c r="J216" s="136">
        <f t="shared" si="80"/>
        <v>0</v>
      </c>
      <c r="K216" s="137"/>
      <c r="L216" s="138">
        <f t="shared" si="81"/>
        <v>0</v>
      </c>
      <c r="M216" s="137"/>
      <c r="N216" s="139">
        <f t="shared" si="82"/>
        <v>6.1715999999998772E-2</v>
      </c>
      <c r="O216" s="137"/>
      <c r="P216" s="140">
        <f t="shared" si="83"/>
        <v>2.4824249999999992</v>
      </c>
      <c r="Q216" s="135"/>
      <c r="R216" s="104">
        <f t="shared" si="84"/>
        <v>9.8679839999999999</v>
      </c>
      <c r="S216" s="137"/>
      <c r="T216" s="141">
        <f t="shared" si="85"/>
        <v>2.544140999999998</v>
      </c>
      <c r="U216" s="199">
        <f t="shared" si="86"/>
        <v>0</v>
      </c>
      <c r="V216" s="37" t="str">
        <f t="shared" si="87"/>
        <v>ok</v>
      </c>
      <c r="W216" s="37" t="str">
        <f t="shared" si="88"/>
        <v>ok</v>
      </c>
    </row>
    <row r="217" spans="1:23" x14ac:dyDescent="0.25">
      <c r="A217" s="420"/>
      <c r="B217" s="178" t="s">
        <v>20</v>
      </c>
      <c r="C217" s="129">
        <v>24</v>
      </c>
      <c r="D217" s="239">
        <f>DMG_17*CMD_7</f>
        <v>8.0320799999999988</v>
      </c>
      <c r="E217" s="131">
        <f>OMG_17*CMO_7</f>
        <v>7.8635199999999994</v>
      </c>
      <c r="F217" s="132">
        <f t="shared" si="57"/>
        <v>6.2908159999999995</v>
      </c>
      <c r="G217" s="133">
        <f t="shared" si="58"/>
        <v>1.5727039999999994</v>
      </c>
      <c r="H217" s="134">
        <f t="shared" si="79"/>
        <v>7.8635199999999994</v>
      </c>
      <c r="I217" s="135"/>
      <c r="J217" s="136">
        <f t="shared" si="80"/>
        <v>0.16855999999999938</v>
      </c>
      <c r="K217" s="137"/>
      <c r="L217" s="138">
        <f t="shared" si="81"/>
        <v>1.5727039999999994</v>
      </c>
      <c r="M217" s="137"/>
      <c r="N217" s="139">
        <f t="shared" si="82"/>
        <v>0</v>
      </c>
      <c r="O217" s="137"/>
      <c r="P217" s="140">
        <f t="shared" si="83"/>
        <v>0</v>
      </c>
      <c r="Q217" s="135"/>
      <c r="R217" s="104">
        <f t="shared" si="84"/>
        <v>6.2908159999999995</v>
      </c>
      <c r="S217" s="137"/>
      <c r="T217" s="141">
        <f t="shared" si="85"/>
        <v>1.5727039999999994</v>
      </c>
      <c r="U217" s="199">
        <f t="shared" si="86"/>
        <v>1.7412639999999988</v>
      </c>
      <c r="V217" s="37" t="str">
        <f t="shared" si="87"/>
        <v>ok</v>
      </c>
      <c r="W217" s="37" t="str">
        <f t="shared" si="88"/>
        <v>ok</v>
      </c>
    </row>
    <row r="218" spans="1:23" x14ac:dyDescent="0.25">
      <c r="A218" s="420"/>
      <c r="B218" s="178" t="s">
        <v>21</v>
      </c>
      <c r="C218" s="129">
        <v>25</v>
      </c>
      <c r="D218" s="239">
        <f>DMG_18*CMD_7</f>
        <v>4.6280080000000003</v>
      </c>
      <c r="E218" s="131">
        <f>OMG_18*CMO_7</f>
        <v>3.7261449999999994</v>
      </c>
      <c r="F218" s="132">
        <f t="shared" si="57"/>
        <v>2.9809159999999997</v>
      </c>
      <c r="G218" s="133">
        <f t="shared" si="58"/>
        <v>0.7452289999999997</v>
      </c>
      <c r="H218" s="134">
        <f t="shared" si="79"/>
        <v>3.7261449999999994</v>
      </c>
      <c r="I218" s="135"/>
      <c r="J218" s="136">
        <f t="shared" si="80"/>
        <v>0.90186300000000097</v>
      </c>
      <c r="K218" s="137"/>
      <c r="L218" s="138">
        <f t="shared" si="81"/>
        <v>0.7452289999999997</v>
      </c>
      <c r="M218" s="137"/>
      <c r="N218" s="139">
        <f t="shared" si="82"/>
        <v>0</v>
      </c>
      <c r="O218" s="137"/>
      <c r="P218" s="140">
        <f t="shared" si="83"/>
        <v>0</v>
      </c>
      <c r="Q218" s="135"/>
      <c r="R218" s="104">
        <f t="shared" si="84"/>
        <v>2.9809159999999997</v>
      </c>
      <c r="S218" s="137"/>
      <c r="T218" s="141">
        <f t="shared" si="85"/>
        <v>0.7452289999999997</v>
      </c>
      <c r="U218" s="199">
        <f t="shared" si="86"/>
        <v>1.6470920000000007</v>
      </c>
      <c r="V218" s="37" t="str">
        <f t="shared" si="87"/>
        <v>ok</v>
      </c>
      <c r="W218" s="37" t="str">
        <f t="shared" si="88"/>
        <v>ok</v>
      </c>
    </row>
    <row r="219" spans="1:23" x14ac:dyDescent="0.25">
      <c r="A219" s="420"/>
      <c r="B219" s="178" t="s">
        <v>22</v>
      </c>
      <c r="C219" s="129">
        <v>26</v>
      </c>
      <c r="D219" s="239">
        <f>DMG_19*CMD_7</f>
        <v>3.7892839999999999</v>
      </c>
      <c r="E219" s="131">
        <f>OMG_19*CMO_7</f>
        <v>4.9648499999999993</v>
      </c>
      <c r="F219" s="132">
        <f t="shared" si="57"/>
        <v>3.9718799999999996</v>
      </c>
      <c r="G219" s="133">
        <f t="shared" si="58"/>
        <v>0.99296999999999969</v>
      </c>
      <c r="H219" s="134">
        <f t="shared" si="79"/>
        <v>3.7892839999999999</v>
      </c>
      <c r="I219" s="135"/>
      <c r="J219" s="136">
        <f t="shared" si="80"/>
        <v>0</v>
      </c>
      <c r="K219" s="137"/>
      <c r="L219" s="138">
        <f t="shared" si="81"/>
        <v>0</v>
      </c>
      <c r="M219" s="137"/>
      <c r="N219" s="139">
        <f t="shared" si="82"/>
        <v>0.18259599999999976</v>
      </c>
      <c r="O219" s="137"/>
      <c r="P219" s="140">
        <f t="shared" si="83"/>
        <v>0.99296999999999969</v>
      </c>
      <c r="Q219" s="135"/>
      <c r="R219" s="104">
        <f t="shared" si="84"/>
        <v>3.7892839999999999</v>
      </c>
      <c r="S219" s="137"/>
      <c r="T219" s="141">
        <f t="shared" si="85"/>
        <v>1.1755659999999994</v>
      </c>
      <c r="U219" s="199">
        <f t="shared" si="86"/>
        <v>0</v>
      </c>
      <c r="V219" s="37" t="str">
        <f t="shared" si="87"/>
        <v>ok</v>
      </c>
      <c r="W219" s="37" t="str">
        <f t="shared" si="88"/>
        <v>ok</v>
      </c>
    </row>
    <row r="220" spans="1:23" x14ac:dyDescent="0.25">
      <c r="A220" s="420"/>
      <c r="B220" s="178" t="s">
        <v>23</v>
      </c>
      <c r="C220" s="129">
        <v>27</v>
      </c>
      <c r="D220" s="239">
        <f>DMG_20*CMD_7</f>
        <v>7.11686</v>
      </c>
      <c r="E220" s="131">
        <f>OMG_20*CMO_7</f>
        <v>7.8635199999999994</v>
      </c>
      <c r="F220" s="132">
        <f t="shared" si="57"/>
        <v>6.2908159999999995</v>
      </c>
      <c r="G220" s="133">
        <f t="shared" si="58"/>
        <v>1.5727039999999994</v>
      </c>
      <c r="H220" s="134">
        <f t="shared" si="79"/>
        <v>7.11686</v>
      </c>
      <c r="I220" s="135"/>
      <c r="J220" s="136">
        <f t="shared" si="80"/>
        <v>0</v>
      </c>
      <c r="K220" s="137"/>
      <c r="L220" s="138">
        <f t="shared" si="81"/>
        <v>0.82604400000000044</v>
      </c>
      <c r="M220" s="137"/>
      <c r="N220" s="139">
        <f t="shared" si="82"/>
        <v>0</v>
      </c>
      <c r="O220" s="137"/>
      <c r="P220" s="140">
        <f t="shared" si="83"/>
        <v>0.74665999999999944</v>
      </c>
      <c r="Q220" s="135"/>
      <c r="R220" s="104">
        <f t="shared" si="84"/>
        <v>6.2908159999999995</v>
      </c>
      <c r="S220" s="137"/>
      <c r="T220" s="141">
        <f t="shared" si="85"/>
        <v>1.5727039999999999</v>
      </c>
      <c r="U220" s="199">
        <f t="shared" si="86"/>
        <v>0.82604400000000044</v>
      </c>
      <c r="V220" s="37" t="str">
        <f t="shared" si="87"/>
        <v>ok</v>
      </c>
      <c r="W220" s="37" t="str">
        <f t="shared" si="88"/>
        <v>ok</v>
      </c>
    </row>
    <row r="221" spans="1:23" x14ac:dyDescent="0.25">
      <c r="A221" s="420"/>
      <c r="B221" s="178" t="s">
        <v>19</v>
      </c>
      <c r="C221" s="129">
        <v>30</v>
      </c>
      <c r="D221" s="239">
        <f>DMG_21*CMD_7</f>
        <v>11.840488000000001</v>
      </c>
      <c r="E221" s="131">
        <f>OMG_21*CMO_7</f>
        <v>15.044999999999998</v>
      </c>
      <c r="F221" s="132">
        <f t="shared" si="57"/>
        <v>12.036</v>
      </c>
      <c r="G221" s="133">
        <f t="shared" si="58"/>
        <v>3.008999999999999</v>
      </c>
      <c r="H221" s="134">
        <f t="shared" si="79"/>
        <v>11.840488000000001</v>
      </c>
      <c r="I221" s="135"/>
      <c r="J221" s="136">
        <f t="shared" si="80"/>
        <v>0</v>
      </c>
      <c r="K221" s="137"/>
      <c r="L221" s="138">
        <f t="shared" si="81"/>
        <v>0</v>
      </c>
      <c r="M221" s="137"/>
      <c r="N221" s="139">
        <f t="shared" si="82"/>
        <v>0.19551199999999902</v>
      </c>
      <c r="O221" s="137"/>
      <c r="P221" s="140">
        <f t="shared" si="83"/>
        <v>3.008999999999999</v>
      </c>
      <c r="Q221" s="135"/>
      <c r="R221" s="104">
        <f t="shared" si="84"/>
        <v>11.840488000000001</v>
      </c>
      <c r="S221" s="137"/>
      <c r="T221" s="141">
        <f t="shared" si="85"/>
        <v>3.204511999999998</v>
      </c>
      <c r="U221" s="199">
        <f t="shared" si="86"/>
        <v>0</v>
      </c>
      <c r="V221" s="37" t="str">
        <f t="shared" si="87"/>
        <v>ok</v>
      </c>
      <c r="W221" s="37" t="str">
        <f t="shared" si="88"/>
        <v>ok</v>
      </c>
    </row>
    <row r="222" spans="1:23" ht="15.75" thickBot="1" x14ac:dyDescent="0.3">
      <c r="A222" s="421"/>
      <c r="B222" s="180" t="s">
        <v>20</v>
      </c>
      <c r="C222" s="237">
        <v>31</v>
      </c>
      <c r="D222" s="240">
        <f>DMG_22*CMD_7</f>
        <v>9.6057119999999987</v>
      </c>
      <c r="E222" s="203">
        <f>OMG_22*CMO_7</f>
        <v>10.531499999999999</v>
      </c>
      <c r="F222" s="204">
        <f t="shared" ref="F222:F285" si="89">E222*TC</f>
        <v>8.4252000000000002</v>
      </c>
      <c r="G222" s="205">
        <f t="shared" ref="G222:G285" si="90">E222*(1-TC)</f>
        <v>2.1062999999999996</v>
      </c>
      <c r="H222" s="206">
        <f t="shared" si="79"/>
        <v>9.6057119999999987</v>
      </c>
      <c r="I222" s="207"/>
      <c r="J222" s="208">
        <f t="shared" si="80"/>
        <v>0</v>
      </c>
      <c r="K222" s="209"/>
      <c r="L222" s="210">
        <f t="shared" si="81"/>
        <v>1.1805119999999985</v>
      </c>
      <c r="M222" s="209"/>
      <c r="N222" s="211">
        <f t="shared" si="82"/>
        <v>0</v>
      </c>
      <c r="O222" s="209"/>
      <c r="P222" s="212">
        <f t="shared" si="83"/>
        <v>0.92578800000000072</v>
      </c>
      <c r="Q222" s="207"/>
      <c r="R222" s="213">
        <f t="shared" si="84"/>
        <v>8.4252000000000002</v>
      </c>
      <c r="S222" s="209"/>
      <c r="T222" s="214">
        <f t="shared" si="85"/>
        <v>2.1062999999999992</v>
      </c>
      <c r="U222" s="215">
        <f t="shared" si="86"/>
        <v>1.1805119999999985</v>
      </c>
      <c r="V222" s="37" t="str">
        <f t="shared" si="87"/>
        <v>ok</v>
      </c>
      <c r="W222" s="37" t="str">
        <f t="shared" si="88"/>
        <v>ok</v>
      </c>
    </row>
    <row r="223" spans="1:23" x14ac:dyDescent="0.25">
      <c r="A223" s="419" t="s">
        <v>96</v>
      </c>
      <c r="B223" s="176" t="s">
        <v>21</v>
      </c>
      <c r="C223" s="177">
        <v>1</v>
      </c>
      <c r="D223" s="184">
        <f>DMG_1*CMD_8</f>
        <v>4.9259200000000005</v>
      </c>
      <c r="E223" s="185">
        <f>OMG_1*CMO_8</f>
        <v>26.968499999999999</v>
      </c>
      <c r="F223" s="186">
        <f t="shared" si="89"/>
        <v>21.5748</v>
      </c>
      <c r="G223" s="187">
        <f t="shared" si="90"/>
        <v>5.3936999999999982</v>
      </c>
      <c r="H223" s="188">
        <f>IF(E223&gt;D223,D223,E223)</f>
        <v>4.9259200000000005</v>
      </c>
      <c r="I223" s="189"/>
      <c r="J223" s="190">
        <f>IF(E223&gt;D223,0,D223-E223)</f>
        <v>0</v>
      </c>
      <c r="K223" s="191"/>
      <c r="L223" s="192">
        <f>IF(E223&gt;D223,IF(F223&gt;H223,0,H223-F223),G223)</f>
        <v>0</v>
      </c>
      <c r="M223" s="191"/>
      <c r="N223" s="193">
        <f>IF(E223&gt;D223,IF(F223&gt;H223,F223-H223,0),0)</f>
        <v>16.648879999999998</v>
      </c>
      <c r="O223" s="191"/>
      <c r="P223" s="194">
        <f>IF(E223&gt;D223,IF(F223&gt;H223,G223,E223-H223),0)</f>
        <v>5.3936999999999982</v>
      </c>
      <c r="Q223" s="189"/>
      <c r="R223" s="195">
        <f>H223-L223</f>
        <v>4.9259200000000005</v>
      </c>
      <c r="S223" s="191"/>
      <c r="T223" s="196">
        <f>L223+N223+P223</f>
        <v>22.042579999999997</v>
      </c>
      <c r="U223" s="197">
        <f>J223+L223</f>
        <v>0</v>
      </c>
      <c r="V223" s="37" t="str">
        <f>IF(R223+T223=E223,"ok","bad")</f>
        <v>ok</v>
      </c>
      <c r="W223" s="37" t="str">
        <f>IF(U223+R223=D223,"ok","bad")</f>
        <v>ok</v>
      </c>
    </row>
    <row r="224" spans="1:23" x14ac:dyDescent="0.25">
      <c r="A224" s="420"/>
      <c r="B224" s="178" t="s">
        <v>22</v>
      </c>
      <c r="C224" s="179">
        <v>2</v>
      </c>
      <c r="D224" s="130">
        <f>DMG_2*CMD_8</f>
        <v>3.8678400000000006</v>
      </c>
      <c r="E224" s="131">
        <f>OMG_2*CMO_8</f>
        <v>19.776900000000001</v>
      </c>
      <c r="F224" s="132">
        <f t="shared" si="89"/>
        <v>15.821520000000001</v>
      </c>
      <c r="G224" s="133">
        <f t="shared" si="90"/>
        <v>3.9553799999999995</v>
      </c>
      <c r="H224" s="134">
        <f t="shared" ref="H224:H245" si="91">IF(E224&gt;D224,D224,E224)</f>
        <v>3.8678400000000006</v>
      </c>
      <c r="I224" s="135"/>
      <c r="J224" s="136">
        <f t="shared" ref="J224:J245" si="92">IF(E224&gt;D224,0,D224-E224)</f>
        <v>0</v>
      </c>
      <c r="K224" s="137"/>
      <c r="L224" s="138">
        <f t="shared" ref="L224:L245" si="93">IF(E224&gt;D224,IF(F224&gt;H224,0,H224-F224),G224)</f>
        <v>0</v>
      </c>
      <c r="M224" s="137"/>
      <c r="N224" s="139">
        <f t="shared" ref="N224:N245" si="94">IF(E224&gt;D224,IF(F224&gt;H224,F224-H224,0),0)</f>
        <v>11.95368</v>
      </c>
      <c r="O224" s="137"/>
      <c r="P224" s="140">
        <f t="shared" ref="P224:P245" si="95">IF(E224&gt;D224,IF(F224&gt;H224,G224,E224-H224),0)</f>
        <v>3.9553799999999995</v>
      </c>
      <c r="Q224" s="135"/>
      <c r="R224" s="104">
        <f t="shared" ref="R224:R245" si="96">H224-L224</f>
        <v>3.8678400000000006</v>
      </c>
      <c r="S224" s="137"/>
      <c r="T224" s="141">
        <f t="shared" ref="T224:T245" si="97">L224+N224+P224</f>
        <v>15.90906</v>
      </c>
      <c r="U224" s="199">
        <f t="shared" ref="U224:U245" si="98">J224+L224</f>
        <v>0</v>
      </c>
      <c r="V224" s="37" t="str">
        <f t="shared" ref="V224:V245" si="99">IF(R224+T224=E224,"ok","bad")</f>
        <v>ok</v>
      </c>
      <c r="W224" s="37" t="str">
        <f t="shared" ref="W224:W245" si="100">IF(U224+R224=D224,"ok","bad")</f>
        <v>ok</v>
      </c>
    </row>
    <row r="225" spans="1:23" x14ac:dyDescent="0.25">
      <c r="A225" s="420"/>
      <c r="B225" s="178" t="s">
        <v>23</v>
      </c>
      <c r="C225" s="179">
        <v>3</v>
      </c>
      <c r="D225" s="130">
        <f>DMG_3*CMD_8</f>
        <v>1.69184</v>
      </c>
      <c r="E225" s="131">
        <f>OMG_3*CMO_8</f>
        <v>8.0905500000000004</v>
      </c>
      <c r="F225" s="132">
        <f t="shared" si="89"/>
        <v>6.4724400000000006</v>
      </c>
      <c r="G225" s="133">
        <f t="shared" si="90"/>
        <v>1.6181099999999997</v>
      </c>
      <c r="H225" s="134">
        <f t="shared" si="91"/>
        <v>1.69184</v>
      </c>
      <c r="I225" s="135"/>
      <c r="J225" s="136">
        <f t="shared" si="92"/>
        <v>0</v>
      </c>
      <c r="K225" s="137"/>
      <c r="L225" s="138">
        <f t="shared" si="93"/>
        <v>0</v>
      </c>
      <c r="M225" s="137"/>
      <c r="N225" s="139">
        <f t="shared" si="94"/>
        <v>4.7806000000000006</v>
      </c>
      <c r="O225" s="137"/>
      <c r="P225" s="140">
        <f t="shared" si="95"/>
        <v>1.6181099999999997</v>
      </c>
      <c r="Q225" s="135"/>
      <c r="R225" s="104">
        <f t="shared" si="96"/>
        <v>1.69184</v>
      </c>
      <c r="S225" s="137"/>
      <c r="T225" s="141">
        <f t="shared" si="97"/>
        <v>6.3987100000000003</v>
      </c>
      <c r="U225" s="199">
        <f t="shared" si="98"/>
        <v>0</v>
      </c>
      <c r="V225" s="37" t="str">
        <f t="shared" si="99"/>
        <v>ok</v>
      </c>
      <c r="W225" s="37" t="str">
        <f t="shared" si="100"/>
        <v>ok</v>
      </c>
    </row>
    <row r="226" spans="1:23" x14ac:dyDescent="0.25">
      <c r="A226" s="420"/>
      <c r="B226" s="178" t="s">
        <v>19</v>
      </c>
      <c r="C226" s="179">
        <v>6</v>
      </c>
      <c r="D226" s="130">
        <f>DMG_4*CMD_8</f>
        <v>1.18048</v>
      </c>
      <c r="E226" s="131">
        <f>OMG_4*CMO_8</f>
        <v>12.135825000000001</v>
      </c>
      <c r="F226" s="132">
        <f t="shared" si="89"/>
        <v>9.7086600000000018</v>
      </c>
      <c r="G226" s="133">
        <f t="shared" si="90"/>
        <v>2.4271649999999996</v>
      </c>
      <c r="H226" s="134">
        <f t="shared" si="91"/>
        <v>1.18048</v>
      </c>
      <c r="I226" s="135"/>
      <c r="J226" s="136">
        <f t="shared" si="92"/>
        <v>0</v>
      </c>
      <c r="K226" s="137"/>
      <c r="L226" s="138">
        <f t="shared" si="93"/>
        <v>0</v>
      </c>
      <c r="M226" s="137"/>
      <c r="N226" s="139">
        <f t="shared" si="94"/>
        <v>8.5281800000000025</v>
      </c>
      <c r="O226" s="137"/>
      <c r="P226" s="140">
        <f t="shared" si="95"/>
        <v>2.4271649999999996</v>
      </c>
      <c r="Q226" s="135"/>
      <c r="R226" s="104">
        <f t="shared" si="96"/>
        <v>1.18048</v>
      </c>
      <c r="S226" s="137"/>
      <c r="T226" s="141">
        <f t="shared" si="97"/>
        <v>10.955345000000001</v>
      </c>
      <c r="U226" s="199">
        <f t="shared" si="98"/>
        <v>0</v>
      </c>
      <c r="V226" s="37" t="str">
        <f t="shared" si="99"/>
        <v>ok</v>
      </c>
      <c r="W226" s="37" t="str">
        <f t="shared" si="100"/>
        <v>ok</v>
      </c>
    </row>
    <row r="227" spans="1:23" x14ac:dyDescent="0.25">
      <c r="A227" s="420"/>
      <c r="B227" s="178" t="s">
        <v>20</v>
      </c>
      <c r="C227" s="179">
        <v>7</v>
      </c>
      <c r="D227" s="130">
        <f>DMG_5*CMD_8</f>
        <v>2.4480000000000004</v>
      </c>
      <c r="E227" s="131">
        <f>OMG_5*CMO_8</f>
        <v>19.776900000000001</v>
      </c>
      <c r="F227" s="132">
        <f t="shared" si="89"/>
        <v>15.821520000000001</v>
      </c>
      <c r="G227" s="133">
        <f t="shared" si="90"/>
        <v>3.9553799999999995</v>
      </c>
      <c r="H227" s="134">
        <f t="shared" si="91"/>
        <v>2.4480000000000004</v>
      </c>
      <c r="I227" s="135"/>
      <c r="J227" s="136">
        <f t="shared" si="92"/>
        <v>0</v>
      </c>
      <c r="K227" s="137"/>
      <c r="L227" s="138">
        <f t="shared" si="93"/>
        <v>0</v>
      </c>
      <c r="M227" s="137"/>
      <c r="N227" s="139">
        <f t="shared" si="94"/>
        <v>13.373520000000001</v>
      </c>
      <c r="O227" s="137"/>
      <c r="P227" s="140">
        <f t="shared" si="95"/>
        <v>3.9553799999999995</v>
      </c>
      <c r="Q227" s="135"/>
      <c r="R227" s="104">
        <f t="shared" si="96"/>
        <v>2.4480000000000004</v>
      </c>
      <c r="S227" s="137"/>
      <c r="T227" s="141">
        <f t="shared" si="97"/>
        <v>17.328900000000001</v>
      </c>
      <c r="U227" s="199">
        <f t="shared" si="98"/>
        <v>0</v>
      </c>
      <c r="V227" s="37" t="str">
        <f t="shared" si="99"/>
        <v>ok</v>
      </c>
      <c r="W227" s="37" t="str">
        <f t="shared" si="100"/>
        <v>ok</v>
      </c>
    </row>
    <row r="228" spans="1:23" x14ac:dyDescent="0.25">
      <c r="A228" s="420"/>
      <c r="B228" s="178" t="s">
        <v>21</v>
      </c>
      <c r="C228" s="179">
        <v>8</v>
      </c>
      <c r="D228" s="130">
        <f>DMG_6*CMD_8</f>
        <v>7.8608000000000002</v>
      </c>
      <c r="E228" s="131">
        <f>OMG_6*CMO_8</f>
        <v>13.83</v>
      </c>
      <c r="F228" s="132">
        <f t="shared" si="89"/>
        <v>11.064</v>
      </c>
      <c r="G228" s="133">
        <f t="shared" si="90"/>
        <v>2.7659999999999996</v>
      </c>
      <c r="H228" s="134">
        <f t="shared" si="91"/>
        <v>7.8608000000000002</v>
      </c>
      <c r="I228" s="135"/>
      <c r="J228" s="136">
        <f t="shared" si="92"/>
        <v>0</v>
      </c>
      <c r="K228" s="137"/>
      <c r="L228" s="138">
        <f t="shared" si="93"/>
        <v>0</v>
      </c>
      <c r="M228" s="137"/>
      <c r="N228" s="139">
        <f t="shared" si="94"/>
        <v>3.2031999999999998</v>
      </c>
      <c r="O228" s="137"/>
      <c r="P228" s="140">
        <f t="shared" si="95"/>
        <v>2.7659999999999996</v>
      </c>
      <c r="Q228" s="135"/>
      <c r="R228" s="104">
        <f t="shared" si="96"/>
        <v>7.8608000000000002</v>
      </c>
      <c r="S228" s="137"/>
      <c r="T228" s="141">
        <f t="shared" si="97"/>
        <v>5.969199999999999</v>
      </c>
      <c r="U228" s="199">
        <f t="shared" si="98"/>
        <v>0</v>
      </c>
      <c r="V228" s="37" t="str">
        <f t="shared" si="99"/>
        <v>ok</v>
      </c>
      <c r="W228" s="37" t="str">
        <f t="shared" si="100"/>
        <v>ok</v>
      </c>
    </row>
    <row r="229" spans="1:23" x14ac:dyDescent="0.25">
      <c r="A229" s="420"/>
      <c r="B229" s="178" t="s">
        <v>22</v>
      </c>
      <c r="C229" s="179">
        <v>9</v>
      </c>
      <c r="D229" s="130">
        <f>DMG_7*CMD_8</f>
        <v>6.3756800000000009</v>
      </c>
      <c r="E229" s="131">
        <f>OMG_7*CMO_8</f>
        <v>14.175750000000001</v>
      </c>
      <c r="F229" s="132">
        <f t="shared" si="89"/>
        <v>11.340600000000002</v>
      </c>
      <c r="G229" s="133">
        <f t="shared" si="90"/>
        <v>2.8351499999999996</v>
      </c>
      <c r="H229" s="134">
        <f t="shared" si="91"/>
        <v>6.3756800000000009</v>
      </c>
      <c r="I229" s="135"/>
      <c r="J229" s="136">
        <f t="shared" si="92"/>
        <v>0</v>
      </c>
      <c r="K229" s="137"/>
      <c r="L229" s="138">
        <f t="shared" si="93"/>
        <v>0</v>
      </c>
      <c r="M229" s="137"/>
      <c r="N229" s="139">
        <f t="shared" si="94"/>
        <v>4.9649200000000011</v>
      </c>
      <c r="O229" s="137"/>
      <c r="P229" s="140">
        <f t="shared" si="95"/>
        <v>2.8351499999999996</v>
      </c>
      <c r="Q229" s="135"/>
      <c r="R229" s="104">
        <f t="shared" si="96"/>
        <v>6.3756800000000009</v>
      </c>
      <c r="S229" s="137"/>
      <c r="T229" s="141">
        <f t="shared" si="97"/>
        <v>7.8000700000000007</v>
      </c>
      <c r="U229" s="199">
        <f t="shared" si="98"/>
        <v>0</v>
      </c>
      <c r="V229" s="37" t="str">
        <f t="shared" si="99"/>
        <v>ok</v>
      </c>
      <c r="W229" s="37" t="str">
        <f t="shared" si="100"/>
        <v>ok</v>
      </c>
    </row>
    <row r="230" spans="1:23" x14ac:dyDescent="0.25">
      <c r="A230" s="420"/>
      <c r="B230" s="178" t="s">
        <v>23</v>
      </c>
      <c r="C230" s="179">
        <v>10</v>
      </c>
      <c r="D230" s="130">
        <f>DMG_8*CMD_8</f>
        <v>3.6856000000000004</v>
      </c>
      <c r="E230" s="131">
        <f>OMG_8*CMO_8</f>
        <v>7.6065000000000005</v>
      </c>
      <c r="F230" s="132">
        <f t="shared" si="89"/>
        <v>6.0852000000000004</v>
      </c>
      <c r="G230" s="133">
        <f t="shared" si="90"/>
        <v>1.5212999999999997</v>
      </c>
      <c r="H230" s="134">
        <f t="shared" si="91"/>
        <v>3.6856000000000004</v>
      </c>
      <c r="I230" s="135"/>
      <c r="J230" s="136">
        <f t="shared" si="92"/>
        <v>0</v>
      </c>
      <c r="K230" s="137"/>
      <c r="L230" s="138">
        <f t="shared" si="93"/>
        <v>0</v>
      </c>
      <c r="M230" s="137"/>
      <c r="N230" s="139">
        <f t="shared" si="94"/>
        <v>2.3996</v>
      </c>
      <c r="O230" s="137"/>
      <c r="P230" s="140">
        <f t="shared" si="95"/>
        <v>1.5212999999999997</v>
      </c>
      <c r="Q230" s="135"/>
      <c r="R230" s="104">
        <f t="shared" si="96"/>
        <v>3.6856000000000004</v>
      </c>
      <c r="S230" s="137"/>
      <c r="T230" s="141">
        <f t="shared" si="97"/>
        <v>3.9208999999999996</v>
      </c>
      <c r="U230" s="199">
        <f t="shared" si="98"/>
        <v>0</v>
      </c>
      <c r="V230" s="37" t="str">
        <f t="shared" si="99"/>
        <v>ok</v>
      </c>
      <c r="W230" s="37" t="str">
        <f t="shared" si="100"/>
        <v>ok</v>
      </c>
    </row>
    <row r="231" spans="1:23" x14ac:dyDescent="0.25">
      <c r="A231" s="420"/>
      <c r="B231" s="178" t="s">
        <v>19</v>
      </c>
      <c r="C231" s="179">
        <v>13</v>
      </c>
      <c r="D231" s="130">
        <f>DMG_9*CMD_8</f>
        <v>2.9756800000000001</v>
      </c>
      <c r="E231" s="131">
        <f>OMG_9*CMO_8</f>
        <v>9.6810000000000009</v>
      </c>
      <c r="F231" s="132">
        <f t="shared" si="89"/>
        <v>7.7448000000000015</v>
      </c>
      <c r="G231" s="133">
        <f t="shared" si="90"/>
        <v>1.9361999999999997</v>
      </c>
      <c r="H231" s="134">
        <f t="shared" si="91"/>
        <v>2.9756800000000001</v>
      </c>
      <c r="I231" s="135"/>
      <c r="J231" s="136">
        <f t="shared" si="92"/>
        <v>0</v>
      </c>
      <c r="K231" s="137"/>
      <c r="L231" s="138">
        <f t="shared" si="93"/>
        <v>0</v>
      </c>
      <c r="M231" s="137"/>
      <c r="N231" s="139">
        <f t="shared" si="94"/>
        <v>4.7691200000000009</v>
      </c>
      <c r="O231" s="137"/>
      <c r="P231" s="140">
        <f t="shared" si="95"/>
        <v>1.9361999999999997</v>
      </c>
      <c r="Q231" s="135"/>
      <c r="R231" s="104">
        <f t="shared" si="96"/>
        <v>2.9756800000000001</v>
      </c>
      <c r="S231" s="137"/>
      <c r="T231" s="141">
        <f t="shared" si="97"/>
        <v>6.7053200000000004</v>
      </c>
      <c r="U231" s="199">
        <f t="shared" si="98"/>
        <v>0</v>
      </c>
      <c r="V231" s="37" t="str">
        <f t="shared" si="99"/>
        <v>ok</v>
      </c>
      <c r="W231" s="37" t="str">
        <f t="shared" si="100"/>
        <v>ok</v>
      </c>
    </row>
    <row r="232" spans="1:23" x14ac:dyDescent="0.25">
      <c r="A232" s="420"/>
      <c r="B232" s="178" t="s">
        <v>20</v>
      </c>
      <c r="C232" s="179">
        <v>14</v>
      </c>
      <c r="D232" s="130">
        <f>DMG_10*CMD_8</f>
        <v>5.6684800000000006</v>
      </c>
      <c r="E232" s="131">
        <f>OMG_10*CMO_8</f>
        <v>13.138500000000001</v>
      </c>
      <c r="F232" s="132">
        <f t="shared" si="89"/>
        <v>10.510800000000001</v>
      </c>
      <c r="G232" s="133">
        <f t="shared" si="90"/>
        <v>2.6276999999999995</v>
      </c>
      <c r="H232" s="134">
        <f t="shared" si="91"/>
        <v>5.6684800000000006</v>
      </c>
      <c r="I232" s="135"/>
      <c r="J232" s="136">
        <f t="shared" si="92"/>
        <v>0</v>
      </c>
      <c r="K232" s="137"/>
      <c r="L232" s="138">
        <f t="shared" si="93"/>
        <v>0</v>
      </c>
      <c r="M232" s="137"/>
      <c r="N232" s="139">
        <f t="shared" si="94"/>
        <v>4.8423200000000008</v>
      </c>
      <c r="O232" s="137"/>
      <c r="P232" s="140">
        <f t="shared" si="95"/>
        <v>2.6276999999999995</v>
      </c>
      <c r="Q232" s="135"/>
      <c r="R232" s="104">
        <f t="shared" si="96"/>
        <v>5.6684800000000006</v>
      </c>
      <c r="S232" s="137"/>
      <c r="T232" s="141">
        <f t="shared" si="97"/>
        <v>7.4700199999999999</v>
      </c>
      <c r="U232" s="199">
        <f t="shared" si="98"/>
        <v>0</v>
      </c>
      <c r="V232" s="37" t="str">
        <f t="shared" si="99"/>
        <v>ok</v>
      </c>
      <c r="W232" s="37" t="str">
        <f t="shared" si="100"/>
        <v>ok</v>
      </c>
    </row>
    <row r="233" spans="1:23" x14ac:dyDescent="0.25">
      <c r="A233" s="420"/>
      <c r="B233" s="178" t="s">
        <v>21</v>
      </c>
      <c r="C233" s="179">
        <v>15</v>
      </c>
      <c r="D233" s="130">
        <f>DMG_11*CMD_8</f>
        <v>4.9259200000000005</v>
      </c>
      <c r="E233" s="131">
        <f>OMG_11*CMO_8</f>
        <v>20.745000000000001</v>
      </c>
      <c r="F233" s="132">
        <f t="shared" si="89"/>
        <v>16.596</v>
      </c>
      <c r="G233" s="133">
        <f t="shared" si="90"/>
        <v>4.1489999999999991</v>
      </c>
      <c r="H233" s="134">
        <f t="shared" si="91"/>
        <v>4.9259200000000005</v>
      </c>
      <c r="I233" s="135"/>
      <c r="J233" s="136">
        <f t="shared" si="92"/>
        <v>0</v>
      </c>
      <c r="K233" s="137"/>
      <c r="L233" s="138">
        <f t="shared" si="93"/>
        <v>0</v>
      </c>
      <c r="M233" s="137"/>
      <c r="N233" s="139">
        <f t="shared" si="94"/>
        <v>11.670079999999999</v>
      </c>
      <c r="O233" s="137"/>
      <c r="P233" s="140">
        <f t="shared" si="95"/>
        <v>4.1489999999999991</v>
      </c>
      <c r="Q233" s="135"/>
      <c r="R233" s="104">
        <f t="shared" si="96"/>
        <v>4.9259200000000005</v>
      </c>
      <c r="S233" s="137"/>
      <c r="T233" s="141">
        <f t="shared" si="97"/>
        <v>15.819079999999998</v>
      </c>
      <c r="U233" s="199">
        <f t="shared" si="98"/>
        <v>0</v>
      </c>
      <c r="V233" s="37" t="str">
        <f t="shared" si="99"/>
        <v>ok</v>
      </c>
      <c r="W233" s="37" t="str">
        <f t="shared" si="100"/>
        <v>ok</v>
      </c>
    </row>
    <row r="234" spans="1:23" x14ac:dyDescent="0.25">
      <c r="A234" s="420"/>
      <c r="B234" s="178" t="s">
        <v>22</v>
      </c>
      <c r="C234" s="179">
        <v>16</v>
      </c>
      <c r="D234" s="130">
        <f>DMG_12*CMD_8</f>
        <v>3.8678400000000006</v>
      </c>
      <c r="E234" s="131">
        <f>OMG_12*CMO_8</f>
        <v>15.904500000000001</v>
      </c>
      <c r="F234" s="132">
        <f t="shared" si="89"/>
        <v>12.723600000000001</v>
      </c>
      <c r="G234" s="133">
        <f t="shared" si="90"/>
        <v>3.1808999999999994</v>
      </c>
      <c r="H234" s="134">
        <f t="shared" si="91"/>
        <v>3.8678400000000006</v>
      </c>
      <c r="I234" s="135"/>
      <c r="J234" s="136">
        <f t="shared" si="92"/>
        <v>0</v>
      </c>
      <c r="K234" s="137"/>
      <c r="L234" s="138">
        <f t="shared" si="93"/>
        <v>0</v>
      </c>
      <c r="M234" s="137"/>
      <c r="N234" s="139">
        <f t="shared" si="94"/>
        <v>8.8557600000000001</v>
      </c>
      <c r="O234" s="137"/>
      <c r="P234" s="140">
        <f t="shared" si="95"/>
        <v>3.1808999999999994</v>
      </c>
      <c r="Q234" s="135"/>
      <c r="R234" s="104">
        <f t="shared" si="96"/>
        <v>3.8678400000000006</v>
      </c>
      <c r="S234" s="137"/>
      <c r="T234" s="141">
        <f t="shared" si="97"/>
        <v>12.036659999999999</v>
      </c>
      <c r="U234" s="199">
        <f t="shared" si="98"/>
        <v>0</v>
      </c>
      <c r="V234" s="37" t="str">
        <f t="shared" si="99"/>
        <v>ok</v>
      </c>
      <c r="W234" s="37" t="str">
        <f t="shared" si="100"/>
        <v>ok</v>
      </c>
    </row>
    <row r="235" spans="1:23" x14ac:dyDescent="0.25">
      <c r="A235" s="420"/>
      <c r="B235" s="178" t="s">
        <v>23</v>
      </c>
      <c r="C235" s="179">
        <v>17</v>
      </c>
      <c r="D235" s="130">
        <f>DMG_13*CMD_8</f>
        <v>1.69184</v>
      </c>
      <c r="E235" s="131">
        <f>OMG_13*CMO_8</f>
        <v>7.6065000000000005</v>
      </c>
      <c r="F235" s="132">
        <f t="shared" si="89"/>
        <v>6.0852000000000004</v>
      </c>
      <c r="G235" s="133">
        <f t="shared" si="90"/>
        <v>1.5212999999999997</v>
      </c>
      <c r="H235" s="134">
        <f t="shared" si="91"/>
        <v>1.69184</v>
      </c>
      <c r="I235" s="135"/>
      <c r="J235" s="136">
        <f t="shared" si="92"/>
        <v>0</v>
      </c>
      <c r="K235" s="137"/>
      <c r="L235" s="138">
        <f t="shared" si="93"/>
        <v>0</v>
      </c>
      <c r="M235" s="137"/>
      <c r="N235" s="139">
        <f t="shared" si="94"/>
        <v>4.3933600000000004</v>
      </c>
      <c r="O235" s="137"/>
      <c r="P235" s="140">
        <f t="shared" si="95"/>
        <v>1.5212999999999997</v>
      </c>
      <c r="Q235" s="135"/>
      <c r="R235" s="104">
        <f t="shared" si="96"/>
        <v>1.69184</v>
      </c>
      <c r="S235" s="137"/>
      <c r="T235" s="141">
        <f t="shared" si="97"/>
        <v>5.9146599999999996</v>
      </c>
      <c r="U235" s="199">
        <f t="shared" si="98"/>
        <v>0</v>
      </c>
      <c r="V235" s="37" t="str">
        <f t="shared" si="99"/>
        <v>ok</v>
      </c>
      <c r="W235" s="37" t="str">
        <f t="shared" si="100"/>
        <v>ok</v>
      </c>
    </row>
    <row r="236" spans="1:23" x14ac:dyDescent="0.25">
      <c r="A236" s="420"/>
      <c r="B236" s="178" t="s">
        <v>19</v>
      </c>
      <c r="C236" s="179">
        <v>20</v>
      </c>
      <c r="D236" s="130">
        <f>DMG_14*CMD_8</f>
        <v>1.18048</v>
      </c>
      <c r="E236" s="131">
        <f>OMG_14*CMO_8</f>
        <v>12.79275</v>
      </c>
      <c r="F236" s="132">
        <f t="shared" si="89"/>
        <v>10.234200000000001</v>
      </c>
      <c r="G236" s="133">
        <f t="shared" si="90"/>
        <v>2.5585499999999994</v>
      </c>
      <c r="H236" s="134">
        <f t="shared" si="91"/>
        <v>1.18048</v>
      </c>
      <c r="I236" s="135"/>
      <c r="J236" s="136">
        <f t="shared" si="92"/>
        <v>0</v>
      </c>
      <c r="K236" s="137"/>
      <c r="L236" s="138">
        <f t="shared" si="93"/>
        <v>0</v>
      </c>
      <c r="M236" s="137"/>
      <c r="N236" s="139">
        <f t="shared" si="94"/>
        <v>9.053720000000002</v>
      </c>
      <c r="O236" s="137"/>
      <c r="P236" s="140">
        <f t="shared" si="95"/>
        <v>2.5585499999999994</v>
      </c>
      <c r="Q236" s="135"/>
      <c r="R236" s="104">
        <f t="shared" si="96"/>
        <v>1.18048</v>
      </c>
      <c r="S236" s="137"/>
      <c r="T236" s="141">
        <f t="shared" si="97"/>
        <v>11.612270000000002</v>
      </c>
      <c r="U236" s="199">
        <f t="shared" si="98"/>
        <v>0</v>
      </c>
      <c r="V236" s="37" t="str">
        <f t="shared" si="99"/>
        <v>ok</v>
      </c>
      <c r="W236" s="37" t="str">
        <f t="shared" si="100"/>
        <v>ok</v>
      </c>
    </row>
    <row r="237" spans="1:23" x14ac:dyDescent="0.25">
      <c r="A237" s="420"/>
      <c r="B237" s="178" t="s">
        <v>20</v>
      </c>
      <c r="C237" s="179">
        <v>21</v>
      </c>
      <c r="D237" s="130">
        <f>DMG_15*CMD_8</f>
        <v>2.4480000000000004</v>
      </c>
      <c r="E237" s="131">
        <f>OMG_15*CMO_8</f>
        <v>15.213000000000001</v>
      </c>
      <c r="F237" s="132">
        <f t="shared" si="89"/>
        <v>12.170400000000001</v>
      </c>
      <c r="G237" s="133">
        <f t="shared" si="90"/>
        <v>3.0425999999999993</v>
      </c>
      <c r="H237" s="134">
        <f t="shared" si="91"/>
        <v>2.4480000000000004</v>
      </c>
      <c r="I237" s="135"/>
      <c r="J237" s="136">
        <f t="shared" si="92"/>
        <v>0</v>
      </c>
      <c r="K237" s="137"/>
      <c r="L237" s="138">
        <f t="shared" si="93"/>
        <v>0</v>
      </c>
      <c r="M237" s="137"/>
      <c r="N237" s="139">
        <f t="shared" si="94"/>
        <v>9.7224000000000004</v>
      </c>
      <c r="O237" s="137"/>
      <c r="P237" s="140">
        <f t="shared" si="95"/>
        <v>3.0425999999999993</v>
      </c>
      <c r="Q237" s="135"/>
      <c r="R237" s="104">
        <f t="shared" si="96"/>
        <v>2.4480000000000004</v>
      </c>
      <c r="S237" s="137"/>
      <c r="T237" s="141">
        <f t="shared" si="97"/>
        <v>12.765000000000001</v>
      </c>
      <c r="U237" s="199">
        <f t="shared" si="98"/>
        <v>0</v>
      </c>
      <c r="V237" s="37" t="str">
        <f t="shared" si="99"/>
        <v>ok</v>
      </c>
      <c r="W237" s="37" t="str">
        <f t="shared" si="100"/>
        <v>ok</v>
      </c>
    </row>
    <row r="238" spans="1:23" x14ac:dyDescent="0.25">
      <c r="A238" s="420"/>
      <c r="B238" s="178" t="s">
        <v>21</v>
      </c>
      <c r="C238" s="179">
        <v>22</v>
      </c>
      <c r="D238" s="130">
        <f>DMG_16*CMD_8</f>
        <v>9.8246400000000005</v>
      </c>
      <c r="E238" s="131">
        <f>OMG_16*CMO_8</f>
        <v>17.114625</v>
      </c>
      <c r="F238" s="132">
        <f t="shared" si="89"/>
        <v>13.691700000000001</v>
      </c>
      <c r="G238" s="133">
        <f t="shared" si="90"/>
        <v>3.4229249999999993</v>
      </c>
      <c r="H238" s="134">
        <f t="shared" si="91"/>
        <v>9.8246400000000005</v>
      </c>
      <c r="I238" s="135"/>
      <c r="J238" s="136">
        <f t="shared" si="92"/>
        <v>0</v>
      </c>
      <c r="K238" s="137"/>
      <c r="L238" s="138">
        <f t="shared" si="93"/>
        <v>0</v>
      </c>
      <c r="M238" s="137"/>
      <c r="N238" s="139">
        <f t="shared" si="94"/>
        <v>3.8670600000000004</v>
      </c>
      <c r="O238" s="137"/>
      <c r="P238" s="140">
        <f t="shared" si="95"/>
        <v>3.4229249999999993</v>
      </c>
      <c r="Q238" s="135"/>
      <c r="R238" s="104">
        <f t="shared" si="96"/>
        <v>9.8246400000000005</v>
      </c>
      <c r="S238" s="137"/>
      <c r="T238" s="141">
        <f t="shared" si="97"/>
        <v>7.2899849999999997</v>
      </c>
      <c r="U238" s="199">
        <f t="shared" si="98"/>
        <v>0</v>
      </c>
      <c r="V238" s="37" t="str">
        <f t="shared" si="99"/>
        <v>ok</v>
      </c>
      <c r="W238" s="37" t="str">
        <f t="shared" si="100"/>
        <v>ok</v>
      </c>
    </row>
    <row r="239" spans="1:23" x14ac:dyDescent="0.25">
      <c r="A239" s="420"/>
      <c r="B239" s="178" t="s">
        <v>22</v>
      </c>
      <c r="C239" s="179">
        <v>23</v>
      </c>
      <c r="D239" s="130">
        <f>DMG_17*CMD_8</f>
        <v>7.9968000000000004</v>
      </c>
      <c r="E239" s="131">
        <f>OMG_17*CMO_8</f>
        <v>10.84272</v>
      </c>
      <c r="F239" s="132">
        <f t="shared" si="89"/>
        <v>8.674176000000001</v>
      </c>
      <c r="G239" s="133">
        <f t="shared" si="90"/>
        <v>2.1685439999999994</v>
      </c>
      <c r="H239" s="134">
        <f t="shared" si="91"/>
        <v>7.9968000000000004</v>
      </c>
      <c r="I239" s="135"/>
      <c r="J239" s="136">
        <f t="shared" si="92"/>
        <v>0</v>
      </c>
      <c r="K239" s="137"/>
      <c r="L239" s="138">
        <f t="shared" si="93"/>
        <v>0</v>
      </c>
      <c r="M239" s="137"/>
      <c r="N239" s="139">
        <f t="shared" si="94"/>
        <v>0.67737600000000064</v>
      </c>
      <c r="O239" s="137"/>
      <c r="P239" s="140">
        <f t="shared" si="95"/>
        <v>2.1685439999999994</v>
      </c>
      <c r="Q239" s="135"/>
      <c r="R239" s="104">
        <f t="shared" si="96"/>
        <v>7.9968000000000004</v>
      </c>
      <c r="S239" s="137"/>
      <c r="T239" s="141">
        <f t="shared" si="97"/>
        <v>2.84592</v>
      </c>
      <c r="U239" s="199">
        <f t="shared" si="98"/>
        <v>0</v>
      </c>
      <c r="V239" s="37" t="str">
        <f t="shared" si="99"/>
        <v>ok</v>
      </c>
      <c r="W239" s="37" t="str">
        <f t="shared" si="100"/>
        <v>ok</v>
      </c>
    </row>
    <row r="240" spans="1:23" x14ac:dyDescent="0.25">
      <c r="A240" s="420"/>
      <c r="B240" s="178" t="s">
        <v>23</v>
      </c>
      <c r="C240" s="179">
        <v>24</v>
      </c>
      <c r="D240" s="130">
        <f>DMG_18*CMD_8</f>
        <v>4.6076800000000011</v>
      </c>
      <c r="E240" s="131">
        <f>OMG_18*CMO_8</f>
        <v>5.1378449999999996</v>
      </c>
      <c r="F240" s="132">
        <f t="shared" si="89"/>
        <v>4.1102759999999998</v>
      </c>
      <c r="G240" s="133">
        <f t="shared" si="90"/>
        <v>1.0275689999999997</v>
      </c>
      <c r="H240" s="134">
        <f t="shared" si="91"/>
        <v>4.6076800000000011</v>
      </c>
      <c r="I240" s="135"/>
      <c r="J240" s="136">
        <f t="shared" si="92"/>
        <v>0</v>
      </c>
      <c r="K240" s="137"/>
      <c r="L240" s="138">
        <f t="shared" si="93"/>
        <v>0.49740400000000129</v>
      </c>
      <c r="M240" s="137"/>
      <c r="N240" s="139">
        <f t="shared" si="94"/>
        <v>0</v>
      </c>
      <c r="O240" s="137"/>
      <c r="P240" s="140">
        <f t="shared" si="95"/>
        <v>0.53016499999999844</v>
      </c>
      <c r="Q240" s="135"/>
      <c r="R240" s="104">
        <f t="shared" si="96"/>
        <v>4.1102759999999998</v>
      </c>
      <c r="S240" s="137"/>
      <c r="T240" s="141">
        <f t="shared" si="97"/>
        <v>1.0275689999999997</v>
      </c>
      <c r="U240" s="199">
        <f t="shared" si="98"/>
        <v>0.49740400000000129</v>
      </c>
      <c r="V240" s="37" t="str">
        <f t="shared" si="99"/>
        <v>ok</v>
      </c>
      <c r="W240" s="37" t="str">
        <f t="shared" si="100"/>
        <v>ok</v>
      </c>
    </row>
    <row r="241" spans="1:23" x14ac:dyDescent="0.25">
      <c r="A241" s="420"/>
      <c r="B241" s="178" t="s">
        <v>19</v>
      </c>
      <c r="C241" s="179">
        <v>27</v>
      </c>
      <c r="D241" s="130">
        <f>DMG_19*CMD_8</f>
        <v>3.77264</v>
      </c>
      <c r="E241" s="131">
        <f>OMG_19*CMO_8</f>
        <v>6.8458500000000004</v>
      </c>
      <c r="F241" s="132">
        <f t="shared" si="89"/>
        <v>5.4766800000000009</v>
      </c>
      <c r="G241" s="133">
        <f t="shared" si="90"/>
        <v>1.3691699999999998</v>
      </c>
      <c r="H241" s="134">
        <f t="shared" si="91"/>
        <v>3.77264</v>
      </c>
      <c r="I241" s="135"/>
      <c r="J241" s="136">
        <f t="shared" si="92"/>
        <v>0</v>
      </c>
      <c r="K241" s="137"/>
      <c r="L241" s="138">
        <f t="shared" si="93"/>
        <v>0</v>
      </c>
      <c r="M241" s="137"/>
      <c r="N241" s="139">
        <f t="shared" si="94"/>
        <v>1.7040400000000009</v>
      </c>
      <c r="O241" s="137"/>
      <c r="P241" s="140">
        <f t="shared" si="95"/>
        <v>1.3691699999999998</v>
      </c>
      <c r="Q241" s="135"/>
      <c r="R241" s="104">
        <f t="shared" si="96"/>
        <v>3.77264</v>
      </c>
      <c r="S241" s="137"/>
      <c r="T241" s="141">
        <f t="shared" si="97"/>
        <v>3.0732100000000004</v>
      </c>
      <c r="U241" s="199">
        <f t="shared" si="98"/>
        <v>0</v>
      </c>
      <c r="V241" s="37" t="str">
        <f t="shared" si="99"/>
        <v>ok</v>
      </c>
      <c r="W241" s="37" t="str">
        <f t="shared" si="100"/>
        <v>ok</v>
      </c>
    </row>
    <row r="242" spans="1:23" x14ac:dyDescent="0.25">
      <c r="A242" s="420"/>
      <c r="B242" s="178" t="s">
        <v>20</v>
      </c>
      <c r="C242" s="179">
        <v>28</v>
      </c>
      <c r="D242" s="130">
        <f>DMG_20*CMD_8</f>
        <v>7.0856000000000003</v>
      </c>
      <c r="E242" s="131">
        <f>OMG_20*CMO_8</f>
        <v>10.84272</v>
      </c>
      <c r="F242" s="132">
        <f t="shared" si="89"/>
        <v>8.674176000000001</v>
      </c>
      <c r="G242" s="133">
        <f t="shared" si="90"/>
        <v>2.1685439999999994</v>
      </c>
      <c r="H242" s="134">
        <f t="shared" si="91"/>
        <v>7.0856000000000003</v>
      </c>
      <c r="I242" s="135"/>
      <c r="J242" s="136">
        <f t="shared" si="92"/>
        <v>0</v>
      </c>
      <c r="K242" s="137"/>
      <c r="L242" s="138">
        <f t="shared" si="93"/>
        <v>0</v>
      </c>
      <c r="M242" s="137"/>
      <c r="N242" s="139">
        <f t="shared" si="94"/>
        <v>1.5885760000000007</v>
      </c>
      <c r="O242" s="137"/>
      <c r="P242" s="140">
        <f t="shared" si="95"/>
        <v>2.1685439999999994</v>
      </c>
      <c r="Q242" s="135"/>
      <c r="R242" s="104">
        <f t="shared" si="96"/>
        <v>7.0856000000000003</v>
      </c>
      <c r="S242" s="137"/>
      <c r="T242" s="141">
        <f t="shared" si="97"/>
        <v>3.75712</v>
      </c>
      <c r="U242" s="199">
        <f t="shared" si="98"/>
        <v>0</v>
      </c>
      <c r="V242" s="37" t="str">
        <f t="shared" si="99"/>
        <v>ok</v>
      </c>
      <c r="W242" s="37" t="str">
        <f t="shared" si="100"/>
        <v>ok</v>
      </c>
    </row>
    <row r="243" spans="1:23" x14ac:dyDescent="0.25">
      <c r="A243" s="420"/>
      <c r="B243" s="178" t="s">
        <v>21</v>
      </c>
      <c r="C243" s="179">
        <v>29</v>
      </c>
      <c r="D243" s="130">
        <f>DMG_21*CMD_8</f>
        <v>11.788480000000002</v>
      </c>
      <c r="E243" s="131">
        <f>OMG_21*CMO_8</f>
        <v>20.745000000000001</v>
      </c>
      <c r="F243" s="132">
        <f t="shared" si="89"/>
        <v>16.596</v>
      </c>
      <c r="G243" s="133">
        <f t="shared" si="90"/>
        <v>4.1489999999999991</v>
      </c>
      <c r="H243" s="134">
        <f t="shared" si="91"/>
        <v>11.788480000000002</v>
      </c>
      <c r="I243" s="135"/>
      <c r="J243" s="136">
        <f t="shared" si="92"/>
        <v>0</v>
      </c>
      <c r="K243" s="137"/>
      <c r="L243" s="138">
        <f t="shared" si="93"/>
        <v>0</v>
      </c>
      <c r="M243" s="137"/>
      <c r="N243" s="139">
        <f t="shared" si="94"/>
        <v>4.8075199999999985</v>
      </c>
      <c r="O243" s="137"/>
      <c r="P243" s="140">
        <f t="shared" si="95"/>
        <v>4.1489999999999991</v>
      </c>
      <c r="Q243" s="135"/>
      <c r="R243" s="104">
        <f t="shared" si="96"/>
        <v>11.788480000000002</v>
      </c>
      <c r="S243" s="137"/>
      <c r="T243" s="141">
        <f t="shared" si="97"/>
        <v>8.9565199999999976</v>
      </c>
      <c r="U243" s="199">
        <f t="shared" si="98"/>
        <v>0</v>
      </c>
      <c r="V243" s="37" t="str">
        <f t="shared" si="99"/>
        <v>ok</v>
      </c>
      <c r="W243" s="37" t="str">
        <f t="shared" si="100"/>
        <v>ok</v>
      </c>
    </row>
    <row r="244" spans="1:23" x14ac:dyDescent="0.25">
      <c r="A244" s="420"/>
      <c r="B244" s="178" t="s">
        <v>22</v>
      </c>
      <c r="C244" s="179">
        <v>30</v>
      </c>
      <c r="D244" s="130">
        <f>DMG_22*CMD_8</f>
        <v>9.5635200000000005</v>
      </c>
      <c r="E244" s="131">
        <f>OMG_22*CMO_8</f>
        <v>14.5215</v>
      </c>
      <c r="F244" s="132">
        <f t="shared" si="89"/>
        <v>11.6172</v>
      </c>
      <c r="G244" s="133">
        <f t="shared" si="90"/>
        <v>2.9042999999999992</v>
      </c>
      <c r="H244" s="134">
        <f t="shared" si="91"/>
        <v>9.5635200000000005</v>
      </c>
      <c r="I244" s="135"/>
      <c r="J244" s="136">
        <f t="shared" si="92"/>
        <v>0</v>
      </c>
      <c r="K244" s="137"/>
      <c r="L244" s="138">
        <f t="shared" si="93"/>
        <v>0</v>
      </c>
      <c r="M244" s="137"/>
      <c r="N244" s="139">
        <f t="shared" si="94"/>
        <v>2.0536799999999999</v>
      </c>
      <c r="O244" s="137"/>
      <c r="P244" s="140">
        <f t="shared" si="95"/>
        <v>2.9042999999999992</v>
      </c>
      <c r="Q244" s="135"/>
      <c r="R244" s="104">
        <f t="shared" si="96"/>
        <v>9.5635200000000005</v>
      </c>
      <c r="S244" s="137"/>
      <c r="T244" s="141">
        <f t="shared" si="97"/>
        <v>4.9579799999999992</v>
      </c>
      <c r="U244" s="199">
        <f t="shared" si="98"/>
        <v>0</v>
      </c>
      <c r="V244" s="37" t="str">
        <f t="shared" si="99"/>
        <v>ok</v>
      </c>
      <c r="W244" s="37" t="str">
        <f t="shared" si="100"/>
        <v>ok</v>
      </c>
    </row>
    <row r="245" spans="1:23" ht="15.75" thickBot="1" x14ac:dyDescent="0.3">
      <c r="A245" s="421"/>
      <c r="B245" s="180" t="s">
        <v>23</v>
      </c>
      <c r="C245" s="181">
        <v>31</v>
      </c>
      <c r="D245" s="202">
        <f>DMG_23*CMD_8</f>
        <v>5.5297599999999996</v>
      </c>
      <c r="E245" s="203">
        <f>OMG_23*CMO_8</f>
        <v>6.915</v>
      </c>
      <c r="F245" s="204">
        <f t="shared" si="89"/>
        <v>5.532</v>
      </c>
      <c r="G245" s="205">
        <f t="shared" si="90"/>
        <v>1.3829999999999998</v>
      </c>
      <c r="H245" s="206">
        <f t="shared" si="91"/>
        <v>5.5297599999999996</v>
      </c>
      <c r="I245" s="207"/>
      <c r="J245" s="208">
        <f t="shared" si="92"/>
        <v>0</v>
      </c>
      <c r="K245" s="209"/>
      <c r="L245" s="210">
        <f t="shared" si="93"/>
        <v>0</v>
      </c>
      <c r="M245" s="209"/>
      <c r="N245" s="211">
        <f t="shared" si="94"/>
        <v>2.2400000000004638E-3</v>
      </c>
      <c r="O245" s="209"/>
      <c r="P245" s="212">
        <f t="shared" si="95"/>
        <v>1.3829999999999998</v>
      </c>
      <c r="Q245" s="207"/>
      <c r="R245" s="213">
        <f t="shared" si="96"/>
        <v>5.5297599999999996</v>
      </c>
      <c r="S245" s="209"/>
      <c r="T245" s="214">
        <f t="shared" si="97"/>
        <v>1.3852400000000002</v>
      </c>
      <c r="U245" s="215">
        <f t="shared" si="98"/>
        <v>0</v>
      </c>
      <c r="V245" s="37" t="str">
        <f t="shared" si="99"/>
        <v>ok</v>
      </c>
      <c r="W245" s="37" t="str">
        <f t="shared" si="100"/>
        <v>ok</v>
      </c>
    </row>
    <row r="246" spans="1:23" x14ac:dyDescent="0.25">
      <c r="A246" s="419" t="s">
        <v>97</v>
      </c>
      <c r="B246" s="176" t="s">
        <v>19</v>
      </c>
      <c r="C246" s="241">
        <v>3</v>
      </c>
      <c r="D246" s="238">
        <f>DMG_1*CMD_9</f>
        <v>11.182925000000001</v>
      </c>
      <c r="E246" s="185">
        <f>OMG_1*CMO_9</f>
        <v>25.135499999999997</v>
      </c>
      <c r="F246" s="186">
        <f t="shared" si="89"/>
        <v>20.1084</v>
      </c>
      <c r="G246" s="187">
        <f t="shared" si="90"/>
        <v>5.0270999999999981</v>
      </c>
      <c r="H246" s="188">
        <f>IF(E246&gt;D246,D246,E246)</f>
        <v>11.182925000000001</v>
      </c>
      <c r="I246" s="189"/>
      <c r="J246" s="190">
        <f>IF(E246&gt;D246,0,D246-E246)</f>
        <v>0</v>
      </c>
      <c r="K246" s="191"/>
      <c r="L246" s="192">
        <f>IF(E246&gt;D246,IF(F246&gt;H246,0,H246-F246),G246)</f>
        <v>0</v>
      </c>
      <c r="M246" s="191"/>
      <c r="N246" s="193">
        <f>IF(E246&gt;D246,IF(F246&gt;H246,F246-H246,0),0)</f>
        <v>8.9254749999999987</v>
      </c>
      <c r="O246" s="191"/>
      <c r="P246" s="194">
        <f>IF(E246&gt;D246,IF(F246&gt;H246,G246,E246-H246),0)</f>
        <v>5.0270999999999981</v>
      </c>
      <c r="Q246" s="189"/>
      <c r="R246" s="195">
        <f>H246-L246</f>
        <v>11.182925000000001</v>
      </c>
      <c r="S246" s="191"/>
      <c r="T246" s="196">
        <f>L246+N246+P246</f>
        <v>13.952574999999996</v>
      </c>
      <c r="U246" s="197">
        <f>J246+L246</f>
        <v>0</v>
      </c>
      <c r="V246" s="37" t="str">
        <f>IF(R246+T246=E246,"ok","bad")</f>
        <v>ok</v>
      </c>
      <c r="W246" s="37" t="str">
        <f>IF(U246+R246=D246,"ok","bad")</f>
        <v>ok</v>
      </c>
    </row>
    <row r="247" spans="1:23" x14ac:dyDescent="0.25">
      <c r="A247" s="420"/>
      <c r="B247" s="178" t="s">
        <v>20</v>
      </c>
      <c r="C247" s="129">
        <v>4</v>
      </c>
      <c r="D247" s="239">
        <f>DMG_2*CMD_9</f>
        <v>8.7808500000000009</v>
      </c>
      <c r="E247" s="131">
        <f>OMG_2*CMO_9</f>
        <v>18.432700000000001</v>
      </c>
      <c r="F247" s="132">
        <f t="shared" si="89"/>
        <v>14.746160000000001</v>
      </c>
      <c r="G247" s="133">
        <f t="shared" si="90"/>
        <v>3.6865399999999995</v>
      </c>
      <c r="H247" s="134">
        <f t="shared" ref="H247:H265" si="101">IF(E247&gt;D247,D247,E247)</f>
        <v>8.7808500000000009</v>
      </c>
      <c r="I247" s="135"/>
      <c r="J247" s="136">
        <f t="shared" ref="J247:J265" si="102">IF(E247&gt;D247,0,D247-E247)</f>
        <v>0</v>
      </c>
      <c r="K247" s="137"/>
      <c r="L247" s="138">
        <f t="shared" ref="L247:L265" si="103">IF(E247&gt;D247,IF(F247&gt;H247,0,H247-F247),G247)</f>
        <v>0</v>
      </c>
      <c r="M247" s="137"/>
      <c r="N247" s="139">
        <f t="shared" ref="N247:N265" si="104">IF(E247&gt;D247,IF(F247&gt;H247,F247-H247,0),0)</f>
        <v>5.9653100000000006</v>
      </c>
      <c r="O247" s="137"/>
      <c r="P247" s="140">
        <f t="shared" ref="P247:P265" si="105">IF(E247&gt;D247,IF(F247&gt;H247,G247,E247-H247),0)</f>
        <v>3.6865399999999995</v>
      </c>
      <c r="Q247" s="135"/>
      <c r="R247" s="104">
        <f t="shared" ref="R247:R265" si="106">H247-L247</f>
        <v>8.7808500000000009</v>
      </c>
      <c r="S247" s="137"/>
      <c r="T247" s="141">
        <f t="shared" ref="T247:T265" si="107">L247+N247+P247</f>
        <v>9.6518499999999996</v>
      </c>
      <c r="U247" s="199">
        <f t="shared" ref="U247:U265" si="108">J247+L247</f>
        <v>0</v>
      </c>
      <c r="V247" s="37" t="str">
        <f t="shared" ref="V247:V265" si="109">IF(R247+T247=E247,"ok","bad")</f>
        <v>ok</v>
      </c>
      <c r="W247" s="37" t="str">
        <f t="shared" ref="W247:W265" si="110">IF(U247+R247=D247,"ok","bad")</f>
        <v>ok</v>
      </c>
    </row>
    <row r="248" spans="1:23" x14ac:dyDescent="0.25">
      <c r="A248" s="420"/>
      <c r="B248" s="178" t="s">
        <v>21</v>
      </c>
      <c r="C248" s="129">
        <v>5</v>
      </c>
      <c r="D248" s="239">
        <f>DMG_3*CMD_9</f>
        <v>3.8408500000000001</v>
      </c>
      <c r="E248" s="131">
        <f>OMG_3*CMO_9</f>
        <v>7.5406499999999994</v>
      </c>
      <c r="F248" s="132">
        <f t="shared" si="89"/>
        <v>6.0325199999999999</v>
      </c>
      <c r="G248" s="133">
        <f t="shared" si="90"/>
        <v>1.5081299999999995</v>
      </c>
      <c r="H248" s="134">
        <f t="shared" si="101"/>
        <v>3.8408500000000001</v>
      </c>
      <c r="I248" s="135"/>
      <c r="J248" s="136">
        <f t="shared" si="102"/>
        <v>0</v>
      </c>
      <c r="K248" s="137"/>
      <c r="L248" s="138">
        <f t="shared" si="103"/>
        <v>0</v>
      </c>
      <c r="M248" s="137"/>
      <c r="N248" s="139">
        <f t="shared" si="104"/>
        <v>2.1916699999999998</v>
      </c>
      <c r="O248" s="137"/>
      <c r="P248" s="140">
        <f t="shared" si="105"/>
        <v>1.5081299999999995</v>
      </c>
      <c r="Q248" s="135"/>
      <c r="R248" s="104">
        <f t="shared" si="106"/>
        <v>3.8408500000000001</v>
      </c>
      <c r="S248" s="137"/>
      <c r="T248" s="141">
        <f t="shared" si="107"/>
        <v>3.6997999999999993</v>
      </c>
      <c r="U248" s="199">
        <f t="shared" si="108"/>
        <v>0</v>
      </c>
      <c r="V248" s="37" t="str">
        <f t="shared" si="109"/>
        <v>ok</v>
      </c>
      <c r="W248" s="37" t="str">
        <f t="shared" si="110"/>
        <v>ok</v>
      </c>
    </row>
    <row r="249" spans="1:23" x14ac:dyDescent="0.25">
      <c r="A249" s="420"/>
      <c r="B249" s="178" t="s">
        <v>22</v>
      </c>
      <c r="C249" s="129">
        <v>6</v>
      </c>
      <c r="D249" s="239">
        <f>DMG_4*CMD_9</f>
        <v>2.6799500000000003</v>
      </c>
      <c r="E249" s="131">
        <f>OMG_4*CMO_9</f>
        <v>11.310974999999999</v>
      </c>
      <c r="F249" s="132">
        <f t="shared" si="89"/>
        <v>9.0487799999999989</v>
      </c>
      <c r="G249" s="133">
        <f t="shared" si="90"/>
        <v>2.2621949999999993</v>
      </c>
      <c r="H249" s="134">
        <f t="shared" si="101"/>
        <v>2.6799500000000003</v>
      </c>
      <c r="I249" s="135"/>
      <c r="J249" s="136">
        <f t="shared" si="102"/>
        <v>0</v>
      </c>
      <c r="K249" s="137"/>
      <c r="L249" s="138">
        <f t="shared" si="103"/>
        <v>0</v>
      </c>
      <c r="M249" s="137"/>
      <c r="N249" s="139">
        <f t="shared" si="104"/>
        <v>6.3688299999999991</v>
      </c>
      <c r="O249" s="137"/>
      <c r="P249" s="140">
        <f t="shared" si="105"/>
        <v>2.2621949999999993</v>
      </c>
      <c r="Q249" s="135"/>
      <c r="R249" s="104">
        <f t="shared" si="106"/>
        <v>2.6799500000000003</v>
      </c>
      <c r="S249" s="137"/>
      <c r="T249" s="141">
        <f t="shared" si="107"/>
        <v>8.6310249999999975</v>
      </c>
      <c r="U249" s="199">
        <f t="shared" si="108"/>
        <v>0</v>
      </c>
      <c r="V249" s="37" t="str">
        <f t="shared" si="109"/>
        <v>ok</v>
      </c>
      <c r="W249" s="37" t="str">
        <f t="shared" si="110"/>
        <v>ok</v>
      </c>
    </row>
    <row r="250" spans="1:23" x14ac:dyDescent="0.25">
      <c r="A250" s="420"/>
      <c r="B250" s="178" t="s">
        <v>23</v>
      </c>
      <c r="C250" s="129">
        <v>7</v>
      </c>
      <c r="D250" s="239">
        <f>DMG_5*CMD_9</f>
        <v>5.5575000000000001</v>
      </c>
      <c r="E250" s="131">
        <f>OMG_5*CMO_9</f>
        <v>18.432700000000001</v>
      </c>
      <c r="F250" s="132">
        <f t="shared" si="89"/>
        <v>14.746160000000001</v>
      </c>
      <c r="G250" s="133">
        <f t="shared" si="90"/>
        <v>3.6865399999999995</v>
      </c>
      <c r="H250" s="134">
        <f t="shared" si="101"/>
        <v>5.5575000000000001</v>
      </c>
      <c r="I250" s="135"/>
      <c r="J250" s="136">
        <f t="shared" si="102"/>
        <v>0</v>
      </c>
      <c r="K250" s="137"/>
      <c r="L250" s="138">
        <f t="shared" si="103"/>
        <v>0</v>
      </c>
      <c r="M250" s="137"/>
      <c r="N250" s="139">
        <f t="shared" si="104"/>
        <v>9.1886600000000023</v>
      </c>
      <c r="O250" s="137"/>
      <c r="P250" s="140">
        <f t="shared" si="105"/>
        <v>3.6865399999999995</v>
      </c>
      <c r="Q250" s="135"/>
      <c r="R250" s="104">
        <f t="shared" si="106"/>
        <v>5.5575000000000001</v>
      </c>
      <c r="S250" s="137"/>
      <c r="T250" s="141">
        <f t="shared" si="107"/>
        <v>12.875200000000001</v>
      </c>
      <c r="U250" s="199">
        <f t="shared" si="108"/>
        <v>0</v>
      </c>
      <c r="V250" s="37" t="str">
        <f t="shared" si="109"/>
        <v>ok</v>
      </c>
      <c r="W250" s="37" t="str">
        <f t="shared" si="110"/>
        <v>ok</v>
      </c>
    </row>
    <row r="251" spans="1:23" x14ac:dyDescent="0.25">
      <c r="A251" s="420"/>
      <c r="B251" s="178" t="s">
        <v>19</v>
      </c>
      <c r="C251" s="129">
        <v>10</v>
      </c>
      <c r="D251" s="239">
        <f>DMG_6*CMD_9</f>
        <v>17.845749999999999</v>
      </c>
      <c r="E251" s="131">
        <f>OMG_6*CMO_9</f>
        <v>12.889999999999999</v>
      </c>
      <c r="F251" s="132">
        <f t="shared" si="89"/>
        <v>10.311999999999999</v>
      </c>
      <c r="G251" s="133">
        <f t="shared" si="90"/>
        <v>2.5779999999999994</v>
      </c>
      <c r="H251" s="134">
        <f t="shared" si="101"/>
        <v>12.889999999999999</v>
      </c>
      <c r="I251" s="135"/>
      <c r="J251" s="136">
        <f t="shared" si="102"/>
        <v>4.9557500000000001</v>
      </c>
      <c r="K251" s="137"/>
      <c r="L251" s="138">
        <f t="shared" si="103"/>
        <v>2.5779999999999994</v>
      </c>
      <c r="M251" s="137"/>
      <c r="N251" s="139">
        <f t="shared" si="104"/>
        <v>0</v>
      </c>
      <c r="O251" s="137"/>
      <c r="P251" s="140">
        <f t="shared" si="105"/>
        <v>0</v>
      </c>
      <c r="Q251" s="135"/>
      <c r="R251" s="104">
        <f t="shared" si="106"/>
        <v>10.311999999999999</v>
      </c>
      <c r="S251" s="137"/>
      <c r="T251" s="141">
        <f t="shared" si="107"/>
        <v>2.5779999999999994</v>
      </c>
      <c r="U251" s="199">
        <f t="shared" si="108"/>
        <v>7.5337499999999995</v>
      </c>
      <c r="V251" s="37" t="str">
        <f t="shared" si="109"/>
        <v>ok</v>
      </c>
      <c r="W251" s="37" t="str">
        <f t="shared" si="110"/>
        <v>ok</v>
      </c>
    </row>
    <row r="252" spans="1:23" x14ac:dyDescent="0.25">
      <c r="A252" s="420"/>
      <c r="B252" s="178" t="s">
        <v>20</v>
      </c>
      <c r="C252" s="129">
        <v>11</v>
      </c>
      <c r="D252" s="239">
        <f>DMG_7*CMD_9</f>
        <v>14.474200000000002</v>
      </c>
      <c r="E252" s="131">
        <f>OMG_7*CMO_9</f>
        <v>13.212249999999999</v>
      </c>
      <c r="F252" s="132">
        <f t="shared" si="89"/>
        <v>10.569800000000001</v>
      </c>
      <c r="G252" s="133">
        <f t="shared" si="90"/>
        <v>2.6424499999999993</v>
      </c>
      <c r="H252" s="134">
        <f t="shared" si="101"/>
        <v>13.212249999999999</v>
      </c>
      <c r="I252" s="135"/>
      <c r="J252" s="136">
        <f t="shared" si="102"/>
        <v>1.2619500000000023</v>
      </c>
      <c r="K252" s="137"/>
      <c r="L252" s="138">
        <f t="shared" si="103"/>
        <v>2.6424499999999993</v>
      </c>
      <c r="M252" s="137"/>
      <c r="N252" s="139">
        <f t="shared" si="104"/>
        <v>0</v>
      </c>
      <c r="O252" s="137"/>
      <c r="P252" s="140">
        <f t="shared" si="105"/>
        <v>0</v>
      </c>
      <c r="Q252" s="135"/>
      <c r="R252" s="104">
        <f t="shared" si="106"/>
        <v>10.569800000000001</v>
      </c>
      <c r="S252" s="137"/>
      <c r="T252" s="141">
        <f t="shared" si="107"/>
        <v>2.6424499999999993</v>
      </c>
      <c r="U252" s="199">
        <f t="shared" si="108"/>
        <v>3.9044000000000016</v>
      </c>
      <c r="V252" s="37" t="str">
        <f t="shared" si="109"/>
        <v>ok</v>
      </c>
      <c r="W252" s="37" t="str">
        <f t="shared" si="110"/>
        <v>ok</v>
      </c>
    </row>
    <row r="253" spans="1:23" x14ac:dyDescent="0.25">
      <c r="A253" s="420"/>
      <c r="B253" s="178" t="s">
        <v>21</v>
      </c>
      <c r="C253" s="129">
        <v>12</v>
      </c>
      <c r="D253" s="239">
        <f>DMG_8*CMD_9</f>
        <v>8.3671250000000015</v>
      </c>
      <c r="E253" s="131">
        <f>OMG_8*CMO_9</f>
        <v>7.0894999999999992</v>
      </c>
      <c r="F253" s="132">
        <f t="shared" si="89"/>
        <v>5.6715999999999998</v>
      </c>
      <c r="G253" s="133">
        <f t="shared" si="90"/>
        <v>1.4178999999999995</v>
      </c>
      <c r="H253" s="134">
        <f t="shared" si="101"/>
        <v>7.0894999999999992</v>
      </c>
      <c r="I253" s="135"/>
      <c r="J253" s="136">
        <f t="shared" si="102"/>
        <v>1.2776250000000022</v>
      </c>
      <c r="K253" s="137"/>
      <c r="L253" s="138">
        <f t="shared" si="103"/>
        <v>1.4178999999999995</v>
      </c>
      <c r="M253" s="137"/>
      <c r="N253" s="139">
        <f t="shared" si="104"/>
        <v>0</v>
      </c>
      <c r="O253" s="137"/>
      <c r="P253" s="140">
        <f t="shared" si="105"/>
        <v>0</v>
      </c>
      <c r="Q253" s="135"/>
      <c r="R253" s="104">
        <f t="shared" si="106"/>
        <v>5.6715999999999998</v>
      </c>
      <c r="S253" s="137"/>
      <c r="T253" s="141">
        <f t="shared" si="107"/>
        <v>1.4178999999999995</v>
      </c>
      <c r="U253" s="199">
        <f t="shared" si="108"/>
        <v>2.6955250000000017</v>
      </c>
      <c r="V253" s="37" t="str">
        <f t="shared" si="109"/>
        <v>ok</v>
      </c>
      <c r="W253" s="37" t="str">
        <f t="shared" si="110"/>
        <v>ok</v>
      </c>
    </row>
    <row r="254" spans="1:23" x14ac:dyDescent="0.25">
      <c r="A254" s="420"/>
      <c r="B254" s="178" t="s">
        <v>22</v>
      </c>
      <c r="C254" s="129">
        <v>13</v>
      </c>
      <c r="D254" s="239">
        <f>DMG_9*CMD_9</f>
        <v>6.7554500000000006</v>
      </c>
      <c r="E254" s="131">
        <f>OMG_9*CMO_9</f>
        <v>9.0229999999999997</v>
      </c>
      <c r="F254" s="132">
        <f t="shared" si="89"/>
        <v>7.2183999999999999</v>
      </c>
      <c r="G254" s="133">
        <f t="shared" si="90"/>
        <v>1.8045999999999995</v>
      </c>
      <c r="H254" s="134">
        <f t="shared" si="101"/>
        <v>6.7554500000000006</v>
      </c>
      <c r="I254" s="135"/>
      <c r="J254" s="136">
        <f t="shared" si="102"/>
        <v>0</v>
      </c>
      <c r="K254" s="137"/>
      <c r="L254" s="138">
        <f t="shared" si="103"/>
        <v>0</v>
      </c>
      <c r="M254" s="137"/>
      <c r="N254" s="139">
        <f t="shared" si="104"/>
        <v>0.46294999999999931</v>
      </c>
      <c r="O254" s="137"/>
      <c r="P254" s="140">
        <f t="shared" si="105"/>
        <v>1.8045999999999995</v>
      </c>
      <c r="Q254" s="135"/>
      <c r="R254" s="104">
        <f t="shared" si="106"/>
        <v>6.7554500000000006</v>
      </c>
      <c r="S254" s="137"/>
      <c r="T254" s="141">
        <f t="shared" si="107"/>
        <v>2.2675499999999991</v>
      </c>
      <c r="U254" s="199">
        <f t="shared" si="108"/>
        <v>0</v>
      </c>
      <c r="V254" s="37" t="str">
        <f t="shared" si="109"/>
        <v>ok</v>
      </c>
      <c r="W254" s="37" t="str">
        <f t="shared" si="110"/>
        <v>ok</v>
      </c>
    </row>
    <row r="255" spans="1:23" x14ac:dyDescent="0.25">
      <c r="A255" s="420"/>
      <c r="B255" s="178" t="s">
        <v>23</v>
      </c>
      <c r="C255" s="129">
        <v>14</v>
      </c>
      <c r="D255" s="239">
        <f>DMG_10*CMD_9</f>
        <v>12.8687</v>
      </c>
      <c r="E255" s="131">
        <f>OMG_10*CMO_9</f>
        <v>12.2455</v>
      </c>
      <c r="F255" s="132">
        <f t="shared" si="89"/>
        <v>9.7964000000000002</v>
      </c>
      <c r="G255" s="133">
        <f t="shared" si="90"/>
        <v>2.4490999999999996</v>
      </c>
      <c r="H255" s="134">
        <f t="shared" si="101"/>
        <v>12.2455</v>
      </c>
      <c r="I255" s="135"/>
      <c r="J255" s="136">
        <f t="shared" si="102"/>
        <v>0.62320000000000064</v>
      </c>
      <c r="K255" s="137"/>
      <c r="L255" s="138">
        <f t="shared" si="103"/>
        <v>2.4490999999999996</v>
      </c>
      <c r="M255" s="137"/>
      <c r="N255" s="139">
        <f t="shared" si="104"/>
        <v>0</v>
      </c>
      <c r="O255" s="137"/>
      <c r="P255" s="140">
        <f t="shared" si="105"/>
        <v>0</v>
      </c>
      <c r="Q255" s="135"/>
      <c r="R255" s="104">
        <f t="shared" si="106"/>
        <v>9.7964000000000002</v>
      </c>
      <c r="S255" s="137"/>
      <c r="T255" s="141">
        <f t="shared" si="107"/>
        <v>2.4490999999999996</v>
      </c>
      <c r="U255" s="199">
        <f t="shared" si="108"/>
        <v>3.0723000000000003</v>
      </c>
      <c r="V255" s="37" t="str">
        <f t="shared" si="109"/>
        <v>ok</v>
      </c>
      <c r="W255" s="37" t="str">
        <f t="shared" si="110"/>
        <v>ok</v>
      </c>
    </row>
    <row r="256" spans="1:23" x14ac:dyDescent="0.25">
      <c r="A256" s="420"/>
      <c r="B256" s="178" t="s">
        <v>19</v>
      </c>
      <c r="C256" s="129">
        <v>17</v>
      </c>
      <c r="D256" s="239">
        <f>DMG_11*CMD_9</f>
        <v>11.182925000000001</v>
      </c>
      <c r="E256" s="131">
        <f>OMG_11*CMO_9</f>
        <v>19.334999999999997</v>
      </c>
      <c r="F256" s="132">
        <f t="shared" si="89"/>
        <v>15.467999999999998</v>
      </c>
      <c r="G256" s="133">
        <f t="shared" si="90"/>
        <v>3.8669999999999987</v>
      </c>
      <c r="H256" s="134">
        <f t="shared" si="101"/>
        <v>11.182925000000001</v>
      </c>
      <c r="I256" s="135"/>
      <c r="J256" s="136">
        <f t="shared" si="102"/>
        <v>0</v>
      </c>
      <c r="K256" s="137"/>
      <c r="L256" s="138">
        <f t="shared" si="103"/>
        <v>0</v>
      </c>
      <c r="M256" s="137"/>
      <c r="N256" s="139">
        <f t="shared" si="104"/>
        <v>4.2850749999999973</v>
      </c>
      <c r="O256" s="137"/>
      <c r="P256" s="140">
        <f t="shared" si="105"/>
        <v>3.8669999999999987</v>
      </c>
      <c r="Q256" s="135"/>
      <c r="R256" s="104">
        <f t="shared" si="106"/>
        <v>11.182925000000001</v>
      </c>
      <c r="S256" s="137"/>
      <c r="T256" s="141">
        <f t="shared" si="107"/>
        <v>8.1520749999999964</v>
      </c>
      <c r="U256" s="199">
        <f t="shared" si="108"/>
        <v>0</v>
      </c>
      <c r="V256" s="37" t="str">
        <f t="shared" si="109"/>
        <v>ok</v>
      </c>
      <c r="W256" s="37" t="str">
        <f t="shared" si="110"/>
        <v>ok</v>
      </c>
    </row>
    <row r="257" spans="1:23" x14ac:dyDescent="0.25">
      <c r="A257" s="420"/>
      <c r="B257" s="178" t="s">
        <v>20</v>
      </c>
      <c r="C257" s="129">
        <v>18</v>
      </c>
      <c r="D257" s="239">
        <f>DMG_12*CMD_9</f>
        <v>8.7808500000000009</v>
      </c>
      <c r="E257" s="131">
        <f>OMG_12*CMO_9</f>
        <v>14.823499999999999</v>
      </c>
      <c r="F257" s="132">
        <f t="shared" si="89"/>
        <v>11.8588</v>
      </c>
      <c r="G257" s="133">
        <f t="shared" si="90"/>
        <v>2.9646999999999992</v>
      </c>
      <c r="H257" s="134">
        <f t="shared" si="101"/>
        <v>8.7808500000000009</v>
      </c>
      <c r="I257" s="135"/>
      <c r="J257" s="136">
        <f t="shared" si="102"/>
        <v>0</v>
      </c>
      <c r="K257" s="137"/>
      <c r="L257" s="138">
        <f t="shared" si="103"/>
        <v>0</v>
      </c>
      <c r="M257" s="137"/>
      <c r="N257" s="139">
        <f t="shared" si="104"/>
        <v>3.0779499999999995</v>
      </c>
      <c r="O257" s="137"/>
      <c r="P257" s="140">
        <f t="shared" si="105"/>
        <v>2.9646999999999992</v>
      </c>
      <c r="Q257" s="135"/>
      <c r="R257" s="104">
        <f t="shared" si="106"/>
        <v>8.7808500000000009</v>
      </c>
      <c r="S257" s="137"/>
      <c r="T257" s="141">
        <f t="shared" si="107"/>
        <v>6.0426499999999983</v>
      </c>
      <c r="U257" s="199">
        <f t="shared" si="108"/>
        <v>0</v>
      </c>
      <c r="V257" s="37" t="str">
        <f t="shared" si="109"/>
        <v>ok</v>
      </c>
      <c r="W257" s="37" t="str">
        <f t="shared" si="110"/>
        <v>ok</v>
      </c>
    </row>
    <row r="258" spans="1:23" x14ac:dyDescent="0.25">
      <c r="A258" s="420"/>
      <c r="B258" s="178" t="s">
        <v>21</v>
      </c>
      <c r="C258" s="129">
        <v>19</v>
      </c>
      <c r="D258" s="239">
        <f>DMG_13*CMD_9</f>
        <v>3.8408500000000001</v>
      </c>
      <c r="E258" s="131">
        <f>OMG_13*CMO_9</f>
        <v>7.0894999999999992</v>
      </c>
      <c r="F258" s="132">
        <f t="shared" si="89"/>
        <v>5.6715999999999998</v>
      </c>
      <c r="G258" s="133">
        <f t="shared" si="90"/>
        <v>1.4178999999999995</v>
      </c>
      <c r="H258" s="134">
        <f t="shared" si="101"/>
        <v>3.8408500000000001</v>
      </c>
      <c r="I258" s="135"/>
      <c r="J258" s="136">
        <f t="shared" si="102"/>
        <v>0</v>
      </c>
      <c r="K258" s="137"/>
      <c r="L258" s="138">
        <f t="shared" si="103"/>
        <v>0</v>
      </c>
      <c r="M258" s="137"/>
      <c r="N258" s="139">
        <f t="shared" si="104"/>
        <v>1.8307499999999997</v>
      </c>
      <c r="O258" s="137"/>
      <c r="P258" s="140">
        <f t="shared" si="105"/>
        <v>1.4178999999999995</v>
      </c>
      <c r="Q258" s="135"/>
      <c r="R258" s="104">
        <f t="shared" si="106"/>
        <v>3.8408500000000001</v>
      </c>
      <c r="S258" s="137"/>
      <c r="T258" s="141">
        <f t="shared" si="107"/>
        <v>3.2486499999999991</v>
      </c>
      <c r="U258" s="199">
        <f t="shared" si="108"/>
        <v>0</v>
      </c>
      <c r="V258" s="37" t="str">
        <f t="shared" si="109"/>
        <v>ok</v>
      </c>
      <c r="W258" s="37" t="str">
        <f t="shared" si="110"/>
        <v>ok</v>
      </c>
    </row>
    <row r="259" spans="1:23" x14ac:dyDescent="0.25">
      <c r="A259" s="420"/>
      <c r="B259" s="178" t="s">
        <v>22</v>
      </c>
      <c r="C259" s="129">
        <v>20</v>
      </c>
      <c r="D259" s="239">
        <f>DMG_14*CMD_9</f>
        <v>2.6799500000000003</v>
      </c>
      <c r="E259" s="131">
        <f>OMG_14*CMO_9</f>
        <v>11.923249999999999</v>
      </c>
      <c r="F259" s="132">
        <f t="shared" si="89"/>
        <v>9.5386000000000006</v>
      </c>
      <c r="G259" s="133">
        <f t="shared" si="90"/>
        <v>2.3846499999999993</v>
      </c>
      <c r="H259" s="134">
        <f t="shared" si="101"/>
        <v>2.6799500000000003</v>
      </c>
      <c r="I259" s="135"/>
      <c r="J259" s="136">
        <f t="shared" si="102"/>
        <v>0</v>
      </c>
      <c r="K259" s="137"/>
      <c r="L259" s="138">
        <f t="shared" si="103"/>
        <v>0</v>
      </c>
      <c r="M259" s="137"/>
      <c r="N259" s="139">
        <f t="shared" si="104"/>
        <v>6.8586500000000008</v>
      </c>
      <c r="O259" s="137"/>
      <c r="P259" s="140">
        <f t="shared" si="105"/>
        <v>2.3846499999999993</v>
      </c>
      <c r="Q259" s="135"/>
      <c r="R259" s="104">
        <f t="shared" si="106"/>
        <v>2.6799500000000003</v>
      </c>
      <c r="S259" s="137"/>
      <c r="T259" s="141">
        <f t="shared" si="107"/>
        <v>9.2432999999999996</v>
      </c>
      <c r="U259" s="199">
        <f t="shared" si="108"/>
        <v>0</v>
      </c>
      <c r="V259" s="37" t="str">
        <f t="shared" si="109"/>
        <v>ok</v>
      </c>
      <c r="W259" s="37" t="str">
        <f t="shared" si="110"/>
        <v>ok</v>
      </c>
    </row>
    <row r="260" spans="1:23" x14ac:dyDescent="0.25">
      <c r="A260" s="420"/>
      <c r="B260" s="178" t="s">
        <v>23</v>
      </c>
      <c r="C260" s="129">
        <v>21</v>
      </c>
      <c r="D260" s="239">
        <f>DMG_15*CMD_9</f>
        <v>5.5575000000000001</v>
      </c>
      <c r="E260" s="131">
        <f>OMG_15*CMO_9</f>
        <v>14.178999999999998</v>
      </c>
      <c r="F260" s="132">
        <f t="shared" si="89"/>
        <v>11.3432</v>
      </c>
      <c r="G260" s="133">
        <f t="shared" si="90"/>
        <v>2.835799999999999</v>
      </c>
      <c r="H260" s="134">
        <f t="shared" si="101"/>
        <v>5.5575000000000001</v>
      </c>
      <c r="I260" s="135"/>
      <c r="J260" s="136">
        <f t="shared" si="102"/>
        <v>0</v>
      </c>
      <c r="K260" s="137"/>
      <c r="L260" s="138">
        <f t="shared" si="103"/>
        <v>0</v>
      </c>
      <c r="M260" s="137"/>
      <c r="N260" s="139">
        <f t="shared" si="104"/>
        <v>5.7856999999999994</v>
      </c>
      <c r="O260" s="137"/>
      <c r="P260" s="140">
        <f t="shared" si="105"/>
        <v>2.835799999999999</v>
      </c>
      <c r="Q260" s="135"/>
      <c r="R260" s="104">
        <f t="shared" si="106"/>
        <v>5.5575000000000001</v>
      </c>
      <c r="S260" s="137"/>
      <c r="T260" s="141">
        <f t="shared" si="107"/>
        <v>8.6214999999999975</v>
      </c>
      <c r="U260" s="199">
        <f t="shared" si="108"/>
        <v>0</v>
      </c>
      <c r="V260" s="37" t="str">
        <f t="shared" si="109"/>
        <v>ok</v>
      </c>
      <c r="W260" s="37" t="str">
        <f t="shared" si="110"/>
        <v>ok</v>
      </c>
    </row>
    <row r="261" spans="1:23" x14ac:dyDescent="0.25">
      <c r="A261" s="420"/>
      <c r="B261" s="178" t="s">
        <v>19</v>
      </c>
      <c r="C261" s="129">
        <v>24</v>
      </c>
      <c r="D261" s="239">
        <f>DMG_16*CMD_9</f>
        <v>22.304100000000002</v>
      </c>
      <c r="E261" s="131">
        <f>OMG_16*CMO_9</f>
        <v>15.951374999999999</v>
      </c>
      <c r="F261" s="132">
        <f t="shared" si="89"/>
        <v>12.761099999999999</v>
      </c>
      <c r="G261" s="133">
        <f t="shared" si="90"/>
        <v>3.1902749999999989</v>
      </c>
      <c r="H261" s="134">
        <f t="shared" si="101"/>
        <v>15.951374999999999</v>
      </c>
      <c r="I261" s="135"/>
      <c r="J261" s="136">
        <f t="shared" si="102"/>
        <v>6.3527250000000031</v>
      </c>
      <c r="K261" s="137"/>
      <c r="L261" s="138">
        <f t="shared" si="103"/>
        <v>3.1902749999999989</v>
      </c>
      <c r="M261" s="137"/>
      <c r="N261" s="139">
        <f t="shared" si="104"/>
        <v>0</v>
      </c>
      <c r="O261" s="137"/>
      <c r="P261" s="140">
        <f t="shared" si="105"/>
        <v>0</v>
      </c>
      <c r="Q261" s="135"/>
      <c r="R261" s="104">
        <f t="shared" si="106"/>
        <v>12.761099999999999</v>
      </c>
      <c r="S261" s="137"/>
      <c r="T261" s="141">
        <f t="shared" si="107"/>
        <v>3.1902749999999989</v>
      </c>
      <c r="U261" s="199">
        <f t="shared" si="108"/>
        <v>9.5430000000000028</v>
      </c>
      <c r="V261" s="37" t="str">
        <f t="shared" si="109"/>
        <v>ok</v>
      </c>
      <c r="W261" s="37" t="str">
        <f t="shared" si="110"/>
        <v>ok</v>
      </c>
    </row>
    <row r="262" spans="1:23" x14ac:dyDescent="0.25">
      <c r="A262" s="420"/>
      <c r="B262" s="178" t="s">
        <v>20</v>
      </c>
      <c r="C262" s="129">
        <v>25</v>
      </c>
      <c r="D262" s="239">
        <f>DMG_17*CMD_9</f>
        <v>18.154500000000002</v>
      </c>
      <c r="E262" s="131">
        <f>OMG_17*CMO_9</f>
        <v>10.10576</v>
      </c>
      <c r="F262" s="132">
        <f t="shared" si="89"/>
        <v>8.0846080000000011</v>
      </c>
      <c r="G262" s="133">
        <f t="shared" si="90"/>
        <v>2.0211519999999994</v>
      </c>
      <c r="H262" s="134">
        <f t="shared" si="101"/>
        <v>10.10576</v>
      </c>
      <c r="I262" s="135"/>
      <c r="J262" s="136">
        <f t="shared" si="102"/>
        <v>8.0487400000000022</v>
      </c>
      <c r="K262" s="137"/>
      <c r="L262" s="138">
        <f t="shared" si="103"/>
        <v>2.0211519999999994</v>
      </c>
      <c r="M262" s="137"/>
      <c r="N262" s="139">
        <f t="shared" si="104"/>
        <v>0</v>
      </c>
      <c r="O262" s="137"/>
      <c r="P262" s="140">
        <f t="shared" si="105"/>
        <v>0</v>
      </c>
      <c r="Q262" s="135"/>
      <c r="R262" s="104">
        <f t="shared" si="106"/>
        <v>8.0846080000000011</v>
      </c>
      <c r="S262" s="137"/>
      <c r="T262" s="141">
        <f t="shared" si="107"/>
        <v>2.0211519999999994</v>
      </c>
      <c r="U262" s="199">
        <f t="shared" si="108"/>
        <v>10.069892000000001</v>
      </c>
      <c r="V262" s="37" t="str">
        <f t="shared" si="109"/>
        <v>ok</v>
      </c>
      <c r="W262" s="37" t="str">
        <f t="shared" si="110"/>
        <v>ok</v>
      </c>
    </row>
    <row r="263" spans="1:23" x14ac:dyDescent="0.25">
      <c r="A263" s="420"/>
      <c r="B263" s="178" t="s">
        <v>21</v>
      </c>
      <c r="C263" s="129">
        <v>26</v>
      </c>
      <c r="D263" s="239">
        <f>DMG_18*CMD_9</f>
        <v>10.460450000000002</v>
      </c>
      <c r="E263" s="131">
        <f>OMG_18*CMO_9</f>
        <v>4.7886349999999993</v>
      </c>
      <c r="F263" s="132">
        <f t="shared" si="89"/>
        <v>3.8309079999999995</v>
      </c>
      <c r="G263" s="133">
        <f t="shared" si="90"/>
        <v>0.95772699999999966</v>
      </c>
      <c r="H263" s="134">
        <f t="shared" si="101"/>
        <v>4.7886349999999993</v>
      </c>
      <c r="I263" s="135"/>
      <c r="J263" s="136">
        <f t="shared" si="102"/>
        <v>5.6718150000000023</v>
      </c>
      <c r="K263" s="137"/>
      <c r="L263" s="138">
        <f t="shared" si="103"/>
        <v>0.95772699999999966</v>
      </c>
      <c r="M263" s="137"/>
      <c r="N263" s="139">
        <f t="shared" si="104"/>
        <v>0</v>
      </c>
      <c r="O263" s="137"/>
      <c r="P263" s="140">
        <f t="shared" si="105"/>
        <v>0</v>
      </c>
      <c r="Q263" s="135"/>
      <c r="R263" s="104">
        <f t="shared" si="106"/>
        <v>3.8309079999999995</v>
      </c>
      <c r="S263" s="137"/>
      <c r="T263" s="141">
        <f t="shared" si="107"/>
        <v>0.95772699999999966</v>
      </c>
      <c r="U263" s="199">
        <f t="shared" si="108"/>
        <v>6.6295420000000016</v>
      </c>
      <c r="V263" s="37" t="str">
        <f t="shared" si="109"/>
        <v>ok</v>
      </c>
      <c r="W263" s="37" t="str">
        <f t="shared" si="110"/>
        <v>ok</v>
      </c>
    </row>
    <row r="264" spans="1:23" x14ac:dyDescent="0.25">
      <c r="A264" s="420"/>
      <c r="B264" s="178" t="s">
        <v>22</v>
      </c>
      <c r="C264" s="129">
        <v>27</v>
      </c>
      <c r="D264" s="239">
        <f>DMG_19*CMD_9</f>
        <v>8.564725000000001</v>
      </c>
      <c r="E264" s="131">
        <f>OMG_19*CMO_9</f>
        <v>6.3805499999999995</v>
      </c>
      <c r="F264" s="132">
        <f t="shared" si="89"/>
        <v>5.1044400000000003</v>
      </c>
      <c r="G264" s="133">
        <f t="shared" si="90"/>
        <v>1.2761099999999996</v>
      </c>
      <c r="H264" s="134">
        <f t="shared" si="101"/>
        <v>6.3805499999999995</v>
      </c>
      <c r="I264" s="135"/>
      <c r="J264" s="136">
        <f t="shared" si="102"/>
        <v>2.1841750000000015</v>
      </c>
      <c r="K264" s="137"/>
      <c r="L264" s="138">
        <f t="shared" si="103"/>
        <v>1.2761099999999996</v>
      </c>
      <c r="M264" s="137"/>
      <c r="N264" s="139">
        <f t="shared" si="104"/>
        <v>0</v>
      </c>
      <c r="O264" s="137"/>
      <c r="P264" s="140">
        <f t="shared" si="105"/>
        <v>0</v>
      </c>
      <c r="Q264" s="135"/>
      <c r="R264" s="104">
        <f t="shared" si="106"/>
        <v>5.1044400000000003</v>
      </c>
      <c r="S264" s="137"/>
      <c r="T264" s="141">
        <f t="shared" si="107"/>
        <v>1.2761099999999996</v>
      </c>
      <c r="U264" s="199">
        <f t="shared" si="108"/>
        <v>3.4602850000000012</v>
      </c>
      <c r="V264" s="37" t="str">
        <f t="shared" si="109"/>
        <v>ok</v>
      </c>
      <c r="W264" s="37" t="str">
        <f t="shared" si="110"/>
        <v>ok</v>
      </c>
    </row>
    <row r="265" spans="1:23" ht="15.75" thickBot="1" x14ac:dyDescent="0.3">
      <c r="A265" s="421"/>
      <c r="B265" s="180" t="s">
        <v>23</v>
      </c>
      <c r="C265" s="237">
        <v>28</v>
      </c>
      <c r="D265" s="240">
        <f>DMG_20*CMD_9</f>
        <v>16.085875000000001</v>
      </c>
      <c r="E265" s="203">
        <f>OMG_20*CMO_9</f>
        <v>10.10576</v>
      </c>
      <c r="F265" s="204">
        <f t="shared" si="89"/>
        <v>8.0846080000000011</v>
      </c>
      <c r="G265" s="205">
        <f t="shared" si="90"/>
        <v>2.0211519999999994</v>
      </c>
      <c r="H265" s="206">
        <f t="shared" si="101"/>
        <v>10.10576</v>
      </c>
      <c r="I265" s="207"/>
      <c r="J265" s="208">
        <f t="shared" si="102"/>
        <v>5.9801150000000014</v>
      </c>
      <c r="K265" s="209"/>
      <c r="L265" s="210">
        <f t="shared" si="103"/>
        <v>2.0211519999999994</v>
      </c>
      <c r="M265" s="209"/>
      <c r="N265" s="211">
        <f t="shared" si="104"/>
        <v>0</v>
      </c>
      <c r="O265" s="209"/>
      <c r="P265" s="212">
        <f t="shared" si="105"/>
        <v>0</v>
      </c>
      <c r="Q265" s="207"/>
      <c r="R265" s="213">
        <f t="shared" si="106"/>
        <v>8.0846080000000011</v>
      </c>
      <c r="S265" s="209"/>
      <c r="T265" s="214">
        <f t="shared" si="107"/>
        <v>2.0211519999999994</v>
      </c>
      <c r="U265" s="215">
        <f t="shared" si="108"/>
        <v>8.0012670000000004</v>
      </c>
      <c r="V265" s="37" t="str">
        <f t="shared" si="109"/>
        <v>ok</v>
      </c>
      <c r="W265" s="37" t="str">
        <f t="shared" si="110"/>
        <v>ok</v>
      </c>
    </row>
    <row r="266" spans="1:23" x14ac:dyDescent="0.25">
      <c r="A266" s="419" t="s">
        <v>98</v>
      </c>
      <c r="B266" s="176" t="s">
        <v>19</v>
      </c>
      <c r="C266" s="177">
        <v>1</v>
      </c>
      <c r="D266" s="184">
        <f>DMG_1*CMD_10</f>
        <v>8.3758750000000006</v>
      </c>
      <c r="E266" s="185">
        <f>OMG_1*CMO_10</f>
        <v>19.987499999999997</v>
      </c>
      <c r="F266" s="186">
        <f t="shared" si="89"/>
        <v>15.989999999999998</v>
      </c>
      <c r="G266" s="187">
        <f t="shared" si="90"/>
        <v>3.9974999999999987</v>
      </c>
      <c r="H266" s="188">
        <f>IF(E266&gt;D266,D266,E266)</f>
        <v>8.3758750000000006</v>
      </c>
      <c r="I266" s="189"/>
      <c r="J266" s="190">
        <f>IF(E266&gt;D266,0,D266-E266)</f>
        <v>0</v>
      </c>
      <c r="K266" s="191"/>
      <c r="L266" s="192">
        <f>IF(E266&gt;D266,IF(F266&gt;H266,0,H266-F266),G266)</f>
        <v>0</v>
      </c>
      <c r="M266" s="191"/>
      <c r="N266" s="193">
        <f>IF(E266&gt;D266,IF(F266&gt;H266,F266-H266,0),0)</f>
        <v>7.6141249999999978</v>
      </c>
      <c r="O266" s="191"/>
      <c r="P266" s="194">
        <f>IF(E266&gt;D266,IF(F266&gt;H266,G266,E266-H266),0)</f>
        <v>3.9974999999999987</v>
      </c>
      <c r="Q266" s="189"/>
      <c r="R266" s="195">
        <f>H266-L266</f>
        <v>8.3758750000000006</v>
      </c>
      <c r="S266" s="191"/>
      <c r="T266" s="196">
        <f>L266+N266+P266</f>
        <v>11.611624999999997</v>
      </c>
      <c r="U266" s="197">
        <f>J266+L266</f>
        <v>0</v>
      </c>
      <c r="V266" s="37" t="str">
        <f>IF(R266+T266=E266,"ok","bad")</f>
        <v>ok</v>
      </c>
      <c r="W266" s="37" t="str">
        <f>IF(U266+R266=D266,"ok","bad")</f>
        <v>ok</v>
      </c>
    </row>
    <row r="267" spans="1:23" x14ac:dyDescent="0.25">
      <c r="A267" s="420"/>
      <c r="B267" s="178" t="s">
        <v>20</v>
      </c>
      <c r="C267" s="179">
        <v>2</v>
      </c>
      <c r="D267" s="130">
        <f>DMG_2*CMD_10</f>
        <v>6.5767500000000005</v>
      </c>
      <c r="E267" s="131">
        <f>OMG_2*CMO_10</f>
        <v>14.657499999999999</v>
      </c>
      <c r="F267" s="132">
        <f t="shared" si="89"/>
        <v>11.725999999999999</v>
      </c>
      <c r="G267" s="133">
        <f t="shared" si="90"/>
        <v>2.9314999999999993</v>
      </c>
      <c r="H267" s="134">
        <f t="shared" ref="H267:H288" si="111">IF(E267&gt;D267,D267,E267)</f>
        <v>6.5767500000000005</v>
      </c>
      <c r="I267" s="135"/>
      <c r="J267" s="136">
        <f t="shared" ref="J267:J288" si="112">IF(E267&gt;D267,0,D267-E267)</f>
        <v>0</v>
      </c>
      <c r="K267" s="137"/>
      <c r="L267" s="138">
        <f t="shared" ref="L267:L288" si="113">IF(E267&gt;D267,IF(F267&gt;H267,0,H267-F267),G267)</f>
        <v>0</v>
      </c>
      <c r="M267" s="137"/>
      <c r="N267" s="139">
        <f t="shared" ref="N267:N288" si="114">IF(E267&gt;D267,IF(F267&gt;H267,F267-H267,0),0)</f>
        <v>5.1492499999999986</v>
      </c>
      <c r="O267" s="137"/>
      <c r="P267" s="140">
        <f t="shared" ref="P267:P288" si="115">IF(E267&gt;D267,IF(F267&gt;H267,G267,E267-H267),0)</f>
        <v>2.9314999999999993</v>
      </c>
      <c r="Q267" s="135"/>
      <c r="R267" s="104">
        <f t="shared" ref="R267:R288" si="116">H267-L267</f>
        <v>6.5767500000000005</v>
      </c>
      <c r="S267" s="137"/>
      <c r="T267" s="141">
        <f t="shared" ref="T267:T288" si="117">L267+N267+P267</f>
        <v>8.0807499999999983</v>
      </c>
      <c r="U267" s="199">
        <f t="shared" ref="U267:U288" si="118">J267+L267</f>
        <v>0</v>
      </c>
      <c r="V267" s="37" t="str">
        <f t="shared" ref="V267:V288" si="119">IF(R267+T267=E267,"ok","bad")</f>
        <v>ok</v>
      </c>
      <c r="W267" s="37" t="str">
        <f t="shared" ref="W267:W288" si="120">IF(U267+R267=D267,"ok","bad")</f>
        <v>ok</v>
      </c>
    </row>
    <row r="268" spans="1:23" x14ac:dyDescent="0.25">
      <c r="A268" s="420"/>
      <c r="B268" s="178" t="s">
        <v>21</v>
      </c>
      <c r="C268" s="179">
        <v>3</v>
      </c>
      <c r="D268" s="130">
        <f>DMG_3*CMD_10</f>
        <v>2.8767499999999999</v>
      </c>
      <c r="E268" s="131">
        <f>OMG_3*CMO_10</f>
        <v>5.996249999999999</v>
      </c>
      <c r="F268" s="132">
        <f t="shared" si="89"/>
        <v>4.7969999999999997</v>
      </c>
      <c r="G268" s="133">
        <f t="shared" si="90"/>
        <v>1.1992499999999995</v>
      </c>
      <c r="H268" s="134">
        <f t="shared" si="111"/>
        <v>2.8767499999999999</v>
      </c>
      <c r="I268" s="135"/>
      <c r="J268" s="136">
        <f t="shared" si="112"/>
        <v>0</v>
      </c>
      <c r="K268" s="137"/>
      <c r="L268" s="138">
        <f t="shared" si="113"/>
        <v>0</v>
      </c>
      <c r="M268" s="137"/>
      <c r="N268" s="139">
        <f t="shared" si="114"/>
        <v>1.9202499999999998</v>
      </c>
      <c r="O268" s="137"/>
      <c r="P268" s="140">
        <f t="shared" si="115"/>
        <v>1.1992499999999995</v>
      </c>
      <c r="Q268" s="135"/>
      <c r="R268" s="104">
        <f t="shared" si="116"/>
        <v>2.8767499999999999</v>
      </c>
      <c r="S268" s="137"/>
      <c r="T268" s="141">
        <f t="shared" si="117"/>
        <v>3.1194999999999995</v>
      </c>
      <c r="U268" s="199">
        <f t="shared" si="118"/>
        <v>0</v>
      </c>
      <c r="V268" s="37" t="str">
        <f t="shared" si="119"/>
        <v>ok</v>
      </c>
      <c r="W268" s="37" t="str">
        <f t="shared" si="120"/>
        <v>ok</v>
      </c>
    </row>
    <row r="269" spans="1:23" x14ac:dyDescent="0.25">
      <c r="A269" s="420"/>
      <c r="B269" s="178" t="s">
        <v>22</v>
      </c>
      <c r="C269" s="179">
        <v>4</v>
      </c>
      <c r="D269" s="130">
        <f>DMG_4*CMD_10</f>
        <v>2.00725</v>
      </c>
      <c r="E269" s="131">
        <f>OMG_4*CMO_10</f>
        <v>8.9943749999999998</v>
      </c>
      <c r="F269" s="132">
        <f t="shared" si="89"/>
        <v>7.1955</v>
      </c>
      <c r="G269" s="133">
        <f t="shared" si="90"/>
        <v>1.7988749999999996</v>
      </c>
      <c r="H269" s="134">
        <f t="shared" si="111"/>
        <v>2.00725</v>
      </c>
      <c r="I269" s="135"/>
      <c r="J269" s="136">
        <f t="shared" si="112"/>
        <v>0</v>
      </c>
      <c r="K269" s="137"/>
      <c r="L269" s="138">
        <f t="shared" si="113"/>
        <v>0</v>
      </c>
      <c r="M269" s="137"/>
      <c r="N269" s="139">
        <f t="shared" si="114"/>
        <v>5.18825</v>
      </c>
      <c r="O269" s="137"/>
      <c r="P269" s="140">
        <f t="shared" si="115"/>
        <v>1.7988749999999996</v>
      </c>
      <c r="Q269" s="135"/>
      <c r="R269" s="104">
        <f t="shared" si="116"/>
        <v>2.00725</v>
      </c>
      <c r="S269" s="137"/>
      <c r="T269" s="141">
        <f t="shared" si="117"/>
        <v>6.9871249999999998</v>
      </c>
      <c r="U269" s="199">
        <f t="shared" si="118"/>
        <v>0</v>
      </c>
      <c r="V269" s="37" t="str">
        <f t="shared" si="119"/>
        <v>ok</v>
      </c>
      <c r="W269" s="37" t="str">
        <f t="shared" si="120"/>
        <v>ok</v>
      </c>
    </row>
    <row r="270" spans="1:23" x14ac:dyDescent="0.25">
      <c r="A270" s="420"/>
      <c r="B270" s="178" t="s">
        <v>23</v>
      </c>
      <c r="C270" s="179">
        <v>5</v>
      </c>
      <c r="D270" s="130">
        <f>DMG_5*CMD_10</f>
        <v>4.1625000000000005</v>
      </c>
      <c r="E270" s="131">
        <f>OMG_5*CMO_10</f>
        <v>14.657499999999999</v>
      </c>
      <c r="F270" s="132">
        <f t="shared" si="89"/>
        <v>11.725999999999999</v>
      </c>
      <c r="G270" s="133">
        <f t="shared" si="90"/>
        <v>2.9314999999999993</v>
      </c>
      <c r="H270" s="134">
        <f t="shared" si="111"/>
        <v>4.1625000000000005</v>
      </c>
      <c r="I270" s="135"/>
      <c r="J270" s="136">
        <f t="shared" si="112"/>
        <v>0</v>
      </c>
      <c r="K270" s="137"/>
      <c r="L270" s="138">
        <f t="shared" si="113"/>
        <v>0</v>
      </c>
      <c r="M270" s="137"/>
      <c r="N270" s="139">
        <f t="shared" si="114"/>
        <v>7.5634999999999986</v>
      </c>
      <c r="O270" s="137"/>
      <c r="P270" s="140">
        <f t="shared" si="115"/>
        <v>2.9314999999999993</v>
      </c>
      <c r="Q270" s="135"/>
      <c r="R270" s="104">
        <f t="shared" si="116"/>
        <v>4.1625000000000005</v>
      </c>
      <c r="S270" s="137"/>
      <c r="T270" s="141">
        <f t="shared" si="117"/>
        <v>10.494999999999997</v>
      </c>
      <c r="U270" s="199">
        <f t="shared" si="118"/>
        <v>0</v>
      </c>
      <c r="V270" s="37" t="str">
        <f t="shared" si="119"/>
        <v>ok</v>
      </c>
      <c r="W270" s="37" t="str">
        <f t="shared" si="120"/>
        <v>ok</v>
      </c>
    </row>
    <row r="271" spans="1:23" x14ac:dyDescent="0.25">
      <c r="A271" s="420"/>
      <c r="B271" s="178" t="s">
        <v>19</v>
      </c>
      <c r="C271" s="179">
        <v>8</v>
      </c>
      <c r="D271" s="130">
        <f>DMG_6*CMD_10</f>
        <v>13.366250000000001</v>
      </c>
      <c r="E271" s="131">
        <f>OMG_6*CMO_10</f>
        <v>10.25</v>
      </c>
      <c r="F271" s="132">
        <f t="shared" si="89"/>
        <v>8.2000000000000011</v>
      </c>
      <c r="G271" s="133">
        <f t="shared" si="90"/>
        <v>2.0499999999999994</v>
      </c>
      <c r="H271" s="134">
        <f t="shared" si="111"/>
        <v>10.25</v>
      </c>
      <c r="I271" s="135"/>
      <c r="J271" s="136">
        <f t="shared" si="112"/>
        <v>3.1162500000000009</v>
      </c>
      <c r="K271" s="137"/>
      <c r="L271" s="138">
        <f t="shared" si="113"/>
        <v>2.0499999999999994</v>
      </c>
      <c r="M271" s="137"/>
      <c r="N271" s="139">
        <f t="shared" si="114"/>
        <v>0</v>
      </c>
      <c r="O271" s="137"/>
      <c r="P271" s="140">
        <f t="shared" si="115"/>
        <v>0</v>
      </c>
      <c r="Q271" s="135"/>
      <c r="R271" s="104">
        <f t="shared" si="116"/>
        <v>8.2000000000000011</v>
      </c>
      <c r="S271" s="137"/>
      <c r="T271" s="141">
        <f t="shared" si="117"/>
        <v>2.0499999999999994</v>
      </c>
      <c r="U271" s="199">
        <f t="shared" si="118"/>
        <v>5.1662499999999998</v>
      </c>
      <c r="V271" s="37" t="str">
        <f t="shared" si="119"/>
        <v>ok</v>
      </c>
      <c r="W271" s="37" t="str">
        <f t="shared" si="120"/>
        <v>ok</v>
      </c>
    </row>
    <row r="272" spans="1:23" x14ac:dyDescent="0.25">
      <c r="A272" s="420"/>
      <c r="B272" s="178" t="s">
        <v>20</v>
      </c>
      <c r="C272" s="179">
        <v>9</v>
      </c>
      <c r="D272" s="130">
        <f>DMG_7*CMD_10</f>
        <v>10.841000000000001</v>
      </c>
      <c r="E272" s="131">
        <f>OMG_7*CMO_10</f>
        <v>10.50625</v>
      </c>
      <c r="F272" s="132">
        <f t="shared" si="89"/>
        <v>8.4049999999999994</v>
      </c>
      <c r="G272" s="133">
        <f t="shared" si="90"/>
        <v>2.1012499999999994</v>
      </c>
      <c r="H272" s="134">
        <f t="shared" si="111"/>
        <v>10.50625</v>
      </c>
      <c r="I272" s="135"/>
      <c r="J272" s="136">
        <f t="shared" si="112"/>
        <v>0.33475000000000144</v>
      </c>
      <c r="K272" s="137"/>
      <c r="L272" s="138">
        <f t="shared" si="113"/>
        <v>2.1012499999999994</v>
      </c>
      <c r="M272" s="137"/>
      <c r="N272" s="139">
        <f t="shared" si="114"/>
        <v>0</v>
      </c>
      <c r="O272" s="137"/>
      <c r="P272" s="140">
        <f t="shared" si="115"/>
        <v>0</v>
      </c>
      <c r="Q272" s="135"/>
      <c r="R272" s="104">
        <f t="shared" si="116"/>
        <v>8.4050000000000011</v>
      </c>
      <c r="S272" s="137"/>
      <c r="T272" s="141">
        <f t="shared" si="117"/>
        <v>2.1012499999999994</v>
      </c>
      <c r="U272" s="199">
        <f t="shared" si="118"/>
        <v>2.4360000000000008</v>
      </c>
      <c r="V272" s="37" t="str">
        <f t="shared" si="119"/>
        <v>ok</v>
      </c>
      <c r="W272" s="37" t="str">
        <f t="shared" si="120"/>
        <v>ok</v>
      </c>
    </row>
    <row r="273" spans="1:23" x14ac:dyDescent="0.25">
      <c r="A273" s="420"/>
      <c r="B273" s="178" t="s">
        <v>21</v>
      </c>
      <c r="C273" s="179">
        <v>10</v>
      </c>
      <c r="D273" s="130">
        <f>DMG_8*CMD_10</f>
        <v>6.2668750000000006</v>
      </c>
      <c r="E273" s="131">
        <f>OMG_8*CMO_10</f>
        <v>5.6374999999999993</v>
      </c>
      <c r="F273" s="132">
        <f t="shared" si="89"/>
        <v>4.51</v>
      </c>
      <c r="G273" s="133">
        <f t="shared" si="90"/>
        <v>1.1274999999999995</v>
      </c>
      <c r="H273" s="134">
        <f t="shared" si="111"/>
        <v>5.6374999999999993</v>
      </c>
      <c r="I273" s="135"/>
      <c r="J273" s="136">
        <f t="shared" si="112"/>
        <v>0.62937500000000135</v>
      </c>
      <c r="K273" s="137"/>
      <c r="L273" s="138">
        <f t="shared" si="113"/>
        <v>1.1274999999999995</v>
      </c>
      <c r="M273" s="137"/>
      <c r="N273" s="139">
        <f t="shared" si="114"/>
        <v>0</v>
      </c>
      <c r="O273" s="137"/>
      <c r="P273" s="140">
        <f t="shared" si="115"/>
        <v>0</v>
      </c>
      <c r="Q273" s="135"/>
      <c r="R273" s="104">
        <f t="shared" si="116"/>
        <v>4.51</v>
      </c>
      <c r="S273" s="137"/>
      <c r="T273" s="141">
        <f t="shared" si="117"/>
        <v>1.1274999999999995</v>
      </c>
      <c r="U273" s="199">
        <f t="shared" si="118"/>
        <v>1.7568750000000009</v>
      </c>
      <c r="V273" s="37" t="str">
        <f t="shared" si="119"/>
        <v>ok</v>
      </c>
      <c r="W273" s="37" t="str">
        <f t="shared" si="120"/>
        <v>ok</v>
      </c>
    </row>
    <row r="274" spans="1:23" x14ac:dyDescent="0.25">
      <c r="A274" s="420"/>
      <c r="B274" s="178" t="s">
        <v>22</v>
      </c>
      <c r="C274" s="179">
        <v>11</v>
      </c>
      <c r="D274" s="130">
        <f>DMG_9*CMD_10</f>
        <v>5.0597500000000002</v>
      </c>
      <c r="E274" s="131">
        <f>OMG_9*CMO_10</f>
        <v>7.1749999999999989</v>
      </c>
      <c r="F274" s="132">
        <f t="shared" si="89"/>
        <v>5.7399999999999993</v>
      </c>
      <c r="G274" s="133">
        <f t="shared" si="90"/>
        <v>1.4349999999999994</v>
      </c>
      <c r="H274" s="134">
        <f t="shared" si="111"/>
        <v>5.0597500000000002</v>
      </c>
      <c r="I274" s="135"/>
      <c r="J274" s="136">
        <f t="shared" si="112"/>
        <v>0</v>
      </c>
      <c r="K274" s="137"/>
      <c r="L274" s="138">
        <f t="shared" si="113"/>
        <v>0</v>
      </c>
      <c r="M274" s="137"/>
      <c r="N274" s="139">
        <f t="shared" si="114"/>
        <v>0.68024999999999913</v>
      </c>
      <c r="O274" s="137"/>
      <c r="P274" s="140">
        <f t="shared" si="115"/>
        <v>1.4349999999999994</v>
      </c>
      <c r="Q274" s="135"/>
      <c r="R274" s="104">
        <f t="shared" si="116"/>
        <v>5.0597500000000002</v>
      </c>
      <c r="S274" s="137"/>
      <c r="T274" s="141">
        <f t="shared" si="117"/>
        <v>2.1152499999999987</v>
      </c>
      <c r="U274" s="199">
        <f t="shared" si="118"/>
        <v>0</v>
      </c>
      <c r="V274" s="37" t="str">
        <f t="shared" si="119"/>
        <v>ok</v>
      </c>
      <c r="W274" s="37" t="str">
        <f t="shared" si="120"/>
        <v>ok</v>
      </c>
    </row>
    <row r="275" spans="1:23" x14ac:dyDescent="0.25">
      <c r="A275" s="420"/>
      <c r="B275" s="178" t="s">
        <v>23</v>
      </c>
      <c r="C275" s="179">
        <v>12</v>
      </c>
      <c r="D275" s="130">
        <f>DMG_10*CMD_10</f>
        <v>9.6385000000000005</v>
      </c>
      <c r="E275" s="131">
        <f>OMG_10*CMO_10</f>
        <v>9.7374999999999989</v>
      </c>
      <c r="F275" s="132">
        <f t="shared" si="89"/>
        <v>7.7899999999999991</v>
      </c>
      <c r="G275" s="133">
        <f t="shared" si="90"/>
        <v>1.9474999999999993</v>
      </c>
      <c r="H275" s="134">
        <f t="shared" si="111"/>
        <v>9.6385000000000005</v>
      </c>
      <c r="I275" s="135"/>
      <c r="J275" s="136">
        <f t="shared" si="112"/>
        <v>0</v>
      </c>
      <c r="K275" s="137"/>
      <c r="L275" s="138">
        <f t="shared" si="113"/>
        <v>1.8485000000000014</v>
      </c>
      <c r="M275" s="137"/>
      <c r="N275" s="139">
        <f t="shared" si="114"/>
        <v>0</v>
      </c>
      <c r="O275" s="137"/>
      <c r="P275" s="140">
        <f t="shared" si="115"/>
        <v>9.8999999999998423E-2</v>
      </c>
      <c r="Q275" s="135"/>
      <c r="R275" s="104">
        <f t="shared" si="116"/>
        <v>7.7899999999999991</v>
      </c>
      <c r="S275" s="137"/>
      <c r="T275" s="141">
        <f t="shared" si="117"/>
        <v>1.9474999999999998</v>
      </c>
      <c r="U275" s="199">
        <f t="shared" si="118"/>
        <v>1.8485000000000014</v>
      </c>
      <c r="V275" s="37" t="str">
        <f t="shared" si="119"/>
        <v>ok</v>
      </c>
      <c r="W275" s="37" t="str">
        <f t="shared" si="120"/>
        <v>ok</v>
      </c>
    </row>
    <row r="276" spans="1:23" x14ac:dyDescent="0.25">
      <c r="A276" s="420"/>
      <c r="B276" s="178" t="s">
        <v>19</v>
      </c>
      <c r="C276" s="179">
        <v>15</v>
      </c>
      <c r="D276" s="130">
        <f>DMG_11*CMD_10</f>
        <v>8.3758750000000006</v>
      </c>
      <c r="E276" s="131">
        <f>OMG_11*CMO_10</f>
        <v>15.374999999999998</v>
      </c>
      <c r="F276" s="132">
        <f t="shared" si="89"/>
        <v>12.299999999999999</v>
      </c>
      <c r="G276" s="133">
        <f t="shared" si="90"/>
        <v>3.0749999999999988</v>
      </c>
      <c r="H276" s="134">
        <f t="shared" si="111"/>
        <v>8.3758750000000006</v>
      </c>
      <c r="I276" s="135"/>
      <c r="J276" s="136">
        <f t="shared" si="112"/>
        <v>0</v>
      </c>
      <c r="K276" s="137"/>
      <c r="L276" s="138">
        <f t="shared" si="113"/>
        <v>0</v>
      </c>
      <c r="M276" s="137"/>
      <c r="N276" s="139">
        <f t="shared" si="114"/>
        <v>3.9241249999999983</v>
      </c>
      <c r="O276" s="137"/>
      <c r="P276" s="140">
        <f t="shared" si="115"/>
        <v>3.0749999999999988</v>
      </c>
      <c r="Q276" s="135"/>
      <c r="R276" s="104">
        <f t="shared" si="116"/>
        <v>8.3758750000000006</v>
      </c>
      <c r="S276" s="137"/>
      <c r="T276" s="141">
        <f t="shared" si="117"/>
        <v>6.9991249999999976</v>
      </c>
      <c r="U276" s="199">
        <f t="shared" si="118"/>
        <v>0</v>
      </c>
      <c r="V276" s="37" t="str">
        <f t="shared" si="119"/>
        <v>ok</v>
      </c>
      <c r="W276" s="37" t="str">
        <f t="shared" si="120"/>
        <v>ok</v>
      </c>
    </row>
    <row r="277" spans="1:23" x14ac:dyDescent="0.25">
      <c r="A277" s="420"/>
      <c r="B277" s="178" t="s">
        <v>20</v>
      </c>
      <c r="C277" s="179">
        <v>16</v>
      </c>
      <c r="D277" s="130">
        <f>DMG_12*CMD_10</f>
        <v>6.5767500000000005</v>
      </c>
      <c r="E277" s="131">
        <f>OMG_12*CMO_10</f>
        <v>11.7875</v>
      </c>
      <c r="F277" s="132">
        <f t="shared" si="89"/>
        <v>9.43</v>
      </c>
      <c r="G277" s="133">
        <f t="shared" si="90"/>
        <v>2.3574999999999995</v>
      </c>
      <c r="H277" s="134">
        <f t="shared" si="111"/>
        <v>6.5767500000000005</v>
      </c>
      <c r="I277" s="135"/>
      <c r="J277" s="136">
        <f t="shared" si="112"/>
        <v>0</v>
      </c>
      <c r="K277" s="137"/>
      <c r="L277" s="138">
        <f t="shared" si="113"/>
        <v>0</v>
      </c>
      <c r="M277" s="137"/>
      <c r="N277" s="139">
        <f t="shared" si="114"/>
        <v>2.8532499999999992</v>
      </c>
      <c r="O277" s="137"/>
      <c r="P277" s="140">
        <f t="shared" si="115"/>
        <v>2.3574999999999995</v>
      </c>
      <c r="Q277" s="135"/>
      <c r="R277" s="104">
        <f t="shared" si="116"/>
        <v>6.5767500000000005</v>
      </c>
      <c r="S277" s="137"/>
      <c r="T277" s="141">
        <f t="shared" si="117"/>
        <v>5.2107499999999991</v>
      </c>
      <c r="U277" s="199">
        <f t="shared" si="118"/>
        <v>0</v>
      </c>
      <c r="V277" s="37" t="str">
        <f t="shared" si="119"/>
        <v>ok</v>
      </c>
      <c r="W277" s="37" t="str">
        <f t="shared" si="120"/>
        <v>ok</v>
      </c>
    </row>
    <row r="278" spans="1:23" x14ac:dyDescent="0.25">
      <c r="A278" s="420"/>
      <c r="B278" s="178" t="s">
        <v>21</v>
      </c>
      <c r="C278" s="179">
        <v>17</v>
      </c>
      <c r="D278" s="130">
        <f>DMG_13*CMD_10</f>
        <v>2.8767499999999999</v>
      </c>
      <c r="E278" s="131">
        <f>OMG_13*CMO_10</f>
        <v>5.6374999999999993</v>
      </c>
      <c r="F278" s="132">
        <f t="shared" si="89"/>
        <v>4.51</v>
      </c>
      <c r="G278" s="133">
        <f t="shared" si="90"/>
        <v>1.1274999999999995</v>
      </c>
      <c r="H278" s="134">
        <f t="shared" si="111"/>
        <v>2.8767499999999999</v>
      </c>
      <c r="I278" s="135"/>
      <c r="J278" s="136">
        <f t="shared" si="112"/>
        <v>0</v>
      </c>
      <c r="K278" s="137"/>
      <c r="L278" s="138">
        <f t="shared" si="113"/>
        <v>0</v>
      </c>
      <c r="M278" s="137"/>
      <c r="N278" s="139">
        <f t="shared" si="114"/>
        <v>1.6332499999999999</v>
      </c>
      <c r="O278" s="137"/>
      <c r="P278" s="140">
        <f t="shared" si="115"/>
        <v>1.1274999999999995</v>
      </c>
      <c r="Q278" s="135"/>
      <c r="R278" s="104">
        <f t="shared" si="116"/>
        <v>2.8767499999999999</v>
      </c>
      <c r="S278" s="137"/>
      <c r="T278" s="141">
        <f t="shared" si="117"/>
        <v>2.7607499999999994</v>
      </c>
      <c r="U278" s="199">
        <f t="shared" si="118"/>
        <v>0</v>
      </c>
      <c r="V278" s="37" t="str">
        <f t="shared" si="119"/>
        <v>ok</v>
      </c>
      <c r="W278" s="37" t="str">
        <f t="shared" si="120"/>
        <v>ok</v>
      </c>
    </row>
    <row r="279" spans="1:23" x14ac:dyDescent="0.25">
      <c r="A279" s="420"/>
      <c r="B279" s="178" t="s">
        <v>22</v>
      </c>
      <c r="C279" s="179">
        <v>18</v>
      </c>
      <c r="D279" s="130">
        <f>DMG_14*CMD_10</f>
        <v>2.00725</v>
      </c>
      <c r="E279" s="131">
        <f>OMG_14*CMO_10</f>
        <v>9.4812499999999993</v>
      </c>
      <c r="F279" s="132">
        <f t="shared" si="89"/>
        <v>7.585</v>
      </c>
      <c r="G279" s="133">
        <f t="shared" si="90"/>
        <v>1.8962499999999995</v>
      </c>
      <c r="H279" s="134">
        <f t="shared" si="111"/>
        <v>2.00725</v>
      </c>
      <c r="I279" s="135"/>
      <c r="J279" s="136">
        <f t="shared" si="112"/>
        <v>0</v>
      </c>
      <c r="K279" s="137"/>
      <c r="L279" s="138">
        <f t="shared" si="113"/>
        <v>0</v>
      </c>
      <c r="M279" s="137"/>
      <c r="N279" s="139">
        <f t="shared" si="114"/>
        <v>5.57775</v>
      </c>
      <c r="O279" s="137"/>
      <c r="P279" s="140">
        <f t="shared" si="115"/>
        <v>1.8962499999999995</v>
      </c>
      <c r="Q279" s="135"/>
      <c r="R279" s="104">
        <f t="shared" si="116"/>
        <v>2.00725</v>
      </c>
      <c r="S279" s="137"/>
      <c r="T279" s="141">
        <f t="shared" si="117"/>
        <v>7.4739999999999993</v>
      </c>
      <c r="U279" s="199">
        <f t="shared" si="118"/>
        <v>0</v>
      </c>
      <c r="V279" s="37" t="str">
        <f t="shared" si="119"/>
        <v>ok</v>
      </c>
      <c r="W279" s="37" t="str">
        <f t="shared" si="120"/>
        <v>ok</v>
      </c>
    </row>
    <row r="280" spans="1:23" x14ac:dyDescent="0.25">
      <c r="A280" s="420"/>
      <c r="B280" s="178" t="s">
        <v>23</v>
      </c>
      <c r="C280" s="179">
        <v>19</v>
      </c>
      <c r="D280" s="130">
        <f>DMG_15*CMD_10</f>
        <v>4.1625000000000005</v>
      </c>
      <c r="E280" s="131">
        <f>OMG_15*CMO_10</f>
        <v>11.274999999999999</v>
      </c>
      <c r="F280" s="132">
        <f t="shared" si="89"/>
        <v>9.02</v>
      </c>
      <c r="G280" s="133">
        <f t="shared" si="90"/>
        <v>2.254999999999999</v>
      </c>
      <c r="H280" s="134">
        <f t="shared" si="111"/>
        <v>4.1625000000000005</v>
      </c>
      <c r="I280" s="135"/>
      <c r="J280" s="136">
        <f t="shared" si="112"/>
        <v>0</v>
      </c>
      <c r="K280" s="137"/>
      <c r="L280" s="138">
        <f t="shared" si="113"/>
        <v>0</v>
      </c>
      <c r="M280" s="137"/>
      <c r="N280" s="139">
        <f t="shared" si="114"/>
        <v>4.857499999999999</v>
      </c>
      <c r="O280" s="137"/>
      <c r="P280" s="140">
        <f t="shared" si="115"/>
        <v>2.254999999999999</v>
      </c>
      <c r="Q280" s="135"/>
      <c r="R280" s="104">
        <f t="shared" si="116"/>
        <v>4.1625000000000005</v>
      </c>
      <c r="S280" s="137"/>
      <c r="T280" s="141">
        <f t="shared" si="117"/>
        <v>7.112499999999998</v>
      </c>
      <c r="U280" s="199">
        <f t="shared" si="118"/>
        <v>0</v>
      </c>
      <c r="V280" s="37" t="str">
        <f t="shared" si="119"/>
        <v>ok</v>
      </c>
      <c r="W280" s="37" t="str">
        <f t="shared" si="120"/>
        <v>ok</v>
      </c>
    </row>
    <row r="281" spans="1:23" x14ac:dyDescent="0.25">
      <c r="A281" s="420"/>
      <c r="B281" s="178" t="s">
        <v>19</v>
      </c>
      <c r="C281" s="179">
        <v>22</v>
      </c>
      <c r="D281" s="130">
        <f>DMG_16*CMD_10</f>
        <v>16.705500000000001</v>
      </c>
      <c r="E281" s="131">
        <f>OMG_16*CMO_10</f>
        <v>12.684374999999999</v>
      </c>
      <c r="F281" s="132">
        <f t="shared" si="89"/>
        <v>10.147500000000001</v>
      </c>
      <c r="G281" s="133">
        <f t="shared" si="90"/>
        <v>2.5368749999999993</v>
      </c>
      <c r="H281" s="134">
        <f t="shared" si="111"/>
        <v>12.684374999999999</v>
      </c>
      <c r="I281" s="135"/>
      <c r="J281" s="136">
        <f t="shared" si="112"/>
        <v>4.0211250000000014</v>
      </c>
      <c r="K281" s="137"/>
      <c r="L281" s="138">
        <f t="shared" si="113"/>
        <v>2.5368749999999993</v>
      </c>
      <c r="M281" s="137"/>
      <c r="N281" s="139">
        <f t="shared" si="114"/>
        <v>0</v>
      </c>
      <c r="O281" s="137"/>
      <c r="P281" s="140">
        <f t="shared" si="115"/>
        <v>0</v>
      </c>
      <c r="Q281" s="135"/>
      <c r="R281" s="104">
        <f t="shared" si="116"/>
        <v>10.147500000000001</v>
      </c>
      <c r="S281" s="137"/>
      <c r="T281" s="141">
        <f t="shared" si="117"/>
        <v>2.5368749999999993</v>
      </c>
      <c r="U281" s="199">
        <f t="shared" si="118"/>
        <v>6.5580000000000007</v>
      </c>
      <c r="V281" s="37" t="str">
        <f t="shared" si="119"/>
        <v>ok</v>
      </c>
      <c r="W281" s="37" t="str">
        <f t="shared" si="120"/>
        <v>ok</v>
      </c>
    </row>
    <row r="282" spans="1:23" x14ac:dyDescent="0.25">
      <c r="A282" s="420"/>
      <c r="B282" s="178" t="s">
        <v>20</v>
      </c>
      <c r="C282" s="179">
        <v>23</v>
      </c>
      <c r="D282" s="130">
        <f>DMG_17*CMD_10</f>
        <v>13.5975</v>
      </c>
      <c r="E282" s="131">
        <f>OMG_17*CMO_10</f>
        <v>8.0359999999999996</v>
      </c>
      <c r="F282" s="132">
        <f t="shared" si="89"/>
        <v>6.4287999999999998</v>
      </c>
      <c r="G282" s="133">
        <f t="shared" si="90"/>
        <v>1.6071999999999995</v>
      </c>
      <c r="H282" s="134">
        <f t="shared" si="111"/>
        <v>8.0359999999999996</v>
      </c>
      <c r="I282" s="135"/>
      <c r="J282" s="136">
        <f t="shared" si="112"/>
        <v>5.5615000000000006</v>
      </c>
      <c r="K282" s="137"/>
      <c r="L282" s="138">
        <f t="shared" si="113"/>
        <v>1.6071999999999995</v>
      </c>
      <c r="M282" s="137"/>
      <c r="N282" s="139">
        <f t="shared" si="114"/>
        <v>0</v>
      </c>
      <c r="O282" s="137"/>
      <c r="P282" s="140">
        <f t="shared" si="115"/>
        <v>0</v>
      </c>
      <c r="Q282" s="135"/>
      <c r="R282" s="104">
        <f t="shared" si="116"/>
        <v>6.4287999999999998</v>
      </c>
      <c r="S282" s="137"/>
      <c r="T282" s="141">
        <f t="shared" si="117"/>
        <v>1.6071999999999995</v>
      </c>
      <c r="U282" s="199">
        <f t="shared" si="118"/>
        <v>7.1687000000000003</v>
      </c>
      <c r="V282" s="37" t="str">
        <f t="shared" si="119"/>
        <v>ok</v>
      </c>
      <c r="W282" s="37" t="str">
        <f t="shared" si="120"/>
        <v>ok</v>
      </c>
    </row>
    <row r="283" spans="1:23" x14ac:dyDescent="0.25">
      <c r="A283" s="420"/>
      <c r="B283" s="178" t="s">
        <v>21</v>
      </c>
      <c r="C283" s="179">
        <v>24</v>
      </c>
      <c r="D283" s="130">
        <f>DMG_18*CMD_10</f>
        <v>7.8347500000000005</v>
      </c>
      <c r="E283" s="131">
        <f>OMG_18*CMO_10</f>
        <v>3.8078749999999997</v>
      </c>
      <c r="F283" s="132">
        <f t="shared" si="89"/>
        <v>3.0463</v>
      </c>
      <c r="G283" s="133">
        <f t="shared" si="90"/>
        <v>0.76157499999999978</v>
      </c>
      <c r="H283" s="134">
        <f t="shared" si="111"/>
        <v>3.8078749999999997</v>
      </c>
      <c r="I283" s="135"/>
      <c r="J283" s="136">
        <f t="shared" si="112"/>
        <v>4.0268750000000004</v>
      </c>
      <c r="K283" s="137"/>
      <c r="L283" s="138">
        <f t="shared" si="113"/>
        <v>0.76157499999999978</v>
      </c>
      <c r="M283" s="137"/>
      <c r="N283" s="139">
        <f t="shared" si="114"/>
        <v>0</v>
      </c>
      <c r="O283" s="137"/>
      <c r="P283" s="140">
        <f t="shared" si="115"/>
        <v>0</v>
      </c>
      <c r="Q283" s="135"/>
      <c r="R283" s="104">
        <f t="shared" si="116"/>
        <v>3.0463</v>
      </c>
      <c r="S283" s="137"/>
      <c r="T283" s="141">
        <f t="shared" si="117"/>
        <v>0.76157499999999978</v>
      </c>
      <c r="U283" s="199">
        <f t="shared" si="118"/>
        <v>4.7884500000000001</v>
      </c>
      <c r="V283" s="37" t="str">
        <f t="shared" si="119"/>
        <v>ok</v>
      </c>
      <c r="W283" s="37" t="str">
        <f t="shared" si="120"/>
        <v>ok</v>
      </c>
    </row>
    <row r="284" spans="1:23" x14ac:dyDescent="0.25">
      <c r="A284" s="420"/>
      <c r="B284" s="178" t="s">
        <v>22</v>
      </c>
      <c r="C284" s="179">
        <v>25</v>
      </c>
      <c r="D284" s="130">
        <f>DMG_19*CMD_10</f>
        <v>6.4148750000000003</v>
      </c>
      <c r="E284" s="131">
        <f>OMG_19*CMO_10</f>
        <v>5.0737499999999995</v>
      </c>
      <c r="F284" s="132">
        <f t="shared" si="89"/>
        <v>4.0590000000000002</v>
      </c>
      <c r="G284" s="133">
        <f t="shared" si="90"/>
        <v>1.0147499999999996</v>
      </c>
      <c r="H284" s="134">
        <f t="shared" si="111"/>
        <v>5.0737499999999995</v>
      </c>
      <c r="I284" s="135"/>
      <c r="J284" s="136">
        <f t="shared" si="112"/>
        <v>1.3411250000000008</v>
      </c>
      <c r="K284" s="137"/>
      <c r="L284" s="138">
        <f t="shared" si="113"/>
        <v>1.0147499999999996</v>
      </c>
      <c r="M284" s="137"/>
      <c r="N284" s="139">
        <f t="shared" si="114"/>
        <v>0</v>
      </c>
      <c r="O284" s="137"/>
      <c r="P284" s="140">
        <f t="shared" si="115"/>
        <v>0</v>
      </c>
      <c r="Q284" s="135"/>
      <c r="R284" s="104">
        <f t="shared" si="116"/>
        <v>4.0590000000000002</v>
      </c>
      <c r="S284" s="137"/>
      <c r="T284" s="141">
        <f t="shared" si="117"/>
        <v>1.0147499999999996</v>
      </c>
      <c r="U284" s="199">
        <f t="shared" si="118"/>
        <v>2.3558750000000002</v>
      </c>
      <c r="V284" s="37" t="str">
        <f t="shared" si="119"/>
        <v>ok</v>
      </c>
      <c r="W284" s="37" t="str">
        <f t="shared" si="120"/>
        <v>ok</v>
      </c>
    </row>
    <row r="285" spans="1:23" x14ac:dyDescent="0.25">
      <c r="A285" s="420"/>
      <c r="B285" s="178" t="s">
        <v>23</v>
      </c>
      <c r="C285" s="179">
        <v>26</v>
      </c>
      <c r="D285" s="130">
        <f>DMG_20*CMD_10</f>
        <v>12.048125000000001</v>
      </c>
      <c r="E285" s="131">
        <f>OMG_20*CMO_10</f>
        <v>8.0359999999999996</v>
      </c>
      <c r="F285" s="132">
        <f t="shared" si="89"/>
        <v>6.4287999999999998</v>
      </c>
      <c r="G285" s="133">
        <f t="shared" si="90"/>
        <v>1.6071999999999995</v>
      </c>
      <c r="H285" s="134">
        <f t="shared" si="111"/>
        <v>8.0359999999999996</v>
      </c>
      <c r="I285" s="135"/>
      <c r="J285" s="136">
        <f t="shared" si="112"/>
        <v>4.0121250000000011</v>
      </c>
      <c r="K285" s="137"/>
      <c r="L285" s="138">
        <f t="shared" si="113"/>
        <v>1.6071999999999995</v>
      </c>
      <c r="M285" s="137"/>
      <c r="N285" s="139">
        <f t="shared" si="114"/>
        <v>0</v>
      </c>
      <c r="O285" s="137"/>
      <c r="P285" s="140">
        <f t="shared" si="115"/>
        <v>0</v>
      </c>
      <c r="Q285" s="135"/>
      <c r="R285" s="104">
        <f t="shared" si="116"/>
        <v>6.4287999999999998</v>
      </c>
      <c r="S285" s="137"/>
      <c r="T285" s="141">
        <f t="shared" si="117"/>
        <v>1.6071999999999995</v>
      </c>
      <c r="U285" s="199">
        <f t="shared" si="118"/>
        <v>5.6193250000000008</v>
      </c>
      <c r="V285" s="37" t="str">
        <f t="shared" si="119"/>
        <v>ok</v>
      </c>
      <c r="W285" s="37" t="str">
        <f t="shared" si="120"/>
        <v>ok</v>
      </c>
    </row>
    <row r="286" spans="1:23" x14ac:dyDescent="0.25">
      <c r="A286" s="420"/>
      <c r="B286" s="178" t="s">
        <v>19</v>
      </c>
      <c r="C286" s="179">
        <v>29</v>
      </c>
      <c r="D286" s="130">
        <f>DMG_21*CMD_10</f>
        <v>20.044750000000004</v>
      </c>
      <c r="E286" s="131">
        <f>OMG_21*CMO_10</f>
        <v>15.374999999999998</v>
      </c>
      <c r="F286" s="132">
        <f t="shared" ref="F286:F331" si="121">E286*TC</f>
        <v>12.299999999999999</v>
      </c>
      <c r="G286" s="133">
        <f t="shared" ref="G286:G331" si="122">E286*(1-TC)</f>
        <v>3.0749999999999988</v>
      </c>
      <c r="H286" s="134">
        <f t="shared" si="111"/>
        <v>15.374999999999998</v>
      </c>
      <c r="I286" s="135"/>
      <c r="J286" s="136">
        <f t="shared" si="112"/>
        <v>4.6697500000000058</v>
      </c>
      <c r="K286" s="137"/>
      <c r="L286" s="138">
        <f t="shared" si="113"/>
        <v>3.0749999999999988</v>
      </c>
      <c r="M286" s="137"/>
      <c r="N286" s="139">
        <f t="shared" si="114"/>
        <v>0</v>
      </c>
      <c r="O286" s="137"/>
      <c r="P286" s="140">
        <f t="shared" si="115"/>
        <v>0</v>
      </c>
      <c r="Q286" s="135"/>
      <c r="R286" s="104">
        <f t="shared" si="116"/>
        <v>12.299999999999999</v>
      </c>
      <c r="S286" s="137"/>
      <c r="T286" s="141">
        <f t="shared" si="117"/>
        <v>3.0749999999999988</v>
      </c>
      <c r="U286" s="199">
        <f t="shared" si="118"/>
        <v>7.7447500000000051</v>
      </c>
      <c r="V286" s="37" t="str">
        <f t="shared" si="119"/>
        <v>ok</v>
      </c>
      <c r="W286" s="37" t="str">
        <f t="shared" si="120"/>
        <v>ok</v>
      </c>
    </row>
    <row r="287" spans="1:23" x14ac:dyDescent="0.25">
      <c r="A287" s="420"/>
      <c r="B287" s="178" t="s">
        <v>20</v>
      </c>
      <c r="C287" s="179">
        <v>30</v>
      </c>
      <c r="D287" s="130">
        <f>DMG_22*CMD_10</f>
        <v>16.261499999999998</v>
      </c>
      <c r="E287" s="131">
        <f>OMG_22*CMO_10</f>
        <v>10.762499999999999</v>
      </c>
      <c r="F287" s="132">
        <f t="shared" si="121"/>
        <v>8.61</v>
      </c>
      <c r="G287" s="133">
        <f t="shared" si="122"/>
        <v>2.1524999999999994</v>
      </c>
      <c r="H287" s="134">
        <f t="shared" si="111"/>
        <v>10.762499999999999</v>
      </c>
      <c r="I287" s="135"/>
      <c r="J287" s="136">
        <f t="shared" si="112"/>
        <v>5.4989999999999988</v>
      </c>
      <c r="K287" s="137"/>
      <c r="L287" s="138">
        <f t="shared" si="113"/>
        <v>2.1524999999999994</v>
      </c>
      <c r="M287" s="137"/>
      <c r="N287" s="139">
        <f t="shared" si="114"/>
        <v>0</v>
      </c>
      <c r="O287" s="137"/>
      <c r="P287" s="140">
        <f t="shared" si="115"/>
        <v>0</v>
      </c>
      <c r="Q287" s="135"/>
      <c r="R287" s="104">
        <f t="shared" si="116"/>
        <v>8.61</v>
      </c>
      <c r="S287" s="137"/>
      <c r="T287" s="141">
        <f t="shared" si="117"/>
        <v>2.1524999999999994</v>
      </c>
      <c r="U287" s="199">
        <f t="shared" si="118"/>
        <v>7.6514999999999986</v>
      </c>
      <c r="V287" s="37" t="str">
        <f t="shared" si="119"/>
        <v>ok</v>
      </c>
      <c r="W287" s="37" t="str">
        <f t="shared" si="120"/>
        <v>ok</v>
      </c>
    </row>
    <row r="288" spans="1:23" ht="15.75" thickBot="1" x14ac:dyDescent="0.3">
      <c r="A288" s="421"/>
      <c r="B288" s="180" t="s">
        <v>21</v>
      </c>
      <c r="C288" s="181">
        <v>31</v>
      </c>
      <c r="D288" s="202">
        <f>DMG_23*CMD_10</f>
        <v>9.4026250000000005</v>
      </c>
      <c r="E288" s="203">
        <f>OMG_23*CMO_10</f>
        <v>5.125</v>
      </c>
      <c r="F288" s="204">
        <f t="shared" si="121"/>
        <v>4.1000000000000005</v>
      </c>
      <c r="G288" s="205">
        <f t="shared" si="122"/>
        <v>1.0249999999999997</v>
      </c>
      <c r="H288" s="206">
        <f t="shared" si="111"/>
        <v>5.125</v>
      </c>
      <c r="I288" s="207"/>
      <c r="J288" s="208">
        <f t="shared" si="112"/>
        <v>4.2776250000000005</v>
      </c>
      <c r="K288" s="209"/>
      <c r="L288" s="210">
        <f t="shared" si="113"/>
        <v>1.0249999999999997</v>
      </c>
      <c r="M288" s="209"/>
      <c r="N288" s="211">
        <f t="shared" si="114"/>
        <v>0</v>
      </c>
      <c r="O288" s="209"/>
      <c r="P288" s="212">
        <f t="shared" si="115"/>
        <v>0</v>
      </c>
      <c r="Q288" s="207"/>
      <c r="R288" s="213">
        <f t="shared" si="116"/>
        <v>4.1000000000000005</v>
      </c>
      <c r="S288" s="209"/>
      <c r="T288" s="214">
        <f t="shared" si="117"/>
        <v>1.0249999999999997</v>
      </c>
      <c r="U288" s="215">
        <f t="shared" si="118"/>
        <v>5.3026249999999999</v>
      </c>
      <c r="V288" s="37" t="str">
        <f t="shared" si="119"/>
        <v>ok</v>
      </c>
      <c r="W288" s="37" t="str">
        <f t="shared" si="120"/>
        <v>ok</v>
      </c>
    </row>
    <row r="289" spans="1:23" x14ac:dyDescent="0.25">
      <c r="A289" s="419" t="s">
        <v>99</v>
      </c>
      <c r="B289" s="176" t="s">
        <v>22</v>
      </c>
      <c r="C289" s="241">
        <v>1</v>
      </c>
      <c r="D289" s="238">
        <f>DMG_1*CMD_11</f>
        <v>6.9361300000000004</v>
      </c>
      <c r="E289" s="185">
        <f>OMG_1*CMO_11</f>
        <v>29.327999999999999</v>
      </c>
      <c r="F289" s="186">
        <f t="shared" si="121"/>
        <v>23.462400000000002</v>
      </c>
      <c r="G289" s="187">
        <f t="shared" si="122"/>
        <v>5.8655999999999988</v>
      </c>
      <c r="H289" s="188">
        <f>IF(E289&gt;D289,D289,E289)</f>
        <v>6.9361300000000004</v>
      </c>
      <c r="I289" s="189"/>
      <c r="J289" s="190">
        <f>IF(E289&gt;D289,0,D289-E289)</f>
        <v>0</v>
      </c>
      <c r="K289" s="191"/>
      <c r="L289" s="192">
        <f>IF(E289&gt;D289,IF(F289&gt;H289,0,H289-F289),G289)</f>
        <v>0</v>
      </c>
      <c r="M289" s="191"/>
      <c r="N289" s="193">
        <f>IF(E289&gt;D289,IF(F289&gt;H289,F289-H289,0),0)</f>
        <v>16.526270000000004</v>
      </c>
      <c r="O289" s="191"/>
      <c r="P289" s="194">
        <f>IF(E289&gt;D289,IF(F289&gt;H289,G289,E289-H289),0)</f>
        <v>5.8655999999999988</v>
      </c>
      <c r="Q289" s="189"/>
      <c r="R289" s="195">
        <f>H289-L289</f>
        <v>6.9361300000000004</v>
      </c>
      <c r="S289" s="191"/>
      <c r="T289" s="196">
        <f>L289+N289+P289</f>
        <v>22.391870000000004</v>
      </c>
      <c r="U289" s="197">
        <f>J289+L289</f>
        <v>0</v>
      </c>
      <c r="V289" s="37" t="str">
        <f>IF(R289+T289=E289,"ok","bad")</f>
        <v>ok</v>
      </c>
      <c r="W289" s="37" t="str">
        <f>IF(U289+R289=D289,"ok","bad")</f>
        <v>ok</v>
      </c>
    </row>
    <row r="290" spans="1:23" x14ac:dyDescent="0.25">
      <c r="A290" s="420"/>
      <c r="B290" s="178" t="s">
        <v>23</v>
      </c>
      <c r="C290" s="129">
        <v>2</v>
      </c>
      <c r="D290" s="239">
        <f>DMG_2*CMD_11</f>
        <v>5.4462600000000005</v>
      </c>
      <c r="E290" s="131">
        <f>OMG_2*CMO_11</f>
        <v>21.507200000000001</v>
      </c>
      <c r="F290" s="132">
        <f t="shared" si="121"/>
        <v>17.205760000000001</v>
      </c>
      <c r="G290" s="133">
        <f t="shared" si="122"/>
        <v>4.3014399999999995</v>
      </c>
      <c r="H290" s="134">
        <f t="shared" ref="H290:H310" si="123">IF(E290&gt;D290,D290,E290)</f>
        <v>5.4462600000000005</v>
      </c>
      <c r="I290" s="135"/>
      <c r="J290" s="136">
        <f t="shared" ref="J290:J310" si="124">IF(E290&gt;D290,0,D290-E290)</f>
        <v>0</v>
      </c>
      <c r="K290" s="137"/>
      <c r="L290" s="138">
        <f t="shared" ref="L290:L310" si="125">IF(E290&gt;D290,IF(F290&gt;H290,0,H290-F290),G290)</f>
        <v>0</v>
      </c>
      <c r="M290" s="137"/>
      <c r="N290" s="139">
        <f t="shared" ref="N290:N310" si="126">IF(E290&gt;D290,IF(F290&gt;H290,F290-H290,0),0)</f>
        <v>11.759500000000001</v>
      </c>
      <c r="O290" s="137"/>
      <c r="P290" s="140">
        <f t="shared" ref="P290:P310" si="127">IF(E290&gt;D290,IF(F290&gt;H290,G290,E290-H290),0)</f>
        <v>4.3014399999999995</v>
      </c>
      <c r="Q290" s="135"/>
      <c r="R290" s="104">
        <f t="shared" ref="R290:R310" si="128">H290-L290</f>
        <v>5.4462600000000005</v>
      </c>
      <c r="S290" s="137"/>
      <c r="T290" s="141">
        <f t="shared" ref="T290:T310" si="129">L290+N290+P290</f>
        <v>16.060940000000002</v>
      </c>
      <c r="U290" s="199">
        <f t="shared" ref="U290:U310" si="130">J290+L290</f>
        <v>0</v>
      </c>
      <c r="V290" s="37" t="str">
        <f t="shared" ref="V290:V310" si="131">IF(R290+T290=E290,"ok","bad")</f>
        <v>ok</v>
      </c>
      <c r="W290" s="37" t="str">
        <f t="shared" ref="W290:W310" si="132">IF(U290+R290=D290,"ok","bad")</f>
        <v>ok</v>
      </c>
    </row>
    <row r="291" spans="1:23" x14ac:dyDescent="0.25">
      <c r="A291" s="420"/>
      <c r="B291" s="178" t="s">
        <v>19</v>
      </c>
      <c r="C291" s="129">
        <v>5</v>
      </c>
      <c r="D291" s="239">
        <f>DMG_3*CMD_11</f>
        <v>2.38226</v>
      </c>
      <c r="E291" s="131">
        <f>OMG_3*CMO_11</f>
        <v>8.7983999999999991</v>
      </c>
      <c r="F291" s="132">
        <f t="shared" si="121"/>
        <v>7.0387199999999996</v>
      </c>
      <c r="G291" s="133">
        <f t="shared" si="122"/>
        <v>1.7596799999999995</v>
      </c>
      <c r="H291" s="134">
        <f t="shared" si="123"/>
        <v>2.38226</v>
      </c>
      <c r="I291" s="135"/>
      <c r="J291" s="136">
        <f t="shared" si="124"/>
        <v>0</v>
      </c>
      <c r="K291" s="137"/>
      <c r="L291" s="138">
        <f t="shared" si="125"/>
        <v>0</v>
      </c>
      <c r="M291" s="137"/>
      <c r="N291" s="139">
        <f t="shared" si="126"/>
        <v>4.6564599999999992</v>
      </c>
      <c r="O291" s="137"/>
      <c r="P291" s="140">
        <f t="shared" si="127"/>
        <v>1.7596799999999995</v>
      </c>
      <c r="Q291" s="135"/>
      <c r="R291" s="104">
        <f t="shared" si="128"/>
        <v>2.38226</v>
      </c>
      <c r="S291" s="137"/>
      <c r="T291" s="141">
        <f t="shared" si="129"/>
        <v>6.4161399999999986</v>
      </c>
      <c r="U291" s="199">
        <f t="shared" si="130"/>
        <v>0</v>
      </c>
      <c r="V291" s="37" t="str">
        <f t="shared" si="131"/>
        <v>ok</v>
      </c>
      <c r="W291" s="37" t="str">
        <f t="shared" si="132"/>
        <v>ok</v>
      </c>
    </row>
    <row r="292" spans="1:23" x14ac:dyDescent="0.25">
      <c r="A292" s="420"/>
      <c r="B292" s="178" t="s">
        <v>20</v>
      </c>
      <c r="C292" s="129">
        <v>6</v>
      </c>
      <c r="D292" s="239">
        <f>DMG_4*CMD_11</f>
        <v>1.66222</v>
      </c>
      <c r="E292" s="131">
        <f>OMG_4*CMO_11</f>
        <v>13.197600000000001</v>
      </c>
      <c r="F292" s="132">
        <f t="shared" si="121"/>
        <v>10.558080000000002</v>
      </c>
      <c r="G292" s="133">
        <f t="shared" si="122"/>
        <v>2.6395199999999996</v>
      </c>
      <c r="H292" s="134">
        <f t="shared" si="123"/>
        <v>1.66222</v>
      </c>
      <c r="I292" s="135"/>
      <c r="J292" s="136">
        <f t="shared" si="124"/>
        <v>0</v>
      </c>
      <c r="K292" s="137"/>
      <c r="L292" s="138">
        <f t="shared" si="125"/>
        <v>0</v>
      </c>
      <c r="M292" s="137"/>
      <c r="N292" s="139">
        <f t="shared" si="126"/>
        <v>8.8958600000000025</v>
      </c>
      <c r="O292" s="137"/>
      <c r="P292" s="140">
        <f t="shared" si="127"/>
        <v>2.6395199999999996</v>
      </c>
      <c r="Q292" s="135"/>
      <c r="R292" s="104">
        <f t="shared" si="128"/>
        <v>1.66222</v>
      </c>
      <c r="S292" s="137"/>
      <c r="T292" s="141">
        <f t="shared" si="129"/>
        <v>11.535380000000002</v>
      </c>
      <c r="U292" s="199">
        <f t="shared" si="130"/>
        <v>0</v>
      </c>
      <c r="V292" s="37" t="str">
        <f t="shared" si="131"/>
        <v>ok</v>
      </c>
      <c r="W292" s="37" t="str">
        <f t="shared" si="132"/>
        <v>ok</v>
      </c>
    </row>
    <row r="293" spans="1:23" x14ac:dyDescent="0.25">
      <c r="A293" s="420"/>
      <c r="B293" s="178" t="s">
        <v>21</v>
      </c>
      <c r="C293" s="129">
        <v>7</v>
      </c>
      <c r="D293" s="239">
        <f>DMG_5*CMD_11</f>
        <v>3.4470000000000001</v>
      </c>
      <c r="E293" s="131">
        <f>OMG_5*CMO_11</f>
        <v>21.507200000000001</v>
      </c>
      <c r="F293" s="132">
        <f t="shared" si="121"/>
        <v>17.205760000000001</v>
      </c>
      <c r="G293" s="133">
        <f t="shared" si="122"/>
        <v>4.3014399999999995</v>
      </c>
      <c r="H293" s="134">
        <f t="shared" si="123"/>
        <v>3.4470000000000001</v>
      </c>
      <c r="I293" s="135"/>
      <c r="J293" s="136">
        <f t="shared" si="124"/>
        <v>0</v>
      </c>
      <c r="K293" s="137"/>
      <c r="L293" s="138">
        <f t="shared" si="125"/>
        <v>0</v>
      </c>
      <c r="M293" s="137"/>
      <c r="N293" s="139">
        <f t="shared" si="126"/>
        <v>13.758760000000002</v>
      </c>
      <c r="O293" s="137"/>
      <c r="P293" s="140">
        <f t="shared" si="127"/>
        <v>4.3014399999999995</v>
      </c>
      <c r="Q293" s="135"/>
      <c r="R293" s="104">
        <f t="shared" si="128"/>
        <v>3.4470000000000001</v>
      </c>
      <c r="S293" s="137"/>
      <c r="T293" s="141">
        <f t="shared" si="129"/>
        <v>18.060200000000002</v>
      </c>
      <c r="U293" s="199">
        <f t="shared" si="130"/>
        <v>0</v>
      </c>
      <c r="V293" s="37" t="str">
        <f t="shared" si="131"/>
        <v>ok</v>
      </c>
      <c r="W293" s="37" t="str">
        <f t="shared" si="132"/>
        <v>ok</v>
      </c>
    </row>
    <row r="294" spans="1:23" x14ac:dyDescent="0.25">
      <c r="A294" s="420"/>
      <c r="B294" s="178" t="s">
        <v>22</v>
      </c>
      <c r="C294" s="129">
        <v>8</v>
      </c>
      <c r="D294" s="239">
        <f>DMG_6*CMD_11</f>
        <v>11.0687</v>
      </c>
      <c r="E294" s="131">
        <f>OMG_6*CMO_11</f>
        <v>15.04</v>
      </c>
      <c r="F294" s="132">
        <f t="shared" si="121"/>
        <v>12.032</v>
      </c>
      <c r="G294" s="133">
        <f t="shared" si="122"/>
        <v>3.0079999999999991</v>
      </c>
      <c r="H294" s="134">
        <f t="shared" si="123"/>
        <v>11.0687</v>
      </c>
      <c r="I294" s="135"/>
      <c r="J294" s="136">
        <f t="shared" si="124"/>
        <v>0</v>
      </c>
      <c r="K294" s="137"/>
      <c r="L294" s="138">
        <f t="shared" si="125"/>
        <v>0</v>
      </c>
      <c r="M294" s="137"/>
      <c r="N294" s="139">
        <f t="shared" si="126"/>
        <v>0.96330000000000027</v>
      </c>
      <c r="O294" s="137"/>
      <c r="P294" s="140">
        <f t="shared" si="127"/>
        <v>3.0079999999999991</v>
      </c>
      <c r="Q294" s="135"/>
      <c r="R294" s="104">
        <f t="shared" si="128"/>
        <v>11.0687</v>
      </c>
      <c r="S294" s="137"/>
      <c r="T294" s="141">
        <f t="shared" si="129"/>
        <v>3.9712999999999994</v>
      </c>
      <c r="U294" s="199">
        <f t="shared" si="130"/>
        <v>0</v>
      </c>
      <c r="V294" s="37" t="str">
        <f t="shared" si="131"/>
        <v>ok</v>
      </c>
      <c r="W294" s="37" t="str">
        <f t="shared" si="132"/>
        <v>ok</v>
      </c>
    </row>
    <row r="295" spans="1:23" x14ac:dyDescent="0.25">
      <c r="A295" s="420"/>
      <c r="B295" s="178" t="s">
        <v>23</v>
      </c>
      <c r="C295" s="129">
        <v>9</v>
      </c>
      <c r="D295" s="239">
        <f>DMG_7*CMD_11</f>
        <v>8.9775200000000002</v>
      </c>
      <c r="E295" s="131">
        <f>OMG_7*CMO_11</f>
        <v>15.416</v>
      </c>
      <c r="F295" s="132">
        <f t="shared" si="121"/>
        <v>12.332800000000001</v>
      </c>
      <c r="G295" s="133">
        <f t="shared" si="122"/>
        <v>3.0831999999999993</v>
      </c>
      <c r="H295" s="134">
        <f t="shared" si="123"/>
        <v>8.9775200000000002</v>
      </c>
      <c r="I295" s="135"/>
      <c r="J295" s="136">
        <f t="shared" si="124"/>
        <v>0</v>
      </c>
      <c r="K295" s="137"/>
      <c r="L295" s="138">
        <f t="shared" si="125"/>
        <v>0</v>
      </c>
      <c r="M295" s="137"/>
      <c r="N295" s="139">
        <f t="shared" si="126"/>
        <v>3.3552800000000005</v>
      </c>
      <c r="O295" s="137"/>
      <c r="P295" s="140">
        <f t="shared" si="127"/>
        <v>3.0831999999999993</v>
      </c>
      <c r="Q295" s="135"/>
      <c r="R295" s="104">
        <f t="shared" si="128"/>
        <v>8.9775200000000002</v>
      </c>
      <c r="S295" s="137"/>
      <c r="T295" s="141">
        <f t="shared" si="129"/>
        <v>6.4384800000000002</v>
      </c>
      <c r="U295" s="199">
        <f t="shared" si="130"/>
        <v>0</v>
      </c>
      <c r="V295" s="37" t="str">
        <f t="shared" si="131"/>
        <v>ok</v>
      </c>
      <c r="W295" s="37" t="str">
        <f t="shared" si="132"/>
        <v>ok</v>
      </c>
    </row>
    <row r="296" spans="1:23" x14ac:dyDescent="0.25">
      <c r="A296" s="420"/>
      <c r="B296" s="178" t="s">
        <v>19</v>
      </c>
      <c r="C296" s="129">
        <v>12</v>
      </c>
      <c r="D296" s="239">
        <f>DMG_8*CMD_11</f>
        <v>5.1896500000000003</v>
      </c>
      <c r="E296" s="131">
        <f>OMG_8*CMO_11</f>
        <v>8.2720000000000002</v>
      </c>
      <c r="F296" s="132">
        <f t="shared" si="121"/>
        <v>6.6176000000000004</v>
      </c>
      <c r="G296" s="133">
        <f t="shared" si="122"/>
        <v>1.6543999999999996</v>
      </c>
      <c r="H296" s="134">
        <f t="shared" si="123"/>
        <v>5.1896500000000003</v>
      </c>
      <c r="I296" s="135"/>
      <c r="J296" s="136">
        <f t="shared" si="124"/>
        <v>0</v>
      </c>
      <c r="K296" s="137"/>
      <c r="L296" s="138">
        <f t="shared" si="125"/>
        <v>0</v>
      </c>
      <c r="M296" s="137"/>
      <c r="N296" s="139">
        <f t="shared" si="126"/>
        <v>1.4279500000000001</v>
      </c>
      <c r="O296" s="137"/>
      <c r="P296" s="140">
        <f t="shared" si="127"/>
        <v>1.6543999999999996</v>
      </c>
      <c r="Q296" s="135"/>
      <c r="R296" s="104">
        <f t="shared" si="128"/>
        <v>5.1896500000000003</v>
      </c>
      <c r="S296" s="137"/>
      <c r="T296" s="141">
        <f t="shared" si="129"/>
        <v>3.0823499999999999</v>
      </c>
      <c r="U296" s="199">
        <f t="shared" si="130"/>
        <v>0</v>
      </c>
      <c r="V296" s="37" t="str">
        <f t="shared" si="131"/>
        <v>ok</v>
      </c>
      <c r="W296" s="37" t="str">
        <f t="shared" si="132"/>
        <v>ok</v>
      </c>
    </row>
    <row r="297" spans="1:23" x14ac:dyDescent="0.25">
      <c r="A297" s="420"/>
      <c r="B297" s="178" t="s">
        <v>20</v>
      </c>
      <c r="C297" s="129">
        <v>13</v>
      </c>
      <c r="D297" s="239">
        <f>DMG_9*CMD_11</f>
        <v>4.1900199999999996</v>
      </c>
      <c r="E297" s="131">
        <f>OMG_9*CMO_11</f>
        <v>10.528</v>
      </c>
      <c r="F297" s="132">
        <f t="shared" si="121"/>
        <v>8.4224000000000014</v>
      </c>
      <c r="G297" s="133">
        <f t="shared" si="122"/>
        <v>2.1055999999999995</v>
      </c>
      <c r="H297" s="134">
        <f t="shared" si="123"/>
        <v>4.1900199999999996</v>
      </c>
      <c r="I297" s="135"/>
      <c r="J297" s="136">
        <f t="shared" si="124"/>
        <v>0</v>
      </c>
      <c r="K297" s="137"/>
      <c r="L297" s="138">
        <f t="shared" si="125"/>
        <v>0</v>
      </c>
      <c r="M297" s="137"/>
      <c r="N297" s="139">
        <f t="shared" si="126"/>
        <v>4.2323800000000018</v>
      </c>
      <c r="O297" s="137"/>
      <c r="P297" s="140">
        <f t="shared" si="127"/>
        <v>2.1055999999999995</v>
      </c>
      <c r="Q297" s="135"/>
      <c r="R297" s="104">
        <f t="shared" si="128"/>
        <v>4.1900199999999996</v>
      </c>
      <c r="S297" s="137"/>
      <c r="T297" s="141">
        <f t="shared" si="129"/>
        <v>6.3379800000000017</v>
      </c>
      <c r="U297" s="199">
        <f t="shared" si="130"/>
        <v>0</v>
      </c>
      <c r="V297" s="37" t="str">
        <f t="shared" si="131"/>
        <v>ok</v>
      </c>
      <c r="W297" s="37" t="str">
        <f t="shared" si="132"/>
        <v>ok</v>
      </c>
    </row>
    <row r="298" spans="1:23" x14ac:dyDescent="0.25">
      <c r="A298" s="420"/>
      <c r="B298" s="178" t="s">
        <v>21</v>
      </c>
      <c r="C298" s="129">
        <v>14</v>
      </c>
      <c r="D298" s="239">
        <f>DMG_10*CMD_11</f>
        <v>7.9817200000000001</v>
      </c>
      <c r="E298" s="131">
        <f>OMG_10*CMO_11</f>
        <v>14.288</v>
      </c>
      <c r="F298" s="132">
        <f t="shared" si="121"/>
        <v>11.430400000000001</v>
      </c>
      <c r="G298" s="133">
        <f t="shared" si="122"/>
        <v>2.8575999999999993</v>
      </c>
      <c r="H298" s="134">
        <f t="shared" si="123"/>
        <v>7.9817200000000001</v>
      </c>
      <c r="I298" s="135"/>
      <c r="J298" s="136">
        <f t="shared" si="124"/>
        <v>0</v>
      </c>
      <c r="K298" s="137"/>
      <c r="L298" s="138">
        <f t="shared" si="125"/>
        <v>0</v>
      </c>
      <c r="M298" s="137"/>
      <c r="N298" s="139">
        <f t="shared" si="126"/>
        <v>3.4486800000000004</v>
      </c>
      <c r="O298" s="137"/>
      <c r="P298" s="140">
        <f t="shared" si="127"/>
        <v>2.8575999999999993</v>
      </c>
      <c r="Q298" s="135"/>
      <c r="R298" s="104">
        <f t="shared" si="128"/>
        <v>7.9817200000000001</v>
      </c>
      <c r="S298" s="137"/>
      <c r="T298" s="141">
        <f t="shared" si="129"/>
        <v>6.3062799999999992</v>
      </c>
      <c r="U298" s="199">
        <f t="shared" si="130"/>
        <v>0</v>
      </c>
      <c r="V298" s="37" t="str">
        <f t="shared" si="131"/>
        <v>ok</v>
      </c>
      <c r="W298" s="37" t="str">
        <f t="shared" si="132"/>
        <v>ok</v>
      </c>
    </row>
    <row r="299" spans="1:23" x14ac:dyDescent="0.25">
      <c r="A299" s="420"/>
      <c r="B299" s="178" t="s">
        <v>22</v>
      </c>
      <c r="C299" s="129">
        <v>15</v>
      </c>
      <c r="D299" s="239">
        <f>DMG_11*CMD_11</f>
        <v>6.9361300000000004</v>
      </c>
      <c r="E299" s="131">
        <f>OMG_11*CMO_11</f>
        <v>22.56</v>
      </c>
      <c r="F299" s="132">
        <f t="shared" si="121"/>
        <v>18.047999999999998</v>
      </c>
      <c r="G299" s="133">
        <f t="shared" si="122"/>
        <v>4.5119999999999987</v>
      </c>
      <c r="H299" s="134">
        <f t="shared" si="123"/>
        <v>6.9361300000000004</v>
      </c>
      <c r="I299" s="135"/>
      <c r="J299" s="136">
        <f t="shared" si="124"/>
        <v>0</v>
      </c>
      <c r="K299" s="137"/>
      <c r="L299" s="138">
        <f t="shared" si="125"/>
        <v>0</v>
      </c>
      <c r="M299" s="137"/>
      <c r="N299" s="139">
        <f t="shared" si="126"/>
        <v>11.111869999999998</v>
      </c>
      <c r="O299" s="137"/>
      <c r="P299" s="140">
        <f t="shared" si="127"/>
        <v>4.5119999999999987</v>
      </c>
      <c r="Q299" s="135"/>
      <c r="R299" s="104">
        <f t="shared" si="128"/>
        <v>6.9361300000000004</v>
      </c>
      <c r="S299" s="137"/>
      <c r="T299" s="141">
        <f t="shared" si="129"/>
        <v>15.623869999999997</v>
      </c>
      <c r="U299" s="199">
        <f t="shared" si="130"/>
        <v>0</v>
      </c>
      <c r="V299" s="37" t="str">
        <f t="shared" si="131"/>
        <v>ok</v>
      </c>
      <c r="W299" s="37" t="str">
        <f t="shared" si="132"/>
        <v>ok</v>
      </c>
    </row>
    <row r="300" spans="1:23" x14ac:dyDescent="0.25">
      <c r="A300" s="420"/>
      <c r="B300" s="178" t="s">
        <v>23</v>
      </c>
      <c r="C300" s="129">
        <v>16</v>
      </c>
      <c r="D300" s="239">
        <f>DMG_12*CMD_11</f>
        <v>5.4462600000000005</v>
      </c>
      <c r="E300" s="131">
        <f>OMG_12*CMO_11</f>
        <v>17.295999999999999</v>
      </c>
      <c r="F300" s="132">
        <f t="shared" si="121"/>
        <v>13.8368</v>
      </c>
      <c r="G300" s="133">
        <f t="shared" si="122"/>
        <v>3.4591999999999992</v>
      </c>
      <c r="H300" s="134">
        <f t="shared" si="123"/>
        <v>5.4462600000000005</v>
      </c>
      <c r="I300" s="135"/>
      <c r="J300" s="136">
        <f t="shared" si="124"/>
        <v>0</v>
      </c>
      <c r="K300" s="137"/>
      <c r="L300" s="138">
        <f t="shared" si="125"/>
        <v>0</v>
      </c>
      <c r="M300" s="137"/>
      <c r="N300" s="139">
        <f t="shared" si="126"/>
        <v>8.3905399999999997</v>
      </c>
      <c r="O300" s="137"/>
      <c r="P300" s="140">
        <f t="shared" si="127"/>
        <v>3.4591999999999992</v>
      </c>
      <c r="Q300" s="135"/>
      <c r="R300" s="104">
        <f t="shared" si="128"/>
        <v>5.4462600000000005</v>
      </c>
      <c r="S300" s="137"/>
      <c r="T300" s="141">
        <f t="shared" si="129"/>
        <v>11.849739999999999</v>
      </c>
      <c r="U300" s="199">
        <f t="shared" si="130"/>
        <v>0</v>
      </c>
      <c r="V300" s="37" t="str">
        <f t="shared" si="131"/>
        <v>ok</v>
      </c>
      <c r="W300" s="37" t="str">
        <f t="shared" si="132"/>
        <v>ok</v>
      </c>
    </row>
    <row r="301" spans="1:23" x14ac:dyDescent="0.25">
      <c r="A301" s="420"/>
      <c r="B301" s="178" t="s">
        <v>19</v>
      </c>
      <c r="C301" s="129">
        <v>19</v>
      </c>
      <c r="D301" s="239">
        <f>DMG_13*CMD_11</f>
        <v>2.38226</v>
      </c>
      <c r="E301" s="131">
        <f>OMG_13*CMO_11</f>
        <v>8.2720000000000002</v>
      </c>
      <c r="F301" s="132">
        <f t="shared" si="121"/>
        <v>6.6176000000000004</v>
      </c>
      <c r="G301" s="133">
        <f t="shared" si="122"/>
        <v>1.6543999999999996</v>
      </c>
      <c r="H301" s="134">
        <f t="shared" si="123"/>
        <v>2.38226</v>
      </c>
      <c r="I301" s="135"/>
      <c r="J301" s="136">
        <f t="shared" si="124"/>
        <v>0</v>
      </c>
      <c r="K301" s="137"/>
      <c r="L301" s="138">
        <f t="shared" si="125"/>
        <v>0</v>
      </c>
      <c r="M301" s="137"/>
      <c r="N301" s="139">
        <f t="shared" si="126"/>
        <v>4.2353400000000008</v>
      </c>
      <c r="O301" s="137"/>
      <c r="P301" s="140">
        <f t="shared" si="127"/>
        <v>1.6543999999999996</v>
      </c>
      <c r="Q301" s="135"/>
      <c r="R301" s="104">
        <f t="shared" si="128"/>
        <v>2.38226</v>
      </c>
      <c r="S301" s="137"/>
      <c r="T301" s="141">
        <f t="shared" si="129"/>
        <v>5.8897400000000006</v>
      </c>
      <c r="U301" s="199">
        <f t="shared" si="130"/>
        <v>0</v>
      </c>
      <c r="V301" s="37" t="str">
        <f t="shared" si="131"/>
        <v>ok</v>
      </c>
      <c r="W301" s="37" t="str">
        <f t="shared" si="132"/>
        <v>ok</v>
      </c>
    </row>
    <row r="302" spans="1:23" x14ac:dyDescent="0.25">
      <c r="A302" s="420"/>
      <c r="B302" s="178" t="s">
        <v>20</v>
      </c>
      <c r="C302" s="129">
        <v>20</v>
      </c>
      <c r="D302" s="239">
        <f>DMG_14*CMD_11</f>
        <v>1.66222</v>
      </c>
      <c r="E302" s="131">
        <f>OMG_14*CMO_11</f>
        <v>13.912000000000001</v>
      </c>
      <c r="F302" s="132">
        <f t="shared" si="121"/>
        <v>11.129600000000002</v>
      </c>
      <c r="G302" s="133">
        <f t="shared" si="122"/>
        <v>2.7823999999999995</v>
      </c>
      <c r="H302" s="134">
        <f t="shared" si="123"/>
        <v>1.66222</v>
      </c>
      <c r="I302" s="135"/>
      <c r="J302" s="136">
        <f t="shared" si="124"/>
        <v>0</v>
      </c>
      <c r="K302" s="137"/>
      <c r="L302" s="138">
        <f t="shared" si="125"/>
        <v>0</v>
      </c>
      <c r="M302" s="137"/>
      <c r="N302" s="139">
        <f t="shared" si="126"/>
        <v>9.4673800000000021</v>
      </c>
      <c r="O302" s="137"/>
      <c r="P302" s="140">
        <f t="shared" si="127"/>
        <v>2.7823999999999995</v>
      </c>
      <c r="Q302" s="135"/>
      <c r="R302" s="104">
        <f t="shared" si="128"/>
        <v>1.66222</v>
      </c>
      <c r="S302" s="137"/>
      <c r="T302" s="141">
        <f t="shared" si="129"/>
        <v>12.249780000000001</v>
      </c>
      <c r="U302" s="199">
        <f t="shared" si="130"/>
        <v>0</v>
      </c>
      <c r="V302" s="37" t="str">
        <f t="shared" si="131"/>
        <v>ok</v>
      </c>
      <c r="W302" s="37" t="str">
        <f t="shared" si="132"/>
        <v>ok</v>
      </c>
    </row>
    <row r="303" spans="1:23" x14ac:dyDescent="0.25">
      <c r="A303" s="420"/>
      <c r="B303" s="178" t="s">
        <v>21</v>
      </c>
      <c r="C303" s="129">
        <v>21</v>
      </c>
      <c r="D303" s="239">
        <f>DMG_15*CMD_11</f>
        <v>3.4470000000000001</v>
      </c>
      <c r="E303" s="131">
        <f>OMG_15*CMO_11</f>
        <v>16.544</v>
      </c>
      <c r="F303" s="132">
        <f t="shared" si="121"/>
        <v>13.235200000000001</v>
      </c>
      <c r="G303" s="133">
        <f t="shared" si="122"/>
        <v>3.3087999999999993</v>
      </c>
      <c r="H303" s="134">
        <f t="shared" si="123"/>
        <v>3.4470000000000001</v>
      </c>
      <c r="I303" s="135"/>
      <c r="J303" s="136">
        <f t="shared" si="124"/>
        <v>0</v>
      </c>
      <c r="K303" s="137"/>
      <c r="L303" s="138">
        <f t="shared" si="125"/>
        <v>0</v>
      </c>
      <c r="M303" s="137"/>
      <c r="N303" s="139">
        <f t="shared" si="126"/>
        <v>9.7881999999999998</v>
      </c>
      <c r="O303" s="137"/>
      <c r="P303" s="140">
        <f t="shared" si="127"/>
        <v>3.3087999999999993</v>
      </c>
      <c r="Q303" s="135"/>
      <c r="R303" s="104">
        <f t="shared" si="128"/>
        <v>3.4470000000000001</v>
      </c>
      <c r="S303" s="137"/>
      <c r="T303" s="141">
        <f t="shared" si="129"/>
        <v>13.097</v>
      </c>
      <c r="U303" s="199">
        <f t="shared" si="130"/>
        <v>0</v>
      </c>
      <c r="V303" s="37" t="str">
        <f t="shared" si="131"/>
        <v>ok</v>
      </c>
      <c r="W303" s="37" t="str">
        <f t="shared" si="132"/>
        <v>ok</v>
      </c>
    </row>
    <row r="304" spans="1:23" x14ac:dyDescent="0.25">
      <c r="A304" s="420"/>
      <c r="B304" s="178" t="s">
        <v>22</v>
      </c>
      <c r="C304" s="129">
        <v>22</v>
      </c>
      <c r="D304" s="239">
        <f>DMG_16*CMD_11</f>
        <v>13.833959999999999</v>
      </c>
      <c r="E304" s="131">
        <f>OMG_16*CMO_11</f>
        <v>18.611999999999998</v>
      </c>
      <c r="F304" s="132">
        <f t="shared" si="121"/>
        <v>14.8896</v>
      </c>
      <c r="G304" s="133">
        <f t="shared" si="122"/>
        <v>3.722399999999999</v>
      </c>
      <c r="H304" s="134">
        <f t="shared" si="123"/>
        <v>13.833959999999999</v>
      </c>
      <c r="I304" s="135"/>
      <c r="J304" s="136">
        <f t="shared" si="124"/>
        <v>0</v>
      </c>
      <c r="K304" s="137"/>
      <c r="L304" s="138">
        <f t="shared" si="125"/>
        <v>0</v>
      </c>
      <c r="M304" s="137"/>
      <c r="N304" s="139">
        <f t="shared" si="126"/>
        <v>1.0556400000000004</v>
      </c>
      <c r="O304" s="137"/>
      <c r="P304" s="140">
        <f t="shared" si="127"/>
        <v>3.722399999999999</v>
      </c>
      <c r="Q304" s="135"/>
      <c r="R304" s="104">
        <f t="shared" si="128"/>
        <v>13.833959999999999</v>
      </c>
      <c r="S304" s="137"/>
      <c r="T304" s="141">
        <f t="shared" si="129"/>
        <v>4.778039999999999</v>
      </c>
      <c r="U304" s="199">
        <f t="shared" si="130"/>
        <v>0</v>
      </c>
      <c r="V304" s="37" t="str">
        <f t="shared" si="131"/>
        <v>ok</v>
      </c>
      <c r="W304" s="37" t="str">
        <f t="shared" si="132"/>
        <v>ok</v>
      </c>
    </row>
    <row r="305" spans="1:23" x14ac:dyDescent="0.25">
      <c r="A305" s="420"/>
      <c r="B305" s="178" t="s">
        <v>23</v>
      </c>
      <c r="C305" s="129">
        <v>23</v>
      </c>
      <c r="D305" s="239">
        <f>DMG_17*CMD_11</f>
        <v>11.260199999999999</v>
      </c>
      <c r="E305" s="131">
        <f>OMG_17*CMO_11</f>
        <v>11.791359999999999</v>
      </c>
      <c r="F305" s="132">
        <f t="shared" si="121"/>
        <v>9.4330879999999997</v>
      </c>
      <c r="G305" s="133">
        <f t="shared" si="122"/>
        <v>2.3582719999999995</v>
      </c>
      <c r="H305" s="134">
        <f t="shared" si="123"/>
        <v>11.260199999999999</v>
      </c>
      <c r="I305" s="135"/>
      <c r="J305" s="136">
        <f t="shared" si="124"/>
        <v>0</v>
      </c>
      <c r="K305" s="137"/>
      <c r="L305" s="138">
        <f t="shared" si="125"/>
        <v>1.8271119999999996</v>
      </c>
      <c r="M305" s="137"/>
      <c r="N305" s="139">
        <f t="shared" si="126"/>
        <v>0</v>
      </c>
      <c r="O305" s="137"/>
      <c r="P305" s="140">
        <f t="shared" si="127"/>
        <v>0.53115999999999985</v>
      </c>
      <c r="Q305" s="135"/>
      <c r="R305" s="104">
        <f t="shared" si="128"/>
        <v>9.4330879999999997</v>
      </c>
      <c r="S305" s="137"/>
      <c r="T305" s="141">
        <f t="shared" si="129"/>
        <v>2.3582719999999995</v>
      </c>
      <c r="U305" s="199">
        <f t="shared" si="130"/>
        <v>1.8271119999999996</v>
      </c>
      <c r="V305" s="37" t="str">
        <f t="shared" si="131"/>
        <v>ok</v>
      </c>
      <c r="W305" s="37" t="str">
        <f t="shared" si="132"/>
        <v>ok</v>
      </c>
    </row>
    <row r="306" spans="1:23" x14ac:dyDescent="0.25">
      <c r="A306" s="420"/>
      <c r="B306" s="178" t="s">
        <v>19</v>
      </c>
      <c r="C306" s="129">
        <v>26</v>
      </c>
      <c r="D306" s="239">
        <f>DMG_18*CMD_11</f>
        <v>6.4880200000000006</v>
      </c>
      <c r="E306" s="131">
        <f>OMG_18*CMO_11</f>
        <v>5.5873599999999994</v>
      </c>
      <c r="F306" s="132">
        <f t="shared" si="121"/>
        <v>4.4698880000000001</v>
      </c>
      <c r="G306" s="133">
        <f t="shared" si="122"/>
        <v>1.1174719999999996</v>
      </c>
      <c r="H306" s="134">
        <f t="shared" si="123"/>
        <v>5.5873599999999994</v>
      </c>
      <c r="I306" s="135"/>
      <c r="J306" s="136">
        <f t="shared" si="124"/>
        <v>0.90066000000000113</v>
      </c>
      <c r="K306" s="137"/>
      <c r="L306" s="138">
        <f t="shared" si="125"/>
        <v>1.1174719999999996</v>
      </c>
      <c r="M306" s="137"/>
      <c r="N306" s="139">
        <f t="shared" si="126"/>
        <v>0</v>
      </c>
      <c r="O306" s="137"/>
      <c r="P306" s="140">
        <f t="shared" si="127"/>
        <v>0</v>
      </c>
      <c r="Q306" s="135"/>
      <c r="R306" s="104">
        <f t="shared" si="128"/>
        <v>4.4698880000000001</v>
      </c>
      <c r="S306" s="137"/>
      <c r="T306" s="141">
        <f t="shared" si="129"/>
        <v>1.1174719999999996</v>
      </c>
      <c r="U306" s="199">
        <f t="shared" si="130"/>
        <v>2.0181320000000005</v>
      </c>
      <c r="V306" s="37" t="str">
        <f t="shared" si="131"/>
        <v>ok</v>
      </c>
      <c r="W306" s="37" t="str">
        <f t="shared" si="132"/>
        <v>ok</v>
      </c>
    </row>
    <row r="307" spans="1:23" x14ac:dyDescent="0.25">
      <c r="A307" s="420"/>
      <c r="B307" s="178" t="s">
        <v>20</v>
      </c>
      <c r="C307" s="129">
        <v>27</v>
      </c>
      <c r="D307" s="239">
        <f>DMG_19*CMD_11</f>
        <v>5.3122099999999994</v>
      </c>
      <c r="E307" s="131">
        <f>OMG_19*CMO_11</f>
        <v>7.4447999999999999</v>
      </c>
      <c r="F307" s="132">
        <f t="shared" si="121"/>
        <v>5.9558400000000002</v>
      </c>
      <c r="G307" s="133">
        <f t="shared" si="122"/>
        <v>1.4889599999999996</v>
      </c>
      <c r="H307" s="134">
        <f t="shared" si="123"/>
        <v>5.3122099999999994</v>
      </c>
      <c r="I307" s="135"/>
      <c r="J307" s="136">
        <f t="shared" si="124"/>
        <v>0</v>
      </c>
      <c r="K307" s="137"/>
      <c r="L307" s="138">
        <f t="shared" si="125"/>
        <v>0</v>
      </c>
      <c r="M307" s="137"/>
      <c r="N307" s="139">
        <f t="shared" si="126"/>
        <v>0.64363000000000081</v>
      </c>
      <c r="O307" s="137"/>
      <c r="P307" s="140">
        <f t="shared" si="127"/>
        <v>1.4889599999999996</v>
      </c>
      <c r="Q307" s="135"/>
      <c r="R307" s="104">
        <f t="shared" si="128"/>
        <v>5.3122099999999994</v>
      </c>
      <c r="S307" s="137"/>
      <c r="T307" s="141">
        <f t="shared" si="129"/>
        <v>2.1325900000000004</v>
      </c>
      <c r="U307" s="199">
        <f t="shared" si="130"/>
        <v>0</v>
      </c>
      <c r="V307" s="37" t="str">
        <f t="shared" si="131"/>
        <v>ok</v>
      </c>
      <c r="W307" s="37" t="str">
        <f t="shared" si="132"/>
        <v>ok</v>
      </c>
    </row>
    <row r="308" spans="1:23" x14ac:dyDescent="0.25">
      <c r="A308" s="420"/>
      <c r="B308" s="178" t="s">
        <v>21</v>
      </c>
      <c r="C308" s="129">
        <v>28</v>
      </c>
      <c r="D308" s="239">
        <f>DMG_20*CMD_11</f>
        <v>9.97715</v>
      </c>
      <c r="E308" s="131">
        <f>OMG_20*CMO_11</f>
        <v>11.791359999999999</v>
      </c>
      <c r="F308" s="132">
        <f t="shared" si="121"/>
        <v>9.4330879999999997</v>
      </c>
      <c r="G308" s="133">
        <f t="shared" si="122"/>
        <v>2.3582719999999995</v>
      </c>
      <c r="H308" s="134">
        <f t="shared" si="123"/>
        <v>9.97715</v>
      </c>
      <c r="I308" s="135"/>
      <c r="J308" s="136">
        <f t="shared" si="124"/>
        <v>0</v>
      </c>
      <c r="K308" s="137"/>
      <c r="L308" s="138">
        <f t="shared" si="125"/>
        <v>0.54406200000000027</v>
      </c>
      <c r="M308" s="137"/>
      <c r="N308" s="139">
        <f t="shared" si="126"/>
        <v>0</v>
      </c>
      <c r="O308" s="137"/>
      <c r="P308" s="140">
        <f t="shared" si="127"/>
        <v>1.8142099999999992</v>
      </c>
      <c r="Q308" s="135"/>
      <c r="R308" s="104">
        <f t="shared" si="128"/>
        <v>9.4330879999999997</v>
      </c>
      <c r="S308" s="137"/>
      <c r="T308" s="141">
        <f t="shared" si="129"/>
        <v>2.3582719999999995</v>
      </c>
      <c r="U308" s="199">
        <f t="shared" si="130"/>
        <v>0.54406200000000027</v>
      </c>
      <c r="V308" s="37" t="str">
        <f t="shared" si="131"/>
        <v>ok</v>
      </c>
      <c r="W308" s="37" t="str">
        <f t="shared" si="132"/>
        <v>ok</v>
      </c>
    </row>
    <row r="309" spans="1:23" x14ac:dyDescent="0.25">
      <c r="A309" s="420"/>
      <c r="B309" s="178" t="s">
        <v>22</v>
      </c>
      <c r="C309" s="129">
        <v>29</v>
      </c>
      <c r="D309" s="239">
        <f>DMG_21*CMD_11</f>
        <v>16.599220000000003</v>
      </c>
      <c r="E309" s="131">
        <f>OMG_21*CMO_11</f>
        <v>22.56</v>
      </c>
      <c r="F309" s="132">
        <f t="shared" si="121"/>
        <v>18.047999999999998</v>
      </c>
      <c r="G309" s="133">
        <f t="shared" si="122"/>
        <v>4.5119999999999987</v>
      </c>
      <c r="H309" s="134">
        <f t="shared" si="123"/>
        <v>16.599220000000003</v>
      </c>
      <c r="I309" s="135"/>
      <c r="J309" s="136">
        <f t="shared" si="124"/>
        <v>0</v>
      </c>
      <c r="K309" s="137"/>
      <c r="L309" s="138">
        <f t="shared" si="125"/>
        <v>0</v>
      </c>
      <c r="M309" s="137"/>
      <c r="N309" s="139">
        <f t="shared" si="126"/>
        <v>1.4487799999999957</v>
      </c>
      <c r="O309" s="137"/>
      <c r="P309" s="140">
        <f t="shared" si="127"/>
        <v>4.5119999999999987</v>
      </c>
      <c r="Q309" s="135"/>
      <c r="R309" s="104">
        <f t="shared" si="128"/>
        <v>16.599220000000003</v>
      </c>
      <c r="S309" s="137"/>
      <c r="T309" s="141">
        <f t="shared" si="129"/>
        <v>5.9607799999999944</v>
      </c>
      <c r="U309" s="199">
        <f t="shared" si="130"/>
        <v>0</v>
      </c>
      <c r="V309" s="37" t="str">
        <f t="shared" si="131"/>
        <v>ok</v>
      </c>
      <c r="W309" s="37" t="str">
        <f t="shared" si="132"/>
        <v>ok</v>
      </c>
    </row>
    <row r="310" spans="1:23" ht="15.75" thickBot="1" x14ac:dyDescent="0.3">
      <c r="A310" s="421"/>
      <c r="B310" s="180" t="s">
        <v>23</v>
      </c>
      <c r="C310" s="237">
        <v>30</v>
      </c>
      <c r="D310" s="240">
        <f>DMG_22*CMD_11</f>
        <v>13.466279999999999</v>
      </c>
      <c r="E310" s="203">
        <f>OMG_22*CMO_11</f>
        <v>15.792</v>
      </c>
      <c r="F310" s="204">
        <f t="shared" si="121"/>
        <v>12.633600000000001</v>
      </c>
      <c r="G310" s="205">
        <f t="shared" si="122"/>
        <v>3.1583999999999994</v>
      </c>
      <c r="H310" s="206">
        <f t="shared" si="123"/>
        <v>13.466279999999999</v>
      </c>
      <c r="I310" s="207"/>
      <c r="J310" s="208">
        <f t="shared" si="124"/>
        <v>0</v>
      </c>
      <c r="K310" s="209"/>
      <c r="L310" s="210">
        <f t="shared" si="125"/>
        <v>0.83267999999999809</v>
      </c>
      <c r="M310" s="209"/>
      <c r="N310" s="211">
        <f t="shared" si="126"/>
        <v>0</v>
      </c>
      <c r="O310" s="209"/>
      <c r="P310" s="212">
        <f t="shared" si="127"/>
        <v>2.3257200000000005</v>
      </c>
      <c r="Q310" s="207"/>
      <c r="R310" s="213">
        <f t="shared" si="128"/>
        <v>12.633600000000001</v>
      </c>
      <c r="S310" s="209"/>
      <c r="T310" s="214">
        <f t="shared" si="129"/>
        <v>3.1583999999999985</v>
      </c>
      <c r="U310" s="215">
        <f t="shared" si="130"/>
        <v>0.83267999999999809</v>
      </c>
      <c r="V310" s="37" t="str">
        <f t="shared" si="131"/>
        <v>ok</v>
      </c>
      <c r="W310" s="37" t="str">
        <f t="shared" si="132"/>
        <v>ok</v>
      </c>
    </row>
    <row r="311" spans="1:23" x14ac:dyDescent="0.25">
      <c r="A311" s="419" t="s">
        <v>100</v>
      </c>
      <c r="B311" s="176" t="s">
        <v>19</v>
      </c>
      <c r="C311" s="241">
        <v>3</v>
      </c>
      <c r="D311" s="238">
        <f>DMG_1*CMD_12</f>
        <v>5.1794599999999997</v>
      </c>
      <c r="E311" s="185">
        <f>OMG_1*CMO_12</f>
        <v>39.194999999999993</v>
      </c>
      <c r="F311" s="186">
        <f t="shared" si="121"/>
        <v>31.355999999999995</v>
      </c>
      <c r="G311" s="187">
        <f t="shared" si="122"/>
        <v>7.8389999999999969</v>
      </c>
      <c r="H311" s="188">
        <f>IF(E311&gt;D311,D311,E311)</f>
        <v>5.1794599999999997</v>
      </c>
      <c r="I311" s="189"/>
      <c r="J311" s="190">
        <f>IF(E311&gt;D311,0,D311-E311)</f>
        <v>0</v>
      </c>
      <c r="K311" s="191"/>
      <c r="L311" s="192">
        <f>IF(E311&gt;D311,IF(F311&gt;H311,0,H311-F311),G311)</f>
        <v>0</v>
      </c>
      <c r="M311" s="191"/>
      <c r="N311" s="193">
        <f>IF(E311&gt;D311,IF(F311&gt;H311,F311-H311,0),0)</f>
        <v>26.176539999999996</v>
      </c>
      <c r="O311" s="191"/>
      <c r="P311" s="194">
        <f>IF(E311&gt;D311,IF(F311&gt;H311,G311,E311-H311),0)</f>
        <v>7.8389999999999969</v>
      </c>
      <c r="Q311" s="189"/>
      <c r="R311" s="195">
        <f>H311-L311</f>
        <v>5.1794599999999997</v>
      </c>
      <c r="S311" s="191"/>
      <c r="T311" s="196">
        <f>L311+N311+P311</f>
        <v>34.015539999999994</v>
      </c>
      <c r="U311" s="197">
        <f>J311+L311</f>
        <v>0</v>
      </c>
      <c r="V311" s="37" t="str">
        <f>IF(R311+T311=E311,"ok","bad")</f>
        <v>ok</v>
      </c>
      <c r="W311" s="37" t="str">
        <f>IF(U311+R311=D311,"ok","bad")</f>
        <v>ok</v>
      </c>
    </row>
    <row r="312" spans="1:23" x14ac:dyDescent="0.25">
      <c r="A312" s="420"/>
      <c r="B312" s="178" t="s">
        <v>20</v>
      </c>
      <c r="C312" s="129">
        <v>4</v>
      </c>
      <c r="D312" s="239">
        <f>DMG_2*CMD_12</f>
        <v>4.0669199999999996</v>
      </c>
      <c r="E312" s="131">
        <f>OMG_2*CMO_12</f>
        <v>28.742999999999999</v>
      </c>
      <c r="F312" s="132">
        <f t="shared" si="121"/>
        <v>22.994399999999999</v>
      </c>
      <c r="G312" s="133">
        <f t="shared" si="122"/>
        <v>5.7485999999999988</v>
      </c>
      <c r="H312" s="134">
        <f t="shared" ref="H312:H331" si="133">IF(E312&gt;D312,D312,E312)</f>
        <v>4.0669199999999996</v>
      </c>
      <c r="I312" s="135"/>
      <c r="J312" s="136">
        <f t="shared" ref="J312:J331" si="134">IF(E312&gt;D312,0,D312-E312)</f>
        <v>0</v>
      </c>
      <c r="K312" s="137"/>
      <c r="L312" s="138">
        <f t="shared" ref="L312:L331" si="135">IF(E312&gt;D312,IF(F312&gt;H312,0,H312-F312),G312)</f>
        <v>0</v>
      </c>
      <c r="M312" s="137"/>
      <c r="N312" s="139">
        <f t="shared" ref="N312:N331" si="136">IF(E312&gt;D312,IF(F312&gt;H312,F312-H312,0),0)</f>
        <v>18.927479999999999</v>
      </c>
      <c r="O312" s="137"/>
      <c r="P312" s="140">
        <f t="shared" ref="P312:P331" si="137">IF(E312&gt;D312,IF(F312&gt;H312,G312,E312-H312),0)</f>
        <v>5.7485999999999988</v>
      </c>
      <c r="Q312" s="135"/>
      <c r="R312" s="104">
        <f t="shared" ref="R312:R331" si="138">H312-L312</f>
        <v>4.0669199999999996</v>
      </c>
      <c r="S312" s="137"/>
      <c r="T312" s="141">
        <f t="shared" ref="T312:T331" si="139">L312+N312+P312</f>
        <v>24.676079999999999</v>
      </c>
      <c r="U312" s="199">
        <f t="shared" ref="U312:U331" si="140">J312+L312</f>
        <v>0</v>
      </c>
      <c r="V312" s="37" t="str">
        <f t="shared" ref="V312:V331" si="141">IF(R312+T312=E312,"ok","bad")</f>
        <v>ok</v>
      </c>
      <c r="W312" s="37" t="str">
        <f t="shared" ref="W312:W331" si="142">IF(U312+R312=D312,"ok","bad")</f>
        <v>ok</v>
      </c>
    </row>
    <row r="313" spans="1:23" x14ac:dyDescent="0.25">
      <c r="A313" s="420"/>
      <c r="B313" s="178" t="s">
        <v>21</v>
      </c>
      <c r="C313" s="129">
        <v>5</v>
      </c>
      <c r="D313" s="239">
        <f>DMG_3*CMD_12</f>
        <v>1.7789199999999998</v>
      </c>
      <c r="E313" s="131">
        <f>OMG_3*CMO_12</f>
        <v>11.758499999999998</v>
      </c>
      <c r="F313" s="132">
        <f t="shared" si="121"/>
        <v>9.4067999999999987</v>
      </c>
      <c r="G313" s="133">
        <f t="shared" si="122"/>
        <v>2.3516999999999992</v>
      </c>
      <c r="H313" s="134">
        <f t="shared" si="133"/>
        <v>1.7789199999999998</v>
      </c>
      <c r="I313" s="135"/>
      <c r="J313" s="136">
        <f t="shared" si="134"/>
        <v>0</v>
      </c>
      <c r="K313" s="137"/>
      <c r="L313" s="138">
        <f t="shared" si="135"/>
        <v>0</v>
      </c>
      <c r="M313" s="137"/>
      <c r="N313" s="139">
        <f t="shared" si="136"/>
        <v>7.6278799999999993</v>
      </c>
      <c r="O313" s="137"/>
      <c r="P313" s="140">
        <f t="shared" si="137"/>
        <v>2.3516999999999992</v>
      </c>
      <c r="Q313" s="135"/>
      <c r="R313" s="104">
        <f t="shared" si="138"/>
        <v>1.7789199999999998</v>
      </c>
      <c r="S313" s="137"/>
      <c r="T313" s="141">
        <f t="shared" si="139"/>
        <v>9.9795799999999986</v>
      </c>
      <c r="U313" s="199">
        <f t="shared" si="140"/>
        <v>0</v>
      </c>
      <c r="V313" s="37" t="str">
        <f t="shared" si="141"/>
        <v>ok</v>
      </c>
      <c r="W313" s="37" t="str">
        <f t="shared" si="142"/>
        <v>ok</v>
      </c>
    </row>
    <row r="314" spans="1:23" x14ac:dyDescent="0.25">
      <c r="A314" s="420"/>
      <c r="B314" s="178" t="s">
        <v>22</v>
      </c>
      <c r="C314" s="129">
        <v>6</v>
      </c>
      <c r="D314" s="239">
        <f>DMG_4*CMD_12</f>
        <v>1.2412399999999999</v>
      </c>
      <c r="E314" s="131">
        <f>OMG_4*CMO_12</f>
        <v>17.63775</v>
      </c>
      <c r="F314" s="132">
        <f t="shared" si="121"/>
        <v>14.110200000000001</v>
      </c>
      <c r="G314" s="133">
        <f t="shared" si="122"/>
        <v>3.5275499999999993</v>
      </c>
      <c r="H314" s="134">
        <f t="shared" si="133"/>
        <v>1.2412399999999999</v>
      </c>
      <c r="I314" s="135"/>
      <c r="J314" s="136">
        <f t="shared" si="134"/>
        <v>0</v>
      </c>
      <c r="K314" s="137"/>
      <c r="L314" s="138">
        <f t="shared" si="135"/>
        <v>0</v>
      </c>
      <c r="M314" s="137"/>
      <c r="N314" s="139">
        <f t="shared" si="136"/>
        <v>12.868960000000001</v>
      </c>
      <c r="O314" s="137"/>
      <c r="P314" s="140">
        <f t="shared" si="137"/>
        <v>3.5275499999999993</v>
      </c>
      <c r="Q314" s="135"/>
      <c r="R314" s="104">
        <f t="shared" si="138"/>
        <v>1.2412399999999999</v>
      </c>
      <c r="S314" s="137"/>
      <c r="T314" s="141">
        <f t="shared" si="139"/>
        <v>16.396509999999999</v>
      </c>
      <c r="U314" s="199">
        <f t="shared" si="140"/>
        <v>0</v>
      </c>
      <c r="V314" s="37" t="str">
        <f t="shared" si="141"/>
        <v>ok</v>
      </c>
      <c r="W314" s="37" t="str">
        <f t="shared" si="142"/>
        <v>ok</v>
      </c>
    </row>
    <row r="315" spans="1:23" x14ac:dyDescent="0.25">
      <c r="A315" s="420"/>
      <c r="B315" s="178" t="s">
        <v>23</v>
      </c>
      <c r="C315" s="129">
        <v>7</v>
      </c>
      <c r="D315" s="239">
        <f>DMG_5*CMD_12</f>
        <v>2.5739999999999998</v>
      </c>
      <c r="E315" s="131">
        <f>OMG_5*CMO_12</f>
        <v>28.742999999999999</v>
      </c>
      <c r="F315" s="132">
        <f t="shared" si="121"/>
        <v>22.994399999999999</v>
      </c>
      <c r="G315" s="133">
        <f t="shared" si="122"/>
        <v>5.7485999999999988</v>
      </c>
      <c r="H315" s="134">
        <f t="shared" si="133"/>
        <v>2.5739999999999998</v>
      </c>
      <c r="I315" s="135"/>
      <c r="J315" s="136">
        <f t="shared" si="134"/>
        <v>0</v>
      </c>
      <c r="K315" s="137"/>
      <c r="L315" s="138">
        <f t="shared" si="135"/>
        <v>0</v>
      </c>
      <c r="M315" s="137"/>
      <c r="N315" s="139">
        <f t="shared" si="136"/>
        <v>20.420400000000001</v>
      </c>
      <c r="O315" s="137"/>
      <c r="P315" s="140">
        <f t="shared" si="137"/>
        <v>5.7485999999999988</v>
      </c>
      <c r="Q315" s="135"/>
      <c r="R315" s="104">
        <f t="shared" si="138"/>
        <v>2.5739999999999998</v>
      </c>
      <c r="S315" s="137"/>
      <c r="T315" s="141">
        <f t="shared" si="139"/>
        <v>26.169</v>
      </c>
      <c r="U315" s="199">
        <f t="shared" si="140"/>
        <v>0</v>
      </c>
      <c r="V315" s="37" t="str">
        <f t="shared" si="141"/>
        <v>ok</v>
      </c>
      <c r="W315" s="37" t="str">
        <f t="shared" si="142"/>
        <v>ok</v>
      </c>
    </row>
    <row r="316" spans="1:23" x14ac:dyDescent="0.25">
      <c r="A316" s="420"/>
      <c r="B316" s="178" t="s">
        <v>19</v>
      </c>
      <c r="C316" s="129">
        <v>10</v>
      </c>
      <c r="D316" s="239">
        <f>DMG_6*CMD_12</f>
        <v>8.2653999999999996</v>
      </c>
      <c r="E316" s="131">
        <f>OMG_6*CMO_12</f>
        <v>20.099999999999998</v>
      </c>
      <c r="F316" s="132">
        <f t="shared" si="121"/>
        <v>16.079999999999998</v>
      </c>
      <c r="G316" s="133">
        <f t="shared" si="122"/>
        <v>4.0199999999999987</v>
      </c>
      <c r="H316" s="134">
        <f t="shared" si="133"/>
        <v>8.2653999999999996</v>
      </c>
      <c r="I316" s="135"/>
      <c r="J316" s="136">
        <f t="shared" si="134"/>
        <v>0</v>
      </c>
      <c r="K316" s="137"/>
      <c r="L316" s="138">
        <f t="shared" si="135"/>
        <v>0</v>
      </c>
      <c r="M316" s="137"/>
      <c r="N316" s="139">
        <f t="shared" si="136"/>
        <v>7.8145999999999987</v>
      </c>
      <c r="O316" s="137"/>
      <c r="P316" s="140">
        <f t="shared" si="137"/>
        <v>4.0199999999999987</v>
      </c>
      <c r="Q316" s="135"/>
      <c r="R316" s="104">
        <f t="shared" si="138"/>
        <v>8.2653999999999996</v>
      </c>
      <c r="S316" s="137"/>
      <c r="T316" s="141">
        <f t="shared" si="139"/>
        <v>11.834599999999998</v>
      </c>
      <c r="U316" s="199">
        <f t="shared" si="140"/>
        <v>0</v>
      </c>
      <c r="V316" s="37" t="str">
        <f t="shared" si="141"/>
        <v>ok</v>
      </c>
      <c r="W316" s="37" t="str">
        <f t="shared" si="142"/>
        <v>ok</v>
      </c>
    </row>
    <row r="317" spans="1:23" x14ac:dyDescent="0.25">
      <c r="A317" s="420"/>
      <c r="B317" s="178" t="s">
        <v>20</v>
      </c>
      <c r="C317" s="129">
        <v>11</v>
      </c>
      <c r="D317" s="239">
        <f>DMG_7*CMD_12</f>
        <v>6.7038399999999996</v>
      </c>
      <c r="E317" s="131">
        <f>OMG_7*CMO_12</f>
        <v>20.602499999999999</v>
      </c>
      <c r="F317" s="132">
        <f t="shared" si="121"/>
        <v>16.481999999999999</v>
      </c>
      <c r="G317" s="133">
        <f t="shared" si="122"/>
        <v>4.1204999999999989</v>
      </c>
      <c r="H317" s="134">
        <f t="shared" si="133"/>
        <v>6.7038399999999996</v>
      </c>
      <c r="I317" s="135"/>
      <c r="J317" s="136">
        <f t="shared" si="134"/>
        <v>0</v>
      </c>
      <c r="K317" s="137"/>
      <c r="L317" s="138">
        <f t="shared" si="135"/>
        <v>0</v>
      </c>
      <c r="M317" s="137"/>
      <c r="N317" s="139">
        <f t="shared" si="136"/>
        <v>9.7781599999999997</v>
      </c>
      <c r="O317" s="137"/>
      <c r="P317" s="140">
        <f t="shared" si="137"/>
        <v>4.1204999999999989</v>
      </c>
      <c r="Q317" s="135"/>
      <c r="R317" s="104">
        <f t="shared" si="138"/>
        <v>6.7038399999999996</v>
      </c>
      <c r="S317" s="137"/>
      <c r="T317" s="141">
        <f t="shared" si="139"/>
        <v>13.89866</v>
      </c>
      <c r="U317" s="199">
        <f t="shared" si="140"/>
        <v>0</v>
      </c>
      <c r="V317" s="37" t="str">
        <f t="shared" si="141"/>
        <v>ok</v>
      </c>
      <c r="W317" s="37" t="str">
        <f t="shared" si="142"/>
        <v>ok</v>
      </c>
    </row>
    <row r="318" spans="1:23" x14ac:dyDescent="0.25">
      <c r="A318" s="420"/>
      <c r="B318" s="178" t="s">
        <v>21</v>
      </c>
      <c r="C318" s="129">
        <v>12</v>
      </c>
      <c r="D318" s="239">
        <f>DMG_8*CMD_12</f>
        <v>3.8752999999999997</v>
      </c>
      <c r="E318" s="131">
        <f>OMG_8*CMO_12</f>
        <v>11.055</v>
      </c>
      <c r="F318" s="132">
        <f t="shared" si="121"/>
        <v>8.8439999999999994</v>
      </c>
      <c r="G318" s="133">
        <f t="shared" si="122"/>
        <v>2.2109999999999994</v>
      </c>
      <c r="H318" s="134">
        <f t="shared" si="133"/>
        <v>3.8752999999999997</v>
      </c>
      <c r="I318" s="135"/>
      <c r="J318" s="136">
        <f t="shared" si="134"/>
        <v>0</v>
      </c>
      <c r="K318" s="137"/>
      <c r="L318" s="138">
        <f t="shared" si="135"/>
        <v>0</v>
      </c>
      <c r="M318" s="137"/>
      <c r="N318" s="139">
        <f t="shared" si="136"/>
        <v>4.9687000000000001</v>
      </c>
      <c r="O318" s="137"/>
      <c r="P318" s="140">
        <f t="shared" si="137"/>
        <v>2.2109999999999994</v>
      </c>
      <c r="Q318" s="135"/>
      <c r="R318" s="104">
        <f t="shared" si="138"/>
        <v>3.8752999999999997</v>
      </c>
      <c r="S318" s="137"/>
      <c r="T318" s="141">
        <f t="shared" si="139"/>
        <v>7.1796999999999995</v>
      </c>
      <c r="U318" s="199">
        <f t="shared" si="140"/>
        <v>0</v>
      </c>
      <c r="V318" s="37" t="str">
        <f t="shared" si="141"/>
        <v>ok</v>
      </c>
      <c r="W318" s="37" t="str">
        <f t="shared" si="142"/>
        <v>ok</v>
      </c>
    </row>
    <row r="319" spans="1:23" x14ac:dyDescent="0.25">
      <c r="A319" s="420"/>
      <c r="B319" s="178" t="s">
        <v>22</v>
      </c>
      <c r="C319" s="129">
        <v>13</v>
      </c>
      <c r="D319" s="239">
        <f>DMG_9*CMD_12</f>
        <v>3.1288399999999994</v>
      </c>
      <c r="E319" s="131">
        <f>OMG_9*CMO_12</f>
        <v>14.069999999999999</v>
      </c>
      <c r="F319" s="132">
        <f t="shared" si="121"/>
        <v>11.256</v>
      </c>
      <c r="G319" s="133">
        <f t="shared" si="122"/>
        <v>2.8139999999999992</v>
      </c>
      <c r="H319" s="134">
        <f t="shared" si="133"/>
        <v>3.1288399999999994</v>
      </c>
      <c r="I319" s="135"/>
      <c r="J319" s="136">
        <f t="shared" si="134"/>
        <v>0</v>
      </c>
      <c r="K319" s="137"/>
      <c r="L319" s="138">
        <f t="shared" si="135"/>
        <v>0</v>
      </c>
      <c r="M319" s="137"/>
      <c r="N319" s="139">
        <f t="shared" si="136"/>
        <v>8.1271599999999999</v>
      </c>
      <c r="O319" s="137"/>
      <c r="P319" s="140">
        <f t="shared" si="137"/>
        <v>2.8139999999999992</v>
      </c>
      <c r="Q319" s="135"/>
      <c r="R319" s="104">
        <f t="shared" si="138"/>
        <v>3.1288399999999994</v>
      </c>
      <c r="S319" s="137"/>
      <c r="T319" s="141">
        <f t="shared" si="139"/>
        <v>10.94116</v>
      </c>
      <c r="U319" s="199">
        <f t="shared" si="140"/>
        <v>0</v>
      </c>
      <c r="V319" s="37" t="str">
        <f t="shared" si="141"/>
        <v>ok</v>
      </c>
      <c r="W319" s="37" t="str">
        <f t="shared" si="142"/>
        <v>ok</v>
      </c>
    </row>
    <row r="320" spans="1:23" x14ac:dyDescent="0.25">
      <c r="A320" s="420"/>
      <c r="B320" s="178" t="s">
        <v>23</v>
      </c>
      <c r="C320" s="129">
        <v>14</v>
      </c>
      <c r="D320" s="239">
        <f>DMG_10*CMD_12</f>
        <v>5.9602399999999998</v>
      </c>
      <c r="E320" s="131">
        <f>OMG_10*CMO_12</f>
        <v>19.094999999999999</v>
      </c>
      <c r="F320" s="132">
        <f t="shared" si="121"/>
        <v>15.276</v>
      </c>
      <c r="G320" s="133">
        <f t="shared" si="122"/>
        <v>3.8189999999999991</v>
      </c>
      <c r="H320" s="134">
        <f t="shared" si="133"/>
        <v>5.9602399999999998</v>
      </c>
      <c r="I320" s="135"/>
      <c r="J320" s="136">
        <f t="shared" si="134"/>
        <v>0</v>
      </c>
      <c r="K320" s="137"/>
      <c r="L320" s="138">
        <f t="shared" si="135"/>
        <v>0</v>
      </c>
      <c r="M320" s="137"/>
      <c r="N320" s="139">
        <f t="shared" si="136"/>
        <v>9.3157600000000009</v>
      </c>
      <c r="O320" s="137"/>
      <c r="P320" s="140">
        <f t="shared" si="137"/>
        <v>3.8189999999999991</v>
      </c>
      <c r="Q320" s="135"/>
      <c r="R320" s="104">
        <f t="shared" si="138"/>
        <v>5.9602399999999998</v>
      </c>
      <c r="S320" s="137"/>
      <c r="T320" s="141">
        <f t="shared" si="139"/>
        <v>13.13476</v>
      </c>
      <c r="U320" s="199">
        <f t="shared" si="140"/>
        <v>0</v>
      </c>
      <c r="V320" s="37" t="str">
        <f t="shared" si="141"/>
        <v>ok</v>
      </c>
      <c r="W320" s="37" t="str">
        <f t="shared" si="142"/>
        <v>ok</v>
      </c>
    </row>
    <row r="321" spans="1:23" x14ac:dyDescent="0.25">
      <c r="A321" s="420"/>
      <c r="B321" s="178" t="s">
        <v>19</v>
      </c>
      <c r="C321" s="129">
        <v>17</v>
      </c>
      <c r="D321" s="239">
        <f>DMG_11*CMD_12</f>
        <v>5.1794599999999997</v>
      </c>
      <c r="E321" s="131">
        <f>OMG_11*CMO_12</f>
        <v>30.15</v>
      </c>
      <c r="F321" s="132">
        <f t="shared" si="121"/>
        <v>24.12</v>
      </c>
      <c r="G321" s="133">
        <f t="shared" si="122"/>
        <v>6.0299999999999985</v>
      </c>
      <c r="H321" s="134">
        <f t="shared" si="133"/>
        <v>5.1794599999999997</v>
      </c>
      <c r="I321" s="135"/>
      <c r="J321" s="136">
        <f t="shared" si="134"/>
        <v>0</v>
      </c>
      <c r="K321" s="137"/>
      <c r="L321" s="138">
        <f t="shared" si="135"/>
        <v>0</v>
      </c>
      <c r="M321" s="137"/>
      <c r="N321" s="139">
        <f t="shared" si="136"/>
        <v>18.940540000000002</v>
      </c>
      <c r="O321" s="137"/>
      <c r="P321" s="140">
        <f t="shared" si="137"/>
        <v>6.0299999999999985</v>
      </c>
      <c r="Q321" s="135"/>
      <c r="R321" s="104">
        <f t="shared" si="138"/>
        <v>5.1794599999999997</v>
      </c>
      <c r="S321" s="137"/>
      <c r="T321" s="141">
        <f t="shared" si="139"/>
        <v>24.97054</v>
      </c>
      <c r="U321" s="199">
        <f t="shared" si="140"/>
        <v>0</v>
      </c>
      <c r="V321" s="37" t="str">
        <f t="shared" si="141"/>
        <v>ok</v>
      </c>
      <c r="W321" s="37" t="str">
        <f t="shared" si="142"/>
        <v>ok</v>
      </c>
    </row>
    <row r="322" spans="1:23" x14ac:dyDescent="0.25">
      <c r="A322" s="420"/>
      <c r="B322" s="178" t="s">
        <v>20</v>
      </c>
      <c r="C322" s="129">
        <v>18</v>
      </c>
      <c r="D322" s="239">
        <f>DMG_12*CMD_12</f>
        <v>4.0669199999999996</v>
      </c>
      <c r="E322" s="131">
        <f>OMG_12*CMO_12</f>
        <v>23.114999999999998</v>
      </c>
      <c r="F322" s="132">
        <f t="shared" si="121"/>
        <v>18.492000000000001</v>
      </c>
      <c r="G322" s="133">
        <f t="shared" si="122"/>
        <v>4.6229999999999984</v>
      </c>
      <c r="H322" s="134">
        <f t="shared" si="133"/>
        <v>4.0669199999999996</v>
      </c>
      <c r="I322" s="135"/>
      <c r="J322" s="136">
        <f t="shared" si="134"/>
        <v>0</v>
      </c>
      <c r="K322" s="137"/>
      <c r="L322" s="138">
        <f t="shared" si="135"/>
        <v>0</v>
      </c>
      <c r="M322" s="137"/>
      <c r="N322" s="139">
        <f t="shared" si="136"/>
        <v>14.425080000000001</v>
      </c>
      <c r="O322" s="137"/>
      <c r="P322" s="140">
        <f t="shared" si="137"/>
        <v>4.6229999999999984</v>
      </c>
      <c r="Q322" s="135"/>
      <c r="R322" s="104">
        <f t="shared" si="138"/>
        <v>4.0669199999999996</v>
      </c>
      <c r="S322" s="137"/>
      <c r="T322" s="141">
        <f t="shared" si="139"/>
        <v>19.048079999999999</v>
      </c>
      <c r="U322" s="199">
        <f t="shared" si="140"/>
        <v>0</v>
      </c>
      <c r="V322" s="37" t="str">
        <f t="shared" si="141"/>
        <v>ok</v>
      </c>
      <c r="W322" s="37" t="str">
        <f t="shared" si="142"/>
        <v>ok</v>
      </c>
    </row>
    <row r="323" spans="1:23" x14ac:dyDescent="0.25">
      <c r="A323" s="420"/>
      <c r="B323" s="178" t="s">
        <v>21</v>
      </c>
      <c r="C323" s="129">
        <v>19</v>
      </c>
      <c r="D323" s="239">
        <f>DMG_13*CMD_12</f>
        <v>1.7789199999999998</v>
      </c>
      <c r="E323" s="131">
        <f>OMG_13*CMO_12</f>
        <v>11.055</v>
      </c>
      <c r="F323" s="132">
        <f t="shared" si="121"/>
        <v>8.8439999999999994</v>
      </c>
      <c r="G323" s="133">
        <f t="shared" si="122"/>
        <v>2.2109999999999994</v>
      </c>
      <c r="H323" s="134">
        <f t="shared" si="133"/>
        <v>1.7789199999999998</v>
      </c>
      <c r="I323" s="135"/>
      <c r="J323" s="136">
        <f t="shared" si="134"/>
        <v>0</v>
      </c>
      <c r="K323" s="137"/>
      <c r="L323" s="138">
        <f t="shared" si="135"/>
        <v>0</v>
      </c>
      <c r="M323" s="137"/>
      <c r="N323" s="139">
        <f t="shared" si="136"/>
        <v>7.06508</v>
      </c>
      <c r="O323" s="137"/>
      <c r="P323" s="140">
        <f t="shared" si="137"/>
        <v>2.2109999999999994</v>
      </c>
      <c r="Q323" s="135"/>
      <c r="R323" s="104">
        <f t="shared" si="138"/>
        <v>1.7789199999999998</v>
      </c>
      <c r="S323" s="137"/>
      <c r="T323" s="141">
        <f t="shared" si="139"/>
        <v>9.2760800000000003</v>
      </c>
      <c r="U323" s="199">
        <f t="shared" si="140"/>
        <v>0</v>
      </c>
      <c r="V323" s="37" t="str">
        <f t="shared" si="141"/>
        <v>ok</v>
      </c>
      <c r="W323" s="37" t="str">
        <f t="shared" si="142"/>
        <v>ok</v>
      </c>
    </row>
    <row r="324" spans="1:23" x14ac:dyDescent="0.25">
      <c r="A324" s="420"/>
      <c r="B324" s="178" t="s">
        <v>22</v>
      </c>
      <c r="C324" s="129">
        <v>20</v>
      </c>
      <c r="D324" s="239">
        <f>DMG_14*CMD_12</f>
        <v>1.2412399999999999</v>
      </c>
      <c r="E324" s="131">
        <f>OMG_14*CMO_12</f>
        <v>18.592499999999998</v>
      </c>
      <c r="F324" s="132">
        <f t="shared" si="121"/>
        <v>14.873999999999999</v>
      </c>
      <c r="G324" s="133">
        <f t="shared" si="122"/>
        <v>3.7184999999999988</v>
      </c>
      <c r="H324" s="134">
        <f t="shared" si="133"/>
        <v>1.2412399999999999</v>
      </c>
      <c r="I324" s="135"/>
      <c r="J324" s="136">
        <f t="shared" si="134"/>
        <v>0</v>
      </c>
      <c r="K324" s="137"/>
      <c r="L324" s="138">
        <f t="shared" si="135"/>
        <v>0</v>
      </c>
      <c r="M324" s="137"/>
      <c r="N324" s="139">
        <f t="shared" si="136"/>
        <v>13.632759999999999</v>
      </c>
      <c r="O324" s="137"/>
      <c r="P324" s="140">
        <f t="shared" si="137"/>
        <v>3.7184999999999988</v>
      </c>
      <c r="Q324" s="135"/>
      <c r="R324" s="104">
        <f t="shared" si="138"/>
        <v>1.2412399999999999</v>
      </c>
      <c r="S324" s="137"/>
      <c r="T324" s="141">
        <f t="shared" si="139"/>
        <v>17.351259999999996</v>
      </c>
      <c r="U324" s="199">
        <f t="shared" si="140"/>
        <v>0</v>
      </c>
      <c r="V324" s="37" t="str">
        <f t="shared" si="141"/>
        <v>ok</v>
      </c>
      <c r="W324" s="37" t="str">
        <f t="shared" si="142"/>
        <v>ok</v>
      </c>
    </row>
    <row r="325" spans="1:23" x14ac:dyDescent="0.25">
      <c r="A325" s="420"/>
      <c r="B325" s="178" t="s">
        <v>23</v>
      </c>
      <c r="C325" s="129">
        <v>21</v>
      </c>
      <c r="D325" s="239">
        <f>DMG_15*CMD_12</f>
        <v>2.5739999999999998</v>
      </c>
      <c r="E325" s="131">
        <f>OMG_15*CMO_12</f>
        <v>22.11</v>
      </c>
      <c r="F325" s="132">
        <f t="shared" si="121"/>
        <v>17.687999999999999</v>
      </c>
      <c r="G325" s="133">
        <f t="shared" si="122"/>
        <v>4.4219999999999988</v>
      </c>
      <c r="H325" s="134">
        <f t="shared" si="133"/>
        <v>2.5739999999999998</v>
      </c>
      <c r="I325" s="135"/>
      <c r="J325" s="136">
        <f t="shared" si="134"/>
        <v>0</v>
      </c>
      <c r="K325" s="137"/>
      <c r="L325" s="138">
        <f t="shared" si="135"/>
        <v>0</v>
      </c>
      <c r="M325" s="137"/>
      <c r="N325" s="139">
        <f t="shared" si="136"/>
        <v>15.113999999999999</v>
      </c>
      <c r="O325" s="137"/>
      <c r="P325" s="140">
        <f t="shared" si="137"/>
        <v>4.4219999999999988</v>
      </c>
      <c r="Q325" s="135"/>
      <c r="R325" s="104">
        <f t="shared" si="138"/>
        <v>2.5739999999999998</v>
      </c>
      <c r="S325" s="137"/>
      <c r="T325" s="141">
        <f t="shared" si="139"/>
        <v>19.535999999999998</v>
      </c>
      <c r="U325" s="199">
        <f t="shared" si="140"/>
        <v>0</v>
      </c>
      <c r="V325" s="37" t="str">
        <f t="shared" si="141"/>
        <v>ok</v>
      </c>
      <c r="W325" s="37" t="str">
        <f t="shared" si="142"/>
        <v>ok</v>
      </c>
    </row>
    <row r="326" spans="1:23" x14ac:dyDescent="0.25">
      <c r="A326" s="420"/>
      <c r="B326" s="178" t="s">
        <v>19</v>
      </c>
      <c r="C326" s="129">
        <v>24</v>
      </c>
      <c r="D326" s="239">
        <f>DMG_16*CMD_12</f>
        <v>10.330319999999999</v>
      </c>
      <c r="E326" s="131">
        <f>OMG_16*CMO_12</f>
        <v>24.873749999999998</v>
      </c>
      <c r="F326" s="132">
        <f t="shared" si="121"/>
        <v>19.899000000000001</v>
      </c>
      <c r="G326" s="133">
        <f t="shared" si="122"/>
        <v>4.9747499999999985</v>
      </c>
      <c r="H326" s="134">
        <f t="shared" si="133"/>
        <v>10.330319999999999</v>
      </c>
      <c r="I326" s="135"/>
      <c r="J326" s="136">
        <f t="shared" si="134"/>
        <v>0</v>
      </c>
      <c r="K326" s="137"/>
      <c r="L326" s="138">
        <f t="shared" si="135"/>
        <v>0</v>
      </c>
      <c r="M326" s="137"/>
      <c r="N326" s="139">
        <f t="shared" si="136"/>
        <v>9.5686800000000023</v>
      </c>
      <c r="O326" s="137"/>
      <c r="P326" s="140">
        <f t="shared" si="137"/>
        <v>4.9747499999999985</v>
      </c>
      <c r="Q326" s="135"/>
      <c r="R326" s="104">
        <f t="shared" si="138"/>
        <v>10.330319999999999</v>
      </c>
      <c r="S326" s="137"/>
      <c r="T326" s="141">
        <f t="shared" si="139"/>
        <v>14.543430000000001</v>
      </c>
      <c r="U326" s="199">
        <f t="shared" si="140"/>
        <v>0</v>
      </c>
      <c r="V326" s="37" t="str">
        <f t="shared" si="141"/>
        <v>ok</v>
      </c>
      <c r="W326" s="37" t="str">
        <f t="shared" si="142"/>
        <v>ok</v>
      </c>
    </row>
    <row r="327" spans="1:23" x14ac:dyDescent="0.25">
      <c r="A327" s="420"/>
      <c r="B327" s="178" t="s">
        <v>20</v>
      </c>
      <c r="C327" s="129">
        <v>25</v>
      </c>
      <c r="D327" s="239">
        <f>DMG_17*CMD_12</f>
        <v>8.4083999999999985</v>
      </c>
      <c r="E327" s="131">
        <f>OMG_17*CMO_12</f>
        <v>15.758399999999998</v>
      </c>
      <c r="F327" s="132">
        <f t="shared" si="121"/>
        <v>12.606719999999999</v>
      </c>
      <c r="G327" s="133">
        <f t="shared" si="122"/>
        <v>3.1516799999999989</v>
      </c>
      <c r="H327" s="134">
        <f t="shared" si="133"/>
        <v>8.4083999999999985</v>
      </c>
      <c r="I327" s="135"/>
      <c r="J327" s="136">
        <f t="shared" si="134"/>
        <v>0</v>
      </c>
      <c r="K327" s="137"/>
      <c r="L327" s="138">
        <f t="shared" si="135"/>
        <v>0</v>
      </c>
      <c r="M327" s="137"/>
      <c r="N327" s="139">
        <f t="shared" si="136"/>
        <v>4.1983200000000007</v>
      </c>
      <c r="O327" s="137"/>
      <c r="P327" s="140">
        <f t="shared" si="137"/>
        <v>3.1516799999999989</v>
      </c>
      <c r="Q327" s="135"/>
      <c r="R327" s="104">
        <f t="shared" si="138"/>
        <v>8.4083999999999985</v>
      </c>
      <c r="S327" s="137"/>
      <c r="T327" s="141">
        <f t="shared" si="139"/>
        <v>7.35</v>
      </c>
      <c r="U327" s="199">
        <f t="shared" si="140"/>
        <v>0</v>
      </c>
      <c r="V327" s="37" t="str">
        <f t="shared" si="141"/>
        <v>ok</v>
      </c>
      <c r="W327" s="37" t="str">
        <f t="shared" si="142"/>
        <v>ok</v>
      </c>
    </row>
    <row r="328" spans="1:23" x14ac:dyDescent="0.25">
      <c r="A328" s="420"/>
      <c r="B328" s="178" t="s">
        <v>21</v>
      </c>
      <c r="C328" s="129">
        <v>26</v>
      </c>
      <c r="D328" s="239">
        <f>DMG_18*CMD_12</f>
        <v>4.8448399999999996</v>
      </c>
      <c r="E328" s="131">
        <f>OMG_18*CMO_12</f>
        <v>7.4671499999999993</v>
      </c>
      <c r="F328" s="132">
        <f t="shared" si="121"/>
        <v>5.9737200000000001</v>
      </c>
      <c r="G328" s="133">
        <f t="shared" si="122"/>
        <v>1.4934299999999996</v>
      </c>
      <c r="H328" s="134">
        <f t="shared" si="133"/>
        <v>4.8448399999999996</v>
      </c>
      <c r="I328" s="135"/>
      <c r="J328" s="136">
        <f t="shared" si="134"/>
        <v>0</v>
      </c>
      <c r="K328" s="137"/>
      <c r="L328" s="138">
        <f t="shared" si="135"/>
        <v>0</v>
      </c>
      <c r="M328" s="137"/>
      <c r="N328" s="139">
        <f t="shared" si="136"/>
        <v>1.1288800000000005</v>
      </c>
      <c r="O328" s="137"/>
      <c r="P328" s="140">
        <f t="shared" si="137"/>
        <v>1.4934299999999996</v>
      </c>
      <c r="Q328" s="135"/>
      <c r="R328" s="104">
        <f t="shared" si="138"/>
        <v>4.8448399999999996</v>
      </c>
      <c r="S328" s="137"/>
      <c r="T328" s="141">
        <f t="shared" si="139"/>
        <v>2.6223100000000001</v>
      </c>
      <c r="U328" s="199">
        <f t="shared" si="140"/>
        <v>0</v>
      </c>
      <c r="V328" s="37" t="str">
        <f t="shared" si="141"/>
        <v>ok</v>
      </c>
      <c r="W328" s="37" t="str">
        <f t="shared" si="142"/>
        <v>ok</v>
      </c>
    </row>
    <row r="329" spans="1:23" x14ac:dyDescent="0.25">
      <c r="A329" s="420"/>
      <c r="B329" s="178" t="s">
        <v>22</v>
      </c>
      <c r="C329" s="129">
        <v>27</v>
      </c>
      <c r="D329" s="239">
        <f>DMG_19*CMD_12</f>
        <v>3.9668199999999993</v>
      </c>
      <c r="E329" s="131">
        <f>OMG_19*CMO_12</f>
        <v>9.9494999999999987</v>
      </c>
      <c r="F329" s="132">
        <f t="shared" si="121"/>
        <v>7.9595999999999991</v>
      </c>
      <c r="G329" s="133">
        <f t="shared" si="122"/>
        <v>1.9898999999999993</v>
      </c>
      <c r="H329" s="134">
        <f t="shared" si="133"/>
        <v>3.9668199999999993</v>
      </c>
      <c r="I329" s="135"/>
      <c r="J329" s="136">
        <f t="shared" si="134"/>
        <v>0</v>
      </c>
      <c r="K329" s="137"/>
      <c r="L329" s="138">
        <f t="shared" si="135"/>
        <v>0</v>
      </c>
      <c r="M329" s="137"/>
      <c r="N329" s="139">
        <f t="shared" si="136"/>
        <v>3.9927799999999998</v>
      </c>
      <c r="O329" s="137"/>
      <c r="P329" s="140">
        <f t="shared" si="137"/>
        <v>1.9898999999999993</v>
      </c>
      <c r="Q329" s="135"/>
      <c r="R329" s="104">
        <f t="shared" si="138"/>
        <v>3.9668199999999993</v>
      </c>
      <c r="S329" s="137"/>
      <c r="T329" s="141">
        <f t="shared" si="139"/>
        <v>5.9826799999999993</v>
      </c>
      <c r="U329" s="199">
        <f t="shared" si="140"/>
        <v>0</v>
      </c>
      <c r="V329" s="37" t="str">
        <f t="shared" si="141"/>
        <v>ok</v>
      </c>
      <c r="W329" s="37" t="str">
        <f t="shared" si="142"/>
        <v>ok</v>
      </c>
    </row>
    <row r="330" spans="1:23" x14ac:dyDescent="0.25">
      <c r="A330" s="420"/>
      <c r="B330" s="178" t="s">
        <v>23</v>
      </c>
      <c r="C330" s="129">
        <v>28</v>
      </c>
      <c r="D330" s="239">
        <f>DMG_20*CMD_12</f>
        <v>7.4502999999999995</v>
      </c>
      <c r="E330" s="131">
        <f>OMG_20*CMO_12</f>
        <v>15.758399999999998</v>
      </c>
      <c r="F330" s="132">
        <f t="shared" si="121"/>
        <v>12.606719999999999</v>
      </c>
      <c r="G330" s="133">
        <f t="shared" si="122"/>
        <v>3.1516799999999989</v>
      </c>
      <c r="H330" s="134">
        <f t="shared" si="133"/>
        <v>7.4502999999999995</v>
      </c>
      <c r="I330" s="135"/>
      <c r="J330" s="136">
        <f t="shared" si="134"/>
        <v>0</v>
      </c>
      <c r="K330" s="137"/>
      <c r="L330" s="138">
        <f t="shared" si="135"/>
        <v>0</v>
      </c>
      <c r="M330" s="137"/>
      <c r="N330" s="139">
        <f t="shared" si="136"/>
        <v>5.1564199999999998</v>
      </c>
      <c r="O330" s="137"/>
      <c r="P330" s="140">
        <f t="shared" si="137"/>
        <v>3.1516799999999989</v>
      </c>
      <c r="Q330" s="135"/>
      <c r="R330" s="104">
        <f t="shared" si="138"/>
        <v>7.4502999999999995</v>
      </c>
      <c r="S330" s="137"/>
      <c r="T330" s="141">
        <f t="shared" si="139"/>
        <v>8.3080999999999996</v>
      </c>
      <c r="U330" s="199">
        <f t="shared" si="140"/>
        <v>0</v>
      </c>
      <c r="V330" s="37" t="str">
        <f t="shared" si="141"/>
        <v>ok</v>
      </c>
      <c r="W330" s="37" t="str">
        <f t="shared" si="142"/>
        <v>ok</v>
      </c>
    </row>
    <row r="331" spans="1:23" ht="15.75" thickBot="1" x14ac:dyDescent="0.3">
      <c r="A331" s="421"/>
      <c r="B331" s="180" t="s">
        <v>19</v>
      </c>
      <c r="C331" s="237">
        <v>31</v>
      </c>
      <c r="D331" s="240">
        <f>DMG_21*CMD_12</f>
        <v>12.395239999999999</v>
      </c>
      <c r="E331" s="203">
        <f>OMG_21*CMO_12</f>
        <v>30.15</v>
      </c>
      <c r="F331" s="204">
        <f t="shared" si="121"/>
        <v>24.12</v>
      </c>
      <c r="G331" s="205">
        <f t="shared" si="122"/>
        <v>6.0299999999999985</v>
      </c>
      <c r="H331" s="206">
        <f t="shared" si="133"/>
        <v>12.395239999999999</v>
      </c>
      <c r="I331" s="207"/>
      <c r="J331" s="208">
        <f t="shared" si="134"/>
        <v>0</v>
      </c>
      <c r="K331" s="209"/>
      <c r="L331" s="210">
        <f t="shared" si="135"/>
        <v>0</v>
      </c>
      <c r="M331" s="209"/>
      <c r="N331" s="211">
        <f t="shared" si="136"/>
        <v>11.724760000000002</v>
      </c>
      <c r="O331" s="209"/>
      <c r="P331" s="212">
        <f t="shared" si="137"/>
        <v>6.0299999999999985</v>
      </c>
      <c r="Q331" s="207"/>
      <c r="R331" s="213">
        <f t="shared" si="138"/>
        <v>12.395239999999999</v>
      </c>
      <c r="S331" s="209"/>
      <c r="T331" s="214">
        <f t="shared" si="139"/>
        <v>17.754760000000001</v>
      </c>
      <c r="U331" s="215">
        <f t="shared" si="140"/>
        <v>0</v>
      </c>
      <c r="V331" s="37" t="str">
        <f t="shared" si="141"/>
        <v>ok</v>
      </c>
      <c r="W331" s="37" t="str">
        <f t="shared" si="142"/>
        <v>ok</v>
      </c>
    </row>
    <row r="332" spans="1:23" x14ac:dyDescent="0.25"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</row>
    <row r="356" spans="1:23" ht="15.75" thickBot="1" x14ac:dyDescent="0.3"/>
    <row r="357" spans="1:23" ht="51.75" thickBot="1" x14ac:dyDescent="0.3">
      <c r="A357" s="175">
        <v>2018</v>
      </c>
      <c r="B357" s="216"/>
      <c r="C357" s="217"/>
      <c r="D357" s="218" t="s">
        <v>40</v>
      </c>
      <c r="E357" s="219" t="s">
        <v>41</v>
      </c>
      <c r="F357" s="220" t="s">
        <v>42</v>
      </c>
      <c r="G357" s="221" t="s">
        <v>43</v>
      </c>
      <c r="H357" s="222" t="s">
        <v>44</v>
      </c>
      <c r="I357" s="223"/>
      <c r="J357" s="224" t="s">
        <v>45</v>
      </c>
      <c r="K357" s="225"/>
      <c r="L357" s="226" t="s">
        <v>46</v>
      </c>
      <c r="M357" s="225"/>
      <c r="N357" s="227" t="s">
        <v>47</v>
      </c>
      <c r="O357" s="225"/>
      <c r="P357" s="228" t="s">
        <v>48</v>
      </c>
      <c r="Q357" s="223"/>
      <c r="R357" s="229" t="s">
        <v>49</v>
      </c>
      <c r="S357" s="225"/>
      <c r="T357" s="230" t="s">
        <v>50</v>
      </c>
      <c r="U357" s="231" t="s">
        <v>51</v>
      </c>
      <c r="V357" s="32" t="s">
        <v>52</v>
      </c>
    </row>
    <row r="358" spans="1:23" x14ac:dyDescent="0.25">
      <c r="B358" s="246" t="s">
        <v>74</v>
      </c>
      <c r="C358" s="247">
        <v>1</v>
      </c>
      <c r="D358" s="184">
        <f>SUM(D71:D93)</f>
        <v>114.96351999999999</v>
      </c>
      <c r="E358" s="185">
        <f>SUM(E71:E93)</f>
        <v>460.11224999999985</v>
      </c>
      <c r="F358" s="186">
        <f>SUM(F71:F93)</f>
        <v>368.08980000000003</v>
      </c>
      <c r="G358" s="187">
        <f>SUM(G71:G93)</f>
        <v>92.022449999999949</v>
      </c>
      <c r="H358" s="188">
        <f>SUM(H71:H93)</f>
        <v>114.96351999999999</v>
      </c>
      <c r="I358" s="189"/>
      <c r="J358" s="190">
        <f>SUM(J71:J93)</f>
        <v>0</v>
      </c>
      <c r="K358" s="191"/>
      <c r="L358" s="192">
        <f>SUM(L71:L93)</f>
        <v>0</v>
      </c>
      <c r="M358" s="191"/>
      <c r="N358" s="193">
        <f>SUM(N71:N93)</f>
        <v>253.12627999999998</v>
      </c>
      <c r="O358" s="191"/>
      <c r="P358" s="194">
        <f>SUM(P71:P93)</f>
        <v>92.022449999999949</v>
      </c>
      <c r="Q358" s="189"/>
      <c r="R358" s="195">
        <f>SUM(R71:R93)</f>
        <v>114.96351999999999</v>
      </c>
      <c r="S358" s="191"/>
      <c r="T358" s="196">
        <f>SUM(T71:T93)</f>
        <v>345.14872999999994</v>
      </c>
      <c r="U358" s="197">
        <f>SUM(U71:U93)</f>
        <v>0</v>
      </c>
      <c r="V358" s="37" t="str">
        <f t="shared" ref="V358:V369" si="143">IF(R358+T358=E358,"ok","bad")</f>
        <v>ok</v>
      </c>
      <c r="W358" s="37" t="str">
        <f t="shared" ref="W358:W369" si="144">IF(U358+R358=D358,"ok","bad")</f>
        <v>ok</v>
      </c>
    </row>
    <row r="359" spans="1:23" x14ac:dyDescent="0.25">
      <c r="B359" s="163" t="s">
        <v>75</v>
      </c>
      <c r="C359" s="129">
        <v>2</v>
      </c>
      <c r="D359" s="130">
        <f>SUM(D94:D113)</f>
        <v>149.93329</v>
      </c>
      <c r="E359" s="131">
        <f>SUM(E94:E113)</f>
        <v>280.05658</v>
      </c>
      <c r="F359" s="132">
        <f>SUM(F94:F113)</f>
        <v>224.04526400000003</v>
      </c>
      <c r="G359" s="133">
        <f>SUM(G94:G113)</f>
        <v>56.011316000000001</v>
      </c>
      <c r="H359" s="134">
        <f>SUM(H94:H113)</f>
        <v>144.42309999999998</v>
      </c>
      <c r="I359" s="135"/>
      <c r="J359" s="136">
        <f>SUM(J94:J113)</f>
        <v>5.5101900000000041</v>
      </c>
      <c r="K359" s="137"/>
      <c r="L359" s="138">
        <f>SUM(L94:L113)</f>
        <v>10.561505999999996</v>
      </c>
      <c r="M359" s="137"/>
      <c r="N359" s="139">
        <f>SUM(N94:N113)</f>
        <v>90.183670000000006</v>
      </c>
      <c r="O359" s="137"/>
      <c r="P359" s="140">
        <f>SUM(P94:P113)</f>
        <v>45.449809999999992</v>
      </c>
      <c r="Q359" s="135"/>
      <c r="R359" s="104">
        <f>SUM(R94:R113)</f>
        <v>133.861594</v>
      </c>
      <c r="S359" s="137"/>
      <c r="T359" s="141">
        <f>SUM(T94:T113)</f>
        <v>146.194986</v>
      </c>
      <c r="U359" s="199">
        <f>SUM(U94:U113)</f>
        <v>16.071696000000003</v>
      </c>
      <c r="V359" s="37" t="str">
        <f t="shared" si="143"/>
        <v>ok</v>
      </c>
      <c r="W359" s="37" t="str">
        <f t="shared" si="144"/>
        <v>ok</v>
      </c>
    </row>
    <row r="360" spans="1:23" x14ac:dyDescent="0.25">
      <c r="B360" s="163" t="s">
        <v>76</v>
      </c>
      <c r="C360" s="129">
        <v>3</v>
      </c>
      <c r="D360" s="130">
        <f>SUM(D114:D135)</f>
        <v>220.07451000000003</v>
      </c>
      <c r="E360" s="131">
        <f>SUM(E114:E135)</f>
        <v>186.96714</v>
      </c>
      <c r="F360" s="132">
        <f>SUM(F114:F135)</f>
        <v>149.573712</v>
      </c>
      <c r="G360" s="133">
        <f>SUM(G114:G135)</f>
        <v>37.393427999999986</v>
      </c>
      <c r="H360" s="134">
        <f>SUM(H114:H135)</f>
        <v>145.77610000000001</v>
      </c>
      <c r="I360" s="135"/>
      <c r="J360" s="136">
        <f>SUM(J114:J135)</f>
        <v>74.298410000000004</v>
      </c>
      <c r="K360" s="137"/>
      <c r="L360" s="138">
        <f>SUM(L114:L135)</f>
        <v>17.801687999999999</v>
      </c>
      <c r="M360" s="137"/>
      <c r="N360" s="139">
        <f>SUM(N114:N135)</f>
        <v>21.599299999999999</v>
      </c>
      <c r="O360" s="137"/>
      <c r="P360" s="140">
        <f>SUM(P114:P135)</f>
        <v>19.591739999999994</v>
      </c>
      <c r="Q360" s="135"/>
      <c r="R360" s="104">
        <f>SUM(R114:R135)</f>
        <v>127.97441200000002</v>
      </c>
      <c r="S360" s="137"/>
      <c r="T360" s="141">
        <f>SUM(T114:T135)</f>
        <v>58.992727999999978</v>
      </c>
      <c r="U360" s="199">
        <f>SUM(U114:U135)</f>
        <v>92.100098000000017</v>
      </c>
      <c r="V360" s="37" t="str">
        <f t="shared" si="143"/>
        <v>ok</v>
      </c>
      <c r="W360" s="37" t="str">
        <f t="shared" si="144"/>
        <v>ok</v>
      </c>
    </row>
    <row r="361" spans="1:23" x14ac:dyDescent="0.25">
      <c r="B361" s="163" t="s">
        <v>77</v>
      </c>
      <c r="C361" s="129">
        <v>4</v>
      </c>
      <c r="D361" s="130">
        <f>SUM(D136:D156)</f>
        <v>315.03186000000005</v>
      </c>
      <c r="E361" s="131">
        <f>SUM(E136:E156)</f>
        <v>147.09728000000001</v>
      </c>
      <c r="F361" s="132">
        <f>SUM(F136:F156)</f>
        <v>117.67782399999997</v>
      </c>
      <c r="G361" s="133">
        <f>SUM(G136:G156)</f>
        <v>29.41945599999999</v>
      </c>
      <c r="H361" s="134">
        <f>SUM(H136:H156)</f>
        <v>139.48792</v>
      </c>
      <c r="I361" s="135"/>
      <c r="J361" s="136">
        <f>SUM(J136:J156)</f>
        <v>175.54393999999999</v>
      </c>
      <c r="K361" s="137"/>
      <c r="L361" s="138">
        <f>SUM(L136:L156)</f>
        <v>24.846095999999992</v>
      </c>
      <c r="M361" s="137"/>
      <c r="N361" s="139">
        <f>SUM(N136:N156)</f>
        <v>3.0360000000000023</v>
      </c>
      <c r="O361" s="137"/>
      <c r="P361" s="140">
        <f>SUM(P136:P156)</f>
        <v>4.5733599999999992</v>
      </c>
      <c r="Q361" s="135"/>
      <c r="R361" s="104">
        <f>SUM(R136:R156)</f>
        <v>114.64182399999999</v>
      </c>
      <c r="S361" s="137"/>
      <c r="T361" s="141">
        <f>SUM(T136:T156)</f>
        <v>32.455455999999991</v>
      </c>
      <c r="U361" s="199">
        <f>SUM(U136:U156)</f>
        <v>200.39003599999998</v>
      </c>
      <c r="V361" s="37" t="str">
        <f t="shared" si="143"/>
        <v>ok</v>
      </c>
      <c r="W361" s="37" t="str">
        <f t="shared" si="144"/>
        <v>ok</v>
      </c>
    </row>
    <row r="362" spans="1:23" x14ac:dyDescent="0.25">
      <c r="B362" s="163" t="s">
        <v>78</v>
      </c>
      <c r="C362" s="129">
        <v>5</v>
      </c>
      <c r="D362" s="130">
        <f>SUM(D157:D179)</f>
        <v>460.06540999999993</v>
      </c>
      <c r="E362" s="131">
        <f>SUM(E157:E179)</f>
        <v>114.91584000000003</v>
      </c>
      <c r="F362" s="132">
        <f>SUM(F157:F179)</f>
        <v>91.932671999999997</v>
      </c>
      <c r="G362" s="133">
        <f>SUM(G157:G179)</f>
        <v>22.983167999999996</v>
      </c>
      <c r="H362" s="134">
        <f>SUM(H157:H179)</f>
        <v>114.90393000000003</v>
      </c>
      <c r="I362" s="135"/>
      <c r="J362" s="136">
        <f>SUM(J157:J179)</f>
        <v>345.16148000000004</v>
      </c>
      <c r="K362" s="137"/>
      <c r="L362" s="138">
        <f>SUM(L157:L179)</f>
        <v>22.971257999999995</v>
      </c>
      <c r="M362" s="137"/>
      <c r="N362" s="139">
        <f>SUM(N157:N179)</f>
        <v>0</v>
      </c>
      <c r="O362" s="137"/>
      <c r="P362" s="140">
        <f>SUM(P157:P179)</f>
        <v>1.1909999999999421E-2</v>
      </c>
      <c r="Q362" s="135"/>
      <c r="R362" s="104">
        <f>SUM(R157:R179)</f>
        <v>91.932671999999997</v>
      </c>
      <c r="S362" s="137"/>
      <c r="T362" s="141">
        <f>SUM(T157:T179)</f>
        <v>22.983167999999996</v>
      </c>
      <c r="U362" s="199">
        <f>SUM(U157:U179)</f>
        <v>368.13273800000002</v>
      </c>
      <c r="V362" s="37" t="str">
        <f t="shared" si="143"/>
        <v>ok</v>
      </c>
      <c r="W362" s="37" t="str">
        <f t="shared" si="144"/>
        <v>ok</v>
      </c>
    </row>
    <row r="363" spans="1:23" x14ac:dyDescent="0.25">
      <c r="B363" s="163" t="s">
        <v>79</v>
      </c>
      <c r="C363" s="129">
        <v>6</v>
      </c>
      <c r="D363" s="130">
        <f>SUM(D180:D200)</f>
        <v>210.02123999999998</v>
      </c>
      <c r="E363" s="131">
        <f>SUM(E180:E200)</f>
        <v>189.09522500000003</v>
      </c>
      <c r="F363" s="132">
        <f>SUM(F180:F200)</f>
        <v>151.27618000000004</v>
      </c>
      <c r="G363" s="133">
        <f>SUM(G180:G200)</f>
        <v>37.819044999999996</v>
      </c>
      <c r="H363" s="134">
        <f>SUM(H180:H200)</f>
        <v>144.32768999999996</v>
      </c>
      <c r="I363" s="135"/>
      <c r="J363" s="136">
        <f>SUM(J180:J200)</f>
        <v>65.693549999999988</v>
      </c>
      <c r="K363" s="137"/>
      <c r="L363" s="138">
        <f>SUM(L180:L200)</f>
        <v>16.931249999999991</v>
      </c>
      <c r="M363" s="137"/>
      <c r="N363" s="139">
        <f>SUM(N180:N200)</f>
        <v>23.879740000000012</v>
      </c>
      <c r="O363" s="137"/>
      <c r="P363" s="140">
        <f>SUM(P180:P200)</f>
        <v>20.887794999999997</v>
      </c>
      <c r="Q363" s="135"/>
      <c r="R363" s="104">
        <f>SUM(R180:R200)</f>
        <v>127.39643999999997</v>
      </c>
      <c r="S363" s="137"/>
      <c r="T363" s="141">
        <f>SUM(T180:T200)</f>
        <v>61.698785000000008</v>
      </c>
      <c r="U363" s="199">
        <f>SUM(U180:U200)</f>
        <v>82.624799999999993</v>
      </c>
      <c r="V363" s="37" t="str">
        <f t="shared" si="143"/>
        <v>ok</v>
      </c>
      <c r="W363" s="37" t="str">
        <f t="shared" si="144"/>
        <v>ok</v>
      </c>
    </row>
    <row r="364" spans="1:23" x14ac:dyDescent="0.25">
      <c r="B364" s="163" t="s">
        <v>80</v>
      </c>
      <c r="C364" s="129">
        <v>7</v>
      </c>
      <c r="D364" s="130">
        <f>SUM(D201:D222)</f>
        <v>109.91655599999997</v>
      </c>
      <c r="E364" s="131">
        <f>SUM(E201:E222)</f>
        <v>220.10333499999996</v>
      </c>
      <c r="F364" s="132">
        <f>SUM(F201:F222)</f>
        <v>176.08266800000001</v>
      </c>
      <c r="G364" s="133">
        <f>SUM(G201:G222)</f>
        <v>44.020666999999996</v>
      </c>
      <c r="H364" s="134">
        <f>SUM(H201:H222)</f>
        <v>108.84613299999999</v>
      </c>
      <c r="I364" s="135"/>
      <c r="J364" s="136">
        <f>SUM(J201:J222)</f>
        <v>1.0704230000000003</v>
      </c>
      <c r="K364" s="137"/>
      <c r="L364" s="138">
        <f>SUM(L201:L222)</f>
        <v>4.324488999999998</v>
      </c>
      <c r="M364" s="137"/>
      <c r="N364" s="139">
        <f>SUM(N201:N222)</f>
        <v>71.561023999999989</v>
      </c>
      <c r="O364" s="137"/>
      <c r="P364" s="140">
        <f>SUM(P201:P222)</f>
        <v>39.696177999999989</v>
      </c>
      <c r="Q364" s="135"/>
      <c r="R364" s="104">
        <f>SUM(R201:R222)</f>
        <v>104.52164399999999</v>
      </c>
      <c r="S364" s="137"/>
      <c r="T364" s="141">
        <f>SUM(T201:T222)</f>
        <v>115.58169099999998</v>
      </c>
      <c r="U364" s="199">
        <f>SUM(U201:U222)</f>
        <v>5.3949119999999979</v>
      </c>
      <c r="V364" s="37" t="str">
        <f t="shared" si="143"/>
        <v>ok</v>
      </c>
      <c r="W364" s="37" t="str">
        <f t="shared" si="144"/>
        <v>ok</v>
      </c>
    </row>
    <row r="365" spans="1:23" x14ac:dyDescent="0.25">
      <c r="B365" s="163" t="s">
        <v>81</v>
      </c>
      <c r="C365" s="129">
        <v>8</v>
      </c>
      <c r="D365" s="130">
        <f>SUM(D223:D245)</f>
        <v>114.96351999999999</v>
      </c>
      <c r="E365" s="131">
        <f>SUM(E223:E245)</f>
        <v>310.40743500000002</v>
      </c>
      <c r="F365" s="132">
        <f>SUM(F223:F245)</f>
        <v>248.32594799999998</v>
      </c>
      <c r="G365" s="133">
        <f>SUM(G223:G245)</f>
        <v>62.081486999999981</v>
      </c>
      <c r="H365" s="134">
        <f>SUM(H223:H245)</f>
        <v>114.96351999999999</v>
      </c>
      <c r="I365" s="135"/>
      <c r="J365" s="136">
        <f>SUM(J223:J245)</f>
        <v>0</v>
      </c>
      <c r="K365" s="137"/>
      <c r="L365" s="138">
        <f>SUM(L223:L245)</f>
        <v>0.49740400000000129</v>
      </c>
      <c r="M365" s="137"/>
      <c r="N365" s="139">
        <f>SUM(N223:N245)</f>
        <v>133.85983200000001</v>
      </c>
      <c r="O365" s="137"/>
      <c r="P365" s="140">
        <f>SUM(P223:P245)</f>
        <v>61.584082999999978</v>
      </c>
      <c r="Q365" s="135"/>
      <c r="R365" s="104">
        <f>SUM(R223:R245)</f>
        <v>114.46611599999999</v>
      </c>
      <c r="S365" s="137"/>
      <c r="T365" s="141">
        <f>SUM(T223:T245)</f>
        <v>195.94131899999999</v>
      </c>
      <c r="U365" s="199">
        <f>SUM(U223:U245)</f>
        <v>0.49740400000000129</v>
      </c>
      <c r="V365" s="37" t="str">
        <f t="shared" si="143"/>
        <v>ok</v>
      </c>
      <c r="W365" s="37" t="str">
        <f t="shared" si="144"/>
        <v>ok</v>
      </c>
    </row>
    <row r="366" spans="1:23" x14ac:dyDescent="0.25">
      <c r="B366" s="163" t="s">
        <v>82</v>
      </c>
      <c r="C366" s="129">
        <v>9</v>
      </c>
      <c r="D366" s="130">
        <f>SUM(D246:D265)</f>
        <v>199.96502500000003</v>
      </c>
      <c r="E366" s="131">
        <f>SUM(E246:E265)</f>
        <v>249.995105</v>
      </c>
      <c r="F366" s="132">
        <f>SUM(F246:F265)</f>
        <v>199.99608400000002</v>
      </c>
      <c r="G366" s="133">
        <f>SUM(G246:G265)</f>
        <v>49.999020999999992</v>
      </c>
      <c r="H366" s="134">
        <f>SUM(H246:H265)</f>
        <v>163.60893000000002</v>
      </c>
      <c r="I366" s="135"/>
      <c r="J366" s="136">
        <f>SUM(J246:J265)</f>
        <v>36.35609500000001</v>
      </c>
      <c r="K366" s="137"/>
      <c r="L366" s="138">
        <f>SUM(L246:L265)</f>
        <v>18.553865999999996</v>
      </c>
      <c r="M366" s="137"/>
      <c r="N366" s="139">
        <f>SUM(N246:N265)</f>
        <v>54.941020000000002</v>
      </c>
      <c r="O366" s="137"/>
      <c r="P366" s="140">
        <f>SUM(P246:P265)</f>
        <v>31.445154999999996</v>
      </c>
      <c r="Q366" s="135"/>
      <c r="R366" s="104">
        <f>SUM(R246:R265)</f>
        <v>145.05506400000002</v>
      </c>
      <c r="S366" s="137"/>
      <c r="T366" s="141">
        <f>SUM(T246:T265)</f>
        <v>104.94004099999999</v>
      </c>
      <c r="U366" s="199">
        <f>SUM(U246:U265)</f>
        <v>54.909961000000003</v>
      </c>
      <c r="V366" s="37" t="str">
        <f t="shared" si="143"/>
        <v>ok</v>
      </c>
      <c r="W366" s="37" t="str">
        <f t="shared" si="144"/>
        <v>ok</v>
      </c>
    </row>
    <row r="367" spans="1:23" x14ac:dyDescent="0.25">
      <c r="B367" s="163" t="s">
        <v>83</v>
      </c>
      <c r="C367" s="129">
        <v>10</v>
      </c>
      <c r="D367" s="130">
        <f>SUM(D266:D288)</f>
        <v>195.48025000000001</v>
      </c>
      <c r="E367" s="131">
        <f>SUM(E266:E288)</f>
        <v>230.05612499999992</v>
      </c>
      <c r="F367" s="132">
        <f>SUM(F266:F288)</f>
        <v>184.04490000000001</v>
      </c>
      <c r="G367" s="133">
        <f>SUM(G266:G288)</f>
        <v>46.011224999999975</v>
      </c>
      <c r="H367" s="134">
        <f>SUM(H266:H288)</f>
        <v>157.99074999999999</v>
      </c>
      <c r="I367" s="135"/>
      <c r="J367" s="136">
        <f>SUM(J266:J288)</f>
        <v>37.489500000000021</v>
      </c>
      <c r="K367" s="137"/>
      <c r="L367" s="138">
        <f>SUM(L266:L288)</f>
        <v>20.907349999999994</v>
      </c>
      <c r="M367" s="137"/>
      <c r="N367" s="139">
        <f>SUM(N266:N288)</f>
        <v>46.961499999999987</v>
      </c>
      <c r="O367" s="137"/>
      <c r="P367" s="140">
        <f>SUM(P266:P288)</f>
        <v>25.103874999999988</v>
      </c>
      <c r="Q367" s="135"/>
      <c r="R367" s="104">
        <f>SUM(R266:R288)</f>
        <v>137.08339999999998</v>
      </c>
      <c r="S367" s="137"/>
      <c r="T367" s="141">
        <f>SUM(T266:T288)</f>
        <v>92.972724999999997</v>
      </c>
      <c r="U367" s="199">
        <f>SUM(U266:U288)</f>
        <v>58.396850000000008</v>
      </c>
      <c r="V367" s="37" t="str">
        <f t="shared" si="143"/>
        <v>ok</v>
      </c>
      <c r="W367" s="37" t="str">
        <f t="shared" si="144"/>
        <v>ok</v>
      </c>
    </row>
    <row r="368" spans="1:23" x14ac:dyDescent="0.25">
      <c r="B368" s="163" t="s">
        <v>84</v>
      </c>
      <c r="C368" s="129">
        <v>11</v>
      </c>
      <c r="D368" s="130">
        <f>SUM(D289:D310)</f>
        <v>154.09239000000002</v>
      </c>
      <c r="E368" s="131">
        <f>SUM(E289:E310)</f>
        <v>330.04527999999993</v>
      </c>
      <c r="F368" s="132">
        <f>SUM(F289:F310)</f>
        <v>264.036224</v>
      </c>
      <c r="G368" s="133">
        <f>SUM(G289:G310)</f>
        <v>66.009055999999987</v>
      </c>
      <c r="H368" s="134">
        <f>SUM(H289:H310)</f>
        <v>153.19173000000004</v>
      </c>
      <c r="I368" s="135"/>
      <c r="J368" s="136">
        <f>SUM(J289:J310)</f>
        <v>0.90066000000000113</v>
      </c>
      <c r="K368" s="137"/>
      <c r="L368" s="138">
        <f>SUM(L289:L310)</f>
        <v>4.3213259999999973</v>
      </c>
      <c r="M368" s="137"/>
      <c r="N368" s="139">
        <f>SUM(N289:N310)</f>
        <v>115.16582000000001</v>
      </c>
      <c r="O368" s="137"/>
      <c r="P368" s="140">
        <f>SUM(P289:P310)</f>
        <v>61.687729999999988</v>
      </c>
      <c r="Q368" s="135"/>
      <c r="R368" s="104">
        <f>SUM(R289:R310)</f>
        <v>148.87040400000001</v>
      </c>
      <c r="S368" s="137"/>
      <c r="T368" s="141">
        <f>SUM(T289:T310)</f>
        <v>181.17487599999998</v>
      </c>
      <c r="U368" s="199">
        <f>SUM(U289:U310)</f>
        <v>5.2219859999999985</v>
      </c>
      <c r="V368" s="37" t="str">
        <f t="shared" si="143"/>
        <v>ok</v>
      </c>
      <c r="W368" s="37" t="str">
        <f t="shared" si="144"/>
        <v>ok</v>
      </c>
    </row>
    <row r="369" spans="2:23" ht="15.75" thickBot="1" x14ac:dyDescent="0.3">
      <c r="B369" s="164" t="s">
        <v>85</v>
      </c>
      <c r="C369" s="165">
        <v>12</v>
      </c>
      <c r="D369" s="202">
        <f>SUM(D311:D331)</f>
        <v>105.01061999999999</v>
      </c>
      <c r="E369" s="203">
        <f>SUM(E311:E331)</f>
        <v>419.97944999999993</v>
      </c>
      <c r="F369" s="204">
        <f>SUM(F311:F331)</f>
        <v>335.98355999999995</v>
      </c>
      <c r="G369" s="205">
        <f>SUM(G311:G331)</f>
        <v>83.995889999999989</v>
      </c>
      <c r="H369" s="206">
        <f>SUM(H311:H331)</f>
        <v>105.01061999999999</v>
      </c>
      <c r="I369" s="207"/>
      <c r="J369" s="208">
        <f>SUM(J311:J331)</f>
        <v>0</v>
      </c>
      <c r="K369" s="209"/>
      <c r="L369" s="210">
        <f>SUM(L311:L331)</f>
        <v>0</v>
      </c>
      <c r="M369" s="209"/>
      <c r="N369" s="211">
        <f>SUM(N311:N331)</f>
        <v>230.97293999999999</v>
      </c>
      <c r="O369" s="209"/>
      <c r="P369" s="212">
        <f>SUM(P311:P331)</f>
        <v>83.995889999999989</v>
      </c>
      <c r="Q369" s="207"/>
      <c r="R369" s="213">
        <f>SUM(R311:R331)</f>
        <v>105.01061999999999</v>
      </c>
      <c r="S369" s="209"/>
      <c r="T369" s="214">
        <f>SUM(T311:T331)</f>
        <v>314.96883000000003</v>
      </c>
      <c r="U369" s="215">
        <f>SUM(U311:U331)</f>
        <v>0</v>
      </c>
      <c r="V369" s="37" t="str">
        <f t="shared" si="143"/>
        <v>ok</v>
      </c>
      <c r="W369" s="37" t="str">
        <f t="shared" si="144"/>
        <v>ok</v>
      </c>
    </row>
    <row r="370" spans="2:23" ht="15.75" thickBot="1" x14ac:dyDescent="0.3">
      <c r="B370" s="248" t="s">
        <v>103</v>
      </c>
      <c r="C370" s="165"/>
      <c r="D370" s="202">
        <f>SUM(D358:D369)</f>
        <v>2349.5181910000001</v>
      </c>
      <c r="E370" s="203">
        <f>SUM(E358:E369)</f>
        <v>3138.8310449999999</v>
      </c>
      <c r="F370" s="204">
        <f>SUM(F358:F369)</f>
        <v>2511.0648360000005</v>
      </c>
      <c r="G370" s="205">
        <f>SUM(G358:G369)</f>
        <v>627.76620899999989</v>
      </c>
      <c r="H370" s="206">
        <f>SUM(H358:H369)</f>
        <v>1607.4939430000002</v>
      </c>
      <c r="I370" s="207"/>
      <c r="J370" s="256">
        <f>SUM(J358:J369)</f>
        <v>742.02424800000006</v>
      </c>
      <c r="K370" s="209"/>
      <c r="L370" s="210">
        <f>SUM(L358:L369)</f>
        <v>141.71623299999996</v>
      </c>
      <c r="M370" s="209"/>
      <c r="N370" s="211">
        <f>SUM(N358:N369)</f>
        <v>1045.2871259999999</v>
      </c>
      <c r="O370" s="209"/>
      <c r="P370" s="212">
        <f>SUM(P358:P369)</f>
        <v>486.04997599999984</v>
      </c>
      <c r="Q370" s="207"/>
      <c r="R370" s="213">
        <f>SUM(R358:R369)</f>
        <v>1465.7777100000001</v>
      </c>
      <c r="S370" s="209"/>
      <c r="T370" s="214">
        <f>SUM(T358:T369)</f>
        <v>1673.0533350000001</v>
      </c>
      <c r="U370" s="215">
        <f>SUM(U358:U369)</f>
        <v>883.74048099999982</v>
      </c>
      <c r="V370" s="37"/>
      <c r="W370" s="37"/>
    </row>
    <row r="371" spans="2:23" x14ac:dyDescent="0.25">
      <c r="B371" s="416" t="s">
        <v>104</v>
      </c>
      <c r="C371" s="417"/>
      <c r="D371" s="249">
        <f>AVERAGE(D358:D369)</f>
        <v>195.79318258333333</v>
      </c>
      <c r="E371" s="249">
        <f>AVERAGE(E358:E369)</f>
        <v>261.56925374999997</v>
      </c>
      <c r="F371" s="249"/>
      <c r="G371" s="249"/>
      <c r="H371" s="249"/>
      <c r="I371" s="249"/>
      <c r="J371" s="249"/>
      <c r="K371" s="249"/>
      <c r="L371" s="249"/>
      <c r="M371" s="249"/>
      <c r="N371" s="249"/>
      <c r="O371" s="249"/>
      <c r="P371" s="249"/>
      <c r="Q371" s="249"/>
      <c r="R371" s="249">
        <f>AVERAGE(R358:R369)</f>
        <v>122.14814250000001</v>
      </c>
      <c r="S371" s="75"/>
      <c r="T371" s="75"/>
      <c r="U371" s="75"/>
      <c r="V371" s="37"/>
      <c r="W371" s="37"/>
    </row>
    <row r="372" spans="2:23" x14ac:dyDescent="0.25">
      <c r="B372" s="418" t="s">
        <v>105</v>
      </c>
      <c r="C372" s="418"/>
      <c r="D372" s="249">
        <f>D370/COUNT(C71:C331)</f>
        <v>9.0019854061302684</v>
      </c>
      <c r="E372" s="249">
        <f>E370/COUNT(C71:C331)</f>
        <v>12.026172586206895</v>
      </c>
      <c r="F372" s="249"/>
      <c r="G372" s="249"/>
      <c r="H372" s="249"/>
      <c r="I372" s="249"/>
      <c r="J372" s="249"/>
      <c r="K372" s="249"/>
      <c r="L372" s="249"/>
      <c r="M372" s="249"/>
      <c r="N372" s="249"/>
      <c r="O372" s="249"/>
      <c r="P372" s="249"/>
      <c r="Q372" s="249"/>
      <c r="R372" s="249">
        <f>R370/COUNT(C71:C331)</f>
        <v>5.616006551724138</v>
      </c>
      <c r="S372" s="75"/>
      <c r="T372" s="75"/>
      <c r="U372" s="75"/>
    </row>
    <row r="373" spans="2:23" x14ac:dyDescent="0.25"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</row>
    <row r="402" spans="2:7" x14ac:dyDescent="0.25">
      <c r="B402" t="str">
        <f>L357</f>
        <v>(B) offres non satisfaisantes</v>
      </c>
      <c r="C402" s="75">
        <f>L370</f>
        <v>141.71623299999996</v>
      </c>
      <c r="F402" t="str">
        <f>R357</f>
        <v>Capacité à 80%</v>
      </c>
      <c r="G402" s="75">
        <f>R370</f>
        <v>1465.7777100000001</v>
      </c>
    </row>
    <row r="403" spans="2:7" x14ac:dyDescent="0.25">
      <c r="B403" t="str">
        <f>P357</f>
        <v>(C) offres hors demandes</v>
      </c>
      <c r="C403" s="75">
        <f>P370</f>
        <v>486.04997599999984</v>
      </c>
      <c r="F403" t="str">
        <f>N357</f>
        <v>(D) offres hors demandes</v>
      </c>
      <c r="G403" s="75">
        <f>N370</f>
        <v>1045.2871259999999</v>
      </c>
    </row>
    <row r="404" spans="2:7" x14ac:dyDescent="0.25">
      <c r="B404" t="str">
        <f>N357</f>
        <v>(D) offres hors demandes</v>
      </c>
      <c r="C404" s="75">
        <f>N370</f>
        <v>1045.2871259999999</v>
      </c>
    </row>
    <row r="417" spans="2:7" x14ac:dyDescent="0.25">
      <c r="B417" t="str">
        <f>R357</f>
        <v>Capacité à 80%</v>
      </c>
      <c r="C417" s="75">
        <f>R370</f>
        <v>1465.7777100000001</v>
      </c>
      <c r="F417" t="str">
        <f>F357</f>
        <v>offre à 80%</v>
      </c>
      <c r="G417" s="75">
        <f>F370</f>
        <v>2511.0648360000005</v>
      </c>
    </row>
    <row r="418" spans="2:7" x14ac:dyDescent="0.25">
      <c r="B418" t="str">
        <f>T357</f>
        <v>offres non placées</v>
      </c>
      <c r="C418" s="75">
        <f>T370</f>
        <v>1673.0533350000001</v>
      </c>
      <c r="F418" t="str">
        <f>P357</f>
        <v>(C) offres hors demandes</v>
      </c>
      <c r="G418" s="75">
        <f>P370</f>
        <v>486.04997599999984</v>
      </c>
    </row>
    <row r="419" spans="2:7" x14ac:dyDescent="0.25">
      <c r="F419" t="str">
        <f>L357</f>
        <v>(B) offres non satisfaisantes</v>
      </c>
      <c r="G419" s="75">
        <f>L370</f>
        <v>141.71623299999996</v>
      </c>
    </row>
    <row r="432" spans="2:7" x14ac:dyDescent="0.25">
      <c r="B432" t="str">
        <f>J357</f>
        <v>(A) demandes hors offres</v>
      </c>
      <c r="C432" s="75">
        <f>J370</f>
        <v>742.02424800000006</v>
      </c>
      <c r="F432" t="str">
        <f>R357</f>
        <v>Capacité à 80%</v>
      </c>
      <c r="G432" s="75">
        <f>R370</f>
        <v>1465.7777100000001</v>
      </c>
    </row>
    <row r="433" spans="2:7" x14ac:dyDescent="0.25">
      <c r="B433" t="str">
        <f>L357</f>
        <v>(B) offres non satisfaisantes</v>
      </c>
      <c r="C433" s="75">
        <f>L370</f>
        <v>141.71623299999996</v>
      </c>
      <c r="F433" t="str">
        <f>U357</f>
        <v>demandes non satisfaites</v>
      </c>
      <c r="G433" s="75">
        <f>U370</f>
        <v>883.74048099999982</v>
      </c>
    </row>
  </sheetData>
  <mergeCells count="14">
    <mergeCell ref="B371:C371"/>
    <mergeCell ref="B372:C372"/>
    <mergeCell ref="A311:A331"/>
    <mergeCell ref="A71:A93"/>
    <mergeCell ref="A94:A113"/>
    <mergeCell ref="A114:A135"/>
    <mergeCell ref="A136:A156"/>
    <mergeCell ref="A157:A179"/>
    <mergeCell ref="A180:A200"/>
    <mergeCell ref="A201:A222"/>
    <mergeCell ref="A223:A245"/>
    <mergeCell ref="A246:A265"/>
    <mergeCell ref="A266:A288"/>
    <mergeCell ref="A289:A310"/>
  </mergeCells>
  <pageMargins left="0.7" right="0.7" top="0.75" bottom="0.75" header="0.3" footer="0.3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9"/>
  <sheetViews>
    <sheetView topLeftCell="A253" zoomScale="80" zoomScaleNormal="80" workbookViewId="0">
      <selection activeCell="AE6" sqref="AE6"/>
    </sheetView>
  </sheetViews>
  <sheetFormatPr baseColWidth="10" defaultRowHeight="15" x14ac:dyDescent="0.25"/>
  <cols>
    <col min="1" max="1" width="12.42578125" customWidth="1"/>
    <col min="2" max="2" width="13.5703125" customWidth="1"/>
    <col min="3" max="3" width="8.140625" bestFit="1" customWidth="1"/>
    <col min="4" max="4" width="11.7109375" customWidth="1"/>
    <col min="5" max="5" width="9.7109375" bestFit="1" customWidth="1"/>
    <col min="6" max="6" width="9.5703125" customWidth="1"/>
    <col min="7" max="7" width="9.7109375" customWidth="1"/>
    <col min="9" max="9" width="0.85546875" customWidth="1"/>
    <col min="11" max="11" width="0.85546875" customWidth="1"/>
    <col min="13" max="13" width="0.85546875" customWidth="1"/>
    <col min="15" max="15" width="0.85546875" customWidth="1"/>
    <col min="17" max="17" width="0.85546875" customWidth="1"/>
    <col min="19" max="19" width="0.85546875" customWidth="1"/>
    <col min="22" max="22" width="4.140625" bestFit="1" customWidth="1"/>
    <col min="23" max="23" width="3" bestFit="1" customWidth="1"/>
  </cols>
  <sheetData>
    <row r="1" spans="1:23" x14ac:dyDescent="0.25">
      <c r="A1" s="2" t="s">
        <v>57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thickBot="1" x14ac:dyDescent="0.3"/>
    <row r="3" spans="1:23" ht="51.75" thickBot="1" x14ac:dyDescent="0.3">
      <c r="A3" s="175">
        <v>2018</v>
      </c>
      <c r="B3" s="216"/>
      <c r="C3" s="217"/>
      <c r="D3" s="218" t="s">
        <v>40</v>
      </c>
      <c r="E3" s="219" t="s">
        <v>41</v>
      </c>
      <c r="F3" s="220" t="s">
        <v>42</v>
      </c>
      <c r="G3" s="221" t="s">
        <v>43</v>
      </c>
      <c r="H3" s="222" t="s">
        <v>44</v>
      </c>
      <c r="I3" s="223"/>
      <c r="J3" s="224" t="s">
        <v>45</v>
      </c>
      <c r="K3" s="225"/>
      <c r="L3" s="226" t="s">
        <v>46</v>
      </c>
      <c r="M3" s="225"/>
      <c r="N3" s="227" t="s">
        <v>47</v>
      </c>
      <c r="O3" s="225"/>
      <c r="P3" s="228" t="s">
        <v>48</v>
      </c>
      <c r="Q3" s="223"/>
      <c r="R3" s="229" t="s">
        <v>49</v>
      </c>
      <c r="S3" s="225"/>
      <c r="T3" s="230" t="s">
        <v>50</v>
      </c>
      <c r="U3" s="231" t="s">
        <v>51</v>
      </c>
      <c r="V3" s="32" t="s">
        <v>52</v>
      </c>
      <c r="W3" s="32"/>
    </row>
    <row r="4" spans="1:23" ht="3" customHeight="1" thickBot="1" x14ac:dyDescent="0.3">
      <c r="A4" s="37"/>
      <c r="B4" s="272"/>
      <c r="C4" s="273"/>
      <c r="D4" s="271"/>
      <c r="E4" s="271"/>
      <c r="F4" s="271"/>
      <c r="G4" s="271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4"/>
      <c r="S4" s="273"/>
      <c r="T4" s="273"/>
      <c r="U4" s="275"/>
      <c r="V4" s="37"/>
      <c r="W4" s="37"/>
    </row>
    <row r="5" spans="1:23" x14ac:dyDescent="0.25">
      <c r="A5" s="428" t="s">
        <v>89</v>
      </c>
      <c r="B5" s="182" t="s">
        <v>19</v>
      </c>
      <c r="C5" s="247">
        <v>1</v>
      </c>
      <c r="D5" s="184">
        <f>'2.4.5.1 Missions'!D71*DMM</f>
        <v>8.3740640000000006</v>
      </c>
      <c r="E5" s="185">
        <f>'2.4.5.1 Missions'!E71*DMM</f>
        <v>67.957499999999982</v>
      </c>
      <c r="F5" s="186">
        <f t="shared" ref="F5:F68" si="0">E5*TC</f>
        <v>54.365999999999985</v>
      </c>
      <c r="G5" s="187">
        <f t="shared" ref="G5:G68" si="1">E5*(1-TC)</f>
        <v>13.591499999999993</v>
      </c>
      <c r="H5" s="188">
        <f>IF(E5&gt;D5,D5,E5)</f>
        <v>8.3740640000000006</v>
      </c>
      <c r="I5" s="189"/>
      <c r="J5" s="190">
        <f>IF(E5&gt;D5,0,D5-E5)</f>
        <v>0</v>
      </c>
      <c r="K5" s="191"/>
      <c r="L5" s="192">
        <f>IF(E5&gt;D5,IF(F5&gt;H5,0,H5-F5),G5)</f>
        <v>0</v>
      </c>
      <c r="M5" s="191"/>
      <c r="N5" s="193">
        <f>IF(E5&gt;D5,IF(F5&gt;H5,F5-H5,0),0)</f>
        <v>45.991935999999981</v>
      </c>
      <c r="O5" s="191"/>
      <c r="P5" s="194">
        <f>IF(E5&gt;D5,IF(F5&gt;H5,G5,E5-H5),0)</f>
        <v>13.591499999999993</v>
      </c>
      <c r="Q5" s="189"/>
      <c r="R5" s="195">
        <f>H5-L5</f>
        <v>8.3740640000000006</v>
      </c>
      <c r="S5" s="191"/>
      <c r="T5" s="196">
        <f>L5+N5+P5</f>
        <v>59.583435999999978</v>
      </c>
      <c r="U5" s="197">
        <f>J5+L5</f>
        <v>0</v>
      </c>
      <c r="V5" s="37" t="str">
        <f>IF(R5+T5=E5,"ok","bad")</f>
        <v>ok</v>
      </c>
      <c r="W5" s="37" t="str">
        <f>IF(U5+R5=D5,"ok","bad")</f>
        <v>ok</v>
      </c>
    </row>
    <row r="6" spans="1:23" x14ac:dyDescent="0.25">
      <c r="A6" s="429"/>
      <c r="B6" s="198" t="s">
        <v>20</v>
      </c>
      <c r="C6" s="129">
        <v>2</v>
      </c>
      <c r="D6" s="130">
        <f>'2.4.5.1 Missions'!D72*DMM</f>
        <v>6.5753280000000007</v>
      </c>
      <c r="E6" s="131">
        <f>'2.4.5.1 Missions'!E72*DMM</f>
        <v>49.835499999999996</v>
      </c>
      <c r="F6" s="132">
        <f t="shared" si="0"/>
        <v>39.868400000000001</v>
      </c>
      <c r="G6" s="133">
        <f t="shared" si="1"/>
        <v>9.9670999999999967</v>
      </c>
      <c r="H6" s="134">
        <f t="shared" ref="H6:H27" si="2">IF(E6&gt;D6,D6,E6)</f>
        <v>6.5753280000000007</v>
      </c>
      <c r="I6" s="135"/>
      <c r="J6" s="136">
        <f t="shared" ref="J6:J27" si="3">IF(E6&gt;D6,0,D6-E6)</f>
        <v>0</v>
      </c>
      <c r="K6" s="137"/>
      <c r="L6" s="138">
        <f t="shared" ref="L6:L27" si="4">IF(E6&gt;D6,IF(F6&gt;H6,0,H6-F6),G6)</f>
        <v>0</v>
      </c>
      <c r="M6" s="137"/>
      <c r="N6" s="139">
        <f t="shared" ref="N6:N27" si="5">IF(E6&gt;D6,IF(F6&gt;H6,F6-H6,0),0)</f>
        <v>33.293072000000002</v>
      </c>
      <c r="O6" s="137"/>
      <c r="P6" s="140">
        <f t="shared" ref="P6:P27" si="6">IF(E6&gt;D6,IF(F6&gt;H6,G6,E6-H6),0)</f>
        <v>9.9670999999999967</v>
      </c>
      <c r="Q6" s="135"/>
      <c r="R6" s="104">
        <f t="shared" ref="R6:R27" si="7">H6-L6</f>
        <v>6.5753280000000007</v>
      </c>
      <c r="S6" s="137"/>
      <c r="T6" s="141">
        <f t="shared" ref="T6:T27" si="8">L6+N6+P6</f>
        <v>43.260171999999997</v>
      </c>
      <c r="U6" s="199">
        <f t="shared" ref="U6:U27" si="9">J6+L6</f>
        <v>0</v>
      </c>
      <c r="V6" s="37" t="str">
        <f t="shared" ref="V6:V27" si="10">IF(R6+T6=E6,"ok","bad")</f>
        <v>ok</v>
      </c>
      <c r="W6" s="37" t="str">
        <f t="shared" ref="W6:W27" si="11">IF(U6+R6=D6,"ok","bad")</f>
        <v>ok</v>
      </c>
    </row>
    <row r="7" spans="1:23" x14ac:dyDescent="0.25">
      <c r="A7" s="429"/>
      <c r="B7" s="198" t="s">
        <v>21</v>
      </c>
      <c r="C7" s="129">
        <v>3</v>
      </c>
      <c r="D7" s="130">
        <f>'2.4.5.1 Missions'!D73*DMM</f>
        <v>2.876128</v>
      </c>
      <c r="E7" s="131">
        <f>'2.4.5.1 Missions'!E73*DMM</f>
        <v>20.387249999999995</v>
      </c>
      <c r="F7" s="132">
        <f t="shared" si="0"/>
        <v>16.309799999999996</v>
      </c>
      <c r="G7" s="133">
        <f t="shared" si="1"/>
        <v>4.077449999999998</v>
      </c>
      <c r="H7" s="134">
        <f t="shared" si="2"/>
        <v>2.876128</v>
      </c>
      <c r="I7" s="135"/>
      <c r="J7" s="136">
        <f t="shared" si="3"/>
        <v>0</v>
      </c>
      <c r="K7" s="137"/>
      <c r="L7" s="138">
        <f t="shared" si="4"/>
        <v>0</v>
      </c>
      <c r="M7" s="137"/>
      <c r="N7" s="139">
        <f t="shared" si="5"/>
        <v>13.433671999999996</v>
      </c>
      <c r="O7" s="137"/>
      <c r="P7" s="140">
        <f t="shared" si="6"/>
        <v>4.077449999999998</v>
      </c>
      <c r="Q7" s="135"/>
      <c r="R7" s="104">
        <f t="shared" si="7"/>
        <v>2.876128</v>
      </c>
      <c r="S7" s="137"/>
      <c r="T7" s="141">
        <f t="shared" si="8"/>
        <v>17.511121999999993</v>
      </c>
      <c r="U7" s="199">
        <f t="shared" si="9"/>
        <v>0</v>
      </c>
      <c r="V7" s="37" t="str">
        <f t="shared" si="10"/>
        <v>ok</v>
      </c>
      <c r="W7" s="37" t="str">
        <f t="shared" si="11"/>
        <v>ok</v>
      </c>
    </row>
    <row r="8" spans="1:23" x14ac:dyDescent="0.25">
      <c r="A8" s="429"/>
      <c r="B8" s="198" t="s">
        <v>22</v>
      </c>
      <c r="C8" s="129">
        <v>4</v>
      </c>
      <c r="D8" s="130">
        <f>'2.4.5.1 Missions'!D74*DMM</f>
        <v>2.0068159999999997</v>
      </c>
      <c r="E8" s="131">
        <f>'2.4.5.1 Missions'!E74*DMM</f>
        <v>30.580874999999999</v>
      </c>
      <c r="F8" s="132">
        <f t="shared" si="0"/>
        <v>24.464700000000001</v>
      </c>
      <c r="G8" s="133">
        <f t="shared" si="1"/>
        <v>6.1161749999999984</v>
      </c>
      <c r="H8" s="134">
        <f t="shared" si="2"/>
        <v>2.0068159999999997</v>
      </c>
      <c r="I8" s="135"/>
      <c r="J8" s="136">
        <f t="shared" si="3"/>
        <v>0</v>
      </c>
      <c r="K8" s="137"/>
      <c r="L8" s="138">
        <f t="shared" si="4"/>
        <v>0</v>
      </c>
      <c r="M8" s="137"/>
      <c r="N8" s="139">
        <f t="shared" si="5"/>
        <v>22.457884</v>
      </c>
      <c r="O8" s="137"/>
      <c r="P8" s="140">
        <f t="shared" si="6"/>
        <v>6.1161749999999984</v>
      </c>
      <c r="Q8" s="135"/>
      <c r="R8" s="104">
        <f t="shared" si="7"/>
        <v>2.0068159999999997</v>
      </c>
      <c r="S8" s="137"/>
      <c r="T8" s="141">
        <f t="shared" si="8"/>
        <v>28.574058999999998</v>
      </c>
      <c r="U8" s="199">
        <f t="shared" si="9"/>
        <v>0</v>
      </c>
      <c r="V8" s="37" t="str">
        <f t="shared" si="10"/>
        <v>ok</v>
      </c>
      <c r="W8" s="37" t="str">
        <f t="shared" si="11"/>
        <v>ok</v>
      </c>
    </row>
    <row r="9" spans="1:23" x14ac:dyDescent="0.25">
      <c r="A9" s="429"/>
      <c r="B9" s="198" t="s">
        <v>23</v>
      </c>
      <c r="C9" s="129">
        <v>5</v>
      </c>
      <c r="D9" s="130">
        <f>'2.4.5.1 Missions'!D75*DMM</f>
        <v>4.1616000000000009</v>
      </c>
      <c r="E9" s="131">
        <f>'2.4.5.1 Missions'!E75*DMM</f>
        <v>49.835499999999996</v>
      </c>
      <c r="F9" s="132">
        <f t="shared" si="0"/>
        <v>39.868400000000001</v>
      </c>
      <c r="G9" s="133">
        <f t="shared" si="1"/>
        <v>9.9670999999999967</v>
      </c>
      <c r="H9" s="134">
        <f t="shared" si="2"/>
        <v>4.1616000000000009</v>
      </c>
      <c r="I9" s="135"/>
      <c r="J9" s="136">
        <f t="shared" si="3"/>
        <v>0</v>
      </c>
      <c r="K9" s="137"/>
      <c r="L9" s="138">
        <f t="shared" si="4"/>
        <v>0</v>
      </c>
      <c r="M9" s="137"/>
      <c r="N9" s="139">
        <f t="shared" si="5"/>
        <v>35.706800000000001</v>
      </c>
      <c r="O9" s="137"/>
      <c r="P9" s="140">
        <f t="shared" si="6"/>
        <v>9.9670999999999967</v>
      </c>
      <c r="Q9" s="135"/>
      <c r="R9" s="104">
        <f t="shared" si="7"/>
        <v>4.1616000000000009</v>
      </c>
      <c r="S9" s="137"/>
      <c r="T9" s="141">
        <f t="shared" si="8"/>
        <v>45.673899999999996</v>
      </c>
      <c r="U9" s="199">
        <f t="shared" si="9"/>
        <v>0</v>
      </c>
      <c r="V9" s="37" t="str">
        <f t="shared" si="10"/>
        <v>ok</v>
      </c>
      <c r="W9" s="37" t="str">
        <f t="shared" si="11"/>
        <v>ok</v>
      </c>
    </row>
    <row r="10" spans="1:23" x14ac:dyDescent="0.25">
      <c r="A10" s="429"/>
      <c r="B10" s="198" t="s">
        <v>19</v>
      </c>
      <c r="C10" s="129">
        <v>8</v>
      </c>
      <c r="D10" s="130">
        <f>'2.4.5.1 Missions'!D76*DMM</f>
        <v>13.36336</v>
      </c>
      <c r="E10" s="131">
        <f>'2.4.5.1 Missions'!E76*DMM</f>
        <v>34.85</v>
      </c>
      <c r="F10" s="132">
        <f t="shared" si="0"/>
        <v>27.880000000000003</v>
      </c>
      <c r="G10" s="133">
        <f t="shared" si="1"/>
        <v>6.9699999999999989</v>
      </c>
      <c r="H10" s="134">
        <f t="shared" si="2"/>
        <v>13.36336</v>
      </c>
      <c r="I10" s="135"/>
      <c r="J10" s="136">
        <f t="shared" si="3"/>
        <v>0</v>
      </c>
      <c r="K10" s="137"/>
      <c r="L10" s="138">
        <f t="shared" si="4"/>
        <v>0</v>
      </c>
      <c r="M10" s="137"/>
      <c r="N10" s="139">
        <f t="shared" si="5"/>
        <v>14.516640000000002</v>
      </c>
      <c r="O10" s="137"/>
      <c r="P10" s="140">
        <f t="shared" si="6"/>
        <v>6.9699999999999989</v>
      </c>
      <c r="Q10" s="135"/>
      <c r="R10" s="104">
        <f t="shared" si="7"/>
        <v>13.36336</v>
      </c>
      <c r="S10" s="137"/>
      <c r="T10" s="141">
        <f t="shared" si="8"/>
        <v>21.486640000000001</v>
      </c>
      <c r="U10" s="199">
        <f t="shared" si="9"/>
        <v>0</v>
      </c>
      <c r="V10" s="37" t="str">
        <f t="shared" si="10"/>
        <v>ok</v>
      </c>
      <c r="W10" s="37" t="str">
        <f t="shared" si="11"/>
        <v>ok</v>
      </c>
    </row>
    <row r="11" spans="1:23" x14ac:dyDescent="0.25">
      <c r="A11" s="429"/>
      <c r="B11" s="198" t="s">
        <v>20</v>
      </c>
      <c r="C11" s="129">
        <v>9</v>
      </c>
      <c r="D11" s="130">
        <f>'2.4.5.1 Missions'!D77*DMM</f>
        <v>10.838656000000002</v>
      </c>
      <c r="E11" s="131">
        <f>'2.4.5.1 Missions'!E77*DMM</f>
        <v>35.721249999999998</v>
      </c>
      <c r="F11" s="132">
        <f t="shared" si="0"/>
        <v>28.576999999999998</v>
      </c>
      <c r="G11" s="133">
        <f t="shared" si="1"/>
        <v>7.1442499999999978</v>
      </c>
      <c r="H11" s="134">
        <f t="shared" si="2"/>
        <v>10.838656000000002</v>
      </c>
      <c r="I11" s="135"/>
      <c r="J11" s="136">
        <f t="shared" si="3"/>
        <v>0</v>
      </c>
      <c r="K11" s="137"/>
      <c r="L11" s="138">
        <f t="shared" si="4"/>
        <v>0</v>
      </c>
      <c r="M11" s="137"/>
      <c r="N11" s="139">
        <f t="shared" si="5"/>
        <v>17.738343999999998</v>
      </c>
      <c r="O11" s="137"/>
      <c r="P11" s="140">
        <f t="shared" si="6"/>
        <v>7.1442499999999978</v>
      </c>
      <c r="Q11" s="135"/>
      <c r="R11" s="104">
        <f t="shared" si="7"/>
        <v>10.838656000000002</v>
      </c>
      <c r="S11" s="137"/>
      <c r="T11" s="141">
        <f t="shared" si="8"/>
        <v>24.882593999999997</v>
      </c>
      <c r="U11" s="199">
        <f t="shared" si="9"/>
        <v>0</v>
      </c>
      <c r="V11" s="37" t="str">
        <f t="shared" si="10"/>
        <v>ok</v>
      </c>
      <c r="W11" s="37" t="str">
        <f t="shared" si="11"/>
        <v>ok</v>
      </c>
    </row>
    <row r="12" spans="1:23" x14ac:dyDescent="0.25">
      <c r="A12" s="429"/>
      <c r="B12" s="198" t="s">
        <v>21</v>
      </c>
      <c r="C12" s="129">
        <v>10</v>
      </c>
      <c r="D12" s="130">
        <f>'2.4.5.1 Missions'!D78*DMM</f>
        <v>6.2655200000000004</v>
      </c>
      <c r="E12" s="131">
        <f>'2.4.5.1 Missions'!E78*DMM</f>
        <v>19.167499999999997</v>
      </c>
      <c r="F12" s="132">
        <f t="shared" si="0"/>
        <v>15.333999999999998</v>
      </c>
      <c r="G12" s="133">
        <f t="shared" si="1"/>
        <v>3.8334999999999986</v>
      </c>
      <c r="H12" s="134">
        <f t="shared" si="2"/>
        <v>6.2655200000000004</v>
      </c>
      <c r="I12" s="135"/>
      <c r="J12" s="136">
        <f t="shared" si="3"/>
        <v>0</v>
      </c>
      <c r="K12" s="137"/>
      <c r="L12" s="138">
        <f t="shared" si="4"/>
        <v>0</v>
      </c>
      <c r="M12" s="137"/>
      <c r="N12" s="139">
        <f t="shared" si="5"/>
        <v>9.0684799999999974</v>
      </c>
      <c r="O12" s="137"/>
      <c r="P12" s="140">
        <f t="shared" si="6"/>
        <v>3.8334999999999986</v>
      </c>
      <c r="Q12" s="135"/>
      <c r="R12" s="104">
        <f t="shared" si="7"/>
        <v>6.2655200000000004</v>
      </c>
      <c r="S12" s="137"/>
      <c r="T12" s="141">
        <f t="shared" si="8"/>
        <v>12.901979999999996</v>
      </c>
      <c r="U12" s="199">
        <f t="shared" si="9"/>
        <v>0</v>
      </c>
      <c r="V12" s="37" t="str">
        <f t="shared" si="10"/>
        <v>ok</v>
      </c>
      <c r="W12" s="37" t="str">
        <f t="shared" si="11"/>
        <v>ok</v>
      </c>
    </row>
    <row r="13" spans="1:23" x14ac:dyDescent="0.25">
      <c r="A13" s="429"/>
      <c r="B13" s="198" t="s">
        <v>22</v>
      </c>
      <c r="C13" s="129">
        <v>11</v>
      </c>
      <c r="D13" s="130">
        <f>'2.4.5.1 Missions'!D79*DMM</f>
        <v>5.058656</v>
      </c>
      <c r="E13" s="131">
        <f>'2.4.5.1 Missions'!E79*DMM</f>
        <v>24.394999999999996</v>
      </c>
      <c r="F13" s="132">
        <f t="shared" si="0"/>
        <v>19.515999999999998</v>
      </c>
      <c r="G13" s="133">
        <f t="shared" si="1"/>
        <v>4.8789999999999978</v>
      </c>
      <c r="H13" s="134">
        <f t="shared" si="2"/>
        <v>5.058656</v>
      </c>
      <c r="I13" s="135"/>
      <c r="J13" s="136">
        <f t="shared" si="3"/>
        <v>0</v>
      </c>
      <c r="K13" s="137"/>
      <c r="L13" s="138">
        <f t="shared" si="4"/>
        <v>0</v>
      </c>
      <c r="M13" s="137"/>
      <c r="N13" s="139">
        <f t="shared" si="5"/>
        <v>14.457343999999999</v>
      </c>
      <c r="O13" s="137"/>
      <c r="P13" s="140">
        <f t="shared" si="6"/>
        <v>4.8789999999999978</v>
      </c>
      <c r="Q13" s="135"/>
      <c r="R13" s="104">
        <f t="shared" si="7"/>
        <v>5.058656</v>
      </c>
      <c r="S13" s="137"/>
      <c r="T13" s="141">
        <f t="shared" si="8"/>
        <v>19.336343999999997</v>
      </c>
      <c r="U13" s="199">
        <f t="shared" si="9"/>
        <v>0</v>
      </c>
      <c r="V13" s="37" t="str">
        <f t="shared" si="10"/>
        <v>ok</v>
      </c>
      <c r="W13" s="37" t="str">
        <f t="shared" si="11"/>
        <v>ok</v>
      </c>
    </row>
    <row r="14" spans="1:23" x14ac:dyDescent="0.25">
      <c r="A14" s="429"/>
      <c r="B14" s="198" t="s">
        <v>23</v>
      </c>
      <c r="C14" s="129">
        <v>12</v>
      </c>
      <c r="D14" s="130">
        <f>'2.4.5.1 Missions'!D80*DMM</f>
        <v>9.6364160000000005</v>
      </c>
      <c r="E14" s="131">
        <f>'2.4.5.1 Missions'!E80*DMM</f>
        <v>33.107499999999995</v>
      </c>
      <c r="F14" s="132">
        <f t="shared" si="0"/>
        <v>26.485999999999997</v>
      </c>
      <c r="G14" s="133">
        <f t="shared" si="1"/>
        <v>6.6214999999999975</v>
      </c>
      <c r="H14" s="134">
        <f t="shared" si="2"/>
        <v>9.6364160000000005</v>
      </c>
      <c r="I14" s="135"/>
      <c r="J14" s="136">
        <f t="shared" si="3"/>
        <v>0</v>
      </c>
      <c r="K14" s="137"/>
      <c r="L14" s="138">
        <f t="shared" si="4"/>
        <v>0</v>
      </c>
      <c r="M14" s="137"/>
      <c r="N14" s="139">
        <f t="shared" si="5"/>
        <v>16.849583999999997</v>
      </c>
      <c r="O14" s="137"/>
      <c r="P14" s="140">
        <f t="shared" si="6"/>
        <v>6.6214999999999975</v>
      </c>
      <c r="Q14" s="135"/>
      <c r="R14" s="104">
        <f t="shared" si="7"/>
        <v>9.6364160000000005</v>
      </c>
      <c r="S14" s="137"/>
      <c r="T14" s="141">
        <f t="shared" si="8"/>
        <v>23.471083999999994</v>
      </c>
      <c r="U14" s="199">
        <f t="shared" si="9"/>
        <v>0</v>
      </c>
      <c r="V14" s="37" t="str">
        <f t="shared" si="10"/>
        <v>ok</v>
      </c>
      <c r="W14" s="37" t="str">
        <f t="shared" si="11"/>
        <v>ok</v>
      </c>
    </row>
    <row r="15" spans="1:23" x14ac:dyDescent="0.25">
      <c r="A15" s="429"/>
      <c r="B15" s="198" t="s">
        <v>19</v>
      </c>
      <c r="C15" s="129">
        <v>15</v>
      </c>
      <c r="D15" s="130">
        <f>'2.4.5.1 Missions'!D81*DMM</f>
        <v>8.3740640000000006</v>
      </c>
      <c r="E15" s="131">
        <f>'2.4.5.1 Missions'!E81*DMM</f>
        <v>52.274999999999991</v>
      </c>
      <c r="F15" s="132">
        <f t="shared" si="0"/>
        <v>41.819999999999993</v>
      </c>
      <c r="G15" s="133">
        <f t="shared" si="1"/>
        <v>10.454999999999997</v>
      </c>
      <c r="H15" s="134">
        <f t="shared" si="2"/>
        <v>8.3740640000000006</v>
      </c>
      <c r="I15" s="135"/>
      <c r="J15" s="136">
        <f t="shared" si="3"/>
        <v>0</v>
      </c>
      <c r="K15" s="137"/>
      <c r="L15" s="138">
        <f t="shared" si="4"/>
        <v>0</v>
      </c>
      <c r="M15" s="137"/>
      <c r="N15" s="139">
        <f t="shared" si="5"/>
        <v>33.445935999999989</v>
      </c>
      <c r="O15" s="137"/>
      <c r="P15" s="140">
        <f t="shared" si="6"/>
        <v>10.454999999999997</v>
      </c>
      <c r="Q15" s="135"/>
      <c r="R15" s="104">
        <f t="shared" si="7"/>
        <v>8.3740640000000006</v>
      </c>
      <c r="S15" s="137"/>
      <c r="T15" s="141">
        <f t="shared" si="8"/>
        <v>43.900935999999987</v>
      </c>
      <c r="U15" s="199">
        <f t="shared" si="9"/>
        <v>0</v>
      </c>
      <c r="V15" s="37" t="str">
        <f t="shared" si="10"/>
        <v>ok</v>
      </c>
      <c r="W15" s="37" t="str">
        <f t="shared" si="11"/>
        <v>ok</v>
      </c>
    </row>
    <row r="16" spans="1:23" x14ac:dyDescent="0.25">
      <c r="A16" s="429"/>
      <c r="B16" s="198" t="s">
        <v>20</v>
      </c>
      <c r="C16" s="129">
        <v>16</v>
      </c>
      <c r="D16" s="130">
        <f>'2.4.5.1 Missions'!D82*DMM</f>
        <v>6.5753280000000007</v>
      </c>
      <c r="E16" s="131">
        <f>'2.4.5.1 Missions'!E82*DMM</f>
        <v>40.077500000000001</v>
      </c>
      <c r="F16" s="132">
        <f t="shared" si="0"/>
        <v>32.062000000000005</v>
      </c>
      <c r="G16" s="133">
        <f t="shared" si="1"/>
        <v>8.0154999999999976</v>
      </c>
      <c r="H16" s="134">
        <f t="shared" si="2"/>
        <v>6.5753280000000007</v>
      </c>
      <c r="I16" s="135"/>
      <c r="J16" s="136">
        <f t="shared" si="3"/>
        <v>0</v>
      </c>
      <c r="K16" s="137"/>
      <c r="L16" s="138">
        <f t="shared" si="4"/>
        <v>0</v>
      </c>
      <c r="M16" s="137"/>
      <c r="N16" s="139">
        <f t="shared" si="5"/>
        <v>25.486672000000006</v>
      </c>
      <c r="O16" s="137"/>
      <c r="P16" s="140">
        <f t="shared" si="6"/>
        <v>8.0154999999999976</v>
      </c>
      <c r="Q16" s="135"/>
      <c r="R16" s="104">
        <f t="shared" si="7"/>
        <v>6.5753280000000007</v>
      </c>
      <c r="S16" s="137"/>
      <c r="T16" s="141">
        <f t="shared" si="8"/>
        <v>33.502172000000002</v>
      </c>
      <c r="U16" s="199">
        <f t="shared" si="9"/>
        <v>0</v>
      </c>
      <c r="V16" s="37" t="str">
        <f t="shared" si="10"/>
        <v>ok</v>
      </c>
      <c r="W16" s="37" t="str">
        <f t="shared" si="11"/>
        <v>ok</v>
      </c>
    </row>
    <row r="17" spans="1:23" x14ac:dyDescent="0.25">
      <c r="A17" s="429"/>
      <c r="B17" s="198" t="s">
        <v>21</v>
      </c>
      <c r="C17" s="129">
        <v>17</v>
      </c>
      <c r="D17" s="130">
        <f>'2.4.5.1 Missions'!D83*DMM</f>
        <v>2.876128</v>
      </c>
      <c r="E17" s="131">
        <f>'2.4.5.1 Missions'!E83*DMM</f>
        <v>19.167499999999997</v>
      </c>
      <c r="F17" s="132">
        <f t="shared" si="0"/>
        <v>15.333999999999998</v>
      </c>
      <c r="G17" s="133">
        <f t="shared" si="1"/>
        <v>3.8334999999999986</v>
      </c>
      <c r="H17" s="134">
        <f t="shared" si="2"/>
        <v>2.876128</v>
      </c>
      <c r="I17" s="135"/>
      <c r="J17" s="136">
        <f t="shared" si="3"/>
        <v>0</v>
      </c>
      <c r="K17" s="137"/>
      <c r="L17" s="138">
        <f t="shared" si="4"/>
        <v>0</v>
      </c>
      <c r="M17" s="137"/>
      <c r="N17" s="139">
        <f t="shared" si="5"/>
        <v>12.457871999999998</v>
      </c>
      <c r="O17" s="137"/>
      <c r="P17" s="140">
        <f t="shared" si="6"/>
        <v>3.8334999999999986</v>
      </c>
      <c r="Q17" s="135"/>
      <c r="R17" s="104">
        <f t="shared" si="7"/>
        <v>2.876128</v>
      </c>
      <c r="S17" s="137"/>
      <c r="T17" s="141">
        <f t="shared" si="8"/>
        <v>16.291371999999996</v>
      </c>
      <c r="U17" s="199">
        <f t="shared" si="9"/>
        <v>0</v>
      </c>
      <c r="V17" s="37" t="str">
        <f t="shared" si="10"/>
        <v>ok</v>
      </c>
      <c r="W17" s="37" t="str">
        <f t="shared" si="11"/>
        <v>ok</v>
      </c>
    </row>
    <row r="18" spans="1:23" x14ac:dyDescent="0.25">
      <c r="A18" s="429"/>
      <c r="B18" s="198" t="s">
        <v>22</v>
      </c>
      <c r="C18" s="129">
        <v>18</v>
      </c>
      <c r="D18" s="130">
        <f>'2.4.5.1 Missions'!D84*DMM</f>
        <v>2.0068159999999997</v>
      </c>
      <c r="E18" s="131">
        <f>'2.4.5.1 Missions'!E84*DMM</f>
        <v>32.236249999999998</v>
      </c>
      <c r="F18" s="132">
        <f t="shared" si="0"/>
        <v>25.789000000000001</v>
      </c>
      <c r="G18" s="133">
        <f t="shared" si="1"/>
        <v>6.4472499999999986</v>
      </c>
      <c r="H18" s="134">
        <f t="shared" si="2"/>
        <v>2.0068159999999997</v>
      </c>
      <c r="I18" s="135"/>
      <c r="J18" s="136">
        <f t="shared" si="3"/>
        <v>0</v>
      </c>
      <c r="K18" s="137"/>
      <c r="L18" s="138">
        <f t="shared" si="4"/>
        <v>0</v>
      </c>
      <c r="M18" s="137"/>
      <c r="N18" s="139">
        <f t="shared" si="5"/>
        <v>23.782184000000001</v>
      </c>
      <c r="O18" s="137"/>
      <c r="P18" s="140">
        <f t="shared" si="6"/>
        <v>6.4472499999999986</v>
      </c>
      <c r="Q18" s="135"/>
      <c r="R18" s="104">
        <f t="shared" si="7"/>
        <v>2.0068159999999997</v>
      </c>
      <c r="S18" s="137"/>
      <c r="T18" s="141">
        <f t="shared" si="8"/>
        <v>30.229433999999998</v>
      </c>
      <c r="U18" s="199">
        <f t="shared" si="9"/>
        <v>0</v>
      </c>
      <c r="V18" s="37" t="str">
        <f t="shared" si="10"/>
        <v>ok</v>
      </c>
      <c r="W18" s="37" t="str">
        <f t="shared" si="11"/>
        <v>ok</v>
      </c>
    </row>
    <row r="19" spans="1:23" x14ac:dyDescent="0.25">
      <c r="A19" s="429"/>
      <c r="B19" s="198" t="s">
        <v>23</v>
      </c>
      <c r="C19" s="129">
        <v>19</v>
      </c>
      <c r="D19" s="130">
        <f>'2.4.5.1 Missions'!D85*DMM</f>
        <v>4.1616000000000009</v>
      </c>
      <c r="E19" s="131">
        <f>'2.4.5.1 Missions'!E85*DMM</f>
        <v>38.334999999999994</v>
      </c>
      <c r="F19" s="132">
        <f t="shared" si="0"/>
        <v>30.667999999999996</v>
      </c>
      <c r="G19" s="133">
        <f t="shared" si="1"/>
        <v>7.6669999999999972</v>
      </c>
      <c r="H19" s="134">
        <f t="shared" si="2"/>
        <v>4.1616000000000009</v>
      </c>
      <c r="I19" s="135"/>
      <c r="J19" s="136">
        <f t="shared" si="3"/>
        <v>0</v>
      </c>
      <c r="K19" s="137"/>
      <c r="L19" s="138">
        <f t="shared" si="4"/>
        <v>0</v>
      </c>
      <c r="M19" s="137"/>
      <c r="N19" s="139">
        <f t="shared" si="5"/>
        <v>26.506399999999996</v>
      </c>
      <c r="O19" s="137"/>
      <c r="P19" s="140">
        <f t="shared" si="6"/>
        <v>7.6669999999999972</v>
      </c>
      <c r="Q19" s="135"/>
      <c r="R19" s="104">
        <f t="shared" si="7"/>
        <v>4.1616000000000009</v>
      </c>
      <c r="S19" s="137"/>
      <c r="T19" s="141">
        <f t="shared" si="8"/>
        <v>34.173399999999994</v>
      </c>
      <c r="U19" s="199">
        <f t="shared" si="9"/>
        <v>0</v>
      </c>
      <c r="V19" s="37" t="str">
        <f t="shared" si="10"/>
        <v>ok</v>
      </c>
      <c r="W19" s="37" t="str">
        <f t="shared" si="11"/>
        <v>ok</v>
      </c>
    </row>
    <row r="20" spans="1:23" x14ac:dyDescent="0.25">
      <c r="A20" s="429"/>
      <c r="B20" s="198" t="s">
        <v>19</v>
      </c>
      <c r="C20" s="129">
        <v>22</v>
      </c>
      <c r="D20" s="130">
        <f>'2.4.5.1 Missions'!D86*DMM</f>
        <v>16.701888</v>
      </c>
      <c r="E20" s="131">
        <f>'2.4.5.1 Missions'!E86*DMM</f>
        <v>43.126874999999998</v>
      </c>
      <c r="F20" s="132">
        <f t="shared" si="0"/>
        <v>34.5015</v>
      </c>
      <c r="G20" s="133">
        <f t="shared" si="1"/>
        <v>8.6253749999999982</v>
      </c>
      <c r="H20" s="134">
        <f t="shared" si="2"/>
        <v>16.701888</v>
      </c>
      <c r="I20" s="135"/>
      <c r="J20" s="136">
        <f t="shared" si="3"/>
        <v>0</v>
      </c>
      <c r="K20" s="137"/>
      <c r="L20" s="138">
        <f t="shared" si="4"/>
        <v>0</v>
      </c>
      <c r="M20" s="137"/>
      <c r="N20" s="139">
        <f t="shared" si="5"/>
        <v>17.799612</v>
      </c>
      <c r="O20" s="137"/>
      <c r="P20" s="140">
        <f t="shared" si="6"/>
        <v>8.6253749999999982</v>
      </c>
      <c r="Q20" s="135"/>
      <c r="R20" s="104">
        <f t="shared" si="7"/>
        <v>16.701888</v>
      </c>
      <c r="S20" s="137"/>
      <c r="T20" s="141">
        <f t="shared" si="8"/>
        <v>26.424986999999998</v>
      </c>
      <c r="U20" s="199">
        <f t="shared" si="9"/>
        <v>0</v>
      </c>
      <c r="V20" s="37" t="str">
        <f t="shared" si="10"/>
        <v>ok</v>
      </c>
      <c r="W20" s="37" t="str">
        <f t="shared" si="11"/>
        <v>ok</v>
      </c>
    </row>
    <row r="21" spans="1:23" x14ac:dyDescent="0.25">
      <c r="A21" s="429"/>
      <c r="B21" s="198" t="s">
        <v>20</v>
      </c>
      <c r="C21" s="129">
        <v>23</v>
      </c>
      <c r="D21" s="130">
        <f>'2.4.5.1 Missions'!D87*DMM</f>
        <v>13.59456</v>
      </c>
      <c r="E21" s="131">
        <f>'2.4.5.1 Missions'!E87*DMM</f>
        <v>27.322399999999998</v>
      </c>
      <c r="F21" s="132">
        <f t="shared" si="0"/>
        <v>21.85792</v>
      </c>
      <c r="G21" s="133">
        <f t="shared" si="1"/>
        <v>5.4644799999999982</v>
      </c>
      <c r="H21" s="134">
        <f t="shared" si="2"/>
        <v>13.59456</v>
      </c>
      <c r="I21" s="135"/>
      <c r="J21" s="136">
        <f t="shared" si="3"/>
        <v>0</v>
      </c>
      <c r="K21" s="137"/>
      <c r="L21" s="138">
        <f t="shared" si="4"/>
        <v>0</v>
      </c>
      <c r="M21" s="137"/>
      <c r="N21" s="139">
        <f t="shared" si="5"/>
        <v>8.2633600000000005</v>
      </c>
      <c r="O21" s="137"/>
      <c r="P21" s="140">
        <f t="shared" si="6"/>
        <v>5.4644799999999982</v>
      </c>
      <c r="Q21" s="135"/>
      <c r="R21" s="104">
        <f t="shared" si="7"/>
        <v>13.59456</v>
      </c>
      <c r="S21" s="137"/>
      <c r="T21" s="141">
        <f t="shared" si="8"/>
        <v>13.727839999999999</v>
      </c>
      <c r="U21" s="199">
        <f t="shared" si="9"/>
        <v>0</v>
      </c>
      <c r="V21" s="37" t="str">
        <f t="shared" si="10"/>
        <v>ok</v>
      </c>
      <c r="W21" s="37" t="str">
        <f t="shared" si="11"/>
        <v>ok</v>
      </c>
    </row>
    <row r="22" spans="1:23" x14ac:dyDescent="0.25">
      <c r="A22" s="429"/>
      <c r="B22" s="198" t="s">
        <v>21</v>
      </c>
      <c r="C22" s="129">
        <v>24</v>
      </c>
      <c r="D22" s="130">
        <f>'2.4.5.1 Missions'!D88*DMM</f>
        <v>7.8330560000000018</v>
      </c>
      <c r="E22" s="131">
        <f>'2.4.5.1 Missions'!E88*DMM</f>
        <v>12.946774999999999</v>
      </c>
      <c r="F22" s="132">
        <f t="shared" si="0"/>
        <v>10.357419999999999</v>
      </c>
      <c r="G22" s="133">
        <f t="shared" si="1"/>
        <v>2.5893549999999994</v>
      </c>
      <c r="H22" s="134">
        <f t="shared" si="2"/>
        <v>7.8330560000000018</v>
      </c>
      <c r="I22" s="135"/>
      <c r="J22" s="136">
        <f t="shared" si="3"/>
        <v>0</v>
      </c>
      <c r="K22" s="137"/>
      <c r="L22" s="138">
        <f t="shared" si="4"/>
        <v>0</v>
      </c>
      <c r="M22" s="137"/>
      <c r="N22" s="139">
        <f t="shared" si="5"/>
        <v>2.5243639999999976</v>
      </c>
      <c r="O22" s="137"/>
      <c r="P22" s="140">
        <f t="shared" si="6"/>
        <v>2.5893549999999994</v>
      </c>
      <c r="Q22" s="135"/>
      <c r="R22" s="104">
        <f t="shared" si="7"/>
        <v>7.8330560000000018</v>
      </c>
      <c r="S22" s="137"/>
      <c r="T22" s="141">
        <f t="shared" si="8"/>
        <v>5.113718999999997</v>
      </c>
      <c r="U22" s="199">
        <f t="shared" si="9"/>
        <v>0</v>
      </c>
      <c r="V22" s="37" t="str">
        <f t="shared" si="10"/>
        <v>ok</v>
      </c>
      <c r="W22" s="37" t="str">
        <f t="shared" si="11"/>
        <v>ok</v>
      </c>
    </row>
    <row r="23" spans="1:23" x14ac:dyDescent="0.25">
      <c r="A23" s="429"/>
      <c r="B23" s="198" t="s">
        <v>22</v>
      </c>
      <c r="C23" s="129">
        <v>25</v>
      </c>
      <c r="D23" s="130">
        <f>'2.4.5.1 Missions'!D89*DMM</f>
        <v>6.4134880000000001</v>
      </c>
      <c r="E23" s="131">
        <f>'2.4.5.1 Missions'!E89*DMM</f>
        <v>17.250749999999996</v>
      </c>
      <c r="F23" s="132">
        <f t="shared" si="0"/>
        <v>13.800599999999998</v>
      </c>
      <c r="G23" s="133">
        <f t="shared" si="1"/>
        <v>3.4501499999999985</v>
      </c>
      <c r="H23" s="134">
        <f t="shared" si="2"/>
        <v>6.4134880000000001</v>
      </c>
      <c r="I23" s="135"/>
      <c r="J23" s="136">
        <f t="shared" si="3"/>
        <v>0</v>
      </c>
      <c r="K23" s="137"/>
      <c r="L23" s="138">
        <f t="shared" si="4"/>
        <v>0</v>
      </c>
      <c r="M23" s="137"/>
      <c r="N23" s="139">
        <f t="shared" si="5"/>
        <v>7.3871119999999975</v>
      </c>
      <c r="O23" s="137"/>
      <c r="P23" s="140">
        <f t="shared" si="6"/>
        <v>3.4501499999999985</v>
      </c>
      <c r="Q23" s="135"/>
      <c r="R23" s="104">
        <f t="shared" si="7"/>
        <v>6.4134880000000001</v>
      </c>
      <c r="S23" s="137"/>
      <c r="T23" s="141">
        <f t="shared" si="8"/>
        <v>10.837261999999996</v>
      </c>
      <c r="U23" s="199">
        <f t="shared" si="9"/>
        <v>0</v>
      </c>
      <c r="V23" s="37" t="str">
        <f t="shared" si="10"/>
        <v>ok</v>
      </c>
      <c r="W23" s="37" t="str">
        <f t="shared" si="11"/>
        <v>ok</v>
      </c>
    </row>
    <row r="24" spans="1:23" x14ac:dyDescent="0.25">
      <c r="A24" s="429"/>
      <c r="B24" s="198" t="s">
        <v>23</v>
      </c>
      <c r="C24" s="129">
        <v>26</v>
      </c>
      <c r="D24" s="130">
        <f>'2.4.5.1 Missions'!D90*DMM</f>
        <v>12.04552</v>
      </c>
      <c r="E24" s="131">
        <f>'2.4.5.1 Missions'!E90*DMM</f>
        <v>27.322399999999998</v>
      </c>
      <c r="F24" s="132">
        <f t="shared" si="0"/>
        <v>21.85792</v>
      </c>
      <c r="G24" s="133">
        <f t="shared" si="1"/>
        <v>5.4644799999999982</v>
      </c>
      <c r="H24" s="134">
        <f t="shared" si="2"/>
        <v>12.04552</v>
      </c>
      <c r="I24" s="135"/>
      <c r="J24" s="136">
        <f t="shared" si="3"/>
        <v>0</v>
      </c>
      <c r="K24" s="137"/>
      <c r="L24" s="138">
        <f t="shared" si="4"/>
        <v>0</v>
      </c>
      <c r="M24" s="137"/>
      <c r="N24" s="139">
        <f t="shared" si="5"/>
        <v>9.8124000000000002</v>
      </c>
      <c r="O24" s="137"/>
      <c r="P24" s="140">
        <f t="shared" si="6"/>
        <v>5.4644799999999982</v>
      </c>
      <c r="Q24" s="135"/>
      <c r="R24" s="104">
        <f t="shared" si="7"/>
        <v>12.04552</v>
      </c>
      <c r="S24" s="137"/>
      <c r="T24" s="141">
        <f t="shared" si="8"/>
        <v>15.276879999999998</v>
      </c>
      <c r="U24" s="199">
        <f t="shared" si="9"/>
        <v>0</v>
      </c>
      <c r="V24" s="37" t="str">
        <f t="shared" si="10"/>
        <v>ok</v>
      </c>
      <c r="W24" s="37" t="str">
        <f t="shared" si="11"/>
        <v>ok</v>
      </c>
    </row>
    <row r="25" spans="1:23" x14ac:dyDescent="0.25">
      <c r="A25" s="429"/>
      <c r="B25" s="198" t="s">
        <v>19</v>
      </c>
      <c r="C25" s="129">
        <v>29</v>
      </c>
      <c r="D25" s="130">
        <f>'2.4.5.1 Missions'!D91*DMM</f>
        <v>20.040416000000004</v>
      </c>
      <c r="E25" s="131">
        <f>'2.4.5.1 Missions'!E91*DMM</f>
        <v>52.274999999999991</v>
      </c>
      <c r="F25" s="132">
        <f t="shared" si="0"/>
        <v>41.819999999999993</v>
      </c>
      <c r="G25" s="133">
        <f t="shared" si="1"/>
        <v>10.454999999999997</v>
      </c>
      <c r="H25" s="134">
        <f t="shared" si="2"/>
        <v>20.040416000000004</v>
      </c>
      <c r="I25" s="135"/>
      <c r="J25" s="136">
        <f t="shared" si="3"/>
        <v>0</v>
      </c>
      <c r="K25" s="137"/>
      <c r="L25" s="138">
        <f t="shared" si="4"/>
        <v>0</v>
      </c>
      <c r="M25" s="137"/>
      <c r="N25" s="139">
        <f t="shared" si="5"/>
        <v>21.779583999999989</v>
      </c>
      <c r="O25" s="137"/>
      <c r="P25" s="140">
        <f t="shared" si="6"/>
        <v>10.454999999999997</v>
      </c>
      <c r="Q25" s="135"/>
      <c r="R25" s="104">
        <f t="shared" si="7"/>
        <v>20.040416000000004</v>
      </c>
      <c r="S25" s="137"/>
      <c r="T25" s="141">
        <f t="shared" si="8"/>
        <v>32.234583999999984</v>
      </c>
      <c r="U25" s="199">
        <f t="shared" si="9"/>
        <v>0</v>
      </c>
      <c r="V25" s="37" t="str">
        <f t="shared" si="10"/>
        <v>ok</v>
      </c>
      <c r="W25" s="37" t="str">
        <f t="shared" si="11"/>
        <v>ok</v>
      </c>
    </row>
    <row r="26" spans="1:23" x14ac:dyDescent="0.25">
      <c r="A26" s="429"/>
      <c r="B26" s="198" t="s">
        <v>20</v>
      </c>
      <c r="C26" s="129">
        <v>30</v>
      </c>
      <c r="D26" s="130">
        <f>'2.4.5.1 Missions'!D92*DMM</f>
        <v>16.257984</v>
      </c>
      <c r="E26" s="131">
        <f>'2.4.5.1 Missions'!E92*DMM</f>
        <v>36.592499999999994</v>
      </c>
      <c r="F26" s="132">
        <f t="shared" si="0"/>
        <v>29.273999999999997</v>
      </c>
      <c r="G26" s="133">
        <f t="shared" si="1"/>
        <v>7.3184999999999976</v>
      </c>
      <c r="H26" s="134">
        <f t="shared" si="2"/>
        <v>16.257984</v>
      </c>
      <c r="I26" s="135"/>
      <c r="J26" s="136">
        <f t="shared" si="3"/>
        <v>0</v>
      </c>
      <c r="K26" s="137"/>
      <c r="L26" s="138">
        <f t="shared" si="4"/>
        <v>0</v>
      </c>
      <c r="M26" s="137"/>
      <c r="N26" s="139">
        <f t="shared" si="5"/>
        <v>13.016015999999997</v>
      </c>
      <c r="O26" s="137"/>
      <c r="P26" s="140">
        <f t="shared" si="6"/>
        <v>7.3184999999999976</v>
      </c>
      <c r="Q26" s="135"/>
      <c r="R26" s="104">
        <f t="shared" si="7"/>
        <v>16.257984</v>
      </c>
      <c r="S26" s="137"/>
      <c r="T26" s="141">
        <f t="shared" si="8"/>
        <v>20.334515999999994</v>
      </c>
      <c r="U26" s="199">
        <f t="shared" si="9"/>
        <v>0</v>
      </c>
      <c r="V26" s="37" t="str">
        <f t="shared" si="10"/>
        <v>ok</v>
      </c>
      <c r="W26" s="37" t="str">
        <f t="shared" si="11"/>
        <v>ok</v>
      </c>
    </row>
    <row r="27" spans="1:23" ht="15.75" thickBot="1" x14ac:dyDescent="0.3">
      <c r="A27" s="430"/>
      <c r="B27" s="200" t="s">
        <v>21</v>
      </c>
      <c r="C27" s="165">
        <v>31</v>
      </c>
      <c r="D27" s="202">
        <f>'2.4.5.1 Missions'!D93*DMM</f>
        <v>9.4005919999999996</v>
      </c>
      <c r="E27" s="203">
        <f>'2.4.5.1 Missions'!E93*DMM</f>
        <v>17.425000000000001</v>
      </c>
      <c r="F27" s="204">
        <f t="shared" si="0"/>
        <v>13.940000000000001</v>
      </c>
      <c r="G27" s="205">
        <f t="shared" si="1"/>
        <v>3.4849999999999994</v>
      </c>
      <c r="H27" s="206">
        <f t="shared" si="2"/>
        <v>9.4005919999999996</v>
      </c>
      <c r="I27" s="207"/>
      <c r="J27" s="208">
        <f t="shared" si="3"/>
        <v>0</v>
      </c>
      <c r="K27" s="209"/>
      <c r="L27" s="210">
        <f t="shared" si="4"/>
        <v>0</v>
      </c>
      <c r="M27" s="209"/>
      <c r="N27" s="211">
        <f t="shared" si="5"/>
        <v>4.5394080000000017</v>
      </c>
      <c r="O27" s="209"/>
      <c r="P27" s="212">
        <f t="shared" si="6"/>
        <v>3.4849999999999994</v>
      </c>
      <c r="Q27" s="207"/>
      <c r="R27" s="213">
        <f t="shared" si="7"/>
        <v>9.4005919999999996</v>
      </c>
      <c r="S27" s="209"/>
      <c r="T27" s="214">
        <f t="shared" si="8"/>
        <v>8.0244080000000011</v>
      </c>
      <c r="U27" s="215">
        <f t="shared" si="9"/>
        <v>0</v>
      </c>
      <c r="V27" s="37" t="str">
        <f t="shared" si="10"/>
        <v>ok</v>
      </c>
      <c r="W27" s="37" t="str">
        <f t="shared" si="11"/>
        <v>ok</v>
      </c>
    </row>
    <row r="28" spans="1:23" x14ac:dyDescent="0.25">
      <c r="A28" s="425" t="s">
        <v>90</v>
      </c>
      <c r="B28" s="276" t="s">
        <v>22</v>
      </c>
      <c r="C28" s="247">
        <v>1</v>
      </c>
      <c r="D28" s="184">
        <f>'2.4.5.1 Missions'!D94*DMM</f>
        <v>14.254381</v>
      </c>
      <c r="E28" s="185">
        <f>'2.4.5.1 Missions'!E94*DMM</f>
        <v>47.868599999999994</v>
      </c>
      <c r="F28" s="186">
        <f t="shared" si="0"/>
        <v>38.294879999999999</v>
      </c>
      <c r="G28" s="187">
        <f t="shared" si="1"/>
        <v>9.5737199999999962</v>
      </c>
      <c r="H28" s="188">
        <f>IF(E28&gt;D28,D28,E28)</f>
        <v>14.254381</v>
      </c>
      <c r="I28" s="189"/>
      <c r="J28" s="190">
        <f>IF(E28&gt;D28,0,D28-E28)</f>
        <v>0</v>
      </c>
      <c r="K28" s="191"/>
      <c r="L28" s="192">
        <f>IF(E28&gt;D28,IF(F28&gt;H28,0,H28-F28),G28)</f>
        <v>0</v>
      </c>
      <c r="M28" s="191"/>
      <c r="N28" s="193">
        <f>IF(E28&gt;D28,IF(F28&gt;H28,F28-H28,0),0)</f>
        <v>24.040498999999997</v>
      </c>
      <c r="O28" s="191"/>
      <c r="P28" s="194">
        <f>IF(E28&gt;D28,IF(F28&gt;H28,G28,E28-H28),0)</f>
        <v>9.5737199999999962</v>
      </c>
      <c r="Q28" s="189"/>
      <c r="R28" s="195">
        <f>H28-L28</f>
        <v>14.254381</v>
      </c>
      <c r="S28" s="191"/>
      <c r="T28" s="196">
        <f>L28+N28+P28</f>
        <v>33.614218999999991</v>
      </c>
      <c r="U28" s="197">
        <f>J28+L28</f>
        <v>0</v>
      </c>
      <c r="V28" s="37" t="str">
        <f>IF(R28+T28=E28,"ok","bad")</f>
        <v>ok</v>
      </c>
      <c r="W28" s="37" t="str">
        <f>IF(U28+R28=D28,"ok","bad")</f>
        <v>ok</v>
      </c>
    </row>
    <row r="29" spans="1:23" x14ac:dyDescent="0.25">
      <c r="A29" s="426"/>
      <c r="B29" s="178" t="s">
        <v>23</v>
      </c>
      <c r="C29" s="129">
        <v>2</v>
      </c>
      <c r="D29" s="130">
        <f>'2.4.5.1 Missions'!D95*DMM</f>
        <v>11.192562000000001</v>
      </c>
      <c r="E29" s="131">
        <f>'2.4.5.1 Missions'!E95*DMM</f>
        <v>35.103639999999999</v>
      </c>
      <c r="F29" s="132">
        <f t="shared" si="0"/>
        <v>28.082912</v>
      </c>
      <c r="G29" s="133">
        <f t="shared" si="1"/>
        <v>7.0207279999999983</v>
      </c>
      <c r="H29" s="134">
        <f t="shared" ref="H29:H47" si="12">IF(E29&gt;D29,D29,E29)</f>
        <v>11.192562000000001</v>
      </c>
      <c r="I29" s="135"/>
      <c r="J29" s="136">
        <f t="shared" ref="J29:J47" si="13">IF(E29&gt;D29,0,D29-E29)</f>
        <v>0</v>
      </c>
      <c r="K29" s="137"/>
      <c r="L29" s="138">
        <f t="shared" ref="L29:L47" si="14">IF(E29&gt;D29,IF(F29&gt;H29,0,H29-F29),G29)</f>
        <v>0</v>
      </c>
      <c r="M29" s="137"/>
      <c r="N29" s="139">
        <f t="shared" ref="N29:N47" si="15">IF(E29&gt;D29,IF(F29&gt;H29,F29-H29,0),0)</f>
        <v>16.890349999999998</v>
      </c>
      <c r="O29" s="137"/>
      <c r="P29" s="140">
        <f t="shared" ref="P29:P47" si="16">IF(E29&gt;D29,IF(F29&gt;H29,G29,E29-H29),0)</f>
        <v>7.0207279999999983</v>
      </c>
      <c r="Q29" s="135"/>
      <c r="R29" s="104">
        <f t="shared" ref="R29:R47" si="17">H29-L29</f>
        <v>11.192562000000001</v>
      </c>
      <c r="S29" s="137"/>
      <c r="T29" s="141">
        <f t="shared" ref="T29:T47" si="18">L29+N29+P29</f>
        <v>23.911077999999996</v>
      </c>
      <c r="U29" s="199">
        <f t="shared" ref="U29:U47" si="19">J29+L29</f>
        <v>0</v>
      </c>
      <c r="V29" s="37" t="str">
        <f t="shared" ref="V29:V47" si="20">IF(R29+T29=E29,"ok","bad")</f>
        <v>ok</v>
      </c>
      <c r="W29" s="37" t="str">
        <f t="shared" ref="W29:W47" si="21">IF(U29+R29=D29,"ok","bad")</f>
        <v>ok</v>
      </c>
    </row>
    <row r="30" spans="1:23" x14ac:dyDescent="0.25">
      <c r="A30" s="426"/>
      <c r="B30" s="178" t="s">
        <v>19</v>
      </c>
      <c r="C30" s="129">
        <v>5</v>
      </c>
      <c r="D30" s="130">
        <f>'2.4.5.1 Missions'!D96*DMM</f>
        <v>4.8957619999999995</v>
      </c>
      <c r="E30" s="131">
        <f>'2.4.5.1 Missions'!E96*DMM</f>
        <v>14.360579999999999</v>
      </c>
      <c r="F30" s="132">
        <f t="shared" si="0"/>
        <v>11.488464</v>
      </c>
      <c r="G30" s="133">
        <f t="shared" si="1"/>
        <v>2.8721159999999992</v>
      </c>
      <c r="H30" s="134">
        <f t="shared" si="12"/>
        <v>4.8957619999999995</v>
      </c>
      <c r="I30" s="135"/>
      <c r="J30" s="136">
        <f t="shared" si="13"/>
        <v>0</v>
      </c>
      <c r="K30" s="137"/>
      <c r="L30" s="138">
        <f t="shared" si="14"/>
        <v>0</v>
      </c>
      <c r="M30" s="137"/>
      <c r="N30" s="139">
        <f t="shared" si="15"/>
        <v>6.592702000000001</v>
      </c>
      <c r="O30" s="137"/>
      <c r="P30" s="140">
        <f t="shared" si="16"/>
        <v>2.8721159999999992</v>
      </c>
      <c r="Q30" s="135"/>
      <c r="R30" s="104">
        <f t="shared" si="17"/>
        <v>4.8957619999999995</v>
      </c>
      <c r="S30" s="137"/>
      <c r="T30" s="141">
        <f t="shared" si="18"/>
        <v>9.4648180000000011</v>
      </c>
      <c r="U30" s="199">
        <f t="shared" si="19"/>
        <v>0</v>
      </c>
      <c r="V30" s="37" t="str">
        <f t="shared" si="20"/>
        <v>ok</v>
      </c>
      <c r="W30" s="37" t="str">
        <f t="shared" si="21"/>
        <v>ok</v>
      </c>
    </row>
    <row r="31" spans="1:23" x14ac:dyDescent="0.25">
      <c r="A31" s="426"/>
      <c r="B31" s="178" t="s">
        <v>20</v>
      </c>
      <c r="C31" s="129">
        <v>6</v>
      </c>
      <c r="D31" s="130">
        <f>'2.4.5.1 Missions'!D97*DMM</f>
        <v>3.4160139999999997</v>
      </c>
      <c r="E31" s="131">
        <f>'2.4.5.1 Missions'!E97*DMM</f>
        <v>21.540870000000002</v>
      </c>
      <c r="F31" s="132">
        <f t="shared" si="0"/>
        <v>17.232696000000001</v>
      </c>
      <c r="G31" s="133">
        <f t="shared" si="1"/>
        <v>4.3081739999999993</v>
      </c>
      <c r="H31" s="134">
        <f t="shared" si="12"/>
        <v>3.4160139999999997</v>
      </c>
      <c r="I31" s="135"/>
      <c r="J31" s="136">
        <f t="shared" si="13"/>
        <v>0</v>
      </c>
      <c r="K31" s="137"/>
      <c r="L31" s="138">
        <f t="shared" si="14"/>
        <v>0</v>
      </c>
      <c r="M31" s="137"/>
      <c r="N31" s="139">
        <f t="shared" si="15"/>
        <v>13.816682</v>
      </c>
      <c r="O31" s="137"/>
      <c r="P31" s="140">
        <f t="shared" si="16"/>
        <v>4.3081739999999993</v>
      </c>
      <c r="Q31" s="135"/>
      <c r="R31" s="104">
        <f t="shared" si="17"/>
        <v>3.4160139999999997</v>
      </c>
      <c r="S31" s="137"/>
      <c r="T31" s="141">
        <f t="shared" si="18"/>
        <v>18.124856000000001</v>
      </c>
      <c r="U31" s="199">
        <f t="shared" si="19"/>
        <v>0</v>
      </c>
      <c r="V31" s="37" t="str">
        <f t="shared" si="20"/>
        <v>ok</v>
      </c>
      <c r="W31" s="37" t="str">
        <f t="shared" si="21"/>
        <v>ok</v>
      </c>
    </row>
    <row r="32" spans="1:23" x14ac:dyDescent="0.25">
      <c r="A32" s="426"/>
      <c r="B32" s="178" t="s">
        <v>21</v>
      </c>
      <c r="C32" s="129">
        <v>7</v>
      </c>
      <c r="D32" s="130">
        <f>'2.4.5.1 Missions'!D98*DMM</f>
        <v>7.0838999999999999</v>
      </c>
      <c r="E32" s="131">
        <f>'2.4.5.1 Missions'!E98*DMM</f>
        <v>35.103639999999999</v>
      </c>
      <c r="F32" s="132">
        <f t="shared" si="0"/>
        <v>28.082912</v>
      </c>
      <c r="G32" s="133">
        <f t="shared" si="1"/>
        <v>7.0207279999999983</v>
      </c>
      <c r="H32" s="134">
        <f t="shared" si="12"/>
        <v>7.0838999999999999</v>
      </c>
      <c r="I32" s="135"/>
      <c r="J32" s="136">
        <f t="shared" si="13"/>
        <v>0</v>
      </c>
      <c r="K32" s="137"/>
      <c r="L32" s="138">
        <f t="shared" si="14"/>
        <v>0</v>
      </c>
      <c r="M32" s="137"/>
      <c r="N32" s="139">
        <f t="shared" si="15"/>
        <v>20.999012</v>
      </c>
      <c r="O32" s="137"/>
      <c r="P32" s="140">
        <f t="shared" si="16"/>
        <v>7.0207279999999983</v>
      </c>
      <c r="Q32" s="135"/>
      <c r="R32" s="104">
        <f t="shared" si="17"/>
        <v>7.0838999999999999</v>
      </c>
      <c r="S32" s="137"/>
      <c r="T32" s="141">
        <f t="shared" si="18"/>
        <v>28.019739999999999</v>
      </c>
      <c r="U32" s="199">
        <f t="shared" si="19"/>
        <v>0</v>
      </c>
      <c r="V32" s="37" t="str">
        <f t="shared" si="20"/>
        <v>ok</v>
      </c>
      <c r="W32" s="37" t="str">
        <f t="shared" si="21"/>
        <v>ok</v>
      </c>
    </row>
    <row r="33" spans="1:23" x14ac:dyDescent="0.25">
      <c r="A33" s="426"/>
      <c r="B33" s="178" t="s">
        <v>22</v>
      </c>
      <c r="C33" s="129">
        <v>8</v>
      </c>
      <c r="D33" s="130">
        <f>'2.4.5.1 Missions'!D99*DMM</f>
        <v>22.747189999999996</v>
      </c>
      <c r="E33" s="131">
        <f>'2.4.5.1 Missions'!E99*DMM</f>
        <v>24.547999999999998</v>
      </c>
      <c r="F33" s="132">
        <f t="shared" si="0"/>
        <v>19.638400000000001</v>
      </c>
      <c r="G33" s="133">
        <f t="shared" si="1"/>
        <v>4.9095999999999984</v>
      </c>
      <c r="H33" s="134">
        <f t="shared" si="12"/>
        <v>22.747189999999996</v>
      </c>
      <c r="I33" s="135"/>
      <c r="J33" s="136">
        <f t="shared" si="13"/>
        <v>0</v>
      </c>
      <c r="K33" s="137"/>
      <c r="L33" s="138">
        <f t="shared" si="14"/>
        <v>3.1087899999999955</v>
      </c>
      <c r="M33" s="137"/>
      <c r="N33" s="139">
        <f t="shared" si="15"/>
        <v>0</v>
      </c>
      <c r="O33" s="137"/>
      <c r="P33" s="140">
        <f t="shared" si="16"/>
        <v>1.800810000000002</v>
      </c>
      <c r="Q33" s="135"/>
      <c r="R33" s="104">
        <f t="shared" si="17"/>
        <v>19.638400000000001</v>
      </c>
      <c r="S33" s="137"/>
      <c r="T33" s="141">
        <f t="shared" si="18"/>
        <v>4.9095999999999975</v>
      </c>
      <c r="U33" s="199">
        <f t="shared" si="19"/>
        <v>3.1087899999999955</v>
      </c>
      <c r="V33" s="37" t="str">
        <f t="shared" si="20"/>
        <v>ok</v>
      </c>
      <c r="W33" s="37" t="str">
        <f t="shared" si="21"/>
        <v>ok</v>
      </c>
    </row>
    <row r="34" spans="1:23" x14ac:dyDescent="0.25">
      <c r="A34" s="426"/>
      <c r="B34" s="178" t="s">
        <v>23</v>
      </c>
      <c r="C34" s="129">
        <v>9</v>
      </c>
      <c r="D34" s="130">
        <f>'2.4.5.1 Missions'!D100*DMM</f>
        <v>18.449624000000004</v>
      </c>
      <c r="E34" s="131">
        <f>'2.4.5.1 Missions'!E100*DMM</f>
        <v>25.1617</v>
      </c>
      <c r="F34" s="132">
        <f t="shared" si="0"/>
        <v>20.129360000000002</v>
      </c>
      <c r="G34" s="133">
        <f t="shared" si="1"/>
        <v>5.0323399999999987</v>
      </c>
      <c r="H34" s="134">
        <f t="shared" si="12"/>
        <v>18.449624000000004</v>
      </c>
      <c r="I34" s="135"/>
      <c r="J34" s="136">
        <f t="shared" si="13"/>
        <v>0</v>
      </c>
      <c r="K34" s="137"/>
      <c r="L34" s="138">
        <f t="shared" si="14"/>
        <v>0</v>
      </c>
      <c r="M34" s="137"/>
      <c r="N34" s="139">
        <f t="shared" si="15"/>
        <v>1.6797359999999983</v>
      </c>
      <c r="O34" s="137"/>
      <c r="P34" s="140">
        <f t="shared" si="16"/>
        <v>5.0323399999999987</v>
      </c>
      <c r="Q34" s="135"/>
      <c r="R34" s="104">
        <f t="shared" si="17"/>
        <v>18.449624000000004</v>
      </c>
      <c r="S34" s="137"/>
      <c r="T34" s="141">
        <f t="shared" si="18"/>
        <v>6.712075999999997</v>
      </c>
      <c r="U34" s="199">
        <f t="shared" si="19"/>
        <v>0</v>
      </c>
      <c r="V34" s="37" t="str">
        <f t="shared" si="20"/>
        <v>ok</v>
      </c>
      <c r="W34" s="37" t="str">
        <f t="shared" si="21"/>
        <v>ok</v>
      </c>
    </row>
    <row r="35" spans="1:23" x14ac:dyDescent="0.25">
      <c r="A35" s="426"/>
      <c r="B35" s="178" t="s">
        <v>19</v>
      </c>
      <c r="C35" s="129">
        <v>12</v>
      </c>
      <c r="D35" s="130">
        <f>'2.4.5.1 Missions'!D101*DMM</f>
        <v>10.665205</v>
      </c>
      <c r="E35" s="131">
        <f>'2.4.5.1 Missions'!E101*DMM</f>
        <v>13.5014</v>
      </c>
      <c r="F35" s="132">
        <f t="shared" si="0"/>
        <v>10.801120000000001</v>
      </c>
      <c r="G35" s="133">
        <f t="shared" si="1"/>
        <v>2.7002799999999993</v>
      </c>
      <c r="H35" s="134">
        <f t="shared" si="12"/>
        <v>10.665205</v>
      </c>
      <c r="I35" s="135"/>
      <c r="J35" s="136">
        <f t="shared" si="13"/>
        <v>0</v>
      </c>
      <c r="K35" s="137"/>
      <c r="L35" s="138">
        <f t="shared" si="14"/>
        <v>0</v>
      </c>
      <c r="M35" s="137"/>
      <c r="N35" s="139">
        <f t="shared" si="15"/>
        <v>0.13591500000000067</v>
      </c>
      <c r="O35" s="137"/>
      <c r="P35" s="140">
        <f t="shared" si="16"/>
        <v>2.7002799999999993</v>
      </c>
      <c r="Q35" s="135"/>
      <c r="R35" s="104">
        <f t="shared" si="17"/>
        <v>10.665205</v>
      </c>
      <c r="S35" s="137"/>
      <c r="T35" s="141">
        <f t="shared" si="18"/>
        <v>2.836195</v>
      </c>
      <c r="U35" s="199">
        <f t="shared" si="19"/>
        <v>0</v>
      </c>
      <c r="V35" s="37" t="str">
        <f t="shared" si="20"/>
        <v>ok</v>
      </c>
      <c r="W35" s="37" t="str">
        <f t="shared" si="21"/>
        <v>ok</v>
      </c>
    </row>
    <row r="36" spans="1:23" x14ac:dyDescent="0.25">
      <c r="A36" s="426"/>
      <c r="B36" s="178" t="s">
        <v>20</v>
      </c>
      <c r="C36" s="129">
        <v>13</v>
      </c>
      <c r="D36" s="130">
        <f>'2.4.5.1 Missions'!D102*DMM</f>
        <v>8.610873999999999</v>
      </c>
      <c r="E36" s="131">
        <f>'2.4.5.1 Missions'!E102*DMM</f>
        <v>17.183600000000002</v>
      </c>
      <c r="F36" s="132">
        <f t="shared" si="0"/>
        <v>13.746880000000003</v>
      </c>
      <c r="G36" s="133">
        <f t="shared" si="1"/>
        <v>3.4367199999999998</v>
      </c>
      <c r="H36" s="134">
        <f t="shared" si="12"/>
        <v>8.610873999999999</v>
      </c>
      <c r="I36" s="135"/>
      <c r="J36" s="136">
        <f t="shared" si="13"/>
        <v>0</v>
      </c>
      <c r="K36" s="137"/>
      <c r="L36" s="138">
        <f t="shared" si="14"/>
        <v>0</v>
      </c>
      <c r="M36" s="137"/>
      <c r="N36" s="139">
        <f t="shared" si="15"/>
        <v>5.1360060000000036</v>
      </c>
      <c r="O36" s="137"/>
      <c r="P36" s="140">
        <f t="shared" si="16"/>
        <v>3.4367199999999998</v>
      </c>
      <c r="Q36" s="135"/>
      <c r="R36" s="104">
        <f t="shared" si="17"/>
        <v>8.610873999999999</v>
      </c>
      <c r="S36" s="137"/>
      <c r="T36" s="141">
        <f t="shared" si="18"/>
        <v>8.572726000000003</v>
      </c>
      <c r="U36" s="199">
        <f t="shared" si="19"/>
        <v>0</v>
      </c>
      <c r="V36" s="37" t="str">
        <f t="shared" si="20"/>
        <v>ok</v>
      </c>
      <c r="W36" s="37" t="str">
        <f t="shared" si="21"/>
        <v>ok</v>
      </c>
    </row>
    <row r="37" spans="1:23" x14ac:dyDescent="0.25">
      <c r="A37" s="426"/>
      <c r="B37" s="178" t="s">
        <v>21</v>
      </c>
      <c r="C37" s="129">
        <v>14</v>
      </c>
      <c r="D37" s="130">
        <f>'2.4.5.1 Missions'!D103*DMM</f>
        <v>16.403164</v>
      </c>
      <c r="E37" s="131">
        <f>'2.4.5.1 Missions'!E103*DMM</f>
        <v>23.320599999999999</v>
      </c>
      <c r="F37" s="132">
        <f t="shared" si="0"/>
        <v>18.656479999999998</v>
      </c>
      <c r="G37" s="133">
        <f t="shared" si="1"/>
        <v>4.6641199999999987</v>
      </c>
      <c r="H37" s="134">
        <f t="shared" si="12"/>
        <v>16.403164</v>
      </c>
      <c r="I37" s="135"/>
      <c r="J37" s="136">
        <f t="shared" si="13"/>
        <v>0</v>
      </c>
      <c r="K37" s="137"/>
      <c r="L37" s="138">
        <f t="shared" si="14"/>
        <v>0</v>
      </c>
      <c r="M37" s="137"/>
      <c r="N37" s="139">
        <f t="shared" si="15"/>
        <v>2.2533159999999981</v>
      </c>
      <c r="O37" s="137"/>
      <c r="P37" s="140">
        <f t="shared" si="16"/>
        <v>4.6641199999999987</v>
      </c>
      <c r="Q37" s="135"/>
      <c r="R37" s="104">
        <f t="shared" si="17"/>
        <v>16.403164</v>
      </c>
      <c r="S37" s="137"/>
      <c r="T37" s="141">
        <f t="shared" si="18"/>
        <v>6.9174359999999968</v>
      </c>
      <c r="U37" s="199">
        <f t="shared" si="19"/>
        <v>0</v>
      </c>
      <c r="V37" s="37" t="str">
        <f t="shared" si="20"/>
        <v>ok</v>
      </c>
      <c r="W37" s="37" t="str">
        <f t="shared" si="21"/>
        <v>ok</v>
      </c>
    </row>
    <row r="38" spans="1:23" x14ac:dyDescent="0.25">
      <c r="A38" s="426"/>
      <c r="B38" s="178" t="s">
        <v>22</v>
      </c>
      <c r="C38" s="129">
        <v>15</v>
      </c>
      <c r="D38" s="130">
        <f>'2.4.5.1 Missions'!D104*DMM</f>
        <v>14.254381</v>
      </c>
      <c r="E38" s="131">
        <f>'2.4.5.1 Missions'!E104*DMM</f>
        <v>36.822000000000003</v>
      </c>
      <c r="F38" s="132">
        <f t="shared" si="0"/>
        <v>29.457600000000003</v>
      </c>
      <c r="G38" s="133">
        <f t="shared" si="1"/>
        <v>7.3643999999999989</v>
      </c>
      <c r="H38" s="134">
        <f t="shared" si="12"/>
        <v>14.254381</v>
      </c>
      <c r="I38" s="135"/>
      <c r="J38" s="136">
        <f t="shared" si="13"/>
        <v>0</v>
      </c>
      <c r="K38" s="137"/>
      <c r="L38" s="138">
        <f t="shared" si="14"/>
        <v>0</v>
      </c>
      <c r="M38" s="137"/>
      <c r="N38" s="139">
        <f t="shared" si="15"/>
        <v>15.203219000000002</v>
      </c>
      <c r="O38" s="137"/>
      <c r="P38" s="140">
        <f t="shared" si="16"/>
        <v>7.3643999999999989</v>
      </c>
      <c r="Q38" s="135"/>
      <c r="R38" s="104">
        <f t="shared" si="17"/>
        <v>14.254381</v>
      </c>
      <c r="S38" s="137"/>
      <c r="T38" s="141">
        <f t="shared" si="18"/>
        <v>22.567619000000001</v>
      </c>
      <c r="U38" s="199">
        <f t="shared" si="19"/>
        <v>0</v>
      </c>
      <c r="V38" s="37" t="str">
        <f t="shared" si="20"/>
        <v>ok</v>
      </c>
      <c r="W38" s="37" t="str">
        <f t="shared" si="21"/>
        <v>ok</v>
      </c>
    </row>
    <row r="39" spans="1:23" x14ac:dyDescent="0.25">
      <c r="A39" s="426"/>
      <c r="B39" s="178" t="s">
        <v>23</v>
      </c>
      <c r="C39" s="129">
        <v>16</v>
      </c>
      <c r="D39" s="130">
        <f>'2.4.5.1 Missions'!D105*DMM</f>
        <v>11.192562000000001</v>
      </c>
      <c r="E39" s="131">
        <f>'2.4.5.1 Missions'!E105*DMM</f>
        <v>28.230199999999996</v>
      </c>
      <c r="F39" s="132">
        <f t="shared" si="0"/>
        <v>22.584159999999997</v>
      </c>
      <c r="G39" s="133">
        <f t="shared" si="1"/>
        <v>5.6460399999999984</v>
      </c>
      <c r="H39" s="134">
        <f t="shared" si="12"/>
        <v>11.192562000000001</v>
      </c>
      <c r="I39" s="135"/>
      <c r="J39" s="136">
        <f t="shared" si="13"/>
        <v>0</v>
      </c>
      <c r="K39" s="137"/>
      <c r="L39" s="138">
        <f t="shared" si="14"/>
        <v>0</v>
      </c>
      <c r="M39" s="137"/>
      <c r="N39" s="139">
        <f t="shared" si="15"/>
        <v>11.391597999999997</v>
      </c>
      <c r="O39" s="137"/>
      <c r="P39" s="140">
        <f t="shared" si="16"/>
        <v>5.6460399999999984</v>
      </c>
      <c r="Q39" s="135"/>
      <c r="R39" s="104">
        <f t="shared" si="17"/>
        <v>11.192562000000001</v>
      </c>
      <c r="S39" s="137"/>
      <c r="T39" s="141">
        <f t="shared" si="18"/>
        <v>17.037637999999994</v>
      </c>
      <c r="U39" s="199">
        <f t="shared" si="19"/>
        <v>0</v>
      </c>
      <c r="V39" s="37" t="str">
        <f t="shared" si="20"/>
        <v>ok</v>
      </c>
      <c r="W39" s="37" t="str">
        <f t="shared" si="21"/>
        <v>ok</v>
      </c>
    </row>
    <row r="40" spans="1:23" x14ac:dyDescent="0.25">
      <c r="A40" s="426"/>
      <c r="B40" s="178" t="s">
        <v>19</v>
      </c>
      <c r="C40" s="129">
        <v>19</v>
      </c>
      <c r="D40" s="130">
        <f>'2.4.5.1 Missions'!D106*DMM</f>
        <v>4.8957619999999995</v>
      </c>
      <c r="E40" s="131">
        <f>'2.4.5.1 Missions'!E106*DMM</f>
        <v>13.5014</v>
      </c>
      <c r="F40" s="132">
        <f t="shared" si="0"/>
        <v>10.801120000000001</v>
      </c>
      <c r="G40" s="133">
        <f t="shared" si="1"/>
        <v>2.7002799999999993</v>
      </c>
      <c r="H40" s="134">
        <f t="shared" si="12"/>
        <v>4.8957619999999995</v>
      </c>
      <c r="I40" s="135"/>
      <c r="J40" s="136">
        <f t="shared" si="13"/>
        <v>0</v>
      </c>
      <c r="K40" s="137"/>
      <c r="L40" s="138">
        <f t="shared" si="14"/>
        <v>0</v>
      </c>
      <c r="M40" s="137"/>
      <c r="N40" s="139">
        <f t="shared" si="15"/>
        <v>5.9053580000000014</v>
      </c>
      <c r="O40" s="137"/>
      <c r="P40" s="140">
        <f t="shared" si="16"/>
        <v>2.7002799999999993</v>
      </c>
      <c r="Q40" s="135"/>
      <c r="R40" s="104">
        <f t="shared" si="17"/>
        <v>4.8957619999999995</v>
      </c>
      <c r="S40" s="137"/>
      <c r="T40" s="141">
        <f t="shared" si="18"/>
        <v>8.6056380000000008</v>
      </c>
      <c r="U40" s="199">
        <f t="shared" si="19"/>
        <v>0</v>
      </c>
      <c r="V40" s="37" t="str">
        <f t="shared" si="20"/>
        <v>ok</v>
      </c>
      <c r="W40" s="37" t="str">
        <f t="shared" si="21"/>
        <v>ok</v>
      </c>
    </row>
    <row r="41" spans="1:23" x14ac:dyDescent="0.25">
      <c r="A41" s="426"/>
      <c r="B41" s="178" t="s">
        <v>20</v>
      </c>
      <c r="C41" s="129">
        <v>20</v>
      </c>
      <c r="D41" s="130">
        <f>'2.4.5.1 Missions'!D107*DMM</f>
        <v>3.4160139999999997</v>
      </c>
      <c r="E41" s="131">
        <f>'2.4.5.1 Missions'!E107*DMM</f>
        <v>22.706899999999997</v>
      </c>
      <c r="F41" s="132">
        <f t="shared" si="0"/>
        <v>18.165519999999997</v>
      </c>
      <c r="G41" s="133">
        <f t="shared" si="1"/>
        <v>4.5413799999999984</v>
      </c>
      <c r="H41" s="134">
        <f t="shared" si="12"/>
        <v>3.4160139999999997</v>
      </c>
      <c r="I41" s="135"/>
      <c r="J41" s="136">
        <f t="shared" si="13"/>
        <v>0</v>
      </c>
      <c r="K41" s="137"/>
      <c r="L41" s="138">
        <f t="shared" si="14"/>
        <v>0</v>
      </c>
      <c r="M41" s="137"/>
      <c r="N41" s="139">
        <f t="shared" si="15"/>
        <v>14.749505999999997</v>
      </c>
      <c r="O41" s="137"/>
      <c r="P41" s="140">
        <f t="shared" si="16"/>
        <v>4.5413799999999984</v>
      </c>
      <c r="Q41" s="135"/>
      <c r="R41" s="104">
        <f t="shared" si="17"/>
        <v>3.4160139999999997</v>
      </c>
      <c r="S41" s="137"/>
      <c r="T41" s="141">
        <f t="shared" si="18"/>
        <v>19.290885999999993</v>
      </c>
      <c r="U41" s="199">
        <f t="shared" si="19"/>
        <v>0</v>
      </c>
      <c r="V41" s="37" t="str">
        <f t="shared" si="20"/>
        <v>ok</v>
      </c>
      <c r="W41" s="37" t="str">
        <f t="shared" si="21"/>
        <v>ok</v>
      </c>
    </row>
    <row r="42" spans="1:23" x14ac:dyDescent="0.25">
      <c r="A42" s="426"/>
      <c r="B42" s="178" t="s">
        <v>21</v>
      </c>
      <c r="C42" s="129">
        <v>21</v>
      </c>
      <c r="D42" s="130">
        <f>'2.4.5.1 Missions'!D108*DMM</f>
        <v>7.0838999999999999</v>
      </c>
      <c r="E42" s="131">
        <f>'2.4.5.1 Missions'!E108*DMM</f>
        <v>27.002800000000001</v>
      </c>
      <c r="F42" s="132">
        <f t="shared" si="0"/>
        <v>21.602240000000002</v>
      </c>
      <c r="G42" s="133">
        <f t="shared" si="1"/>
        <v>5.4005599999999987</v>
      </c>
      <c r="H42" s="134">
        <f t="shared" si="12"/>
        <v>7.0838999999999999</v>
      </c>
      <c r="I42" s="135"/>
      <c r="J42" s="136">
        <f t="shared" si="13"/>
        <v>0</v>
      </c>
      <c r="K42" s="137"/>
      <c r="L42" s="138">
        <f t="shared" si="14"/>
        <v>0</v>
      </c>
      <c r="M42" s="137"/>
      <c r="N42" s="139">
        <f t="shared" si="15"/>
        <v>14.518340000000002</v>
      </c>
      <c r="O42" s="137"/>
      <c r="P42" s="140">
        <f t="shared" si="16"/>
        <v>5.4005599999999987</v>
      </c>
      <c r="Q42" s="135"/>
      <c r="R42" s="104">
        <f t="shared" si="17"/>
        <v>7.0838999999999999</v>
      </c>
      <c r="S42" s="137"/>
      <c r="T42" s="141">
        <f t="shared" si="18"/>
        <v>19.918900000000001</v>
      </c>
      <c r="U42" s="199">
        <f t="shared" si="19"/>
        <v>0</v>
      </c>
      <c r="V42" s="37" t="str">
        <f t="shared" si="20"/>
        <v>ok</v>
      </c>
      <c r="W42" s="37" t="str">
        <f t="shared" si="21"/>
        <v>ok</v>
      </c>
    </row>
    <row r="43" spans="1:23" x14ac:dyDescent="0.25">
      <c r="A43" s="426"/>
      <c r="B43" s="178" t="s">
        <v>22</v>
      </c>
      <c r="C43" s="129">
        <v>22</v>
      </c>
      <c r="D43" s="130">
        <f>'2.4.5.1 Missions'!D109*DMM</f>
        <v>28.430051999999996</v>
      </c>
      <c r="E43" s="131">
        <f>'2.4.5.1 Missions'!E109*DMM</f>
        <v>30.378149999999998</v>
      </c>
      <c r="F43" s="132">
        <f t="shared" si="0"/>
        <v>24.302520000000001</v>
      </c>
      <c r="G43" s="133">
        <f t="shared" si="1"/>
        <v>6.0756299999999985</v>
      </c>
      <c r="H43" s="134">
        <f t="shared" si="12"/>
        <v>28.430051999999996</v>
      </c>
      <c r="I43" s="135"/>
      <c r="J43" s="136">
        <f t="shared" si="13"/>
        <v>0</v>
      </c>
      <c r="K43" s="137"/>
      <c r="L43" s="138">
        <f t="shared" si="14"/>
        <v>4.1275319999999951</v>
      </c>
      <c r="M43" s="137"/>
      <c r="N43" s="139">
        <f t="shared" si="15"/>
        <v>0</v>
      </c>
      <c r="O43" s="137"/>
      <c r="P43" s="140">
        <f t="shared" si="16"/>
        <v>1.9480980000000017</v>
      </c>
      <c r="Q43" s="135"/>
      <c r="R43" s="104">
        <f t="shared" si="17"/>
        <v>24.302520000000001</v>
      </c>
      <c r="S43" s="137"/>
      <c r="T43" s="141">
        <f t="shared" si="18"/>
        <v>6.0756299999999968</v>
      </c>
      <c r="U43" s="199">
        <f t="shared" si="19"/>
        <v>4.1275319999999951</v>
      </c>
      <c r="V43" s="37" t="str">
        <f t="shared" si="20"/>
        <v>ok</v>
      </c>
      <c r="W43" s="37" t="str">
        <f t="shared" si="21"/>
        <v>ok</v>
      </c>
    </row>
    <row r="44" spans="1:23" x14ac:dyDescent="0.25">
      <c r="A44" s="426"/>
      <c r="B44" s="178" t="s">
        <v>23</v>
      </c>
      <c r="C44" s="129">
        <v>23</v>
      </c>
      <c r="D44" s="130">
        <f>'2.4.5.1 Missions'!D110*DMM</f>
        <v>23.140739999999997</v>
      </c>
      <c r="E44" s="131">
        <f>'2.4.5.1 Missions'!E110*DMM</f>
        <v>19.245631999999997</v>
      </c>
      <c r="F44" s="132">
        <f t="shared" si="0"/>
        <v>15.396505599999998</v>
      </c>
      <c r="G44" s="133">
        <f t="shared" si="1"/>
        <v>3.8491263999999985</v>
      </c>
      <c r="H44" s="134">
        <f t="shared" si="12"/>
        <v>19.245631999999997</v>
      </c>
      <c r="I44" s="135"/>
      <c r="J44" s="136">
        <f t="shared" si="13"/>
        <v>3.8951080000000005</v>
      </c>
      <c r="K44" s="137"/>
      <c r="L44" s="138">
        <f t="shared" si="14"/>
        <v>3.8491263999999985</v>
      </c>
      <c r="M44" s="137"/>
      <c r="N44" s="139">
        <f t="shared" si="15"/>
        <v>0</v>
      </c>
      <c r="O44" s="137"/>
      <c r="P44" s="140">
        <f t="shared" si="16"/>
        <v>0</v>
      </c>
      <c r="Q44" s="135"/>
      <c r="R44" s="104">
        <f t="shared" si="17"/>
        <v>15.396505599999998</v>
      </c>
      <c r="S44" s="137"/>
      <c r="T44" s="141">
        <f t="shared" si="18"/>
        <v>3.8491263999999985</v>
      </c>
      <c r="U44" s="199">
        <f t="shared" si="19"/>
        <v>7.744234399999999</v>
      </c>
      <c r="V44" s="37" t="str">
        <f t="shared" si="20"/>
        <v>ok</v>
      </c>
      <c r="W44" s="37" t="str">
        <f t="shared" si="21"/>
        <v>ok</v>
      </c>
    </row>
    <row r="45" spans="1:23" x14ac:dyDescent="0.25">
      <c r="A45" s="426"/>
      <c r="B45" s="178" t="s">
        <v>19</v>
      </c>
      <c r="C45" s="129">
        <v>26</v>
      </c>
      <c r="D45" s="130">
        <f>'2.4.5.1 Missions'!D111*DMM</f>
        <v>13.333474000000002</v>
      </c>
      <c r="E45" s="131">
        <f>'2.4.5.1 Missions'!E111*DMM</f>
        <v>9.1195819999999994</v>
      </c>
      <c r="F45" s="132">
        <f t="shared" si="0"/>
        <v>7.2956655999999995</v>
      </c>
      <c r="G45" s="133">
        <f t="shared" si="1"/>
        <v>1.8239163999999994</v>
      </c>
      <c r="H45" s="134">
        <f t="shared" si="12"/>
        <v>9.1195819999999994</v>
      </c>
      <c r="I45" s="135"/>
      <c r="J45" s="136">
        <f t="shared" si="13"/>
        <v>4.2138920000000031</v>
      </c>
      <c r="K45" s="137"/>
      <c r="L45" s="138">
        <f t="shared" si="14"/>
        <v>1.8239163999999994</v>
      </c>
      <c r="M45" s="137"/>
      <c r="N45" s="139">
        <f t="shared" si="15"/>
        <v>0</v>
      </c>
      <c r="O45" s="137"/>
      <c r="P45" s="140">
        <f t="shared" si="16"/>
        <v>0</v>
      </c>
      <c r="Q45" s="135"/>
      <c r="R45" s="104">
        <f t="shared" si="17"/>
        <v>7.2956655999999995</v>
      </c>
      <c r="S45" s="137"/>
      <c r="T45" s="141">
        <f t="shared" si="18"/>
        <v>1.8239163999999994</v>
      </c>
      <c r="U45" s="199">
        <f t="shared" si="19"/>
        <v>6.037808400000003</v>
      </c>
      <c r="V45" s="37" t="str">
        <f t="shared" si="20"/>
        <v>ok</v>
      </c>
      <c r="W45" s="37" t="str">
        <f t="shared" si="21"/>
        <v>ok</v>
      </c>
    </row>
    <row r="46" spans="1:23" x14ac:dyDescent="0.25">
      <c r="A46" s="426"/>
      <c r="B46" s="178" t="s">
        <v>20</v>
      </c>
      <c r="C46" s="129">
        <v>27</v>
      </c>
      <c r="D46" s="130">
        <f>'2.4.5.1 Missions'!D112*DMM</f>
        <v>10.917076999999999</v>
      </c>
      <c r="E46" s="131">
        <f>'2.4.5.1 Missions'!E112*DMM</f>
        <v>12.151260000000001</v>
      </c>
      <c r="F46" s="132">
        <f t="shared" si="0"/>
        <v>9.7210080000000012</v>
      </c>
      <c r="G46" s="133">
        <f t="shared" si="1"/>
        <v>2.4302519999999994</v>
      </c>
      <c r="H46" s="134">
        <f t="shared" si="12"/>
        <v>10.917076999999999</v>
      </c>
      <c r="I46" s="135"/>
      <c r="J46" s="136">
        <f t="shared" si="13"/>
        <v>0</v>
      </c>
      <c r="K46" s="137"/>
      <c r="L46" s="138">
        <f t="shared" si="14"/>
        <v>1.1960689999999978</v>
      </c>
      <c r="M46" s="137"/>
      <c r="N46" s="139">
        <f t="shared" si="15"/>
        <v>0</v>
      </c>
      <c r="O46" s="137"/>
      <c r="P46" s="140">
        <f t="shared" si="16"/>
        <v>1.2341830000000016</v>
      </c>
      <c r="Q46" s="135"/>
      <c r="R46" s="104">
        <f t="shared" si="17"/>
        <v>9.7210080000000012</v>
      </c>
      <c r="S46" s="137"/>
      <c r="T46" s="141">
        <f t="shared" si="18"/>
        <v>2.4302519999999994</v>
      </c>
      <c r="U46" s="199">
        <f t="shared" si="19"/>
        <v>1.1960689999999978</v>
      </c>
      <c r="V46" s="37" t="str">
        <f t="shared" si="20"/>
        <v>ok</v>
      </c>
      <c r="W46" s="37" t="str">
        <f t="shared" si="21"/>
        <v>ok</v>
      </c>
    </row>
    <row r="47" spans="1:23" ht="15.75" thickBot="1" x14ac:dyDescent="0.3">
      <c r="A47" s="427"/>
      <c r="B47" s="277" t="s">
        <v>21</v>
      </c>
      <c r="C47" s="165">
        <v>28</v>
      </c>
      <c r="D47" s="202">
        <f>'2.4.5.1 Missions'!D113*DMM</f>
        <v>20.503955000000001</v>
      </c>
      <c r="E47" s="203">
        <f>'2.4.5.1 Missions'!E113*DMM</f>
        <v>19.245631999999997</v>
      </c>
      <c r="F47" s="204">
        <f t="shared" si="0"/>
        <v>15.396505599999998</v>
      </c>
      <c r="G47" s="205">
        <f t="shared" si="1"/>
        <v>3.8491263999999985</v>
      </c>
      <c r="H47" s="206">
        <f t="shared" si="12"/>
        <v>19.245631999999997</v>
      </c>
      <c r="I47" s="207"/>
      <c r="J47" s="208">
        <f t="shared" si="13"/>
        <v>1.2583230000000043</v>
      </c>
      <c r="K47" s="209"/>
      <c r="L47" s="210">
        <f t="shared" si="14"/>
        <v>3.8491263999999985</v>
      </c>
      <c r="M47" s="209"/>
      <c r="N47" s="211">
        <f t="shared" si="15"/>
        <v>0</v>
      </c>
      <c r="O47" s="209"/>
      <c r="P47" s="212">
        <f t="shared" si="16"/>
        <v>0</v>
      </c>
      <c r="Q47" s="207"/>
      <c r="R47" s="213">
        <f t="shared" si="17"/>
        <v>15.396505599999998</v>
      </c>
      <c r="S47" s="209"/>
      <c r="T47" s="214">
        <f t="shared" si="18"/>
        <v>3.8491263999999985</v>
      </c>
      <c r="U47" s="215">
        <f t="shared" si="19"/>
        <v>5.1074494000000028</v>
      </c>
      <c r="V47" s="37" t="str">
        <f t="shared" si="20"/>
        <v>ok</v>
      </c>
      <c r="W47" s="37" t="str">
        <f t="shared" si="21"/>
        <v>ok</v>
      </c>
    </row>
    <row r="48" spans="1:23" x14ac:dyDescent="0.25">
      <c r="A48" s="425" t="s">
        <v>91</v>
      </c>
      <c r="B48" s="276" t="s">
        <v>22</v>
      </c>
      <c r="C48" s="247">
        <v>1</v>
      </c>
      <c r="D48" s="184">
        <f>'2.4.5.1 Missions'!D114*DMM</f>
        <v>16.840489000000002</v>
      </c>
      <c r="E48" s="185">
        <f>'2.4.5.1 Missions'!E114*DMM</f>
        <v>28.2438</v>
      </c>
      <c r="F48" s="186">
        <f t="shared" si="0"/>
        <v>22.595040000000001</v>
      </c>
      <c r="G48" s="187">
        <f t="shared" si="1"/>
        <v>5.6487599999999984</v>
      </c>
      <c r="H48" s="188">
        <f>IF(E48&gt;D48,D48,E48)</f>
        <v>16.840489000000002</v>
      </c>
      <c r="I48" s="189"/>
      <c r="J48" s="190">
        <f>IF(E48&gt;D48,0,D48-E48)</f>
        <v>0</v>
      </c>
      <c r="K48" s="191"/>
      <c r="L48" s="192">
        <f>IF(E48&gt;D48,IF(F48&gt;H48,0,H48-F48),G48)</f>
        <v>0</v>
      </c>
      <c r="M48" s="191"/>
      <c r="N48" s="193">
        <f>IF(E48&gt;D48,IF(F48&gt;H48,F48-H48,0),0)</f>
        <v>5.7545509999999993</v>
      </c>
      <c r="O48" s="191"/>
      <c r="P48" s="194">
        <f>IF(E48&gt;D48,IF(F48&gt;H48,G48,E48-H48),0)</f>
        <v>5.6487599999999984</v>
      </c>
      <c r="Q48" s="189"/>
      <c r="R48" s="195">
        <f>H48-L48</f>
        <v>16.840489000000002</v>
      </c>
      <c r="S48" s="191"/>
      <c r="T48" s="196">
        <f>L48+N48+P48</f>
        <v>11.403310999999999</v>
      </c>
      <c r="U48" s="197">
        <f>J48+L48</f>
        <v>0</v>
      </c>
      <c r="V48" s="37" t="str">
        <f>IF(R48+T48=E48,"ok","bad")</f>
        <v>ok</v>
      </c>
      <c r="W48" s="37" t="str">
        <f>IF(U48+R48=D48,"ok","bad")</f>
        <v>ok</v>
      </c>
    </row>
    <row r="49" spans="1:23" x14ac:dyDescent="0.25">
      <c r="A49" s="426"/>
      <c r="B49" s="178" t="s">
        <v>23</v>
      </c>
      <c r="C49" s="129">
        <v>2</v>
      </c>
      <c r="D49" s="130">
        <f>'2.4.5.1 Missions'!D115*DMM</f>
        <v>13.223178000000001</v>
      </c>
      <c r="E49" s="131">
        <f>'2.4.5.1 Missions'!E115*DMM</f>
        <v>20.712119999999999</v>
      </c>
      <c r="F49" s="132">
        <f t="shared" si="0"/>
        <v>16.569696</v>
      </c>
      <c r="G49" s="133">
        <f t="shared" si="1"/>
        <v>4.1424239999999992</v>
      </c>
      <c r="H49" s="134">
        <f t="shared" ref="H49:H69" si="22">IF(E49&gt;D49,D49,E49)</f>
        <v>13.223178000000001</v>
      </c>
      <c r="I49" s="135"/>
      <c r="J49" s="136">
        <f t="shared" ref="J49:J69" si="23">IF(E49&gt;D49,0,D49-E49)</f>
        <v>0</v>
      </c>
      <c r="K49" s="137"/>
      <c r="L49" s="138">
        <f t="shared" ref="L49:L69" si="24">IF(E49&gt;D49,IF(F49&gt;H49,0,H49-F49),G49)</f>
        <v>0</v>
      </c>
      <c r="M49" s="137"/>
      <c r="N49" s="139">
        <f t="shared" ref="N49:N69" si="25">IF(E49&gt;D49,IF(F49&gt;H49,F49-H49,0),0)</f>
        <v>3.3465179999999997</v>
      </c>
      <c r="O49" s="137"/>
      <c r="P49" s="140">
        <f t="shared" ref="P49:P69" si="26">IF(E49&gt;D49,IF(F49&gt;H49,G49,E49-H49),0)</f>
        <v>4.1424239999999992</v>
      </c>
      <c r="Q49" s="135"/>
      <c r="R49" s="104">
        <f t="shared" ref="R49:R69" si="27">H49-L49</f>
        <v>13.223178000000001</v>
      </c>
      <c r="S49" s="137"/>
      <c r="T49" s="141">
        <f t="shared" ref="T49:T69" si="28">L49+N49+P49</f>
        <v>7.4889419999999989</v>
      </c>
      <c r="U49" s="199">
        <f t="shared" ref="U49:U69" si="29">J49+L49</f>
        <v>0</v>
      </c>
      <c r="V49" s="37" t="str">
        <f t="shared" ref="V49:V69" si="30">IF(R49+T49=E49,"ok","bad")</f>
        <v>ok</v>
      </c>
      <c r="W49" s="37" t="str">
        <f t="shared" ref="W49:W69" si="31">IF(U49+R49=D49,"ok","bad")</f>
        <v>ok</v>
      </c>
    </row>
    <row r="50" spans="1:23" x14ac:dyDescent="0.25">
      <c r="A50" s="426"/>
      <c r="B50" s="178" t="s">
        <v>19</v>
      </c>
      <c r="C50" s="129">
        <v>5</v>
      </c>
      <c r="D50" s="130">
        <f>'2.4.5.1 Missions'!D116*DMM</f>
        <v>5.7839780000000003</v>
      </c>
      <c r="E50" s="131">
        <f>'2.4.5.1 Missions'!E116*DMM</f>
        <v>8.473139999999999</v>
      </c>
      <c r="F50" s="132">
        <f t="shared" si="0"/>
        <v>6.7785119999999992</v>
      </c>
      <c r="G50" s="133">
        <f t="shared" si="1"/>
        <v>1.6946279999999994</v>
      </c>
      <c r="H50" s="134">
        <f t="shared" si="22"/>
        <v>5.7839780000000003</v>
      </c>
      <c r="I50" s="135"/>
      <c r="J50" s="136">
        <f t="shared" si="23"/>
        <v>0</v>
      </c>
      <c r="K50" s="137"/>
      <c r="L50" s="138">
        <f t="shared" si="24"/>
        <v>0</v>
      </c>
      <c r="M50" s="137"/>
      <c r="N50" s="139">
        <f t="shared" si="25"/>
        <v>0.99453399999999892</v>
      </c>
      <c r="O50" s="137"/>
      <c r="P50" s="140">
        <f t="shared" si="26"/>
        <v>1.6946279999999994</v>
      </c>
      <c r="Q50" s="135"/>
      <c r="R50" s="104">
        <f t="shared" si="27"/>
        <v>5.7839780000000003</v>
      </c>
      <c r="S50" s="137"/>
      <c r="T50" s="141">
        <f t="shared" si="28"/>
        <v>2.6891619999999983</v>
      </c>
      <c r="U50" s="199">
        <f t="shared" si="29"/>
        <v>0</v>
      </c>
      <c r="V50" s="37" t="str">
        <f t="shared" si="30"/>
        <v>ok</v>
      </c>
      <c r="W50" s="37" t="str">
        <f t="shared" si="31"/>
        <v>ok</v>
      </c>
    </row>
    <row r="51" spans="1:23" x14ac:dyDescent="0.25">
      <c r="A51" s="426"/>
      <c r="B51" s="178" t="s">
        <v>20</v>
      </c>
      <c r="C51" s="129">
        <v>6</v>
      </c>
      <c r="D51" s="130">
        <f>'2.4.5.1 Missions'!D117*DMM</f>
        <v>4.0357659999999997</v>
      </c>
      <c r="E51" s="131">
        <f>'2.4.5.1 Missions'!E117*DMM</f>
        <v>12.709709999999999</v>
      </c>
      <c r="F51" s="132">
        <f t="shared" si="0"/>
        <v>10.167768000000001</v>
      </c>
      <c r="G51" s="133">
        <f t="shared" si="1"/>
        <v>2.5419419999999993</v>
      </c>
      <c r="H51" s="134">
        <f t="shared" si="22"/>
        <v>4.0357659999999997</v>
      </c>
      <c r="I51" s="135"/>
      <c r="J51" s="136">
        <f t="shared" si="23"/>
        <v>0</v>
      </c>
      <c r="K51" s="137"/>
      <c r="L51" s="138">
        <f t="shared" si="24"/>
        <v>0</v>
      </c>
      <c r="M51" s="137"/>
      <c r="N51" s="139">
        <f t="shared" si="25"/>
        <v>6.1320020000000008</v>
      </c>
      <c r="O51" s="137"/>
      <c r="P51" s="140">
        <f t="shared" si="26"/>
        <v>2.5419419999999993</v>
      </c>
      <c r="Q51" s="135"/>
      <c r="R51" s="104">
        <f t="shared" si="27"/>
        <v>4.0357659999999997</v>
      </c>
      <c r="S51" s="137"/>
      <c r="T51" s="141">
        <f t="shared" si="28"/>
        <v>8.6739440000000005</v>
      </c>
      <c r="U51" s="199">
        <f t="shared" si="29"/>
        <v>0</v>
      </c>
      <c r="V51" s="37" t="str">
        <f t="shared" si="30"/>
        <v>ok</v>
      </c>
      <c r="W51" s="37" t="str">
        <f t="shared" si="31"/>
        <v>ok</v>
      </c>
    </row>
    <row r="52" spans="1:23" x14ac:dyDescent="0.25">
      <c r="A52" s="426"/>
      <c r="B52" s="178" t="s">
        <v>21</v>
      </c>
      <c r="C52" s="129">
        <v>7</v>
      </c>
      <c r="D52" s="130">
        <f>'2.4.5.1 Missions'!D118*DMM</f>
        <v>8.3690999999999995</v>
      </c>
      <c r="E52" s="131">
        <f>'2.4.5.1 Missions'!E118*DMM</f>
        <v>20.712119999999999</v>
      </c>
      <c r="F52" s="132">
        <f t="shared" si="0"/>
        <v>16.569696</v>
      </c>
      <c r="G52" s="133">
        <f t="shared" si="1"/>
        <v>4.1424239999999992</v>
      </c>
      <c r="H52" s="134">
        <f t="shared" si="22"/>
        <v>8.3690999999999995</v>
      </c>
      <c r="I52" s="135"/>
      <c r="J52" s="136">
        <f t="shared" si="23"/>
        <v>0</v>
      </c>
      <c r="K52" s="137"/>
      <c r="L52" s="138">
        <f t="shared" si="24"/>
        <v>0</v>
      </c>
      <c r="M52" s="137"/>
      <c r="N52" s="139">
        <f t="shared" si="25"/>
        <v>8.2005960000000009</v>
      </c>
      <c r="O52" s="137"/>
      <c r="P52" s="140">
        <f t="shared" si="26"/>
        <v>4.1424239999999992</v>
      </c>
      <c r="Q52" s="135"/>
      <c r="R52" s="104">
        <f t="shared" si="27"/>
        <v>8.3690999999999995</v>
      </c>
      <c r="S52" s="137"/>
      <c r="T52" s="141">
        <f t="shared" si="28"/>
        <v>12.343019999999999</v>
      </c>
      <c r="U52" s="199">
        <f t="shared" si="29"/>
        <v>0</v>
      </c>
      <c r="V52" s="37" t="str">
        <f t="shared" si="30"/>
        <v>ok</v>
      </c>
      <c r="W52" s="37" t="str">
        <f t="shared" si="31"/>
        <v>ok</v>
      </c>
    </row>
    <row r="53" spans="1:23" x14ac:dyDescent="0.25">
      <c r="A53" s="426"/>
      <c r="B53" s="178" t="s">
        <v>22</v>
      </c>
      <c r="C53" s="129">
        <v>8</v>
      </c>
      <c r="D53" s="130">
        <f>'2.4.5.1 Missions'!D119*DMM</f>
        <v>26.874110000000002</v>
      </c>
      <c r="E53" s="131">
        <f>'2.4.5.1 Missions'!E119*DMM</f>
        <v>14.483999999999998</v>
      </c>
      <c r="F53" s="132">
        <f t="shared" si="0"/>
        <v>11.587199999999999</v>
      </c>
      <c r="G53" s="133">
        <f t="shared" si="1"/>
        <v>2.8967999999999989</v>
      </c>
      <c r="H53" s="134">
        <f t="shared" si="22"/>
        <v>14.483999999999998</v>
      </c>
      <c r="I53" s="135"/>
      <c r="J53" s="136">
        <f t="shared" si="23"/>
        <v>12.390110000000004</v>
      </c>
      <c r="K53" s="137"/>
      <c r="L53" s="138">
        <f t="shared" si="24"/>
        <v>2.8967999999999989</v>
      </c>
      <c r="M53" s="137"/>
      <c r="N53" s="139">
        <f t="shared" si="25"/>
        <v>0</v>
      </c>
      <c r="O53" s="137"/>
      <c r="P53" s="140">
        <f t="shared" si="26"/>
        <v>0</v>
      </c>
      <c r="Q53" s="135"/>
      <c r="R53" s="104">
        <f t="shared" si="27"/>
        <v>11.587199999999999</v>
      </c>
      <c r="S53" s="137"/>
      <c r="T53" s="141">
        <f t="shared" si="28"/>
        <v>2.8967999999999989</v>
      </c>
      <c r="U53" s="199">
        <f t="shared" si="29"/>
        <v>15.286910000000002</v>
      </c>
      <c r="V53" s="37" t="str">
        <f t="shared" si="30"/>
        <v>ok</v>
      </c>
      <c r="W53" s="37" t="str">
        <f t="shared" si="31"/>
        <v>ok</v>
      </c>
    </row>
    <row r="54" spans="1:23" x14ac:dyDescent="0.25">
      <c r="A54" s="426"/>
      <c r="B54" s="178" t="s">
        <v>23</v>
      </c>
      <c r="C54" s="129">
        <v>9</v>
      </c>
      <c r="D54" s="130">
        <f>'2.4.5.1 Missions'!D120*DMM</f>
        <v>21.796856000000002</v>
      </c>
      <c r="E54" s="131">
        <f>'2.4.5.1 Missions'!E120*DMM</f>
        <v>14.8461</v>
      </c>
      <c r="F54" s="132">
        <f t="shared" si="0"/>
        <v>11.87688</v>
      </c>
      <c r="G54" s="133">
        <f t="shared" si="1"/>
        <v>2.9692199999999995</v>
      </c>
      <c r="H54" s="134">
        <f t="shared" si="22"/>
        <v>14.8461</v>
      </c>
      <c r="I54" s="135"/>
      <c r="J54" s="136">
        <f t="shared" si="23"/>
        <v>6.9507560000000019</v>
      </c>
      <c r="K54" s="137"/>
      <c r="L54" s="138">
        <f t="shared" si="24"/>
        <v>2.9692199999999995</v>
      </c>
      <c r="M54" s="137"/>
      <c r="N54" s="139">
        <f t="shared" si="25"/>
        <v>0</v>
      </c>
      <c r="O54" s="137"/>
      <c r="P54" s="140">
        <f t="shared" si="26"/>
        <v>0</v>
      </c>
      <c r="Q54" s="135"/>
      <c r="R54" s="104">
        <f t="shared" si="27"/>
        <v>11.87688</v>
      </c>
      <c r="S54" s="137"/>
      <c r="T54" s="141">
        <f t="shared" si="28"/>
        <v>2.9692199999999995</v>
      </c>
      <c r="U54" s="199">
        <f t="shared" si="29"/>
        <v>9.9199760000000019</v>
      </c>
      <c r="V54" s="37" t="str">
        <f t="shared" si="30"/>
        <v>ok</v>
      </c>
      <c r="W54" s="37" t="str">
        <f t="shared" si="31"/>
        <v>ok</v>
      </c>
    </row>
    <row r="55" spans="1:23" x14ac:dyDescent="0.25">
      <c r="A55" s="426"/>
      <c r="B55" s="178" t="s">
        <v>19</v>
      </c>
      <c r="C55" s="129">
        <v>12</v>
      </c>
      <c r="D55" s="130">
        <f>'2.4.5.1 Missions'!D121*DMM</f>
        <v>12.600145000000001</v>
      </c>
      <c r="E55" s="131">
        <f>'2.4.5.1 Missions'!E121*DMM</f>
        <v>7.9661999999999997</v>
      </c>
      <c r="F55" s="132">
        <f t="shared" si="0"/>
        <v>6.37296</v>
      </c>
      <c r="G55" s="133">
        <f t="shared" si="1"/>
        <v>1.5932399999999995</v>
      </c>
      <c r="H55" s="134">
        <f t="shared" si="22"/>
        <v>7.9661999999999997</v>
      </c>
      <c r="I55" s="135"/>
      <c r="J55" s="136">
        <f t="shared" si="23"/>
        <v>4.6339450000000015</v>
      </c>
      <c r="K55" s="137"/>
      <c r="L55" s="138">
        <f t="shared" si="24"/>
        <v>1.5932399999999995</v>
      </c>
      <c r="M55" s="137"/>
      <c r="N55" s="139">
        <f t="shared" si="25"/>
        <v>0</v>
      </c>
      <c r="O55" s="137"/>
      <c r="P55" s="140">
        <f t="shared" si="26"/>
        <v>0</v>
      </c>
      <c r="Q55" s="135"/>
      <c r="R55" s="104">
        <f t="shared" si="27"/>
        <v>6.37296</v>
      </c>
      <c r="S55" s="137"/>
      <c r="T55" s="141">
        <f t="shared" si="28"/>
        <v>1.5932399999999995</v>
      </c>
      <c r="U55" s="199">
        <f t="shared" si="29"/>
        <v>6.2271850000000013</v>
      </c>
      <c r="V55" s="37" t="str">
        <f t="shared" si="30"/>
        <v>ok</v>
      </c>
      <c r="W55" s="37" t="str">
        <f t="shared" si="31"/>
        <v>ok</v>
      </c>
    </row>
    <row r="56" spans="1:23" x14ac:dyDescent="0.25">
      <c r="A56" s="426"/>
      <c r="B56" s="178" t="s">
        <v>20</v>
      </c>
      <c r="C56" s="129">
        <v>13</v>
      </c>
      <c r="D56" s="130">
        <f>'2.4.5.1 Missions'!D122*DMM</f>
        <v>10.173106000000001</v>
      </c>
      <c r="E56" s="131">
        <f>'2.4.5.1 Missions'!E122*DMM</f>
        <v>10.1388</v>
      </c>
      <c r="F56" s="132">
        <f t="shared" si="0"/>
        <v>8.1110400000000009</v>
      </c>
      <c r="G56" s="133">
        <f t="shared" si="1"/>
        <v>2.0277599999999993</v>
      </c>
      <c r="H56" s="134">
        <f t="shared" si="22"/>
        <v>10.1388</v>
      </c>
      <c r="I56" s="135"/>
      <c r="J56" s="136">
        <f t="shared" si="23"/>
        <v>3.4306000000000836E-2</v>
      </c>
      <c r="K56" s="137"/>
      <c r="L56" s="138">
        <f t="shared" si="24"/>
        <v>2.0277599999999993</v>
      </c>
      <c r="M56" s="137"/>
      <c r="N56" s="139">
        <f t="shared" si="25"/>
        <v>0</v>
      </c>
      <c r="O56" s="137"/>
      <c r="P56" s="140">
        <f t="shared" si="26"/>
        <v>0</v>
      </c>
      <c r="Q56" s="135"/>
      <c r="R56" s="104">
        <f t="shared" si="27"/>
        <v>8.1110400000000009</v>
      </c>
      <c r="S56" s="137"/>
      <c r="T56" s="141">
        <f t="shared" si="28"/>
        <v>2.0277599999999993</v>
      </c>
      <c r="U56" s="199">
        <f t="shared" si="29"/>
        <v>2.0620660000000002</v>
      </c>
      <c r="V56" s="37" t="str">
        <f t="shared" si="30"/>
        <v>ok</v>
      </c>
      <c r="W56" s="37" t="str">
        <f t="shared" si="31"/>
        <v>ok</v>
      </c>
    </row>
    <row r="57" spans="1:23" x14ac:dyDescent="0.25">
      <c r="A57" s="426"/>
      <c r="B57" s="178" t="s">
        <v>21</v>
      </c>
      <c r="C57" s="129">
        <v>14</v>
      </c>
      <c r="D57" s="130">
        <f>'2.4.5.1 Missions'!D123*DMM</f>
        <v>19.379116</v>
      </c>
      <c r="E57" s="131">
        <f>'2.4.5.1 Missions'!E123*DMM</f>
        <v>13.759799999999998</v>
      </c>
      <c r="F57" s="132">
        <f t="shared" si="0"/>
        <v>11.00784</v>
      </c>
      <c r="G57" s="133">
        <f t="shared" si="1"/>
        <v>2.7519599999999991</v>
      </c>
      <c r="H57" s="134">
        <f t="shared" si="22"/>
        <v>13.759799999999998</v>
      </c>
      <c r="I57" s="135"/>
      <c r="J57" s="136">
        <f t="shared" si="23"/>
        <v>5.6193160000000013</v>
      </c>
      <c r="K57" s="137"/>
      <c r="L57" s="138">
        <f t="shared" si="24"/>
        <v>2.7519599999999991</v>
      </c>
      <c r="M57" s="137"/>
      <c r="N57" s="139">
        <f t="shared" si="25"/>
        <v>0</v>
      </c>
      <c r="O57" s="137"/>
      <c r="P57" s="140">
        <f t="shared" si="26"/>
        <v>0</v>
      </c>
      <c r="Q57" s="135"/>
      <c r="R57" s="104">
        <f t="shared" si="27"/>
        <v>11.00784</v>
      </c>
      <c r="S57" s="137"/>
      <c r="T57" s="141">
        <f t="shared" si="28"/>
        <v>2.7519599999999991</v>
      </c>
      <c r="U57" s="199">
        <f t="shared" si="29"/>
        <v>8.3712759999999999</v>
      </c>
      <c r="V57" s="37" t="str">
        <f t="shared" si="30"/>
        <v>ok</v>
      </c>
      <c r="W57" s="37" t="str">
        <f t="shared" si="31"/>
        <v>ok</v>
      </c>
    </row>
    <row r="58" spans="1:23" x14ac:dyDescent="0.25">
      <c r="A58" s="426"/>
      <c r="B58" s="178" t="s">
        <v>22</v>
      </c>
      <c r="C58" s="129">
        <v>15</v>
      </c>
      <c r="D58" s="130">
        <f>'2.4.5.1 Missions'!D124*DMM</f>
        <v>16.840489000000002</v>
      </c>
      <c r="E58" s="131">
        <f>'2.4.5.1 Missions'!E124*DMM</f>
        <v>21.725999999999999</v>
      </c>
      <c r="F58" s="132">
        <f t="shared" si="0"/>
        <v>17.380800000000001</v>
      </c>
      <c r="G58" s="133">
        <f t="shared" si="1"/>
        <v>4.3451999999999993</v>
      </c>
      <c r="H58" s="134">
        <f t="shared" si="22"/>
        <v>16.840489000000002</v>
      </c>
      <c r="I58" s="135"/>
      <c r="J58" s="136">
        <f t="shared" si="23"/>
        <v>0</v>
      </c>
      <c r="K58" s="137"/>
      <c r="L58" s="138">
        <f t="shared" si="24"/>
        <v>0</v>
      </c>
      <c r="M58" s="137"/>
      <c r="N58" s="139">
        <f t="shared" si="25"/>
        <v>0.5403109999999991</v>
      </c>
      <c r="O58" s="137"/>
      <c r="P58" s="140">
        <f t="shared" si="26"/>
        <v>4.3451999999999993</v>
      </c>
      <c r="Q58" s="135"/>
      <c r="R58" s="104">
        <f t="shared" si="27"/>
        <v>16.840489000000002</v>
      </c>
      <c r="S58" s="137"/>
      <c r="T58" s="141">
        <f t="shared" si="28"/>
        <v>4.8855109999999984</v>
      </c>
      <c r="U58" s="199">
        <f t="shared" si="29"/>
        <v>0</v>
      </c>
      <c r="V58" s="37" t="str">
        <f t="shared" si="30"/>
        <v>ok</v>
      </c>
      <c r="W58" s="37" t="str">
        <f t="shared" si="31"/>
        <v>ok</v>
      </c>
    </row>
    <row r="59" spans="1:23" x14ac:dyDescent="0.25">
      <c r="A59" s="426"/>
      <c r="B59" s="178" t="s">
        <v>23</v>
      </c>
      <c r="C59" s="129">
        <v>16</v>
      </c>
      <c r="D59" s="130">
        <f>'2.4.5.1 Missions'!D125*DMM</f>
        <v>13.223178000000001</v>
      </c>
      <c r="E59" s="131">
        <f>'2.4.5.1 Missions'!E125*DMM</f>
        <v>16.656600000000001</v>
      </c>
      <c r="F59" s="132">
        <f t="shared" si="0"/>
        <v>13.325280000000001</v>
      </c>
      <c r="G59" s="133">
        <f t="shared" si="1"/>
        <v>3.3313199999999994</v>
      </c>
      <c r="H59" s="134">
        <f t="shared" si="22"/>
        <v>13.223178000000001</v>
      </c>
      <c r="I59" s="135"/>
      <c r="J59" s="136">
        <f t="shared" si="23"/>
        <v>0</v>
      </c>
      <c r="K59" s="137"/>
      <c r="L59" s="138">
        <f t="shared" si="24"/>
        <v>0</v>
      </c>
      <c r="M59" s="137"/>
      <c r="N59" s="139">
        <f t="shared" si="25"/>
        <v>0.10210200000000036</v>
      </c>
      <c r="O59" s="137"/>
      <c r="P59" s="140">
        <f t="shared" si="26"/>
        <v>3.3313199999999994</v>
      </c>
      <c r="Q59" s="135"/>
      <c r="R59" s="104">
        <f t="shared" si="27"/>
        <v>13.223178000000001</v>
      </c>
      <c r="S59" s="137"/>
      <c r="T59" s="141">
        <f t="shared" si="28"/>
        <v>3.4334219999999998</v>
      </c>
      <c r="U59" s="199">
        <f t="shared" si="29"/>
        <v>0</v>
      </c>
      <c r="V59" s="37" t="str">
        <f t="shared" si="30"/>
        <v>ok</v>
      </c>
      <c r="W59" s="37" t="str">
        <f t="shared" si="31"/>
        <v>ok</v>
      </c>
    </row>
    <row r="60" spans="1:23" x14ac:dyDescent="0.25">
      <c r="A60" s="426"/>
      <c r="B60" s="178" t="s">
        <v>19</v>
      </c>
      <c r="C60" s="129">
        <v>19</v>
      </c>
      <c r="D60" s="130">
        <f>'2.4.5.1 Missions'!D126*DMM</f>
        <v>5.7839780000000003</v>
      </c>
      <c r="E60" s="131">
        <f>'2.4.5.1 Missions'!E126*DMM</f>
        <v>7.9661999999999997</v>
      </c>
      <c r="F60" s="132">
        <f t="shared" si="0"/>
        <v>6.37296</v>
      </c>
      <c r="G60" s="133">
        <f t="shared" si="1"/>
        <v>1.5932399999999995</v>
      </c>
      <c r="H60" s="134">
        <f t="shared" si="22"/>
        <v>5.7839780000000003</v>
      </c>
      <c r="I60" s="135"/>
      <c r="J60" s="136">
        <f t="shared" si="23"/>
        <v>0</v>
      </c>
      <c r="K60" s="137"/>
      <c r="L60" s="138">
        <f t="shared" si="24"/>
        <v>0</v>
      </c>
      <c r="M60" s="137"/>
      <c r="N60" s="139">
        <f t="shared" si="25"/>
        <v>0.58898199999999967</v>
      </c>
      <c r="O60" s="137"/>
      <c r="P60" s="140">
        <f t="shared" si="26"/>
        <v>1.5932399999999995</v>
      </c>
      <c r="Q60" s="135"/>
      <c r="R60" s="104">
        <f t="shared" si="27"/>
        <v>5.7839780000000003</v>
      </c>
      <c r="S60" s="137"/>
      <c r="T60" s="141">
        <f t="shared" si="28"/>
        <v>2.1822219999999994</v>
      </c>
      <c r="U60" s="199">
        <f t="shared" si="29"/>
        <v>0</v>
      </c>
      <c r="V60" s="37" t="str">
        <f t="shared" si="30"/>
        <v>ok</v>
      </c>
      <c r="W60" s="37" t="str">
        <f t="shared" si="31"/>
        <v>ok</v>
      </c>
    </row>
    <row r="61" spans="1:23" x14ac:dyDescent="0.25">
      <c r="A61" s="426"/>
      <c r="B61" s="178" t="s">
        <v>20</v>
      </c>
      <c r="C61" s="129">
        <v>20</v>
      </c>
      <c r="D61" s="130">
        <f>'2.4.5.1 Missions'!D127*DMM</f>
        <v>4.0357659999999997</v>
      </c>
      <c r="E61" s="131">
        <f>'2.4.5.1 Missions'!E127*DMM</f>
        <v>13.3977</v>
      </c>
      <c r="F61" s="132">
        <f t="shared" si="0"/>
        <v>10.718160000000001</v>
      </c>
      <c r="G61" s="133">
        <f t="shared" si="1"/>
        <v>2.6795399999999994</v>
      </c>
      <c r="H61" s="134">
        <f t="shared" si="22"/>
        <v>4.0357659999999997</v>
      </c>
      <c r="I61" s="135"/>
      <c r="J61" s="136">
        <f t="shared" si="23"/>
        <v>0</v>
      </c>
      <c r="K61" s="137"/>
      <c r="L61" s="138">
        <f t="shared" si="24"/>
        <v>0</v>
      </c>
      <c r="M61" s="137"/>
      <c r="N61" s="139">
        <f t="shared" si="25"/>
        <v>6.6823940000000013</v>
      </c>
      <c r="O61" s="137"/>
      <c r="P61" s="140">
        <f t="shared" si="26"/>
        <v>2.6795399999999994</v>
      </c>
      <c r="Q61" s="135"/>
      <c r="R61" s="104">
        <f t="shared" si="27"/>
        <v>4.0357659999999997</v>
      </c>
      <c r="S61" s="137"/>
      <c r="T61" s="141">
        <f t="shared" si="28"/>
        <v>9.3619340000000015</v>
      </c>
      <c r="U61" s="199">
        <f t="shared" si="29"/>
        <v>0</v>
      </c>
      <c r="V61" s="37" t="str">
        <f t="shared" si="30"/>
        <v>ok</v>
      </c>
      <c r="W61" s="37" t="str">
        <f t="shared" si="31"/>
        <v>ok</v>
      </c>
    </row>
    <row r="62" spans="1:23" x14ac:dyDescent="0.25">
      <c r="A62" s="426"/>
      <c r="B62" s="178" t="s">
        <v>21</v>
      </c>
      <c r="C62" s="129">
        <v>21</v>
      </c>
      <c r="D62" s="130">
        <f>'2.4.5.1 Missions'!D128*DMM</f>
        <v>8.3690999999999995</v>
      </c>
      <c r="E62" s="131">
        <f>'2.4.5.1 Missions'!E128*DMM</f>
        <v>15.932399999999999</v>
      </c>
      <c r="F62" s="132">
        <f t="shared" si="0"/>
        <v>12.74592</v>
      </c>
      <c r="G62" s="133">
        <f t="shared" si="1"/>
        <v>3.1864799999999991</v>
      </c>
      <c r="H62" s="134">
        <f t="shared" si="22"/>
        <v>8.3690999999999995</v>
      </c>
      <c r="I62" s="135"/>
      <c r="J62" s="136">
        <f t="shared" si="23"/>
        <v>0</v>
      </c>
      <c r="K62" s="137"/>
      <c r="L62" s="138">
        <f t="shared" si="24"/>
        <v>0</v>
      </c>
      <c r="M62" s="137"/>
      <c r="N62" s="139">
        <f t="shared" si="25"/>
        <v>4.3768200000000004</v>
      </c>
      <c r="O62" s="137"/>
      <c r="P62" s="140">
        <f t="shared" si="26"/>
        <v>3.1864799999999991</v>
      </c>
      <c r="Q62" s="135"/>
      <c r="R62" s="104">
        <f t="shared" si="27"/>
        <v>8.3690999999999995</v>
      </c>
      <c r="S62" s="137"/>
      <c r="T62" s="141">
        <f t="shared" si="28"/>
        <v>7.5632999999999999</v>
      </c>
      <c r="U62" s="199">
        <f t="shared" si="29"/>
        <v>0</v>
      </c>
      <c r="V62" s="37" t="str">
        <f t="shared" si="30"/>
        <v>ok</v>
      </c>
      <c r="W62" s="37" t="str">
        <f t="shared" si="31"/>
        <v>ok</v>
      </c>
    </row>
    <row r="63" spans="1:23" x14ac:dyDescent="0.25">
      <c r="A63" s="426"/>
      <c r="B63" s="178" t="s">
        <v>22</v>
      </c>
      <c r="C63" s="129">
        <v>22</v>
      </c>
      <c r="D63" s="130">
        <f>'2.4.5.1 Missions'!D129*DMM</f>
        <v>33.587987999999996</v>
      </c>
      <c r="E63" s="131">
        <f>'2.4.5.1 Missions'!E129*DMM</f>
        <v>17.923949999999998</v>
      </c>
      <c r="F63" s="132">
        <f t="shared" si="0"/>
        <v>14.33916</v>
      </c>
      <c r="G63" s="133">
        <f t="shared" si="1"/>
        <v>3.5847899999999986</v>
      </c>
      <c r="H63" s="134">
        <f t="shared" si="22"/>
        <v>17.923949999999998</v>
      </c>
      <c r="I63" s="135"/>
      <c r="J63" s="136">
        <f t="shared" si="23"/>
        <v>15.664037999999998</v>
      </c>
      <c r="K63" s="137"/>
      <c r="L63" s="138">
        <f t="shared" si="24"/>
        <v>3.5847899999999986</v>
      </c>
      <c r="M63" s="137"/>
      <c r="N63" s="139">
        <f t="shared" si="25"/>
        <v>0</v>
      </c>
      <c r="O63" s="137"/>
      <c r="P63" s="140">
        <f t="shared" si="26"/>
        <v>0</v>
      </c>
      <c r="Q63" s="135"/>
      <c r="R63" s="104">
        <f t="shared" si="27"/>
        <v>14.33916</v>
      </c>
      <c r="S63" s="137"/>
      <c r="T63" s="141">
        <f t="shared" si="28"/>
        <v>3.5847899999999986</v>
      </c>
      <c r="U63" s="199">
        <f t="shared" si="29"/>
        <v>19.248827999999996</v>
      </c>
      <c r="V63" s="37" t="str">
        <f t="shared" si="30"/>
        <v>ok</v>
      </c>
      <c r="W63" s="37" t="str">
        <f t="shared" si="31"/>
        <v>ok</v>
      </c>
    </row>
    <row r="64" spans="1:23" x14ac:dyDescent="0.25">
      <c r="A64" s="426"/>
      <c r="B64" s="178" t="s">
        <v>23</v>
      </c>
      <c r="C64" s="129">
        <v>23</v>
      </c>
      <c r="D64" s="130">
        <f>'2.4.5.1 Missions'!D130*DMM</f>
        <v>27.33906</v>
      </c>
      <c r="E64" s="131">
        <f>'2.4.5.1 Missions'!E130*DMM</f>
        <v>11.355455999999998</v>
      </c>
      <c r="F64" s="132">
        <f t="shared" si="0"/>
        <v>9.0843647999999995</v>
      </c>
      <c r="G64" s="133">
        <f t="shared" si="1"/>
        <v>2.271091199999999</v>
      </c>
      <c r="H64" s="134">
        <f t="shared" si="22"/>
        <v>11.355455999999998</v>
      </c>
      <c r="I64" s="135"/>
      <c r="J64" s="136">
        <f t="shared" si="23"/>
        <v>15.983604000000001</v>
      </c>
      <c r="K64" s="137"/>
      <c r="L64" s="138">
        <f t="shared" si="24"/>
        <v>2.271091199999999</v>
      </c>
      <c r="M64" s="137"/>
      <c r="N64" s="139">
        <f t="shared" si="25"/>
        <v>0</v>
      </c>
      <c r="O64" s="137"/>
      <c r="P64" s="140">
        <f t="shared" si="26"/>
        <v>0</v>
      </c>
      <c r="Q64" s="135"/>
      <c r="R64" s="104">
        <f t="shared" si="27"/>
        <v>9.0843647999999995</v>
      </c>
      <c r="S64" s="137"/>
      <c r="T64" s="141">
        <f t="shared" si="28"/>
        <v>2.271091199999999</v>
      </c>
      <c r="U64" s="199">
        <f t="shared" si="29"/>
        <v>18.2546952</v>
      </c>
      <c r="V64" s="37" t="str">
        <f t="shared" si="30"/>
        <v>ok</v>
      </c>
      <c r="W64" s="37" t="str">
        <f t="shared" si="31"/>
        <v>ok</v>
      </c>
    </row>
    <row r="65" spans="1:23" x14ac:dyDescent="0.25">
      <c r="A65" s="426"/>
      <c r="B65" s="178" t="s">
        <v>19</v>
      </c>
      <c r="C65" s="129">
        <v>26</v>
      </c>
      <c r="D65" s="130">
        <f>'2.4.5.1 Missions'!D131*DMM</f>
        <v>15.752506000000004</v>
      </c>
      <c r="E65" s="131">
        <f>'2.4.5.1 Missions'!E131*DMM</f>
        <v>5.3808059999999998</v>
      </c>
      <c r="F65" s="132">
        <f t="shared" si="0"/>
        <v>4.3046448000000002</v>
      </c>
      <c r="G65" s="133">
        <f t="shared" si="1"/>
        <v>1.0761611999999998</v>
      </c>
      <c r="H65" s="134">
        <f t="shared" si="22"/>
        <v>5.3808059999999998</v>
      </c>
      <c r="I65" s="135"/>
      <c r="J65" s="136">
        <f t="shared" si="23"/>
        <v>10.371700000000004</v>
      </c>
      <c r="K65" s="137"/>
      <c r="L65" s="138">
        <f t="shared" si="24"/>
        <v>1.0761611999999998</v>
      </c>
      <c r="M65" s="137"/>
      <c r="N65" s="139">
        <f t="shared" si="25"/>
        <v>0</v>
      </c>
      <c r="O65" s="137"/>
      <c r="P65" s="140">
        <f t="shared" si="26"/>
        <v>0</v>
      </c>
      <c r="Q65" s="135"/>
      <c r="R65" s="104">
        <f t="shared" si="27"/>
        <v>4.3046448000000002</v>
      </c>
      <c r="S65" s="137"/>
      <c r="T65" s="141">
        <f t="shared" si="28"/>
        <v>1.0761611999999998</v>
      </c>
      <c r="U65" s="199">
        <f t="shared" si="29"/>
        <v>11.447861200000004</v>
      </c>
      <c r="V65" s="37" t="str">
        <f t="shared" si="30"/>
        <v>ok</v>
      </c>
      <c r="W65" s="37" t="str">
        <f t="shared" si="31"/>
        <v>ok</v>
      </c>
    </row>
    <row r="66" spans="1:23" x14ac:dyDescent="0.25">
      <c r="A66" s="426"/>
      <c r="B66" s="178" t="s">
        <v>20</v>
      </c>
      <c r="C66" s="129">
        <v>27</v>
      </c>
      <c r="D66" s="130">
        <f>'2.4.5.1 Missions'!D132*DMM</f>
        <v>12.897713</v>
      </c>
      <c r="E66" s="131">
        <f>'2.4.5.1 Missions'!E132*DMM</f>
        <v>7.1695800000000007</v>
      </c>
      <c r="F66" s="132">
        <f t="shared" si="0"/>
        <v>5.7356640000000008</v>
      </c>
      <c r="G66" s="133">
        <f t="shared" si="1"/>
        <v>1.4339159999999997</v>
      </c>
      <c r="H66" s="134">
        <f t="shared" si="22"/>
        <v>7.1695800000000007</v>
      </c>
      <c r="I66" s="135"/>
      <c r="J66" s="136">
        <f t="shared" si="23"/>
        <v>5.7281329999999988</v>
      </c>
      <c r="K66" s="137"/>
      <c r="L66" s="138">
        <f t="shared" si="24"/>
        <v>1.4339159999999997</v>
      </c>
      <c r="M66" s="137"/>
      <c r="N66" s="139">
        <f t="shared" si="25"/>
        <v>0</v>
      </c>
      <c r="O66" s="137"/>
      <c r="P66" s="140">
        <f t="shared" si="26"/>
        <v>0</v>
      </c>
      <c r="Q66" s="135"/>
      <c r="R66" s="104">
        <f t="shared" si="27"/>
        <v>5.7356640000000008</v>
      </c>
      <c r="S66" s="137"/>
      <c r="T66" s="141">
        <f t="shared" si="28"/>
        <v>1.4339159999999997</v>
      </c>
      <c r="U66" s="199">
        <f t="shared" si="29"/>
        <v>7.1620489999999988</v>
      </c>
      <c r="V66" s="37" t="str">
        <f t="shared" si="30"/>
        <v>ok</v>
      </c>
      <c r="W66" s="37" t="str">
        <f t="shared" si="31"/>
        <v>ok</v>
      </c>
    </row>
    <row r="67" spans="1:23" x14ac:dyDescent="0.25">
      <c r="A67" s="426"/>
      <c r="B67" s="178" t="s">
        <v>21</v>
      </c>
      <c r="C67" s="129">
        <v>28</v>
      </c>
      <c r="D67" s="130">
        <f>'2.4.5.1 Missions'!D133*DMM</f>
        <v>24.223895000000002</v>
      </c>
      <c r="E67" s="131">
        <f>'2.4.5.1 Missions'!E133*DMM</f>
        <v>11.355455999999998</v>
      </c>
      <c r="F67" s="132">
        <f t="shared" si="0"/>
        <v>9.0843647999999995</v>
      </c>
      <c r="G67" s="133">
        <f t="shared" si="1"/>
        <v>2.271091199999999</v>
      </c>
      <c r="H67" s="134">
        <f t="shared" si="22"/>
        <v>11.355455999999998</v>
      </c>
      <c r="I67" s="135"/>
      <c r="J67" s="136">
        <f t="shared" si="23"/>
        <v>12.868439000000004</v>
      </c>
      <c r="K67" s="137"/>
      <c r="L67" s="138">
        <f t="shared" si="24"/>
        <v>2.271091199999999</v>
      </c>
      <c r="M67" s="137"/>
      <c r="N67" s="139">
        <f t="shared" si="25"/>
        <v>0</v>
      </c>
      <c r="O67" s="137"/>
      <c r="P67" s="140">
        <f t="shared" si="26"/>
        <v>0</v>
      </c>
      <c r="Q67" s="135"/>
      <c r="R67" s="104">
        <f t="shared" si="27"/>
        <v>9.0843647999999995</v>
      </c>
      <c r="S67" s="137"/>
      <c r="T67" s="141">
        <f t="shared" si="28"/>
        <v>2.271091199999999</v>
      </c>
      <c r="U67" s="199">
        <f t="shared" si="29"/>
        <v>15.139530200000003</v>
      </c>
      <c r="V67" s="37" t="str">
        <f t="shared" si="30"/>
        <v>ok</v>
      </c>
      <c r="W67" s="37" t="str">
        <f t="shared" si="31"/>
        <v>ok</v>
      </c>
    </row>
    <row r="68" spans="1:23" x14ac:dyDescent="0.25">
      <c r="A68" s="426"/>
      <c r="B68" s="178" t="s">
        <v>22</v>
      </c>
      <c r="C68" s="129">
        <v>29</v>
      </c>
      <c r="D68" s="130">
        <f>'2.4.5.1 Missions'!D134*DMM</f>
        <v>40.301866000000011</v>
      </c>
      <c r="E68" s="131">
        <f>'2.4.5.1 Missions'!E134*DMM</f>
        <v>21.725999999999999</v>
      </c>
      <c r="F68" s="132">
        <f t="shared" si="0"/>
        <v>17.380800000000001</v>
      </c>
      <c r="G68" s="133">
        <f t="shared" si="1"/>
        <v>4.3451999999999993</v>
      </c>
      <c r="H68" s="134">
        <f t="shared" si="22"/>
        <v>21.725999999999999</v>
      </c>
      <c r="I68" s="135"/>
      <c r="J68" s="136">
        <f t="shared" si="23"/>
        <v>18.575866000000012</v>
      </c>
      <c r="K68" s="137"/>
      <c r="L68" s="138">
        <f t="shared" si="24"/>
        <v>4.3451999999999993</v>
      </c>
      <c r="M68" s="137"/>
      <c r="N68" s="139">
        <f t="shared" si="25"/>
        <v>0</v>
      </c>
      <c r="O68" s="137"/>
      <c r="P68" s="140">
        <f t="shared" si="26"/>
        <v>0</v>
      </c>
      <c r="Q68" s="135"/>
      <c r="R68" s="104">
        <f t="shared" si="27"/>
        <v>17.380800000000001</v>
      </c>
      <c r="S68" s="137"/>
      <c r="T68" s="141">
        <f t="shared" si="28"/>
        <v>4.3451999999999993</v>
      </c>
      <c r="U68" s="199">
        <f t="shared" si="29"/>
        <v>22.92106600000001</v>
      </c>
      <c r="V68" s="37" t="str">
        <f t="shared" si="30"/>
        <v>ok</v>
      </c>
      <c r="W68" s="37" t="str">
        <f t="shared" si="31"/>
        <v>ok</v>
      </c>
    </row>
    <row r="69" spans="1:23" ht="15.75" thickBot="1" x14ac:dyDescent="0.3">
      <c r="A69" s="427"/>
      <c r="B69" s="277" t="s">
        <v>23</v>
      </c>
      <c r="C69" s="165">
        <v>30</v>
      </c>
      <c r="D69" s="202">
        <f>'2.4.5.1 Missions'!D135*DMM</f>
        <v>32.695284000000001</v>
      </c>
      <c r="E69" s="203">
        <f>'2.4.5.1 Missions'!E135*DMM</f>
        <v>15.2082</v>
      </c>
      <c r="F69" s="204">
        <f t="shared" ref="F69:F132" si="32">E69*TC</f>
        <v>12.16656</v>
      </c>
      <c r="G69" s="205">
        <f t="shared" ref="G69:G132" si="33">E69*(1-TC)</f>
        <v>3.0416399999999992</v>
      </c>
      <c r="H69" s="206">
        <f t="shared" si="22"/>
        <v>15.2082</v>
      </c>
      <c r="I69" s="207"/>
      <c r="J69" s="208">
        <f t="shared" si="23"/>
        <v>17.487084000000003</v>
      </c>
      <c r="K69" s="209"/>
      <c r="L69" s="210">
        <f t="shared" si="24"/>
        <v>3.0416399999999992</v>
      </c>
      <c r="M69" s="209"/>
      <c r="N69" s="211">
        <f t="shared" si="25"/>
        <v>0</v>
      </c>
      <c r="O69" s="209"/>
      <c r="P69" s="212">
        <f t="shared" si="26"/>
        <v>0</v>
      </c>
      <c r="Q69" s="207"/>
      <c r="R69" s="213">
        <f t="shared" si="27"/>
        <v>12.16656</v>
      </c>
      <c r="S69" s="209"/>
      <c r="T69" s="214">
        <f t="shared" si="28"/>
        <v>3.0416399999999992</v>
      </c>
      <c r="U69" s="215">
        <f t="shared" si="29"/>
        <v>20.528724000000004</v>
      </c>
      <c r="V69" s="37" t="str">
        <f t="shared" si="30"/>
        <v>ok</v>
      </c>
      <c r="W69" s="37" t="str">
        <f t="shared" si="31"/>
        <v>ok</v>
      </c>
    </row>
    <row r="70" spans="1:23" x14ac:dyDescent="0.25">
      <c r="A70" s="425" t="s">
        <v>92</v>
      </c>
      <c r="B70" s="276" t="s">
        <v>19</v>
      </c>
      <c r="C70" s="247">
        <v>2</v>
      </c>
      <c r="D70" s="184">
        <f>'2.4.5.1 Missions'!D136*DMM</f>
        <v>26.415246</v>
      </c>
      <c r="E70" s="185">
        <f>'2.4.5.1 Missions'!E136*DMM</f>
        <v>23.337599999999998</v>
      </c>
      <c r="F70" s="186">
        <f t="shared" si="32"/>
        <v>18.670079999999999</v>
      </c>
      <c r="G70" s="187">
        <f t="shared" si="33"/>
        <v>4.6675199999999988</v>
      </c>
      <c r="H70" s="188">
        <f>IF(E70&gt;D70,D70,E70)</f>
        <v>23.337599999999998</v>
      </c>
      <c r="I70" s="189"/>
      <c r="J70" s="190">
        <f>IF(E70&gt;D70,0,D70-E70)</f>
        <v>3.0776460000000014</v>
      </c>
      <c r="K70" s="191"/>
      <c r="L70" s="192">
        <f>IF(E70&gt;D70,IF(F70&gt;H70,0,H70-F70),G70)</f>
        <v>4.6675199999999988</v>
      </c>
      <c r="M70" s="191"/>
      <c r="N70" s="193">
        <f>IF(E70&gt;D70,IF(F70&gt;H70,F70-H70,0),0)</f>
        <v>0</v>
      </c>
      <c r="O70" s="191"/>
      <c r="P70" s="194">
        <f>IF(E70&gt;D70,IF(F70&gt;H70,G70,E70-H70),0)</f>
        <v>0</v>
      </c>
      <c r="Q70" s="189"/>
      <c r="R70" s="195">
        <f>H70-L70</f>
        <v>18.670079999999999</v>
      </c>
      <c r="S70" s="191"/>
      <c r="T70" s="196">
        <f>L70+N70+P70</f>
        <v>4.6675199999999988</v>
      </c>
      <c r="U70" s="197">
        <f>J70+L70</f>
        <v>7.7451660000000002</v>
      </c>
      <c r="V70" s="37" t="str">
        <f>IF(R70+T70=E70,"ok","bad")</f>
        <v>ok</v>
      </c>
      <c r="W70" s="37" t="str">
        <f>IF(U70+R70=D70,"ok","bad")</f>
        <v>ok</v>
      </c>
    </row>
    <row r="71" spans="1:23" x14ac:dyDescent="0.25">
      <c r="A71" s="426"/>
      <c r="B71" s="178" t="s">
        <v>20</v>
      </c>
      <c r="C71" s="129">
        <v>3</v>
      </c>
      <c r="D71" s="130">
        <f>'2.4.5.1 Missions'!D137*DMM</f>
        <v>20.741292000000001</v>
      </c>
      <c r="E71" s="131">
        <f>'2.4.5.1 Missions'!E137*DMM</f>
        <v>17.114239999999999</v>
      </c>
      <c r="F71" s="132">
        <f t="shared" si="32"/>
        <v>13.691392</v>
      </c>
      <c r="G71" s="133">
        <f t="shared" si="33"/>
        <v>3.4228479999999988</v>
      </c>
      <c r="H71" s="134">
        <f t="shared" ref="H71:H90" si="34">IF(E71&gt;D71,D71,E71)</f>
        <v>17.114239999999999</v>
      </c>
      <c r="I71" s="135"/>
      <c r="J71" s="136">
        <f t="shared" ref="J71:J90" si="35">IF(E71&gt;D71,0,D71-E71)</f>
        <v>3.6270520000000026</v>
      </c>
      <c r="K71" s="137"/>
      <c r="L71" s="138">
        <f t="shared" ref="L71:L90" si="36">IF(E71&gt;D71,IF(F71&gt;H71,0,H71-F71),G71)</f>
        <v>3.4228479999999988</v>
      </c>
      <c r="M71" s="137"/>
      <c r="N71" s="139">
        <f t="shared" ref="N71:N90" si="37">IF(E71&gt;D71,IF(F71&gt;H71,F71-H71,0),0)</f>
        <v>0</v>
      </c>
      <c r="O71" s="137"/>
      <c r="P71" s="140">
        <f t="shared" ref="P71:P90" si="38">IF(E71&gt;D71,IF(F71&gt;H71,G71,E71-H71),0)</f>
        <v>0</v>
      </c>
      <c r="Q71" s="135"/>
      <c r="R71" s="104">
        <f t="shared" ref="R71:R90" si="39">H71-L71</f>
        <v>13.691392</v>
      </c>
      <c r="S71" s="137"/>
      <c r="T71" s="141">
        <f t="shared" ref="T71:T90" si="40">L71+N71+P71</f>
        <v>3.4228479999999988</v>
      </c>
      <c r="U71" s="199">
        <f t="shared" ref="U71:U90" si="41">J71+L71</f>
        <v>7.0499000000000009</v>
      </c>
      <c r="V71" s="37" t="str">
        <f t="shared" ref="V71:V90" si="42">IF(R71+T71=E71,"ok","bad")</f>
        <v>ok</v>
      </c>
      <c r="W71" s="37" t="str">
        <f t="shared" ref="W71:W90" si="43">IF(U71+R71=D71,"ok","bad")</f>
        <v>ok</v>
      </c>
    </row>
    <row r="72" spans="1:23" x14ac:dyDescent="0.25">
      <c r="A72" s="426"/>
      <c r="B72" s="178" t="s">
        <v>21</v>
      </c>
      <c r="C72" s="129">
        <v>4</v>
      </c>
      <c r="D72" s="130">
        <f>'2.4.5.1 Missions'!D138*DMM</f>
        <v>9.0724920000000004</v>
      </c>
      <c r="E72" s="131">
        <f>'2.4.5.1 Missions'!E138*DMM</f>
        <v>7.0012799999999986</v>
      </c>
      <c r="F72" s="132">
        <f t="shared" si="32"/>
        <v>5.6010239999999989</v>
      </c>
      <c r="G72" s="133">
        <f t="shared" si="33"/>
        <v>1.4002559999999995</v>
      </c>
      <c r="H72" s="134">
        <f t="shared" si="34"/>
        <v>7.0012799999999986</v>
      </c>
      <c r="I72" s="135"/>
      <c r="J72" s="136">
        <f t="shared" si="35"/>
        <v>2.0712120000000018</v>
      </c>
      <c r="K72" s="137"/>
      <c r="L72" s="138">
        <f t="shared" si="36"/>
        <v>1.4002559999999995</v>
      </c>
      <c r="M72" s="137"/>
      <c r="N72" s="139">
        <f t="shared" si="37"/>
        <v>0</v>
      </c>
      <c r="O72" s="137"/>
      <c r="P72" s="140">
        <f t="shared" si="38"/>
        <v>0</v>
      </c>
      <c r="Q72" s="135"/>
      <c r="R72" s="104">
        <f t="shared" si="39"/>
        <v>5.6010239999999989</v>
      </c>
      <c r="S72" s="137"/>
      <c r="T72" s="141">
        <f t="shared" si="40"/>
        <v>1.4002559999999995</v>
      </c>
      <c r="U72" s="199">
        <f t="shared" si="41"/>
        <v>3.4714680000000016</v>
      </c>
      <c r="V72" s="37" t="str">
        <f t="shared" si="42"/>
        <v>ok</v>
      </c>
      <c r="W72" s="37" t="str">
        <f t="shared" si="43"/>
        <v>ok</v>
      </c>
    </row>
    <row r="73" spans="1:23" x14ac:dyDescent="0.25">
      <c r="A73" s="426"/>
      <c r="B73" s="178" t="s">
        <v>22</v>
      </c>
      <c r="C73" s="129">
        <v>5</v>
      </c>
      <c r="D73" s="130">
        <f>'2.4.5.1 Missions'!D139*DMM</f>
        <v>6.3303239999999992</v>
      </c>
      <c r="E73" s="131">
        <f>'2.4.5.1 Missions'!E139*DMM</f>
        <v>10.50192</v>
      </c>
      <c r="F73" s="132">
        <f t="shared" si="32"/>
        <v>8.4015360000000001</v>
      </c>
      <c r="G73" s="133">
        <f t="shared" si="33"/>
        <v>2.1003839999999996</v>
      </c>
      <c r="H73" s="134">
        <f t="shared" si="34"/>
        <v>6.3303239999999992</v>
      </c>
      <c r="I73" s="135"/>
      <c r="J73" s="136">
        <f t="shared" si="35"/>
        <v>0</v>
      </c>
      <c r="K73" s="137"/>
      <c r="L73" s="138">
        <f t="shared" si="36"/>
        <v>0</v>
      </c>
      <c r="M73" s="137"/>
      <c r="N73" s="139">
        <f t="shared" si="37"/>
        <v>2.0712120000000009</v>
      </c>
      <c r="O73" s="137"/>
      <c r="P73" s="140">
        <f t="shared" si="38"/>
        <v>2.1003839999999996</v>
      </c>
      <c r="Q73" s="135"/>
      <c r="R73" s="104">
        <f t="shared" si="39"/>
        <v>6.3303239999999992</v>
      </c>
      <c r="S73" s="137"/>
      <c r="T73" s="141">
        <f t="shared" si="40"/>
        <v>4.171596000000001</v>
      </c>
      <c r="U73" s="199">
        <f t="shared" si="41"/>
        <v>0</v>
      </c>
      <c r="V73" s="37" t="str">
        <f t="shared" si="42"/>
        <v>ok</v>
      </c>
      <c r="W73" s="37" t="str">
        <f t="shared" si="43"/>
        <v>ok</v>
      </c>
    </row>
    <row r="74" spans="1:23" x14ac:dyDescent="0.25">
      <c r="A74" s="426"/>
      <c r="B74" s="178" t="s">
        <v>23</v>
      </c>
      <c r="C74" s="129">
        <v>6</v>
      </c>
      <c r="D74" s="130">
        <f>'2.4.5.1 Missions'!D140*DMM</f>
        <v>13.1274</v>
      </c>
      <c r="E74" s="131">
        <f>'2.4.5.1 Missions'!E140*DMM</f>
        <v>17.114239999999999</v>
      </c>
      <c r="F74" s="132">
        <f t="shared" si="32"/>
        <v>13.691392</v>
      </c>
      <c r="G74" s="133">
        <f t="shared" si="33"/>
        <v>3.4228479999999988</v>
      </c>
      <c r="H74" s="134">
        <f t="shared" si="34"/>
        <v>13.1274</v>
      </c>
      <c r="I74" s="135"/>
      <c r="J74" s="136">
        <f t="shared" si="35"/>
        <v>0</v>
      </c>
      <c r="K74" s="137"/>
      <c r="L74" s="138">
        <f t="shared" si="36"/>
        <v>0</v>
      </c>
      <c r="M74" s="137"/>
      <c r="N74" s="139">
        <f t="shared" si="37"/>
        <v>0.56399200000000071</v>
      </c>
      <c r="O74" s="137"/>
      <c r="P74" s="140">
        <f t="shared" si="38"/>
        <v>3.4228479999999988</v>
      </c>
      <c r="Q74" s="135"/>
      <c r="R74" s="104">
        <f t="shared" si="39"/>
        <v>13.1274</v>
      </c>
      <c r="S74" s="137"/>
      <c r="T74" s="141">
        <f t="shared" si="40"/>
        <v>3.9868399999999995</v>
      </c>
      <c r="U74" s="199">
        <f t="shared" si="41"/>
        <v>0</v>
      </c>
      <c r="V74" s="37" t="str">
        <f t="shared" si="42"/>
        <v>ok</v>
      </c>
      <c r="W74" s="37" t="str">
        <f t="shared" si="43"/>
        <v>ok</v>
      </c>
    </row>
    <row r="75" spans="1:23" x14ac:dyDescent="0.25">
      <c r="A75" s="426"/>
      <c r="B75" s="178" t="s">
        <v>19</v>
      </c>
      <c r="C75" s="129">
        <v>9</v>
      </c>
      <c r="D75" s="130">
        <f>'2.4.5.1 Missions'!D141*DMM</f>
        <v>42.15354</v>
      </c>
      <c r="E75" s="131">
        <f>'2.4.5.1 Missions'!E141*DMM</f>
        <v>11.967999999999998</v>
      </c>
      <c r="F75" s="132">
        <f t="shared" si="32"/>
        <v>9.5743999999999989</v>
      </c>
      <c r="G75" s="133">
        <f t="shared" si="33"/>
        <v>2.3935999999999993</v>
      </c>
      <c r="H75" s="134">
        <f t="shared" si="34"/>
        <v>11.967999999999998</v>
      </c>
      <c r="I75" s="135"/>
      <c r="J75" s="136">
        <f t="shared" si="35"/>
        <v>30.185540000000003</v>
      </c>
      <c r="K75" s="137"/>
      <c r="L75" s="138">
        <f t="shared" si="36"/>
        <v>2.3935999999999993</v>
      </c>
      <c r="M75" s="137"/>
      <c r="N75" s="139">
        <f t="shared" si="37"/>
        <v>0</v>
      </c>
      <c r="O75" s="137"/>
      <c r="P75" s="140">
        <f t="shared" si="38"/>
        <v>0</v>
      </c>
      <c r="Q75" s="135"/>
      <c r="R75" s="104">
        <f t="shared" si="39"/>
        <v>9.5743999999999989</v>
      </c>
      <c r="S75" s="137"/>
      <c r="T75" s="141">
        <f t="shared" si="40"/>
        <v>2.3935999999999993</v>
      </c>
      <c r="U75" s="199">
        <f t="shared" si="41"/>
        <v>32.579140000000002</v>
      </c>
      <c r="V75" s="37" t="str">
        <f t="shared" si="42"/>
        <v>ok</v>
      </c>
      <c r="W75" s="37" t="str">
        <f t="shared" si="43"/>
        <v>ok</v>
      </c>
    </row>
    <row r="76" spans="1:23" x14ac:dyDescent="0.25">
      <c r="A76" s="426"/>
      <c r="B76" s="178" t="s">
        <v>20</v>
      </c>
      <c r="C76" s="129">
        <v>10</v>
      </c>
      <c r="D76" s="130">
        <f>'2.4.5.1 Missions'!D142*DMM</f>
        <v>34.189584000000004</v>
      </c>
      <c r="E76" s="131">
        <f>'2.4.5.1 Missions'!E142*DMM</f>
        <v>12.267199999999999</v>
      </c>
      <c r="F76" s="132">
        <f t="shared" si="32"/>
        <v>9.8137600000000003</v>
      </c>
      <c r="G76" s="133">
        <f t="shared" si="33"/>
        <v>2.4534399999999992</v>
      </c>
      <c r="H76" s="134">
        <f t="shared" si="34"/>
        <v>12.267199999999999</v>
      </c>
      <c r="I76" s="135"/>
      <c r="J76" s="136">
        <f t="shared" si="35"/>
        <v>21.922384000000005</v>
      </c>
      <c r="K76" s="137"/>
      <c r="L76" s="138">
        <f t="shared" si="36"/>
        <v>2.4534399999999992</v>
      </c>
      <c r="M76" s="137"/>
      <c r="N76" s="139">
        <f t="shared" si="37"/>
        <v>0</v>
      </c>
      <c r="O76" s="137"/>
      <c r="P76" s="140">
        <f t="shared" si="38"/>
        <v>0</v>
      </c>
      <c r="Q76" s="135"/>
      <c r="R76" s="104">
        <f t="shared" si="39"/>
        <v>9.8137600000000003</v>
      </c>
      <c r="S76" s="137"/>
      <c r="T76" s="141">
        <f t="shared" si="40"/>
        <v>2.4534399999999992</v>
      </c>
      <c r="U76" s="199">
        <f t="shared" si="41"/>
        <v>24.375824000000005</v>
      </c>
      <c r="V76" s="37" t="str">
        <f t="shared" si="42"/>
        <v>ok</v>
      </c>
      <c r="W76" s="37" t="str">
        <f t="shared" si="43"/>
        <v>ok</v>
      </c>
    </row>
    <row r="77" spans="1:23" x14ac:dyDescent="0.25">
      <c r="A77" s="426"/>
      <c r="B77" s="178" t="s">
        <v>21</v>
      </c>
      <c r="C77" s="129">
        <v>11</v>
      </c>
      <c r="D77" s="130">
        <f>'2.4.5.1 Missions'!D143*DMM</f>
        <v>19.764029999999998</v>
      </c>
      <c r="E77" s="131">
        <f>'2.4.5.1 Missions'!E143*DMM</f>
        <v>6.5823999999999998</v>
      </c>
      <c r="F77" s="132">
        <f t="shared" si="32"/>
        <v>5.2659200000000004</v>
      </c>
      <c r="G77" s="133">
        <f t="shared" si="33"/>
        <v>1.3164799999999997</v>
      </c>
      <c r="H77" s="134">
        <f t="shared" si="34"/>
        <v>6.5823999999999998</v>
      </c>
      <c r="I77" s="135"/>
      <c r="J77" s="136">
        <f t="shared" si="35"/>
        <v>13.181629999999998</v>
      </c>
      <c r="K77" s="137"/>
      <c r="L77" s="138">
        <f t="shared" si="36"/>
        <v>1.3164799999999997</v>
      </c>
      <c r="M77" s="137"/>
      <c r="N77" s="139">
        <f t="shared" si="37"/>
        <v>0</v>
      </c>
      <c r="O77" s="137"/>
      <c r="P77" s="140">
        <f t="shared" si="38"/>
        <v>0</v>
      </c>
      <c r="Q77" s="135"/>
      <c r="R77" s="104">
        <f t="shared" si="39"/>
        <v>5.2659200000000004</v>
      </c>
      <c r="S77" s="137"/>
      <c r="T77" s="141">
        <f t="shared" si="40"/>
        <v>1.3164799999999997</v>
      </c>
      <c r="U77" s="199">
        <f t="shared" si="41"/>
        <v>14.498109999999999</v>
      </c>
      <c r="V77" s="37" t="str">
        <f t="shared" si="42"/>
        <v>ok</v>
      </c>
      <c r="W77" s="37" t="str">
        <f t="shared" si="43"/>
        <v>ok</v>
      </c>
    </row>
    <row r="78" spans="1:23" x14ac:dyDescent="0.25">
      <c r="A78" s="426"/>
      <c r="B78" s="178" t="s">
        <v>22</v>
      </c>
      <c r="C78" s="129">
        <v>12</v>
      </c>
      <c r="D78" s="130">
        <f>'2.4.5.1 Missions'!D144*DMM</f>
        <v>15.957083999999998</v>
      </c>
      <c r="E78" s="131">
        <f>'2.4.5.1 Missions'!E144*DMM</f>
        <v>8.3775999999999993</v>
      </c>
      <c r="F78" s="132">
        <f t="shared" si="32"/>
        <v>6.7020799999999996</v>
      </c>
      <c r="G78" s="133">
        <f t="shared" si="33"/>
        <v>1.6755199999999995</v>
      </c>
      <c r="H78" s="134">
        <f t="shared" si="34"/>
        <v>8.3775999999999993</v>
      </c>
      <c r="I78" s="135"/>
      <c r="J78" s="136">
        <f t="shared" si="35"/>
        <v>7.579483999999999</v>
      </c>
      <c r="K78" s="137"/>
      <c r="L78" s="138">
        <f t="shared" si="36"/>
        <v>1.6755199999999995</v>
      </c>
      <c r="M78" s="137"/>
      <c r="N78" s="139">
        <f t="shared" si="37"/>
        <v>0</v>
      </c>
      <c r="O78" s="137"/>
      <c r="P78" s="140">
        <f t="shared" si="38"/>
        <v>0</v>
      </c>
      <c r="Q78" s="135"/>
      <c r="R78" s="104">
        <f t="shared" si="39"/>
        <v>6.7020799999999996</v>
      </c>
      <c r="S78" s="137"/>
      <c r="T78" s="141">
        <f t="shared" si="40"/>
        <v>1.6755199999999995</v>
      </c>
      <c r="U78" s="199">
        <f t="shared" si="41"/>
        <v>9.2550039999999978</v>
      </c>
      <c r="V78" s="37" t="str">
        <f t="shared" si="42"/>
        <v>ok</v>
      </c>
      <c r="W78" s="37" t="str">
        <f t="shared" si="43"/>
        <v>ok</v>
      </c>
    </row>
    <row r="79" spans="1:23" x14ac:dyDescent="0.25">
      <c r="A79" s="426"/>
      <c r="B79" s="178" t="s">
        <v>23</v>
      </c>
      <c r="C79" s="129">
        <v>13</v>
      </c>
      <c r="D79" s="130">
        <f>'2.4.5.1 Missions'!D145*DMM</f>
        <v>30.397223999999998</v>
      </c>
      <c r="E79" s="131">
        <f>'2.4.5.1 Missions'!E145*DMM</f>
        <v>11.369599999999998</v>
      </c>
      <c r="F79" s="132">
        <f t="shared" si="32"/>
        <v>9.0956799999999998</v>
      </c>
      <c r="G79" s="133">
        <f t="shared" si="33"/>
        <v>2.2739199999999991</v>
      </c>
      <c r="H79" s="134">
        <f t="shared" si="34"/>
        <v>11.369599999999998</v>
      </c>
      <c r="I79" s="135"/>
      <c r="J79" s="136">
        <f t="shared" si="35"/>
        <v>19.027623999999999</v>
      </c>
      <c r="K79" s="137"/>
      <c r="L79" s="138">
        <f t="shared" si="36"/>
        <v>2.2739199999999991</v>
      </c>
      <c r="M79" s="137"/>
      <c r="N79" s="139">
        <f t="shared" si="37"/>
        <v>0</v>
      </c>
      <c r="O79" s="137"/>
      <c r="P79" s="140">
        <f t="shared" si="38"/>
        <v>0</v>
      </c>
      <c r="Q79" s="135"/>
      <c r="R79" s="104">
        <f t="shared" si="39"/>
        <v>9.0956799999999998</v>
      </c>
      <c r="S79" s="137"/>
      <c r="T79" s="141">
        <f t="shared" si="40"/>
        <v>2.2739199999999991</v>
      </c>
      <c r="U79" s="199">
        <f t="shared" si="41"/>
        <v>21.301544</v>
      </c>
      <c r="V79" s="37" t="str">
        <f t="shared" si="42"/>
        <v>ok</v>
      </c>
      <c r="W79" s="37" t="str">
        <f t="shared" si="43"/>
        <v>ok</v>
      </c>
    </row>
    <row r="80" spans="1:23" x14ac:dyDescent="0.25">
      <c r="A80" s="426"/>
      <c r="B80" s="178" t="s">
        <v>19</v>
      </c>
      <c r="C80" s="129">
        <v>16</v>
      </c>
      <c r="D80" s="130">
        <f>'2.4.5.1 Missions'!D146*DMM</f>
        <v>26.415246</v>
      </c>
      <c r="E80" s="131">
        <f>'2.4.5.1 Missions'!E146*DMM</f>
        <v>17.951999999999998</v>
      </c>
      <c r="F80" s="132">
        <f t="shared" si="32"/>
        <v>14.361599999999999</v>
      </c>
      <c r="G80" s="133">
        <f t="shared" si="33"/>
        <v>3.5903999999999989</v>
      </c>
      <c r="H80" s="134">
        <f t="shared" si="34"/>
        <v>17.951999999999998</v>
      </c>
      <c r="I80" s="135"/>
      <c r="J80" s="136">
        <f t="shared" si="35"/>
        <v>8.4632460000000016</v>
      </c>
      <c r="K80" s="137"/>
      <c r="L80" s="138">
        <f t="shared" si="36"/>
        <v>3.5903999999999989</v>
      </c>
      <c r="M80" s="137"/>
      <c r="N80" s="139">
        <f t="shared" si="37"/>
        <v>0</v>
      </c>
      <c r="O80" s="137"/>
      <c r="P80" s="140">
        <f t="shared" si="38"/>
        <v>0</v>
      </c>
      <c r="Q80" s="135"/>
      <c r="R80" s="104">
        <f t="shared" si="39"/>
        <v>14.361599999999999</v>
      </c>
      <c r="S80" s="137"/>
      <c r="T80" s="141">
        <f t="shared" si="40"/>
        <v>3.5903999999999989</v>
      </c>
      <c r="U80" s="199">
        <f t="shared" si="41"/>
        <v>12.053646000000001</v>
      </c>
      <c r="V80" s="37" t="str">
        <f t="shared" si="42"/>
        <v>ok</v>
      </c>
      <c r="W80" s="37" t="str">
        <f t="shared" si="43"/>
        <v>ok</v>
      </c>
    </row>
    <row r="81" spans="1:23" x14ac:dyDescent="0.25">
      <c r="A81" s="426"/>
      <c r="B81" s="178" t="s">
        <v>20</v>
      </c>
      <c r="C81" s="129">
        <v>17</v>
      </c>
      <c r="D81" s="130">
        <f>'2.4.5.1 Missions'!D147*DMM</f>
        <v>20.741292000000001</v>
      </c>
      <c r="E81" s="131">
        <f>'2.4.5.1 Missions'!E147*DMM</f>
        <v>13.763199999999999</v>
      </c>
      <c r="F81" s="132">
        <f t="shared" si="32"/>
        <v>11.01056</v>
      </c>
      <c r="G81" s="133">
        <f t="shared" si="33"/>
        <v>2.7526399999999991</v>
      </c>
      <c r="H81" s="134">
        <f t="shared" si="34"/>
        <v>13.763199999999999</v>
      </c>
      <c r="I81" s="135"/>
      <c r="J81" s="136">
        <f t="shared" si="35"/>
        <v>6.978092000000002</v>
      </c>
      <c r="K81" s="137"/>
      <c r="L81" s="138">
        <f t="shared" si="36"/>
        <v>2.7526399999999991</v>
      </c>
      <c r="M81" s="137"/>
      <c r="N81" s="139">
        <f t="shared" si="37"/>
        <v>0</v>
      </c>
      <c r="O81" s="137"/>
      <c r="P81" s="140">
        <f t="shared" si="38"/>
        <v>0</v>
      </c>
      <c r="Q81" s="135"/>
      <c r="R81" s="104">
        <f t="shared" si="39"/>
        <v>11.01056</v>
      </c>
      <c r="S81" s="137"/>
      <c r="T81" s="141">
        <f t="shared" si="40"/>
        <v>2.7526399999999991</v>
      </c>
      <c r="U81" s="199">
        <f t="shared" si="41"/>
        <v>9.7307320000000015</v>
      </c>
      <c r="V81" s="37" t="str">
        <f t="shared" si="42"/>
        <v>ok</v>
      </c>
      <c r="W81" s="37" t="str">
        <f t="shared" si="43"/>
        <v>ok</v>
      </c>
    </row>
    <row r="82" spans="1:23" x14ac:dyDescent="0.25">
      <c r="A82" s="426"/>
      <c r="B82" s="178" t="s">
        <v>21</v>
      </c>
      <c r="C82" s="129">
        <v>18</v>
      </c>
      <c r="D82" s="130">
        <f>'2.4.5.1 Missions'!D148*DMM</f>
        <v>9.0724920000000004</v>
      </c>
      <c r="E82" s="131">
        <f>'2.4.5.1 Missions'!E148*DMM</f>
        <v>6.5823999999999998</v>
      </c>
      <c r="F82" s="132">
        <f t="shared" si="32"/>
        <v>5.2659200000000004</v>
      </c>
      <c r="G82" s="133">
        <f t="shared" si="33"/>
        <v>1.3164799999999997</v>
      </c>
      <c r="H82" s="134">
        <f t="shared" si="34"/>
        <v>6.5823999999999998</v>
      </c>
      <c r="I82" s="135"/>
      <c r="J82" s="136">
        <f t="shared" si="35"/>
        <v>2.4900920000000006</v>
      </c>
      <c r="K82" s="137"/>
      <c r="L82" s="138">
        <f t="shared" si="36"/>
        <v>1.3164799999999997</v>
      </c>
      <c r="M82" s="137"/>
      <c r="N82" s="139">
        <f t="shared" si="37"/>
        <v>0</v>
      </c>
      <c r="O82" s="137"/>
      <c r="P82" s="140">
        <f t="shared" si="38"/>
        <v>0</v>
      </c>
      <c r="Q82" s="135"/>
      <c r="R82" s="104">
        <f t="shared" si="39"/>
        <v>5.2659200000000004</v>
      </c>
      <c r="S82" s="137"/>
      <c r="T82" s="141">
        <f t="shared" si="40"/>
        <v>1.3164799999999997</v>
      </c>
      <c r="U82" s="199">
        <f t="shared" si="41"/>
        <v>3.8065720000000001</v>
      </c>
      <c r="V82" s="37" t="str">
        <f t="shared" si="42"/>
        <v>ok</v>
      </c>
      <c r="W82" s="37" t="str">
        <f t="shared" si="43"/>
        <v>ok</v>
      </c>
    </row>
    <row r="83" spans="1:23" x14ac:dyDescent="0.25">
      <c r="A83" s="426"/>
      <c r="B83" s="178" t="s">
        <v>22</v>
      </c>
      <c r="C83" s="129">
        <v>19</v>
      </c>
      <c r="D83" s="130">
        <f>'2.4.5.1 Missions'!D149*DMM</f>
        <v>6.3303239999999992</v>
      </c>
      <c r="E83" s="131">
        <f>'2.4.5.1 Missions'!E149*DMM</f>
        <v>11.070399999999999</v>
      </c>
      <c r="F83" s="132">
        <f t="shared" si="32"/>
        <v>8.8563200000000002</v>
      </c>
      <c r="G83" s="133">
        <f t="shared" si="33"/>
        <v>2.2140799999999992</v>
      </c>
      <c r="H83" s="134">
        <f t="shared" si="34"/>
        <v>6.3303239999999992</v>
      </c>
      <c r="I83" s="135"/>
      <c r="J83" s="136">
        <f t="shared" si="35"/>
        <v>0</v>
      </c>
      <c r="K83" s="137"/>
      <c r="L83" s="138">
        <f t="shared" si="36"/>
        <v>0</v>
      </c>
      <c r="M83" s="137"/>
      <c r="N83" s="139">
        <f t="shared" si="37"/>
        <v>2.525996000000001</v>
      </c>
      <c r="O83" s="137"/>
      <c r="P83" s="140">
        <f t="shared" si="38"/>
        <v>2.2140799999999992</v>
      </c>
      <c r="Q83" s="135"/>
      <c r="R83" s="104">
        <f t="shared" si="39"/>
        <v>6.3303239999999992</v>
      </c>
      <c r="S83" s="137"/>
      <c r="T83" s="141">
        <f t="shared" si="40"/>
        <v>4.7400760000000002</v>
      </c>
      <c r="U83" s="199">
        <f t="shared" si="41"/>
        <v>0</v>
      </c>
      <c r="V83" s="37" t="str">
        <f t="shared" si="42"/>
        <v>ok</v>
      </c>
      <c r="W83" s="37" t="str">
        <f t="shared" si="43"/>
        <v>ok</v>
      </c>
    </row>
    <row r="84" spans="1:23" x14ac:dyDescent="0.25">
      <c r="A84" s="426"/>
      <c r="B84" s="178" t="s">
        <v>23</v>
      </c>
      <c r="C84" s="129">
        <v>20</v>
      </c>
      <c r="D84" s="130">
        <f>'2.4.5.1 Missions'!D150*DMM</f>
        <v>13.1274</v>
      </c>
      <c r="E84" s="131">
        <f>'2.4.5.1 Missions'!E150*DMM</f>
        <v>13.1648</v>
      </c>
      <c r="F84" s="132">
        <f t="shared" si="32"/>
        <v>10.531840000000001</v>
      </c>
      <c r="G84" s="133">
        <f t="shared" si="33"/>
        <v>2.6329599999999993</v>
      </c>
      <c r="H84" s="134">
        <f t="shared" si="34"/>
        <v>13.1274</v>
      </c>
      <c r="I84" s="135"/>
      <c r="J84" s="136">
        <f t="shared" si="35"/>
        <v>0</v>
      </c>
      <c r="K84" s="137"/>
      <c r="L84" s="138">
        <f t="shared" si="36"/>
        <v>2.595559999999999</v>
      </c>
      <c r="M84" s="137"/>
      <c r="N84" s="139">
        <f t="shared" si="37"/>
        <v>0</v>
      </c>
      <c r="O84" s="137"/>
      <c r="P84" s="140">
        <f t="shared" si="38"/>
        <v>3.7399999999999878E-2</v>
      </c>
      <c r="Q84" s="135"/>
      <c r="R84" s="104">
        <f t="shared" si="39"/>
        <v>10.531840000000001</v>
      </c>
      <c r="S84" s="137"/>
      <c r="T84" s="141">
        <f t="shared" si="40"/>
        <v>2.6329599999999989</v>
      </c>
      <c r="U84" s="199">
        <f t="shared" si="41"/>
        <v>2.595559999999999</v>
      </c>
      <c r="V84" s="37" t="str">
        <f t="shared" si="42"/>
        <v>ok</v>
      </c>
      <c r="W84" s="37" t="str">
        <f t="shared" si="43"/>
        <v>ok</v>
      </c>
    </row>
    <row r="85" spans="1:23" x14ac:dyDescent="0.25">
      <c r="A85" s="426"/>
      <c r="B85" s="178" t="s">
        <v>19</v>
      </c>
      <c r="C85" s="129">
        <v>23</v>
      </c>
      <c r="D85" s="130">
        <f>'2.4.5.1 Missions'!D151*DMM</f>
        <v>52.684631999999993</v>
      </c>
      <c r="E85" s="131">
        <f>'2.4.5.1 Missions'!E151*DMM</f>
        <v>14.8104</v>
      </c>
      <c r="F85" s="132">
        <f t="shared" si="32"/>
        <v>11.848320000000001</v>
      </c>
      <c r="G85" s="133">
        <f t="shared" si="33"/>
        <v>2.9620799999999994</v>
      </c>
      <c r="H85" s="134">
        <f t="shared" si="34"/>
        <v>14.8104</v>
      </c>
      <c r="I85" s="135"/>
      <c r="J85" s="136">
        <f t="shared" si="35"/>
        <v>37.874231999999992</v>
      </c>
      <c r="K85" s="137"/>
      <c r="L85" s="138">
        <f t="shared" si="36"/>
        <v>2.9620799999999994</v>
      </c>
      <c r="M85" s="137"/>
      <c r="N85" s="139">
        <f t="shared" si="37"/>
        <v>0</v>
      </c>
      <c r="O85" s="137"/>
      <c r="P85" s="140">
        <f t="shared" si="38"/>
        <v>0</v>
      </c>
      <c r="Q85" s="135"/>
      <c r="R85" s="104">
        <f t="shared" si="39"/>
        <v>11.848320000000001</v>
      </c>
      <c r="S85" s="137"/>
      <c r="T85" s="141">
        <f t="shared" si="40"/>
        <v>2.9620799999999994</v>
      </c>
      <c r="U85" s="199">
        <f t="shared" si="41"/>
        <v>40.836311999999992</v>
      </c>
      <c r="V85" s="37" t="str">
        <f t="shared" si="42"/>
        <v>ok</v>
      </c>
      <c r="W85" s="37" t="str">
        <f t="shared" si="43"/>
        <v>ok</v>
      </c>
    </row>
    <row r="86" spans="1:23" x14ac:dyDescent="0.25">
      <c r="A86" s="426"/>
      <c r="B86" s="178" t="s">
        <v>20</v>
      </c>
      <c r="C86" s="129">
        <v>24</v>
      </c>
      <c r="D86" s="130">
        <f>'2.4.5.1 Missions'!D152*DMM</f>
        <v>42.882839999999995</v>
      </c>
      <c r="E86" s="131">
        <f>'2.4.5.1 Missions'!E152*DMM</f>
        <v>9.3829119999999993</v>
      </c>
      <c r="F86" s="132">
        <f t="shared" si="32"/>
        <v>7.5063295999999999</v>
      </c>
      <c r="G86" s="133">
        <f t="shared" si="33"/>
        <v>1.8765823999999995</v>
      </c>
      <c r="H86" s="134">
        <f t="shared" si="34"/>
        <v>9.3829119999999993</v>
      </c>
      <c r="I86" s="135"/>
      <c r="J86" s="136">
        <f t="shared" si="35"/>
        <v>33.499927999999997</v>
      </c>
      <c r="K86" s="137"/>
      <c r="L86" s="138">
        <f t="shared" si="36"/>
        <v>1.8765823999999995</v>
      </c>
      <c r="M86" s="137"/>
      <c r="N86" s="139">
        <f t="shared" si="37"/>
        <v>0</v>
      </c>
      <c r="O86" s="137"/>
      <c r="P86" s="140">
        <f t="shared" si="38"/>
        <v>0</v>
      </c>
      <c r="Q86" s="135"/>
      <c r="R86" s="104">
        <f t="shared" si="39"/>
        <v>7.5063295999999999</v>
      </c>
      <c r="S86" s="137"/>
      <c r="T86" s="141">
        <f t="shared" si="40"/>
        <v>1.8765823999999995</v>
      </c>
      <c r="U86" s="199">
        <f t="shared" si="41"/>
        <v>35.376510399999994</v>
      </c>
      <c r="V86" s="37" t="str">
        <f t="shared" si="42"/>
        <v>ok</v>
      </c>
      <c r="W86" s="37" t="str">
        <f t="shared" si="43"/>
        <v>ok</v>
      </c>
    </row>
    <row r="87" spans="1:23" x14ac:dyDescent="0.25">
      <c r="A87" s="426"/>
      <c r="B87" s="178" t="s">
        <v>21</v>
      </c>
      <c r="C87" s="129">
        <v>25</v>
      </c>
      <c r="D87" s="130">
        <f>'2.4.5.1 Missions'!D153*DMM</f>
        <v>24.708684000000002</v>
      </c>
      <c r="E87" s="131">
        <f>'2.4.5.1 Missions'!E153*DMM</f>
        <v>4.4461119999999994</v>
      </c>
      <c r="F87" s="132">
        <f t="shared" si="32"/>
        <v>3.5568895999999999</v>
      </c>
      <c r="G87" s="133">
        <f t="shared" si="33"/>
        <v>0.88922239999999964</v>
      </c>
      <c r="H87" s="134">
        <f t="shared" si="34"/>
        <v>4.4461119999999994</v>
      </c>
      <c r="I87" s="135"/>
      <c r="J87" s="136">
        <f t="shared" si="35"/>
        <v>20.262572000000002</v>
      </c>
      <c r="K87" s="137"/>
      <c r="L87" s="138">
        <f t="shared" si="36"/>
        <v>0.88922239999999964</v>
      </c>
      <c r="M87" s="137"/>
      <c r="N87" s="139">
        <f t="shared" si="37"/>
        <v>0</v>
      </c>
      <c r="O87" s="137"/>
      <c r="P87" s="140">
        <f t="shared" si="38"/>
        <v>0</v>
      </c>
      <c r="Q87" s="135"/>
      <c r="R87" s="104">
        <f t="shared" si="39"/>
        <v>3.5568895999999999</v>
      </c>
      <c r="S87" s="137"/>
      <c r="T87" s="141">
        <f t="shared" si="40"/>
        <v>0.88922239999999964</v>
      </c>
      <c r="U87" s="199">
        <f t="shared" si="41"/>
        <v>21.151794400000004</v>
      </c>
      <c r="V87" s="37" t="str">
        <f t="shared" si="42"/>
        <v>ok</v>
      </c>
      <c r="W87" s="37" t="str">
        <f t="shared" si="43"/>
        <v>ok</v>
      </c>
    </row>
    <row r="88" spans="1:23" x14ac:dyDescent="0.25">
      <c r="A88" s="426"/>
      <c r="B88" s="178" t="s">
        <v>22</v>
      </c>
      <c r="C88" s="129">
        <v>26</v>
      </c>
      <c r="D88" s="130">
        <f>'2.4.5.1 Missions'!D154*DMM</f>
        <v>20.230781999999998</v>
      </c>
      <c r="E88" s="131">
        <f>'2.4.5.1 Missions'!E154*DMM</f>
        <v>5.9241599999999996</v>
      </c>
      <c r="F88" s="132">
        <f t="shared" si="32"/>
        <v>4.7393279999999995</v>
      </c>
      <c r="G88" s="133">
        <f t="shared" si="33"/>
        <v>1.1848319999999997</v>
      </c>
      <c r="H88" s="134">
        <f t="shared" si="34"/>
        <v>5.9241599999999996</v>
      </c>
      <c r="I88" s="135"/>
      <c r="J88" s="136">
        <f t="shared" si="35"/>
        <v>14.306621999999997</v>
      </c>
      <c r="K88" s="137"/>
      <c r="L88" s="138">
        <f t="shared" si="36"/>
        <v>1.1848319999999997</v>
      </c>
      <c r="M88" s="137"/>
      <c r="N88" s="139">
        <f t="shared" si="37"/>
        <v>0</v>
      </c>
      <c r="O88" s="137"/>
      <c r="P88" s="140">
        <f t="shared" si="38"/>
        <v>0</v>
      </c>
      <c r="Q88" s="135"/>
      <c r="R88" s="104">
        <f t="shared" si="39"/>
        <v>4.7393280000000004</v>
      </c>
      <c r="S88" s="137"/>
      <c r="T88" s="141">
        <f t="shared" si="40"/>
        <v>1.1848319999999997</v>
      </c>
      <c r="U88" s="199">
        <f t="shared" si="41"/>
        <v>15.491453999999997</v>
      </c>
      <c r="V88" s="37" t="str">
        <f t="shared" si="42"/>
        <v>ok</v>
      </c>
      <c r="W88" s="37" t="str">
        <f t="shared" si="43"/>
        <v>ok</v>
      </c>
    </row>
    <row r="89" spans="1:23" x14ac:dyDescent="0.25">
      <c r="A89" s="426"/>
      <c r="B89" s="178" t="s">
        <v>23</v>
      </c>
      <c r="C89" s="129">
        <v>27</v>
      </c>
      <c r="D89" s="130">
        <f>'2.4.5.1 Missions'!D155*DMM</f>
        <v>37.99653</v>
      </c>
      <c r="E89" s="131">
        <f>'2.4.5.1 Missions'!E155*DMM</f>
        <v>9.3829119999999993</v>
      </c>
      <c r="F89" s="132">
        <f t="shared" si="32"/>
        <v>7.5063295999999999</v>
      </c>
      <c r="G89" s="133">
        <f t="shared" si="33"/>
        <v>1.8765823999999995</v>
      </c>
      <c r="H89" s="134">
        <f t="shared" si="34"/>
        <v>9.3829119999999993</v>
      </c>
      <c r="I89" s="135"/>
      <c r="J89" s="136">
        <f t="shared" si="35"/>
        <v>28.613618000000002</v>
      </c>
      <c r="K89" s="137"/>
      <c r="L89" s="138">
        <f t="shared" si="36"/>
        <v>1.8765823999999995</v>
      </c>
      <c r="M89" s="137"/>
      <c r="N89" s="139">
        <f t="shared" si="37"/>
        <v>0</v>
      </c>
      <c r="O89" s="137"/>
      <c r="P89" s="140">
        <f t="shared" si="38"/>
        <v>0</v>
      </c>
      <c r="Q89" s="135"/>
      <c r="R89" s="104">
        <f t="shared" si="39"/>
        <v>7.5063295999999999</v>
      </c>
      <c r="S89" s="137"/>
      <c r="T89" s="141">
        <f t="shared" si="40"/>
        <v>1.8765823999999995</v>
      </c>
      <c r="U89" s="199">
        <f t="shared" si="41"/>
        <v>30.490200400000003</v>
      </c>
      <c r="V89" s="37" t="str">
        <f t="shared" si="42"/>
        <v>ok</v>
      </c>
      <c r="W89" s="37" t="str">
        <f t="shared" si="43"/>
        <v>ok</v>
      </c>
    </row>
    <row r="90" spans="1:23" ht="15.75" thickBot="1" x14ac:dyDescent="0.3">
      <c r="A90" s="427"/>
      <c r="B90" s="277" t="s">
        <v>19</v>
      </c>
      <c r="C90" s="165">
        <v>30</v>
      </c>
      <c r="D90" s="202">
        <f>'2.4.5.1 Missions'!D156*DMM</f>
        <v>63.215724000000002</v>
      </c>
      <c r="E90" s="203">
        <f>'2.4.5.1 Missions'!E156*DMM</f>
        <v>17.951999999999998</v>
      </c>
      <c r="F90" s="204">
        <f t="shared" si="32"/>
        <v>14.361599999999999</v>
      </c>
      <c r="G90" s="205">
        <f t="shared" si="33"/>
        <v>3.5903999999999989</v>
      </c>
      <c r="H90" s="206">
        <f t="shared" si="34"/>
        <v>17.951999999999998</v>
      </c>
      <c r="I90" s="207"/>
      <c r="J90" s="208">
        <f t="shared" si="35"/>
        <v>45.263724000000003</v>
      </c>
      <c r="K90" s="209"/>
      <c r="L90" s="210">
        <f t="shared" si="36"/>
        <v>3.5903999999999989</v>
      </c>
      <c r="M90" s="209"/>
      <c r="N90" s="211">
        <f t="shared" si="37"/>
        <v>0</v>
      </c>
      <c r="O90" s="209"/>
      <c r="P90" s="212">
        <f t="shared" si="38"/>
        <v>0</v>
      </c>
      <c r="Q90" s="207"/>
      <c r="R90" s="213">
        <f t="shared" si="39"/>
        <v>14.361599999999999</v>
      </c>
      <c r="S90" s="209"/>
      <c r="T90" s="214">
        <f t="shared" si="40"/>
        <v>3.5903999999999989</v>
      </c>
      <c r="U90" s="215">
        <f t="shared" si="41"/>
        <v>48.854123999999999</v>
      </c>
      <c r="V90" s="37" t="str">
        <f t="shared" si="42"/>
        <v>ok</v>
      </c>
      <c r="W90" s="37" t="str">
        <f t="shared" si="43"/>
        <v>ok</v>
      </c>
    </row>
    <row r="91" spans="1:23" x14ac:dyDescent="0.25">
      <c r="A91" s="425" t="s">
        <v>93</v>
      </c>
      <c r="B91" s="276" t="s">
        <v>20</v>
      </c>
      <c r="C91" s="247">
        <v>1</v>
      </c>
      <c r="D91" s="184">
        <f>'2.4.5.1 Missions'!D157*DMM</f>
        <v>33.511649499999997</v>
      </c>
      <c r="E91" s="185">
        <f>'2.4.5.1 Missions'!E157*DMM</f>
        <v>16.972799999999999</v>
      </c>
      <c r="F91" s="186">
        <f t="shared" si="32"/>
        <v>13.578240000000001</v>
      </c>
      <c r="G91" s="187">
        <f t="shared" si="33"/>
        <v>3.3945599999999994</v>
      </c>
      <c r="H91" s="188">
        <f>IF(E91&gt;D91,D91,E91)</f>
        <v>16.972799999999999</v>
      </c>
      <c r="I91" s="189"/>
      <c r="J91" s="190">
        <f>IF(E91&gt;D91,0,D91-E91)</f>
        <v>16.538849499999998</v>
      </c>
      <c r="K91" s="191"/>
      <c r="L91" s="192">
        <f>IF(E91&gt;D91,IF(F91&gt;H91,0,H91-F91),G91)</f>
        <v>3.3945599999999994</v>
      </c>
      <c r="M91" s="191"/>
      <c r="N91" s="193">
        <f>IF(E91&gt;D91,IF(F91&gt;H91,F91-H91,0),0)</f>
        <v>0</v>
      </c>
      <c r="O91" s="191"/>
      <c r="P91" s="194">
        <f>IF(E91&gt;D91,IF(F91&gt;H91,G91,E91-H91),0)</f>
        <v>0</v>
      </c>
      <c r="Q91" s="189"/>
      <c r="R91" s="195">
        <f>H91-L91</f>
        <v>13.578240000000001</v>
      </c>
      <c r="S91" s="191"/>
      <c r="T91" s="196">
        <f>L91+N91+P91</f>
        <v>3.3945599999999994</v>
      </c>
      <c r="U91" s="197">
        <f>J91+L91</f>
        <v>19.933409499999996</v>
      </c>
      <c r="V91" s="37" t="str">
        <f>IF(R91+T91=E91,"ok","bad")</f>
        <v>ok</v>
      </c>
      <c r="W91" s="37" t="str">
        <f>IF(U91+R91=D91,"ok","bad")</f>
        <v>ok</v>
      </c>
    </row>
    <row r="92" spans="1:23" x14ac:dyDescent="0.25">
      <c r="A92" s="426"/>
      <c r="B92" s="178" t="s">
        <v>21</v>
      </c>
      <c r="C92" s="129">
        <v>2</v>
      </c>
      <c r="D92" s="130">
        <f>'2.4.5.1 Missions'!D158*DMM</f>
        <v>26.313399</v>
      </c>
      <c r="E92" s="131">
        <f>'2.4.5.1 Missions'!E158*DMM</f>
        <v>12.446719999999999</v>
      </c>
      <c r="F92" s="132">
        <f t="shared" si="32"/>
        <v>9.957376</v>
      </c>
      <c r="G92" s="133">
        <f t="shared" si="33"/>
        <v>2.4893439999999991</v>
      </c>
      <c r="H92" s="134">
        <f t="shared" ref="H92:H113" si="44">IF(E92&gt;D92,D92,E92)</f>
        <v>12.446719999999999</v>
      </c>
      <c r="I92" s="135"/>
      <c r="J92" s="136">
        <f t="shared" ref="J92:J113" si="45">IF(E92&gt;D92,0,D92-E92)</f>
        <v>13.866679000000001</v>
      </c>
      <c r="K92" s="137"/>
      <c r="L92" s="138">
        <f t="shared" ref="L92:L113" si="46">IF(E92&gt;D92,IF(F92&gt;H92,0,H92-F92),G92)</f>
        <v>2.4893439999999991</v>
      </c>
      <c r="M92" s="137"/>
      <c r="N92" s="139">
        <f t="shared" ref="N92:N113" si="47">IF(E92&gt;D92,IF(F92&gt;H92,F92-H92,0),0)</f>
        <v>0</v>
      </c>
      <c r="O92" s="137"/>
      <c r="P92" s="140">
        <f t="shared" ref="P92:P113" si="48">IF(E92&gt;D92,IF(F92&gt;H92,G92,E92-H92),0)</f>
        <v>0</v>
      </c>
      <c r="Q92" s="135"/>
      <c r="R92" s="104">
        <f t="shared" ref="R92:R113" si="49">H92-L92</f>
        <v>9.957376</v>
      </c>
      <c r="S92" s="137"/>
      <c r="T92" s="141">
        <f t="shared" ref="T92:T113" si="50">L92+N92+P92</f>
        <v>2.4893439999999991</v>
      </c>
      <c r="U92" s="199">
        <f t="shared" ref="U92:U113" si="51">J92+L92</f>
        <v>16.356023</v>
      </c>
      <c r="V92" s="37" t="str">
        <f t="shared" ref="V92:V113" si="52">IF(R92+T92=E92,"ok","bad")</f>
        <v>ok</v>
      </c>
      <c r="W92" s="37" t="str">
        <f t="shared" ref="W92:W113" si="53">IF(U92+R92=D92,"ok","bad")</f>
        <v>ok</v>
      </c>
    </row>
    <row r="93" spans="1:23" x14ac:dyDescent="0.25">
      <c r="A93" s="426"/>
      <c r="B93" s="178" t="s">
        <v>22</v>
      </c>
      <c r="C93" s="129">
        <v>3</v>
      </c>
      <c r="D93" s="130">
        <f>'2.4.5.1 Missions'!D159*DMM</f>
        <v>11.509798999999999</v>
      </c>
      <c r="E93" s="131">
        <f>'2.4.5.1 Missions'!E159*DMM</f>
        <v>5.0918400000000004</v>
      </c>
      <c r="F93" s="132">
        <f t="shared" si="32"/>
        <v>4.0734720000000006</v>
      </c>
      <c r="G93" s="133">
        <f t="shared" si="33"/>
        <v>1.0183679999999999</v>
      </c>
      <c r="H93" s="134">
        <f t="shared" si="44"/>
        <v>5.0918400000000004</v>
      </c>
      <c r="I93" s="135"/>
      <c r="J93" s="136">
        <f t="shared" si="45"/>
        <v>6.4179589999999989</v>
      </c>
      <c r="K93" s="137"/>
      <c r="L93" s="138">
        <f t="shared" si="46"/>
        <v>1.0183679999999999</v>
      </c>
      <c r="M93" s="137"/>
      <c r="N93" s="139">
        <f t="shared" si="47"/>
        <v>0</v>
      </c>
      <c r="O93" s="137"/>
      <c r="P93" s="140">
        <f t="shared" si="48"/>
        <v>0</v>
      </c>
      <c r="Q93" s="135"/>
      <c r="R93" s="104">
        <f t="shared" si="49"/>
        <v>4.0734720000000006</v>
      </c>
      <c r="S93" s="137"/>
      <c r="T93" s="141">
        <f t="shared" si="50"/>
        <v>1.0183679999999999</v>
      </c>
      <c r="U93" s="199">
        <f t="shared" si="51"/>
        <v>7.4363269999999986</v>
      </c>
      <c r="V93" s="37" t="str">
        <f t="shared" si="52"/>
        <v>ok</v>
      </c>
      <c r="W93" s="37" t="str">
        <f t="shared" si="53"/>
        <v>ok</v>
      </c>
    </row>
    <row r="94" spans="1:23" x14ac:dyDescent="0.25">
      <c r="A94" s="426"/>
      <c r="B94" s="178" t="s">
        <v>23</v>
      </c>
      <c r="C94" s="129">
        <v>4</v>
      </c>
      <c r="D94" s="130">
        <f>'2.4.5.1 Missions'!D160*DMM</f>
        <v>8.0309530000000002</v>
      </c>
      <c r="E94" s="131">
        <f>'2.4.5.1 Missions'!E160*DMM</f>
        <v>7.6377599999999992</v>
      </c>
      <c r="F94" s="132">
        <f t="shared" si="32"/>
        <v>6.1102080000000001</v>
      </c>
      <c r="G94" s="133">
        <f t="shared" si="33"/>
        <v>1.5275519999999996</v>
      </c>
      <c r="H94" s="134">
        <f t="shared" si="44"/>
        <v>7.6377599999999992</v>
      </c>
      <c r="I94" s="135"/>
      <c r="J94" s="136">
        <f t="shared" si="45"/>
        <v>0.39319300000000101</v>
      </c>
      <c r="K94" s="137"/>
      <c r="L94" s="138">
        <f t="shared" si="46"/>
        <v>1.5275519999999996</v>
      </c>
      <c r="M94" s="137"/>
      <c r="N94" s="139">
        <f t="shared" si="47"/>
        <v>0</v>
      </c>
      <c r="O94" s="137"/>
      <c r="P94" s="140">
        <f t="shared" si="48"/>
        <v>0</v>
      </c>
      <c r="Q94" s="135"/>
      <c r="R94" s="104">
        <f t="shared" si="49"/>
        <v>6.1102080000000001</v>
      </c>
      <c r="S94" s="137"/>
      <c r="T94" s="141">
        <f t="shared" si="50"/>
        <v>1.5275519999999996</v>
      </c>
      <c r="U94" s="199">
        <f t="shared" si="51"/>
        <v>1.9207450000000006</v>
      </c>
      <c r="V94" s="37" t="str">
        <f t="shared" si="52"/>
        <v>ok</v>
      </c>
      <c r="W94" s="37" t="str">
        <f t="shared" si="53"/>
        <v>ok</v>
      </c>
    </row>
    <row r="95" spans="1:23" x14ac:dyDescent="0.25">
      <c r="A95" s="426"/>
      <c r="B95" s="178" t="s">
        <v>19</v>
      </c>
      <c r="C95" s="129">
        <v>7</v>
      </c>
      <c r="D95" s="130">
        <f>'2.4.5.1 Missions'!D161*DMM</f>
        <v>16.654049999999998</v>
      </c>
      <c r="E95" s="131">
        <f>'2.4.5.1 Missions'!E161*DMM</f>
        <v>12.446719999999999</v>
      </c>
      <c r="F95" s="132">
        <f t="shared" si="32"/>
        <v>9.957376</v>
      </c>
      <c r="G95" s="133">
        <f t="shared" si="33"/>
        <v>2.4893439999999991</v>
      </c>
      <c r="H95" s="134">
        <f t="shared" si="44"/>
        <v>12.446719999999999</v>
      </c>
      <c r="I95" s="135"/>
      <c r="J95" s="136">
        <f t="shared" si="45"/>
        <v>4.2073299999999989</v>
      </c>
      <c r="K95" s="137"/>
      <c r="L95" s="138">
        <f t="shared" si="46"/>
        <v>2.4893439999999991</v>
      </c>
      <c r="M95" s="137"/>
      <c r="N95" s="139">
        <f t="shared" si="47"/>
        <v>0</v>
      </c>
      <c r="O95" s="137"/>
      <c r="P95" s="140">
        <f t="shared" si="48"/>
        <v>0</v>
      </c>
      <c r="Q95" s="135"/>
      <c r="R95" s="104">
        <f t="shared" si="49"/>
        <v>9.957376</v>
      </c>
      <c r="S95" s="137"/>
      <c r="T95" s="141">
        <f t="shared" si="50"/>
        <v>2.4893439999999991</v>
      </c>
      <c r="U95" s="199">
        <f t="shared" si="51"/>
        <v>6.696673999999998</v>
      </c>
      <c r="V95" s="37" t="str">
        <f t="shared" si="52"/>
        <v>ok</v>
      </c>
      <c r="W95" s="37" t="str">
        <f t="shared" si="53"/>
        <v>ok</v>
      </c>
    </row>
    <row r="96" spans="1:23" x14ac:dyDescent="0.25">
      <c r="A96" s="426"/>
      <c r="B96" s="178" t="s">
        <v>20</v>
      </c>
      <c r="C96" s="129">
        <v>8</v>
      </c>
      <c r="D96" s="130">
        <f>'2.4.5.1 Missions'!D162*DMM</f>
        <v>53.478004999999996</v>
      </c>
      <c r="E96" s="131">
        <f>'2.4.5.1 Missions'!E162*DMM</f>
        <v>8.7040000000000006</v>
      </c>
      <c r="F96" s="132">
        <f t="shared" si="32"/>
        <v>6.9632000000000005</v>
      </c>
      <c r="G96" s="133">
        <f t="shared" si="33"/>
        <v>1.7407999999999997</v>
      </c>
      <c r="H96" s="134">
        <f t="shared" si="44"/>
        <v>8.7040000000000006</v>
      </c>
      <c r="I96" s="135"/>
      <c r="J96" s="136">
        <f t="shared" si="45"/>
        <v>44.774004999999995</v>
      </c>
      <c r="K96" s="137"/>
      <c r="L96" s="138">
        <f t="shared" si="46"/>
        <v>1.7407999999999997</v>
      </c>
      <c r="M96" s="137"/>
      <c r="N96" s="139">
        <f t="shared" si="47"/>
        <v>0</v>
      </c>
      <c r="O96" s="137"/>
      <c r="P96" s="140">
        <f t="shared" si="48"/>
        <v>0</v>
      </c>
      <c r="Q96" s="135"/>
      <c r="R96" s="104">
        <f t="shared" si="49"/>
        <v>6.9632000000000005</v>
      </c>
      <c r="S96" s="137"/>
      <c r="T96" s="141">
        <f t="shared" si="50"/>
        <v>1.7407999999999997</v>
      </c>
      <c r="U96" s="199">
        <f t="shared" si="51"/>
        <v>46.514804999999996</v>
      </c>
      <c r="V96" s="37" t="str">
        <f t="shared" si="52"/>
        <v>ok</v>
      </c>
      <c r="W96" s="37" t="str">
        <f t="shared" si="53"/>
        <v>ok</v>
      </c>
    </row>
    <row r="97" spans="1:23" x14ac:dyDescent="0.25">
      <c r="A97" s="426"/>
      <c r="B97" s="178" t="s">
        <v>21</v>
      </c>
      <c r="C97" s="129">
        <v>9</v>
      </c>
      <c r="D97" s="130">
        <f>'2.4.5.1 Missions'!D163*DMM</f>
        <v>43.374547999999997</v>
      </c>
      <c r="E97" s="131">
        <f>'2.4.5.1 Missions'!E163*DMM</f>
        <v>8.9215999999999998</v>
      </c>
      <c r="F97" s="132">
        <f t="shared" si="32"/>
        <v>7.1372800000000005</v>
      </c>
      <c r="G97" s="133">
        <f t="shared" si="33"/>
        <v>1.7843199999999995</v>
      </c>
      <c r="H97" s="134">
        <f t="shared" si="44"/>
        <v>8.9215999999999998</v>
      </c>
      <c r="I97" s="135"/>
      <c r="J97" s="136">
        <f t="shared" si="45"/>
        <v>34.452947999999999</v>
      </c>
      <c r="K97" s="137"/>
      <c r="L97" s="138">
        <f t="shared" si="46"/>
        <v>1.7843199999999995</v>
      </c>
      <c r="M97" s="137"/>
      <c r="N97" s="139">
        <f t="shared" si="47"/>
        <v>0</v>
      </c>
      <c r="O97" s="137"/>
      <c r="P97" s="140">
        <f t="shared" si="48"/>
        <v>0</v>
      </c>
      <c r="Q97" s="135"/>
      <c r="R97" s="104">
        <f t="shared" si="49"/>
        <v>7.1372800000000005</v>
      </c>
      <c r="S97" s="137"/>
      <c r="T97" s="141">
        <f t="shared" si="50"/>
        <v>1.7843199999999995</v>
      </c>
      <c r="U97" s="199">
        <f t="shared" si="51"/>
        <v>36.237268</v>
      </c>
      <c r="V97" s="37" t="str">
        <f t="shared" si="52"/>
        <v>ok</v>
      </c>
      <c r="W97" s="37" t="str">
        <f t="shared" si="53"/>
        <v>ok</v>
      </c>
    </row>
    <row r="98" spans="1:23" x14ac:dyDescent="0.25">
      <c r="A98" s="426"/>
      <c r="B98" s="178" t="s">
        <v>22</v>
      </c>
      <c r="C98" s="129">
        <v>10</v>
      </c>
      <c r="D98" s="130">
        <f>'2.4.5.1 Missions'!D164*DMM</f>
        <v>25.073597500000002</v>
      </c>
      <c r="E98" s="131">
        <f>'2.4.5.1 Missions'!E164*DMM</f>
        <v>4.7871999999999995</v>
      </c>
      <c r="F98" s="132">
        <f t="shared" si="32"/>
        <v>3.8297599999999998</v>
      </c>
      <c r="G98" s="133">
        <f t="shared" si="33"/>
        <v>0.95743999999999962</v>
      </c>
      <c r="H98" s="134">
        <f t="shared" si="44"/>
        <v>4.7871999999999995</v>
      </c>
      <c r="I98" s="135"/>
      <c r="J98" s="136">
        <f t="shared" si="45"/>
        <v>20.286397500000003</v>
      </c>
      <c r="K98" s="137"/>
      <c r="L98" s="138">
        <f t="shared" si="46"/>
        <v>0.95743999999999962</v>
      </c>
      <c r="M98" s="137"/>
      <c r="N98" s="139">
        <f t="shared" si="47"/>
        <v>0</v>
      </c>
      <c r="O98" s="137"/>
      <c r="P98" s="140">
        <f t="shared" si="48"/>
        <v>0</v>
      </c>
      <c r="Q98" s="135"/>
      <c r="R98" s="104">
        <f t="shared" si="49"/>
        <v>3.8297599999999998</v>
      </c>
      <c r="S98" s="137"/>
      <c r="T98" s="141">
        <f t="shared" si="50"/>
        <v>0.95743999999999962</v>
      </c>
      <c r="U98" s="199">
        <f t="shared" si="51"/>
        <v>21.243837500000001</v>
      </c>
      <c r="V98" s="37" t="str">
        <f t="shared" si="52"/>
        <v>ok</v>
      </c>
      <c r="W98" s="37" t="str">
        <f t="shared" si="53"/>
        <v>ok</v>
      </c>
    </row>
    <row r="99" spans="1:23" x14ac:dyDescent="0.25">
      <c r="A99" s="426"/>
      <c r="B99" s="178" t="s">
        <v>23</v>
      </c>
      <c r="C99" s="129">
        <v>11</v>
      </c>
      <c r="D99" s="130">
        <f>'2.4.5.1 Missions'!D165*DMM</f>
        <v>20.243922999999999</v>
      </c>
      <c r="E99" s="131">
        <f>'2.4.5.1 Missions'!E165*DMM</f>
        <v>6.0927999999999995</v>
      </c>
      <c r="F99" s="132">
        <f t="shared" si="32"/>
        <v>4.8742400000000004</v>
      </c>
      <c r="G99" s="133">
        <f t="shared" si="33"/>
        <v>1.2185599999999996</v>
      </c>
      <c r="H99" s="134">
        <f t="shared" si="44"/>
        <v>6.0927999999999995</v>
      </c>
      <c r="I99" s="135"/>
      <c r="J99" s="136">
        <f t="shared" si="45"/>
        <v>14.151122999999998</v>
      </c>
      <c r="K99" s="137"/>
      <c r="L99" s="138">
        <f t="shared" si="46"/>
        <v>1.2185599999999996</v>
      </c>
      <c r="M99" s="137"/>
      <c r="N99" s="139">
        <f t="shared" si="47"/>
        <v>0</v>
      </c>
      <c r="O99" s="137"/>
      <c r="P99" s="140">
        <f t="shared" si="48"/>
        <v>0</v>
      </c>
      <c r="Q99" s="135"/>
      <c r="R99" s="104">
        <f t="shared" si="49"/>
        <v>4.8742400000000004</v>
      </c>
      <c r="S99" s="137"/>
      <c r="T99" s="141">
        <f t="shared" si="50"/>
        <v>1.2185599999999996</v>
      </c>
      <c r="U99" s="199">
        <f t="shared" si="51"/>
        <v>15.369682999999998</v>
      </c>
      <c r="V99" s="37" t="str">
        <f t="shared" si="52"/>
        <v>ok</v>
      </c>
      <c r="W99" s="37" t="str">
        <f t="shared" si="53"/>
        <v>ok</v>
      </c>
    </row>
    <row r="100" spans="1:23" x14ac:dyDescent="0.25">
      <c r="A100" s="426"/>
      <c r="B100" s="178" t="s">
        <v>19</v>
      </c>
      <c r="C100" s="129">
        <v>14</v>
      </c>
      <c r="D100" s="130">
        <f>'2.4.5.1 Missions'!D166*DMM</f>
        <v>38.563378</v>
      </c>
      <c r="E100" s="131">
        <f>'2.4.5.1 Missions'!E166*DMM</f>
        <v>8.2687999999999988</v>
      </c>
      <c r="F100" s="132">
        <f t="shared" si="32"/>
        <v>6.6150399999999996</v>
      </c>
      <c r="G100" s="133">
        <f t="shared" si="33"/>
        <v>1.6537599999999995</v>
      </c>
      <c r="H100" s="134">
        <f t="shared" si="44"/>
        <v>8.2687999999999988</v>
      </c>
      <c r="I100" s="135"/>
      <c r="J100" s="136">
        <f t="shared" si="45"/>
        <v>30.294578000000001</v>
      </c>
      <c r="K100" s="137"/>
      <c r="L100" s="138">
        <f t="shared" si="46"/>
        <v>1.6537599999999995</v>
      </c>
      <c r="M100" s="137"/>
      <c r="N100" s="139">
        <f t="shared" si="47"/>
        <v>0</v>
      </c>
      <c r="O100" s="137"/>
      <c r="P100" s="140">
        <f t="shared" si="48"/>
        <v>0</v>
      </c>
      <c r="Q100" s="135"/>
      <c r="R100" s="104">
        <f t="shared" si="49"/>
        <v>6.6150399999999996</v>
      </c>
      <c r="S100" s="137"/>
      <c r="T100" s="141">
        <f t="shared" si="50"/>
        <v>1.6537599999999995</v>
      </c>
      <c r="U100" s="199">
        <f t="shared" si="51"/>
        <v>31.948338</v>
      </c>
      <c r="V100" s="37" t="str">
        <f t="shared" si="52"/>
        <v>ok</v>
      </c>
      <c r="W100" s="37" t="str">
        <f t="shared" si="53"/>
        <v>ok</v>
      </c>
    </row>
    <row r="101" spans="1:23" x14ac:dyDescent="0.25">
      <c r="A101" s="426"/>
      <c r="B101" s="178" t="s">
        <v>20</v>
      </c>
      <c r="C101" s="129">
        <v>15</v>
      </c>
      <c r="D101" s="130">
        <f>'2.4.5.1 Missions'!D167*DMM</f>
        <v>33.511649499999997</v>
      </c>
      <c r="E101" s="131">
        <f>'2.4.5.1 Missions'!E167*DMM</f>
        <v>13.055999999999999</v>
      </c>
      <c r="F101" s="132">
        <f t="shared" si="32"/>
        <v>10.444800000000001</v>
      </c>
      <c r="G101" s="133">
        <f t="shared" si="33"/>
        <v>2.6111999999999993</v>
      </c>
      <c r="H101" s="134">
        <f t="shared" si="44"/>
        <v>13.055999999999999</v>
      </c>
      <c r="I101" s="135"/>
      <c r="J101" s="136">
        <f t="shared" si="45"/>
        <v>20.4556495</v>
      </c>
      <c r="K101" s="137"/>
      <c r="L101" s="138">
        <f t="shared" si="46"/>
        <v>2.6111999999999993</v>
      </c>
      <c r="M101" s="137"/>
      <c r="N101" s="139">
        <f t="shared" si="47"/>
        <v>0</v>
      </c>
      <c r="O101" s="137"/>
      <c r="P101" s="140">
        <f t="shared" si="48"/>
        <v>0</v>
      </c>
      <c r="Q101" s="135"/>
      <c r="R101" s="104">
        <f t="shared" si="49"/>
        <v>10.444800000000001</v>
      </c>
      <c r="S101" s="137"/>
      <c r="T101" s="141">
        <f t="shared" si="50"/>
        <v>2.6111999999999993</v>
      </c>
      <c r="U101" s="199">
        <f t="shared" si="51"/>
        <v>23.0668495</v>
      </c>
      <c r="V101" s="37" t="str">
        <f t="shared" si="52"/>
        <v>ok</v>
      </c>
      <c r="W101" s="37" t="str">
        <f t="shared" si="53"/>
        <v>ok</v>
      </c>
    </row>
    <row r="102" spans="1:23" x14ac:dyDescent="0.25">
      <c r="A102" s="426"/>
      <c r="B102" s="178" t="s">
        <v>21</v>
      </c>
      <c r="C102" s="129">
        <v>16</v>
      </c>
      <c r="D102" s="130">
        <f>'2.4.5.1 Missions'!D168*DMM</f>
        <v>26.313399</v>
      </c>
      <c r="E102" s="131">
        <f>'2.4.5.1 Missions'!E168*DMM</f>
        <v>10.009599999999999</v>
      </c>
      <c r="F102" s="132">
        <f t="shared" si="32"/>
        <v>8.0076799999999988</v>
      </c>
      <c r="G102" s="133">
        <f t="shared" si="33"/>
        <v>2.0019199999999993</v>
      </c>
      <c r="H102" s="134">
        <f t="shared" si="44"/>
        <v>10.009599999999999</v>
      </c>
      <c r="I102" s="135"/>
      <c r="J102" s="136">
        <f t="shared" si="45"/>
        <v>16.303799000000001</v>
      </c>
      <c r="K102" s="137"/>
      <c r="L102" s="138">
        <f t="shared" si="46"/>
        <v>2.0019199999999993</v>
      </c>
      <c r="M102" s="137"/>
      <c r="N102" s="139">
        <f t="shared" si="47"/>
        <v>0</v>
      </c>
      <c r="O102" s="137"/>
      <c r="P102" s="140">
        <f t="shared" si="48"/>
        <v>0</v>
      </c>
      <c r="Q102" s="135"/>
      <c r="R102" s="104">
        <f t="shared" si="49"/>
        <v>8.0076800000000006</v>
      </c>
      <c r="S102" s="137"/>
      <c r="T102" s="141">
        <f t="shared" si="50"/>
        <v>2.0019199999999993</v>
      </c>
      <c r="U102" s="199">
        <f t="shared" si="51"/>
        <v>18.305719</v>
      </c>
      <c r="V102" s="37" t="str">
        <f t="shared" si="52"/>
        <v>ok</v>
      </c>
      <c r="W102" s="37" t="str">
        <f t="shared" si="53"/>
        <v>ok</v>
      </c>
    </row>
    <row r="103" spans="1:23" x14ac:dyDescent="0.25">
      <c r="A103" s="426"/>
      <c r="B103" s="178" t="s">
        <v>22</v>
      </c>
      <c r="C103" s="129">
        <v>17</v>
      </c>
      <c r="D103" s="130">
        <f>'2.4.5.1 Missions'!D169*DMM</f>
        <v>11.509798999999999</v>
      </c>
      <c r="E103" s="131">
        <f>'2.4.5.1 Missions'!E169*DMM</f>
        <v>4.7871999999999995</v>
      </c>
      <c r="F103" s="132">
        <f t="shared" si="32"/>
        <v>3.8297599999999998</v>
      </c>
      <c r="G103" s="133">
        <f t="shared" si="33"/>
        <v>0.95743999999999962</v>
      </c>
      <c r="H103" s="134">
        <f t="shared" si="44"/>
        <v>4.7871999999999995</v>
      </c>
      <c r="I103" s="135"/>
      <c r="J103" s="136">
        <f t="shared" si="45"/>
        <v>6.7225989999999998</v>
      </c>
      <c r="K103" s="137"/>
      <c r="L103" s="138">
        <f t="shared" si="46"/>
        <v>0.95743999999999962</v>
      </c>
      <c r="M103" s="137"/>
      <c r="N103" s="139">
        <f t="shared" si="47"/>
        <v>0</v>
      </c>
      <c r="O103" s="137"/>
      <c r="P103" s="140">
        <f t="shared" si="48"/>
        <v>0</v>
      </c>
      <c r="Q103" s="135"/>
      <c r="R103" s="104">
        <f t="shared" si="49"/>
        <v>3.8297599999999998</v>
      </c>
      <c r="S103" s="137"/>
      <c r="T103" s="141">
        <f t="shared" si="50"/>
        <v>0.95743999999999962</v>
      </c>
      <c r="U103" s="199">
        <f t="shared" si="51"/>
        <v>7.6800389999999989</v>
      </c>
      <c r="V103" s="37" t="str">
        <f t="shared" si="52"/>
        <v>ok</v>
      </c>
      <c r="W103" s="37" t="str">
        <f t="shared" si="53"/>
        <v>ok</v>
      </c>
    </row>
    <row r="104" spans="1:23" x14ac:dyDescent="0.25">
      <c r="A104" s="426"/>
      <c r="B104" s="178" t="s">
        <v>23</v>
      </c>
      <c r="C104" s="129">
        <v>18</v>
      </c>
      <c r="D104" s="130">
        <f>'2.4.5.1 Missions'!D170*DMM</f>
        <v>8.0309530000000002</v>
      </c>
      <c r="E104" s="131">
        <f>'2.4.5.1 Missions'!E170*DMM</f>
        <v>8.0511999999999997</v>
      </c>
      <c r="F104" s="132">
        <f t="shared" si="32"/>
        <v>6.4409600000000005</v>
      </c>
      <c r="G104" s="133">
        <f t="shared" si="33"/>
        <v>1.6102399999999997</v>
      </c>
      <c r="H104" s="134">
        <f t="shared" si="44"/>
        <v>8.0309530000000002</v>
      </c>
      <c r="I104" s="135"/>
      <c r="J104" s="136">
        <f t="shared" si="45"/>
        <v>0</v>
      </c>
      <c r="K104" s="137"/>
      <c r="L104" s="138">
        <f t="shared" si="46"/>
        <v>1.5899929999999998</v>
      </c>
      <c r="M104" s="137"/>
      <c r="N104" s="139">
        <f t="shared" si="47"/>
        <v>0</v>
      </c>
      <c r="O104" s="137"/>
      <c r="P104" s="140">
        <f t="shared" si="48"/>
        <v>2.024699999999946E-2</v>
      </c>
      <c r="Q104" s="135"/>
      <c r="R104" s="104">
        <f t="shared" si="49"/>
        <v>6.4409600000000005</v>
      </c>
      <c r="S104" s="137"/>
      <c r="T104" s="141">
        <f t="shared" si="50"/>
        <v>1.6102399999999992</v>
      </c>
      <c r="U104" s="199">
        <f t="shared" si="51"/>
        <v>1.5899929999999998</v>
      </c>
      <c r="V104" s="37" t="str">
        <f t="shared" si="52"/>
        <v>ok</v>
      </c>
      <c r="W104" s="37" t="str">
        <f t="shared" si="53"/>
        <v>ok</v>
      </c>
    </row>
    <row r="105" spans="1:23" x14ac:dyDescent="0.25">
      <c r="A105" s="426"/>
      <c r="B105" s="178" t="s">
        <v>19</v>
      </c>
      <c r="C105" s="129">
        <v>21</v>
      </c>
      <c r="D105" s="130">
        <f>'2.4.5.1 Missions'!D171*DMM</f>
        <v>16.654049999999998</v>
      </c>
      <c r="E105" s="131">
        <f>'2.4.5.1 Missions'!E171*DMM</f>
        <v>9.5743999999999989</v>
      </c>
      <c r="F105" s="132">
        <f t="shared" si="32"/>
        <v>7.6595199999999997</v>
      </c>
      <c r="G105" s="133">
        <f t="shared" si="33"/>
        <v>1.9148799999999992</v>
      </c>
      <c r="H105" s="134">
        <f t="shared" si="44"/>
        <v>9.5743999999999989</v>
      </c>
      <c r="I105" s="135"/>
      <c r="J105" s="136">
        <f t="shared" si="45"/>
        <v>7.0796499999999991</v>
      </c>
      <c r="K105" s="137"/>
      <c r="L105" s="138">
        <f t="shared" si="46"/>
        <v>1.9148799999999992</v>
      </c>
      <c r="M105" s="137"/>
      <c r="N105" s="139">
        <f t="shared" si="47"/>
        <v>0</v>
      </c>
      <c r="O105" s="137"/>
      <c r="P105" s="140">
        <f t="shared" si="48"/>
        <v>0</v>
      </c>
      <c r="Q105" s="135"/>
      <c r="R105" s="104">
        <f t="shared" si="49"/>
        <v>7.6595199999999997</v>
      </c>
      <c r="S105" s="137"/>
      <c r="T105" s="141">
        <f t="shared" si="50"/>
        <v>1.9148799999999992</v>
      </c>
      <c r="U105" s="199">
        <f t="shared" si="51"/>
        <v>8.9945299999999975</v>
      </c>
      <c r="V105" s="37" t="str">
        <f t="shared" si="52"/>
        <v>ok</v>
      </c>
      <c r="W105" s="37" t="str">
        <f t="shared" si="53"/>
        <v>ok</v>
      </c>
    </row>
    <row r="106" spans="1:23" x14ac:dyDescent="0.25">
      <c r="A106" s="426"/>
      <c r="B106" s="178" t="s">
        <v>20</v>
      </c>
      <c r="C106" s="129">
        <v>22</v>
      </c>
      <c r="D106" s="130">
        <f>'2.4.5.1 Missions'!D172*DMM</f>
        <v>66.838253999999992</v>
      </c>
      <c r="E106" s="131">
        <f>'2.4.5.1 Missions'!E172*DMM</f>
        <v>10.7712</v>
      </c>
      <c r="F106" s="132">
        <f t="shared" si="32"/>
        <v>8.6169600000000006</v>
      </c>
      <c r="G106" s="133">
        <f t="shared" si="33"/>
        <v>2.1542399999999997</v>
      </c>
      <c r="H106" s="134">
        <f t="shared" si="44"/>
        <v>10.7712</v>
      </c>
      <c r="I106" s="135"/>
      <c r="J106" s="136">
        <f t="shared" si="45"/>
        <v>56.067053999999992</v>
      </c>
      <c r="K106" s="137"/>
      <c r="L106" s="138">
        <f t="shared" si="46"/>
        <v>2.1542399999999997</v>
      </c>
      <c r="M106" s="137"/>
      <c r="N106" s="139">
        <f t="shared" si="47"/>
        <v>0</v>
      </c>
      <c r="O106" s="137"/>
      <c r="P106" s="140">
        <f t="shared" si="48"/>
        <v>0</v>
      </c>
      <c r="Q106" s="135"/>
      <c r="R106" s="104">
        <f t="shared" si="49"/>
        <v>8.6169600000000006</v>
      </c>
      <c r="S106" s="137"/>
      <c r="T106" s="141">
        <f t="shared" si="50"/>
        <v>2.1542399999999997</v>
      </c>
      <c r="U106" s="199">
        <f t="shared" si="51"/>
        <v>58.221293999999993</v>
      </c>
      <c r="V106" s="37" t="str">
        <f t="shared" si="52"/>
        <v>ok</v>
      </c>
      <c r="W106" s="37" t="str">
        <f t="shared" si="53"/>
        <v>ok</v>
      </c>
    </row>
    <row r="107" spans="1:23" x14ac:dyDescent="0.25">
      <c r="A107" s="426"/>
      <c r="B107" s="178" t="s">
        <v>21</v>
      </c>
      <c r="C107" s="129">
        <v>23</v>
      </c>
      <c r="D107" s="130">
        <f>'2.4.5.1 Missions'!D173*DMM</f>
        <v>54.403229999999994</v>
      </c>
      <c r="E107" s="131">
        <f>'2.4.5.1 Missions'!E173*DMM</f>
        <v>6.8239359999999998</v>
      </c>
      <c r="F107" s="132">
        <f t="shared" si="32"/>
        <v>5.4591488000000004</v>
      </c>
      <c r="G107" s="133">
        <f t="shared" si="33"/>
        <v>1.3647871999999996</v>
      </c>
      <c r="H107" s="134">
        <f t="shared" si="44"/>
        <v>6.8239359999999998</v>
      </c>
      <c r="I107" s="135"/>
      <c r="J107" s="136">
        <f t="shared" si="45"/>
        <v>47.57929399999999</v>
      </c>
      <c r="K107" s="137"/>
      <c r="L107" s="138">
        <f t="shared" si="46"/>
        <v>1.3647871999999996</v>
      </c>
      <c r="M107" s="137"/>
      <c r="N107" s="139">
        <f t="shared" si="47"/>
        <v>0</v>
      </c>
      <c r="O107" s="137"/>
      <c r="P107" s="140">
        <f t="shared" si="48"/>
        <v>0</v>
      </c>
      <c r="Q107" s="135"/>
      <c r="R107" s="104">
        <f t="shared" si="49"/>
        <v>5.4591488000000004</v>
      </c>
      <c r="S107" s="137"/>
      <c r="T107" s="141">
        <f t="shared" si="50"/>
        <v>1.3647871999999996</v>
      </c>
      <c r="U107" s="199">
        <f t="shared" si="51"/>
        <v>48.944081199999992</v>
      </c>
      <c r="V107" s="37" t="str">
        <f t="shared" si="52"/>
        <v>ok</v>
      </c>
      <c r="W107" s="37" t="str">
        <f t="shared" si="53"/>
        <v>ok</v>
      </c>
    </row>
    <row r="108" spans="1:23" x14ac:dyDescent="0.25">
      <c r="A108" s="426"/>
      <c r="B108" s="178" t="s">
        <v>22</v>
      </c>
      <c r="C108" s="129">
        <v>24</v>
      </c>
      <c r="D108" s="130">
        <f>'2.4.5.1 Missions'!D174*DMM</f>
        <v>31.346623000000005</v>
      </c>
      <c r="E108" s="131">
        <f>'2.4.5.1 Missions'!E174*DMM</f>
        <v>3.233536</v>
      </c>
      <c r="F108" s="132">
        <f t="shared" si="32"/>
        <v>2.5868288000000002</v>
      </c>
      <c r="G108" s="133">
        <f t="shared" si="33"/>
        <v>0.64670719999999982</v>
      </c>
      <c r="H108" s="134">
        <f t="shared" si="44"/>
        <v>3.233536</v>
      </c>
      <c r="I108" s="135"/>
      <c r="J108" s="136">
        <f t="shared" si="45"/>
        <v>28.113087000000004</v>
      </c>
      <c r="K108" s="137"/>
      <c r="L108" s="138">
        <f t="shared" si="46"/>
        <v>0.64670719999999982</v>
      </c>
      <c r="M108" s="137"/>
      <c r="N108" s="139">
        <f t="shared" si="47"/>
        <v>0</v>
      </c>
      <c r="O108" s="137"/>
      <c r="P108" s="140">
        <f t="shared" si="48"/>
        <v>0</v>
      </c>
      <c r="Q108" s="135"/>
      <c r="R108" s="104">
        <f t="shared" si="49"/>
        <v>2.5868288000000002</v>
      </c>
      <c r="S108" s="137"/>
      <c r="T108" s="141">
        <f t="shared" si="50"/>
        <v>0.64670719999999982</v>
      </c>
      <c r="U108" s="199">
        <f t="shared" si="51"/>
        <v>28.759794200000002</v>
      </c>
      <c r="V108" s="37" t="str">
        <f t="shared" si="52"/>
        <v>ok</v>
      </c>
      <c r="W108" s="37" t="str">
        <f t="shared" si="53"/>
        <v>ok</v>
      </c>
    </row>
    <row r="109" spans="1:23" x14ac:dyDescent="0.25">
      <c r="A109" s="426"/>
      <c r="B109" s="178" t="s">
        <v>23</v>
      </c>
      <c r="C109" s="129">
        <v>25</v>
      </c>
      <c r="D109" s="130">
        <f>'2.4.5.1 Missions'!D175*DMM</f>
        <v>25.665741499999999</v>
      </c>
      <c r="E109" s="131">
        <f>'2.4.5.1 Missions'!E175*DMM</f>
        <v>4.3084800000000003</v>
      </c>
      <c r="F109" s="132">
        <f t="shared" si="32"/>
        <v>3.4467840000000005</v>
      </c>
      <c r="G109" s="133">
        <f t="shared" si="33"/>
        <v>0.86169599999999991</v>
      </c>
      <c r="H109" s="134">
        <f t="shared" si="44"/>
        <v>4.3084800000000003</v>
      </c>
      <c r="I109" s="135"/>
      <c r="J109" s="136">
        <f t="shared" si="45"/>
        <v>21.3572615</v>
      </c>
      <c r="K109" s="137"/>
      <c r="L109" s="138">
        <f t="shared" si="46"/>
        <v>0.86169599999999991</v>
      </c>
      <c r="M109" s="137"/>
      <c r="N109" s="139">
        <f t="shared" si="47"/>
        <v>0</v>
      </c>
      <c r="O109" s="137"/>
      <c r="P109" s="140">
        <f t="shared" si="48"/>
        <v>0</v>
      </c>
      <c r="Q109" s="135"/>
      <c r="R109" s="104">
        <f t="shared" si="49"/>
        <v>3.4467840000000005</v>
      </c>
      <c r="S109" s="137"/>
      <c r="T109" s="141">
        <f t="shared" si="50"/>
        <v>0.86169599999999991</v>
      </c>
      <c r="U109" s="199">
        <f t="shared" si="51"/>
        <v>22.218957499999998</v>
      </c>
      <c r="V109" s="37" t="str">
        <f t="shared" si="52"/>
        <v>ok</v>
      </c>
      <c r="W109" s="37" t="str">
        <f t="shared" si="53"/>
        <v>ok</v>
      </c>
    </row>
    <row r="110" spans="1:23" x14ac:dyDescent="0.25">
      <c r="A110" s="426"/>
      <c r="B110" s="178" t="s">
        <v>19</v>
      </c>
      <c r="C110" s="129">
        <v>28</v>
      </c>
      <c r="D110" s="130">
        <f>'2.4.5.1 Missions'!D176*DMM</f>
        <v>48.2042225</v>
      </c>
      <c r="E110" s="131">
        <f>'2.4.5.1 Missions'!E176*DMM</f>
        <v>6.8239359999999998</v>
      </c>
      <c r="F110" s="132">
        <f t="shared" si="32"/>
        <v>5.4591488000000004</v>
      </c>
      <c r="G110" s="133">
        <f t="shared" si="33"/>
        <v>1.3647871999999996</v>
      </c>
      <c r="H110" s="134">
        <f t="shared" si="44"/>
        <v>6.8239359999999998</v>
      </c>
      <c r="I110" s="135"/>
      <c r="J110" s="136">
        <f t="shared" si="45"/>
        <v>41.380286499999997</v>
      </c>
      <c r="K110" s="137"/>
      <c r="L110" s="138">
        <f t="shared" si="46"/>
        <v>1.3647871999999996</v>
      </c>
      <c r="M110" s="137"/>
      <c r="N110" s="139">
        <f t="shared" si="47"/>
        <v>0</v>
      </c>
      <c r="O110" s="137"/>
      <c r="P110" s="140">
        <f t="shared" si="48"/>
        <v>0</v>
      </c>
      <c r="Q110" s="135"/>
      <c r="R110" s="104">
        <f t="shared" si="49"/>
        <v>5.4591488000000004</v>
      </c>
      <c r="S110" s="137"/>
      <c r="T110" s="141">
        <f t="shared" si="50"/>
        <v>1.3647871999999996</v>
      </c>
      <c r="U110" s="199">
        <f t="shared" si="51"/>
        <v>42.745073699999999</v>
      </c>
      <c r="V110" s="37" t="str">
        <f t="shared" si="52"/>
        <v>ok</v>
      </c>
      <c r="W110" s="37" t="str">
        <f t="shared" si="53"/>
        <v>ok</v>
      </c>
    </row>
    <row r="111" spans="1:23" x14ac:dyDescent="0.25">
      <c r="A111" s="426"/>
      <c r="B111" s="178" t="s">
        <v>20</v>
      </c>
      <c r="C111" s="129">
        <v>29</v>
      </c>
      <c r="D111" s="130">
        <f>'2.4.5.1 Missions'!D177*DMM</f>
        <v>80.198503000000017</v>
      </c>
      <c r="E111" s="131">
        <f>'2.4.5.1 Missions'!E177*DMM</f>
        <v>13.055999999999999</v>
      </c>
      <c r="F111" s="132">
        <f t="shared" si="32"/>
        <v>10.444800000000001</v>
      </c>
      <c r="G111" s="133">
        <f t="shared" si="33"/>
        <v>2.6111999999999993</v>
      </c>
      <c r="H111" s="134">
        <f t="shared" si="44"/>
        <v>13.055999999999999</v>
      </c>
      <c r="I111" s="135"/>
      <c r="J111" s="136">
        <f t="shared" si="45"/>
        <v>67.142503000000019</v>
      </c>
      <c r="K111" s="137"/>
      <c r="L111" s="138">
        <f t="shared" si="46"/>
        <v>2.6111999999999993</v>
      </c>
      <c r="M111" s="137"/>
      <c r="N111" s="139">
        <f t="shared" si="47"/>
        <v>0</v>
      </c>
      <c r="O111" s="137"/>
      <c r="P111" s="140">
        <f t="shared" si="48"/>
        <v>0</v>
      </c>
      <c r="Q111" s="135"/>
      <c r="R111" s="104">
        <f t="shared" si="49"/>
        <v>10.444800000000001</v>
      </c>
      <c r="S111" s="137"/>
      <c r="T111" s="141">
        <f t="shared" si="50"/>
        <v>2.6111999999999993</v>
      </c>
      <c r="U111" s="199">
        <f t="shared" si="51"/>
        <v>69.753703000000016</v>
      </c>
      <c r="V111" s="37" t="str">
        <f t="shared" si="52"/>
        <v>ok</v>
      </c>
      <c r="W111" s="37" t="str">
        <f t="shared" si="53"/>
        <v>ok</v>
      </c>
    </row>
    <row r="112" spans="1:23" x14ac:dyDescent="0.25">
      <c r="A112" s="426"/>
      <c r="B112" s="178" t="s">
        <v>21</v>
      </c>
      <c r="C112" s="129">
        <v>30</v>
      </c>
      <c r="D112" s="130">
        <f>'2.4.5.1 Missions'!D178*DMM</f>
        <v>65.061821999999992</v>
      </c>
      <c r="E112" s="131">
        <f>'2.4.5.1 Missions'!E178*DMM</f>
        <v>9.1392000000000007</v>
      </c>
      <c r="F112" s="132">
        <f t="shared" si="32"/>
        <v>7.3113600000000005</v>
      </c>
      <c r="G112" s="133">
        <f t="shared" si="33"/>
        <v>1.8278399999999997</v>
      </c>
      <c r="H112" s="134">
        <f t="shared" si="44"/>
        <v>9.1392000000000007</v>
      </c>
      <c r="I112" s="135"/>
      <c r="J112" s="136">
        <f t="shared" si="45"/>
        <v>55.92262199999999</v>
      </c>
      <c r="K112" s="137"/>
      <c r="L112" s="138">
        <f t="shared" si="46"/>
        <v>1.8278399999999997</v>
      </c>
      <c r="M112" s="137"/>
      <c r="N112" s="139">
        <f t="shared" si="47"/>
        <v>0</v>
      </c>
      <c r="O112" s="137"/>
      <c r="P112" s="140">
        <f t="shared" si="48"/>
        <v>0</v>
      </c>
      <c r="Q112" s="135"/>
      <c r="R112" s="104">
        <f t="shared" si="49"/>
        <v>7.3113600000000005</v>
      </c>
      <c r="S112" s="137"/>
      <c r="T112" s="141">
        <f t="shared" si="50"/>
        <v>1.8278399999999997</v>
      </c>
      <c r="U112" s="199">
        <f t="shared" si="51"/>
        <v>57.750461999999992</v>
      </c>
      <c r="V112" s="37" t="str">
        <f t="shared" si="52"/>
        <v>ok</v>
      </c>
      <c r="W112" s="37" t="str">
        <f t="shared" si="53"/>
        <v>ok</v>
      </c>
    </row>
    <row r="113" spans="1:23" ht="15.75" thickBot="1" x14ac:dyDescent="0.3">
      <c r="A113" s="427"/>
      <c r="B113" s="277" t="s">
        <v>22</v>
      </c>
      <c r="C113" s="165">
        <v>31</v>
      </c>
      <c r="D113" s="202">
        <f>'2.4.5.1 Missions'!D179*DMM</f>
        <v>37.619648499999997</v>
      </c>
      <c r="E113" s="203">
        <f>'2.4.5.1 Missions'!E179*DMM</f>
        <v>4.3520000000000003</v>
      </c>
      <c r="F113" s="204">
        <f t="shared" si="32"/>
        <v>3.4816000000000003</v>
      </c>
      <c r="G113" s="205">
        <f t="shared" si="33"/>
        <v>0.87039999999999984</v>
      </c>
      <c r="H113" s="206">
        <f t="shared" si="44"/>
        <v>4.3520000000000003</v>
      </c>
      <c r="I113" s="207"/>
      <c r="J113" s="208">
        <f t="shared" si="45"/>
        <v>33.267648499999993</v>
      </c>
      <c r="K113" s="209"/>
      <c r="L113" s="210">
        <f t="shared" si="46"/>
        <v>0.87039999999999984</v>
      </c>
      <c r="M113" s="209"/>
      <c r="N113" s="211">
        <f t="shared" si="47"/>
        <v>0</v>
      </c>
      <c r="O113" s="209"/>
      <c r="P113" s="212">
        <f t="shared" si="48"/>
        <v>0</v>
      </c>
      <c r="Q113" s="207"/>
      <c r="R113" s="213">
        <f t="shared" si="49"/>
        <v>3.4816000000000003</v>
      </c>
      <c r="S113" s="209"/>
      <c r="T113" s="214">
        <f t="shared" si="50"/>
        <v>0.87039999999999984</v>
      </c>
      <c r="U113" s="215">
        <f t="shared" si="51"/>
        <v>34.138048499999989</v>
      </c>
      <c r="V113" s="37" t="str">
        <f t="shared" si="52"/>
        <v>ok</v>
      </c>
      <c r="W113" s="37" t="str">
        <f t="shared" si="53"/>
        <v>ok</v>
      </c>
    </row>
    <row r="114" spans="1:23" x14ac:dyDescent="0.25">
      <c r="A114" s="425" t="s">
        <v>94</v>
      </c>
      <c r="B114" s="276" t="s">
        <v>23</v>
      </c>
      <c r="C114" s="247">
        <v>1</v>
      </c>
      <c r="D114" s="184">
        <f>'2.4.5.1 Missions'!D180*DMM</f>
        <v>17.610163999999997</v>
      </c>
      <c r="E114" s="185">
        <f>'2.4.5.1 Missions'!E180*DMM</f>
        <v>30.00075</v>
      </c>
      <c r="F114" s="186">
        <f t="shared" si="32"/>
        <v>24.000600000000002</v>
      </c>
      <c r="G114" s="187">
        <f t="shared" si="33"/>
        <v>6.0001499999999988</v>
      </c>
      <c r="H114" s="188">
        <f>IF(E114&gt;D114,D114,E114)</f>
        <v>17.610163999999997</v>
      </c>
      <c r="I114" s="189"/>
      <c r="J114" s="190">
        <f>IF(E114&gt;D114,0,D114-E114)</f>
        <v>0</v>
      </c>
      <c r="K114" s="191"/>
      <c r="L114" s="192">
        <f>IF(E114&gt;D114,IF(F114&gt;H114,0,H114-F114),G114)</f>
        <v>0</v>
      </c>
      <c r="M114" s="191"/>
      <c r="N114" s="193">
        <f>IF(E114&gt;D114,IF(F114&gt;H114,F114-H114,0),0)</f>
        <v>6.3904360000000047</v>
      </c>
      <c r="O114" s="191"/>
      <c r="P114" s="194">
        <f>IF(E114&gt;D114,IF(F114&gt;H114,G114,E114-H114),0)</f>
        <v>6.0001499999999988</v>
      </c>
      <c r="Q114" s="189"/>
      <c r="R114" s="195">
        <f>H114-L114</f>
        <v>17.610163999999997</v>
      </c>
      <c r="S114" s="191"/>
      <c r="T114" s="196">
        <f>L114+N114+P114</f>
        <v>12.390586000000003</v>
      </c>
      <c r="U114" s="197">
        <f>J114+L114</f>
        <v>0</v>
      </c>
      <c r="V114" s="37" t="str">
        <f>IF(R114+T114=E114,"ok","bad")</f>
        <v>ok</v>
      </c>
      <c r="W114" s="37" t="str">
        <f>IF(U114+R114=D114,"ok","bad")</f>
        <v>ok</v>
      </c>
    </row>
    <row r="115" spans="1:23" x14ac:dyDescent="0.25">
      <c r="A115" s="426"/>
      <c r="B115" s="178" t="s">
        <v>19</v>
      </c>
      <c r="C115" s="129">
        <v>4</v>
      </c>
      <c r="D115" s="130">
        <f>'2.4.5.1 Missions'!D181*DMM</f>
        <v>13.827527999999999</v>
      </c>
      <c r="E115" s="131">
        <f>'2.4.5.1 Missions'!E181*DMM</f>
        <v>22.00055</v>
      </c>
      <c r="F115" s="132">
        <f t="shared" si="32"/>
        <v>17.600440000000003</v>
      </c>
      <c r="G115" s="133">
        <f t="shared" si="33"/>
        <v>4.4001099999999989</v>
      </c>
      <c r="H115" s="134">
        <f t="shared" ref="H115:H134" si="54">IF(E115&gt;D115,D115,E115)</f>
        <v>13.827527999999999</v>
      </c>
      <c r="I115" s="135"/>
      <c r="J115" s="136">
        <f t="shared" ref="J115:J134" si="55">IF(E115&gt;D115,0,D115-E115)</f>
        <v>0</v>
      </c>
      <c r="K115" s="137"/>
      <c r="L115" s="138">
        <f t="shared" ref="L115:L134" si="56">IF(E115&gt;D115,IF(F115&gt;H115,0,H115-F115),G115)</f>
        <v>0</v>
      </c>
      <c r="M115" s="137"/>
      <c r="N115" s="139">
        <f t="shared" ref="N115:N134" si="57">IF(E115&gt;D115,IF(F115&gt;H115,F115-H115,0),0)</f>
        <v>3.7729120000000034</v>
      </c>
      <c r="O115" s="137"/>
      <c r="P115" s="140">
        <f t="shared" ref="P115:P134" si="58">IF(E115&gt;D115,IF(F115&gt;H115,G115,E115-H115),0)</f>
        <v>4.4001099999999989</v>
      </c>
      <c r="Q115" s="135"/>
      <c r="R115" s="104">
        <f t="shared" ref="R115:R134" si="59">H115-L115</f>
        <v>13.827527999999999</v>
      </c>
      <c r="S115" s="137"/>
      <c r="T115" s="141">
        <f t="shared" ref="T115:T134" si="60">L115+N115+P115</f>
        <v>8.1730220000000031</v>
      </c>
      <c r="U115" s="199">
        <f t="shared" ref="U115:U134" si="61">J115+L115</f>
        <v>0</v>
      </c>
      <c r="V115" s="37" t="str">
        <f t="shared" ref="V115:V134" si="62">IF(R115+T115=E115,"ok","bad")</f>
        <v>ok</v>
      </c>
      <c r="W115" s="37" t="str">
        <f t="shared" ref="W115:W134" si="63">IF(U115+R115=D115,"ok","bad")</f>
        <v>ok</v>
      </c>
    </row>
    <row r="116" spans="1:23" x14ac:dyDescent="0.25">
      <c r="A116" s="426"/>
      <c r="B116" s="178" t="s">
        <v>20</v>
      </c>
      <c r="C116" s="129">
        <v>5</v>
      </c>
      <c r="D116" s="130">
        <f>'2.4.5.1 Missions'!D182*DMM</f>
        <v>6.0483279999999997</v>
      </c>
      <c r="E116" s="131">
        <f>'2.4.5.1 Missions'!E182*DMM</f>
        <v>9.0002250000000004</v>
      </c>
      <c r="F116" s="132">
        <f t="shared" si="32"/>
        <v>7.2001800000000005</v>
      </c>
      <c r="G116" s="133">
        <f t="shared" si="33"/>
        <v>1.8000449999999997</v>
      </c>
      <c r="H116" s="134">
        <f t="shared" si="54"/>
        <v>6.0483279999999997</v>
      </c>
      <c r="I116" s="135"/>
      <c r="J116" s="136">
        <f t="shared" si="55"/>
        <v>0</v>
      </c>
      <c r="K116" s="137"/>
      <c r="L116" s="138">
        <f t="shared" si="56"/>
        <v>0</v>
      </c>
      <c r="M116" s="137"/>
      <c r="N116" s="139">
        <f t="shared" si="57"/>
        <v>1.1518520000000008</v>
      </c>
      <c r="O116" s="137"/>
      <c r="P116" s="140">
        <f t="shared" si="58"/>
        <v>1.8000449999999997</v>
      </c>
      <c r="Q116" s="135"/>
      <c r="R116" s="104">
        <f t="shared" si="59"/>
        <v>6.0483279999999997</v>
      </c>
      <c r="S116" s="137"/>
      <c r="T116" s="141">
        <f t="shared" si="60"/>
        <v>2.9518970000000007</v>
      </c>
      <c r="U116" s="199">
        <f t="shared" si="61"/>
        <v>0</v>
      </c>
      <c r="V116" s="37" t="str">
        <f t="shared" si="62"/>
        <v>ok</v>
      </c>
      <c r="W116" s="37" t="str">
        <f t="shared" si="63"/>
        <v>ok</v>
      </c>
    </row>
    <row r="117" spans="1:23" x14ac:dyDescent="0.25">
      <c r="A117" s="426"/>
      <c r="B117" s="178" t="s">
        <v>21</v>
      </c>
      <c r="C117" s="129">
        <v>6</v>
      </c>
      <c r="D117" s="130">
        <f>'2.4.5.1 Missions'!D183*DMM</f>
        <v>4.2202159999999997</v>
      </c>
      <c r="E117" s="131">
        <f>'2.4.5.1 Missions'!E183*DMM</f>
        <v>13.500337500000001</v>
      </c>
      <c r="F117" s="132">
        <f t="shared" si="32"/>
        <v>10.800270000000001</v>
      </c>
      <c r="G117" s="133">
        <f t="shared" si="33"/>
        <v>2.7000674999999994</v>
      </c>
      <c r="H117" s="134">
        <f t="shared" si="54"/>
        <v>4.2202159999999997</v>
      </c>
      <c r="I117" s="135"/>
      <c r="J117" s="136">
        <f t="shared" si="55"/>
        <v>0</v>
      </c>
      <c r="K117" s="137"/>
      <c r="L117" s="138">
        <f t="shared" si="56"/>
        <v>0</v>
      </c>
      <c r="M117" s="137"/>
      <c r="N117" s="139">
        <f t="shared" si="57"/>
        <v>6.5800540000000014</v>
      </c>
      <c r="O117" s="137"/>
      <c r="P117" s="140">
        <f t="shared" si="58"/>
        <v>2.7000674999999994</v>
      </c>
      <c r="Q117" s="135"/>
      <c r="R117" s="104">
        <f t="shared" si="59"/>
        <v>4.2202159999999997</v>
      </c>
      <c r="S117" s="137"/>
      <c r="T117" s="141">
        <f t="shared" si="60"/>
        <v>9.2801214999999999</v>
      </c>
      <c r="U117" s="199">
        <f t="shared" si="61"/>
        <v>0</v>
      </c>
      <c r="V117" s="37" t="str">
        <f t="shared" si="62"/>
        <v>ok</v>
      </c>
      <c r="W117" s="37" t="str">
        <f t="shared" si="63"/>
        <v>ok</v>
      </c>
    </row>
    <row r="118" spans="1:23" x14ac:dyDescent="0.25">
      <c r="A118" s="426"/>
      <c r="B118" s="178" t="s">
        <v>22</v>
      </c>
      <c r="C118" s="129">
        <v>7</v>
      </c>
      <c r="D118" s="130">
        <f>'2.4.5.1 Missions'!D184*DMM</f>
        <v>8.7515999999999998</v>
      </c>
      <c r="E118" s="131">
        <f>'2.4.5.1 Missions'!E184*DMM</f>
        <v>22.00055</v>
      </c>
      <c r="F118" s="132">
        <f t="shared" si="32"/>
        <v>17.600440000000003</v>
      </c>
      <c r="G118" s="133">
        <f t="shared" si="33"/>
        <v>4.4001099999999989</v>
      </c>
      <c r="H118" s="134">
        <f t="shared" si="54"/>
        <v>8.7515999999999998</v>
      </c>
      <c r="I118" s="135"/>
      <c r="J118" s="136">
        <f t="shared" si="55"/>
        <v>0</v>
      </c>
      <c r="K118" s="137"/>
      <c r="L118" s="138">
        <f t="shared" si="56"/>
        <v>0</v>
      </c>
      <c r="M118" s="137"/>
      <c r="N118" s="139">
        <f t="shared" si="57"/>
        <v>8.8488400000000027</v>
      </c>
      <c r="O118" s="137"/>
      <c r="P118" s="140">
        <f t="shared" si="58"/>
        <v>4.4001099999999989</v>
      </c>
      <c r="Q118" s="135"/>
      <c r="R118" s="104">
        <f t="shared" si="59"/>
        <v>8.7515999999999998</v>
      </c>
      <c r="S118" s="137"/>
      <c r="T118" s="141">
        <f t="shared" si="60"/>
        <v>13.248950000000001</v>
      </c>
      <c r="U118" s="199">
        <f t="shared" si="61"/>
        <v>0</v>
      </c>
      <c r="V118" s="37" t="str">
        <f t="shared" si="62"/>
        <v>ok</v>
      </c>
      <c r="W118" s="37" t="str">
        <f t="shared" si="63"/>
        <v>ok</v>
      </c>
    </row>
    <row r="119" spans="1:23" x14ac:dyDescent="0.25">
      <c r="A119" s="426"/>
      <c r="B119" s="178" t="s">
        <v>23</v>
      </c>
      <c r="C119" s="129">
        <v>8</v>
      </c>
      <c r="D119" s="130">
        <f>'2.4.5.1 Missions'!D185*DMM</f>
        <v>28.102359999999997</v>
      </c>
      <c r="E119" s="131">
        <f>'2.4.5.1 Missions'!E185*DMM</f>
        <v>15.385000000000002</v>
      </c>
      <c r="F119" s="132">
        <f t="shared" si="32"/>
        <v>12.308000000000002</v>
      </c>
      <c r="G119" s="133">
        <f t="shared" si="33"/>
        <v>3.0769999999999995</v>
      </c>
      <c r="H119" s="134">
        <f t="shared" si="54"/>
        <v>15.385000000000002</v>
      </c>
      <c r="I119" s="135"/>
      <c r="J119" s="136">
        <f t="shared" si="55"/>
        <v>12.717359999999996</v>
      </c>
      <c r="K119" s="137"/>
      <c r="L119" s="138">
        <f t="shared" si="56"/>
        <v>3.0769999999999995</v>
      </c>
      <c r="M119" s="137"/>
      <c r="N119" s="139">
        <f t="shared" si="57"/>
        <v>0</v>
      </c>
      <c r="O119" s="137"/>
      <c r="P119" s="140">
        <f t="shared" si="58"/>
        <v>0</v>
      </c>
      <c r="Q119" s="135"/>
      <c r="R119" s="104">
        <f t="shared" si="59"/>
        <v>12.308000000000002</v>
      </c>
      <c r="S119" s="137"/>
      <c r="T119" s="141">
        <f t="shared" si="60"/>
        <v>3.0769999999999995</v>
      </c>
      <c r="U119" s="199">
        <f t="shared" si="61"/>
        <v>15.794359999999996</v>
      </c>
      <c r="V119" s="37" t="str">
        <f t="shared" si="62"/>
        <v>ok</v>
      </c>
      <c r="W119" s="37" t="str">
        <f t="shared" si="63"/>
        <v>ok</v>
      </c>
    </row>
    <row r="120" spans="1:23" x14ac:dyDescent="0.25">
      <c r="A120" s="426"/>
      <c r="B120" s="178" t="s">
        <v>19</v>
      </c>
      <c r="C120" s="129">
        <v>11</v>
      </c>
      <c r="D120" s="130">
        <f>'2.4.5.1 Missions'!D186*DMM</f>
        <v>22.793055999999996</v>
      </c>
      <c r="E120" s="131">
        <f>'2.4.5.1 Missions'!E186*DMM</f>
        <v>15.769625000000001</v>
      </c>
      <c r="F120" s="132">
        <f t="shared" si="32"/>
        <v>12.615700000000002</v>
      </c>
      <c r="G120" s="133">
        <f t="shared" si="33"/>
        <v>3.1539249999999996</v>
      </c>
      <c r="H120" s="134">
        <f t="shared" si="54"/>
        <v>15.769625000000001</v>
      </c>
      <c r="I120" s="135"/>
      <c r="J120" s="136">
        <f t="shared" si="55"/>
        <v>7.0234309999999951</v>
      </c>
      <c r="K120" s="137"/>
      <c r="L120" s="138">
        <f t="shared" si="56"/>
        <v>3.1539249999999996</v>
      </c>
      <c r="M120" s="137"/>
      <c r="N120" s="139">
        <f t="shared" si="57"/>
        <v>0</v>
      </c>
      <c r="O120" s="137"/>
      <c r="P120" s="140">
        <f t="shared" si="58"/>
        <v>0</v>
      </c>
      <c r="Q120" s="135"/>
      <c r="R120" s="104">
        <f t="shared" si="59"/>
        <v>12.615700000000002</v>
      </c>
      <c r="S120" s="137"/>
      <c r="T120" s="141">
        <f t="shared" si="60"/>
        <v>3.1539249999999996</v>
      </c>
      <c r="U120" s="199">
        <f t="shared" si="61"/>
        <v>10.177355999999994</v>
      </c>
      <c r="V120" s="37" t="str">
        <f t="shared" si="62"/>
        <v>ok</v>
      </c>
      <c r="W120" s="37" t="str">
        <f t="shared" si="63"/>
        <v>ok</v>
      </c>
    </row>
    <row r="121" spans="1:23" x14ac:dyDescent="0.25">
      <c r="A121" s="426"/>
      <c r="B121" s="178" t="s">
        <v>20</v>
      </c>
      <c r="C121" s="129">
        <v>12</v>
      </c>
      <c r="D121" s="130">
        <f>'2.4.5.1 Missions'!D187*DMM</f>
        <v>13.176019999999999</v>
      </c>
      <c r="E121" s="131">
        <f>'2.4.5.1 Missions'!E187*DMM</f>
        <v>8.4617500000000003</v>
      </c>
      <c r="F121" s="132">
        <f t="shared" si="32"/>
        <v>6.769400000000001</v>
      </c>
      <c r="G121" s="133">
        <f t="shared" si="33"/>
        <v>1.6923499999999998</v>
      </c>
      <c r="H121" s="134">
        <f t="shared" si="54"/>
        <v>8.4617500000000003</v>
      </c>
      <c r="I121" s="135"/>
      <c r="J121" s="136">
        <f t="shared" si="55"/>
        <v>4.7142699999999991</v>
      </c>
      <c r="K121" s="137"/>
      <c r="L121" s="138">
        <f t="shared" si="56"/>
        <v>1.6923499999999998</v>
      </c>
      <c r="M121" s="137"/>
      <c r="N121" s="139">
        <f t="shared" si="57"/>
        <v>0</v>
      </c>
      <c r="O121" s="137"/>
      <c r="P121" s="140">
        <f t="shared" si="58"/>
        <v>0</v>
      </c>
      <c r="Q121" s="135"/>
      <c r="R121" s="104">
        <f t="shared" si="59"/>
        <v>6.769400000000001</v>
      </c>
      <c r="S121" s="137"/>
      <c r="T121" s="141">
        <f t="shared" si="60"/>
        <v>1.6923499999999998</v>
      </c>
      <c r="U121" s="199">
        <f t="shared" si="61"/>
        <v>6.4066199999999984</v>
      </c>
      <c r="V121" s="37" t="str">
        <f t="shared" si="62"/>
        <v>ok</v>
      </c>
      <c r="W121" s="37" t="str">
        <f t="shared" si="63"/>
        <v>ok</v>
      </c>
    </row>
    <row r="122" spans="1:23" x14ac:dyDescent="0.25">
      <c r="A122" s="426"/>
      <c r="B122" s="178" t="s">
        <v>21</v>
      </c>
      <c r="C122" s="129">
        <v>13</v>
      </c>
      <c r="D122" s="130">
        <f>'2.4.5.1 Missions'!D188*DMM</f>
        <v>10.638055999999997</v>
      </c>
      <c r="E122" s="131">
        <f>'2.4.5.1 Missions'!E188*DMM</f>
        <v>10.769499999999999</v>
      </c>
      <c r="F122" s="132">
        <f t="shared" si="32"/>
        <v>8.6155999999999988</v>
      </c>
      <c r="G122" s="133">
        <f t="shared" si="33"/>
        <v>2.1538999999999993</v>
      </c>
      <c r="H122" s="134">
        <f t="shared" si="54"/>
        <v>10.638055999999997</v>
      </c>
      <c r="I122" s="135"/>
      <c r="J122" s="136">
        <f t="shared" si="55"/>
        <v>0</v>
      </c>
      <c r="K122" s="137"/>
      <c r="L122" s="138">
        <f t="shared" si="56"/>
        <v>2.0224559999999983</v>
      </c>
      <c r="M122" s="137"/>
      <c r="N122" s="139">
        <f t="shared" si="57"/>
        <v>0</v>
      </c>
      <c r="O122" s="137"/>
      <c r="P122" s="140">
        <f t="shared" si="58"/>
        <v>0.13144400000000189</v>
      </c>
      <c r="Q122" s="135"/>
      <c r="R122" s="104">
        <f t="shared" si="59"/>
        <v>8.6155999999999988</v>
      </c>
      <c r="S122" s="137"/>
      <c r="T122" s="141">
        <f t="shared" si="60"/>
        <v>2.1539000000000001</v>
      </c>
      <c r="U122" s="199">
        <f t="shared" si="61"/>
        <v>2.0224559999999983</v>
      </c>
      <c r="V122" s="37" t="str">
        <f t="shared" si="62"/>
        <v>ok</v>
      </c>
      <c r="W122" s="37" t="str">
        <f t="shared" si="63"/>
        <v>ok</v>
      </c>
    </row>
    <row r="123" spans="1:23" x14ac:dyDescent="0.25">
      <c r="A123" s="426"/>
      <c r="B123" s="178" t="s">
        <v>22</v>
      </c>
      <c r="C123" s="129">
        <v>14</v>
      </c>
      <c r="D123" s="130">
        <f>'2.4.5.1 Missions'!D189*DMM</f>
        <v>20.264816</v>
      </c>
      <c r="E123" s="131">
        <f>'2.4.5.1 Missions'!E189*DMM</f>
        <v>14.61575</v>
      </c>
      <c r="F123" s="132">
        <f t="shared" si="32"/>
        <v>11.692600000000001</v>
      </c>
      <c r="G123" s="133">
        <f t="shared" si="33"/>
        <v>2.9231499999999992</v>
      </c>
      <c r="H123" s="134">
        <f t="shared" si="54"/>
        <v>14.61575</v>
      </c>
      <c r="I123" s="135"/>
      <c r="J123" s="136">
        <f t="shared" si="55"/>
        <v>5.6490659999999995</v>
      </c>
      <c r="K123" s="137"/>
      <c r="L123" s="138">
        <f t="shared" si="56"/>
        <v>2.9231499999999992</v>
      </c>
      <c r="M123" s="137"/>
      <c r="N123" s="139">
        <f t="shared" si="57"/>
        <v>0</v>
      </c>
      <c r="O123" s="137"/>
      <c r="P123" s="140">
        <f t="shared" si="58"/>
        <v>0</v>
      </c>
      <c r="Q123" s="135"/>
      <c r="R123" s="104">
        <f t="shared" si="59"/>
        <v>11.692600000000001</v>
      </c>
      <c r="S123" s="137"/>
      <c r="T123" s="141">
        <f t="shared" si="60"/>
        <v>2.9231499999999992</v>
      </c>
      <c r="U123" s="199">
        <f t="shared" si="61"/>
        <v>8.5722159999999992</v>
      </c>
      <c r="V123" s="37" t="str">
        <f t="shared" si="62"/>
        <v>ok</v>
      </c>
      <c r="W123" s="37" t="str">
        <f t="shared" si="63"/>
        <v>ok</v>
      </c>
    </row>
    <row r="124" spans="1:23" x14ac:dyDescent="0.25">
      <c r="A124" s="426"/>
      <c r="B124" s="178" t="s">
        <v>23</v>
      </c>
      <c r="C124" s="129">
        <v>15</v>
      </c>
      <c r="D124" s="130">
        <f>'2.4.5.1 Missions'!D190*DMM</f>
        <v>17.610163999999997</v>
      </c>
      <c r="E124" s="131">
        <f>'2.4.5.1 Missions'!E190*DMM</f>
        <v>23.077500000000001</v>
      </c>
      <c r="F124" s="132">
        <f t="shared" si="32"/>
        <v>18.462</v>
      </c>
      <c r="G124" s="133">
        <f t="shared" si="33"/>
        <v>4.615499999999999</v>
      </c>
      <c r="H124" s="134">
        <f t="shared" si="54"/>
        <v>17.610163999999997</v>
      </c>
      <c r="I124" s="135"/>
      <c r="J124" s="136">
        <f t="shared" si="55"/>
        <v>0</v>
      </c>
      <c r="K124" s="137"/>
      <c r="L124" s="138">
        <f t="shared" si="56"/>
        <v>0</v>
      </c>
      <c r="M124" s="137"/>
      <c r="N124" s="139">
        <f t="shared" si="57"/>
        <v>0.85183600000000226</v>
      </c>
      <c r="O124" s="137"/>
      <c r="P124" s="140">
        <f t="shared" si="58"/>
        <v>4.615499999999999</v>
      </c>
      <c r="Q124" s="135"/>
      <c r="R124" s="104">
        <f t="shared" si="59"/>
        <v>17.610163999999997</v>
      </c>
      <c r="S124" s="137"/>
      <c r="T124" s="141">
        <f t="shared" si="60"/>
        <v>5.4673360000000013</v>
      </c>
      <c r="U124" s="199">
        <f t="shared" si="61"/>
        <v>0</v>
      </c>
      <c r="V124" s="37" t="str">
        <f t="shared" si="62"/>
        <v>ok</v>
      </c>
      <c r="W124" s="37" t="str">
        <f t="shared" si="63"/>
        <v>ok</v>
      </c>
    </row>
    <row r="125" spans="1:23" x14ac:dyDescent="0.25">
      <c r="A125" s="426"/>
      <c r="B125" s="178" t="s">
        <v>19</v>
      </c>
      <c r="C125" s="129">
        <v>18</v>
      </c>
      <c r="D125" s="130">
        <f>'2.4.5.1 Missions'!D191*DMM</f>
        <v>13.827527999999999</v>
      </c>
      <c r="E125" s="131">
        <f>'2.4.5.1 Missions'!E191*DMM</f>
        <v>17.69275</v>
      </c>
      <c r="F125" s="132">
        <f t="shared" si="32"/>
        <v>14.154200000000001</v>
      </c>
      <c r="G125" s="133">
        <f t="shared" si="33"/>
        <v>3.5385499999999994</v>
      </c>
      <c r="H125" s="134">
        <f t="shared" si="54"/>
        <v>13.827527999999999</v>
      </c>
      <c r="I125" s="135"/>
      <c r="J125" s="136">
        <f t="shared" si="55"/>
        <v>0</v>
      </c>
      <c r="K125" s="137"/>
      <c r="L125" s="138">
        <f t="shared" si="56"/>
        <v>0</v>
      </c>
      <c r="M125" s="137"/>
      <c r="N125" s="139">
        <f t="shared" si="57"/>
        <v>0.32667200000000207</v>
      </c>
      <c r="O125" s="137"/>
      <c r="P125" s="140">
        <f t="shared" si="58"/>
        <v>3.5385499999999994</v>
      </c>
      <c r="Q125" s="135"/>
      <c r="R125" s="104">
        <f t="shared" si="59"/>
        <v>13.827527999999999</v>
      </c>
      <c r="S125" s="137"/>
      <c r="T125" s="141">
        <f t="shared" si="60"/>
        <v>3.8652220000000015</v>
      </c>
      <c r="U125" s="199">
        <f t="shared" si="61"/>
        <v>0</v>
      </c>
      <c r="V125" s="37" t="str">
        <f t="shared" si="62"/>
        <v>ok</v>
      </c>
      <c r="W125" s="37" t="str">
        <f t="shared" si="63"/>
        <v>ok</v>
      </c>
    </row>
    <row r="126" spans="1:23" x14ac:dyDescent="0.25">
      <c r="A126" s="426"/>
      <c r="B126" s="178" t="s">
        <v>20</v>
      </c>
      <c r="C126" s="129">
        <v>19</v>
      </c>
      <c r="D126" s="130">
        <f>'2.4.5.1 Missions'!D192*DMM</f>
        <v>6.0483279999999997</v>
      </c>
      <c r="E126" s="131">
        <f>'2.4.5.1 Missions'!E192*DMM</f>
        <v>8.4617500000000003</v>
      </c>
      <c r="F126" s="132">
        <f t="shared" si="32"/>
        <v>6.769400000000001</v>
      </c>
      <c r="G126" s="133">
        <f t="shared" si="33"/>
        <v>1.6923499999999998</v>
      </c>
      <c r="H126" s="134">
        <f t="shared" si="54"/>
        <v>6.0483279999999997</v>
      </c>
      <c r="I126" s="135"/>
      <c r="J126" s="136">
        <f t="shared" si="55"/>
        <v>0</v>
      </c>
      <c r="K126" s="137"/>
      <c r="L126" s="138">
        <f t="shared" si="56"/>
        <v>0</v>
      </c>
      <c r="M126" s="137"/>
      <c r="N126" s="139">
        <f t="shared" si="57"/>
        <v>0.72107200000000127</v>
      </c>
      <c r="O126" s="137"/>
      <c r="P126" s="140">
        <f t="shared" si="58"/>
        <v>1.6923499999999998</v>
      </c>
      <c r="Q126" s="135"/>
      <c r="R126" s="104">
        <f t="shared" si="59"/>
        <v>6.0483279999999997</v>
      </c>
      <c r="S126" s="137"/>
      <c r="T126" s="141">
        <f t="shared" si="60"/>
        <v>2.4134220000000011</v>
      </c>
      <c r="U126" s="199">
        <f t="shared" si="61"/>
        <v>0</v>
      </c>
      <c r="V126" s="37" t="str">
        <f t="shared" si="62"/>
        <v>ok</v>
      </c>
      <c r="W126" s="37" t="str">
        <f t="shared" si="63"/>
        <v>ok</v>
      </c>
    </row>
    <row r="127" spans="1:23" x14ac:dyDescent="0.25">
      <c r="A127" s="426"/>
      <c r="B127" s="178" t="s">
        <v>21</v>
      </c>
      <c r="C127" s="129">
        <v>20</v>
      </c>
      <c r="D127" s="130">
        <f>'2.4.5.1 Missions'!D193*DMM</f>
        <v>4.2202159999999997</v>
      </c>
      <c r="E127" s="131">
        <f>'2.4.5.1 Missions'!E193*DMM</f>
        <v>14.231124999999999</v>
      </c>
      <c r="F127" s="132">
        <f t="shared" si="32"/>
        <v>11.3849</v>
      </c>
      <c r="G127" s="133">
        <f t="shared" si="33"/>
        <v>2.8462249999999991</v>
      </c>
      <c r="H127" s="134">
        <f t="shared" si="54"/>
        <v>4.2202159999999997</v>
      </c>
      <c r="I127" s="135"/>
      <c r="J127" s="136">
        <f t="shared" si="55"/>
        <v>0</v>
      </c>
      <c r="K127" s="137"/>
      <c r="L127" s="138">
        <f t="shared" si="56"/>
        <v>0</v>
      </c>
      <c r="M127" s="137"/>
      <c r="N127" s="139">
        <f t="shared" si="57"/>
        <v>7.1646840000000003</v>
      </c>
      <c r="O127" s="137"/>
      <c r="P127" s="140">
        <f t="shared" si="58"/>
        <v>2.8462249999999991</v>
      </c>
      <c r="Q127" s="135"/>
      <c r="R127" s="104">
        <f t="shared" si="59"/>
        <v>4.2202159999999997</v>
      </c>
      <c r="S127" s="137"/>
      <c r="T127" s="141">
        <f t="shared" si="60"/>
        <v>10.010909</v>
      </c>
      <c r="U127" s="199">
        <f t="shared" si="61"/>
        <v>0</v>
      </c>
      <c r="V127" s="37" t="str">
        <f t="shared" si="62"/>
        <v>ok</v>
      </c>
      <c r="W127" s="37" t="str">
        <f t="shared" si="63"/>
        <v>ok</v>
      </c>
    </row>
    <row r="128" spans="1:23" x14ac:dyDescent="0.25">
      <c r="A128" s="426"/>
      <c r="B128" s="178" t="s">
        <v>22</v>
      </c>
      <c r="C128" s="129">
        <v>21</v>
      </c>
      <c r="D128" s="130">
        <f>'2.4.5.1 Missions'!D194*DMM</f>
        <v>8.7515999999999998</v>
      </c>
      <c r="E128" s="131">
        <f>'2.4.5.1 Missions'!E194*DMM</f>
        <v>16.923500000000001</v>
      </c>
      <c r="F128" s="132">
        <f t="shared" si="32"/>
        <v>13.538800000000002</v>
      </c>
      <c r="G128" s="133">
        <f t="shared" si="33"/>
        <v>3.3846999999999996</v>
      </c>
      <c r="H128" s="134">
        <f t="shared" si="54"/>
        <v>8.7515999999999998</v>
      </c>
      <c r="I128" s="135"/>
      <c r="J128" s="136">
        <f t="shared" si="55"/>
        <v>0</v>
      </c>
      <c r="K128" s="137"/>
      <c r="L128" s="138">
        <f t="shared" si="56"/>
        <v>0</v>
      </c>
      <c r="M128" s="137"/>
      <c r="N128" s="139">
        <f t="shared" si="57"/>
        <v>4.7872000000000021</v>
      </c>
      <c r="O128" s="137"/>
      <c r="P128" s="140">
        <f t="shared" si="58"/>
        <v>3.3846999999999996</v>
      </c>
      <c r="Q128" s="135"/>
      <c r="R128" s="104">
        <f t="shared" si="59"/>
        <v>8.7515999999999998</v>
      </c>
      <c r="S128" s="137"/>
      <c r="T128" s="141">
        <f t="shared" si="60"/>
        <v>8.1719000000000008</v>
      </c>
      <c r="U128" s="199">
        <f t="shared" si="61"/>
        <v>0</v>
      </c>
      <c r="V128" s="37" t="str">
        <f t="shared" si="62"/>
        <v>ok</v>
      </c>
      <c r="W128" s="37" t="str">
        <f t="shared" si="63"/>
        <v>ok</v>
      </c>
    </row>
    <row r="129" spans="1:23" x14ac:dyDescent="0.25">
      <c r="A129" s="426"/>
      <c r="B129" s="178" t="s">
        <v>23</v>
      </c>
      <c r="C129" s="129">
        <v>22</v>
      </c>
      <c r="D129" s="130">
        <f>'2.4.5.1 Missions'!D195*DMM</f>
        <v>35.123087999999996</v>
      </c>
      <c r="E129" s="131">
        <f>'2.4.5.1 Missions'!E195*DMM</f>
        <v>19.038937499999999</v>
      </c>
      <c r="F129" s="132">
        <f t="shared" si="32"/>
        <v>15.23115</v>
      </c>
      <c r="G129" s="133">
        <f t="shared" si="33"/>
        <v>3.807787499999999</v>
      </c>
      <c r="H129" s="134">
        <f t="shared" si="54"/>
        <v>19.038937499999999</v>
      </c>
      <c r="I129" s="135"/>
      <c r="J129" s="136">
        <f t="shared" si="55"/>
        <v>16.084150499999996</v>
      </c>
      <c r="K129" s="137"/>
      <c r="L129" s="138">
        <f t="shared" si="56"/>
        <v>3.807787499999999</v>
      </c>
      <c r="M129" s="137"/>
      <c r="N129" s="139">
        <f t="shared" si="57"/>
        <v>0</v>
      </c>
      <c r="O129" s="137"/>
      <c r="P129" s="140">
        <f t="shared" si="58"/>
        <v>0</v>
      </c>
      <c r="Q129" s="135"/>
      <c r="R129" s="104">
        <f t="shared" si="59"/>
        <v>15.23115</v>
      </c>
      <c r="S129" s="137"/>
      <c r="T129" s="141">
        <f t="shared" si="60"/>
        <v>3.807787499999999</v>
      </c>
      <c r="U129" s="199">
        <f t="shared" si="61"/>
        <v>19.891937999999996</v>
      </c>
      <c r="V129" s="37" t="str">
        <f t="shared" si="62"/>
        <v>ok</v>
      </c>
      <c r="W129" s="37" t="str">
        <f t="shared" si="63"/>
        <v>ok</v>
      </c>
    </row>
    <row r="130" spans="1:23" x14ac:dyDescent="0.25">
      <c r="A130" s="426"/>
      <c r="B130" s="178" t="s">
        <v>19</v>
      </c>
      <c r="C130" s="129">
        <v>25</v>
      </c>
      <c r="D130" s="130">
        <f>'2.4.5.1 Missions'!D196*DMM</f>
        <v>28.588559999999994</v>
      </c>
      <c r="E130" s="131">
        <f>'2.4.5.1 Missions'!E196*DMM</f>
        <v>12.06184</v>
      </c>
      <c r="F130" s="132">
        <f t="shared" si="32"/>
        <v>9.6494720000000012</v>
      </c>
      <c r="G130" s="133">
        <f t="shared" si="33"/>
        <v>2.4123679999999994</v>
      </c>
      <c r="H130" s="134">
        <f t="shared" si="54"/>
        <v>12.06184</v>
      </c>
      <c r="I130" s="135"/>
      <c r="J130" s="136">
        <f t="shared" si="55"/>
        <v>16.526719999999994</v>
      </c>
      <c r="K130" s="137"/>
      <c r="L130" s="138">
        <f t="shared" si="56"/>
        <v>2.4123679999999994</v>
      </c>
      <c r="M130" s="137"/>
      <c r="N130" s="139">
        <f t="shared" si="57"/>
        <v>0</v>
      </c>
      <c r="O130" s="137"/>
      <c r="P130" s="140">
        <f t="shared" si="58"/>
        <v>0</v>
      </c>
      <c r="Q130" s="135"/>
      <c r="R130" s="104">
        <f t="shared" si="59"/>
        <v>9.6494720000000012</v>
      </c>
      <c r="S130" s="137"/>
      <c r="T130" s="141">
        <f t="shared" si="60"/>
        <v>2.4123679999999994</v>
      </c>
      <c r="U130" s="199">
        <f t="shared" si="61"/>
        <v>18.939087999999995</v>
      </c>
      <c r="V130" s="37" t="str">
        <f t="shared" si="62"/>
        <v>ok</v>
      </c>
      <c r="W130" s="37" t="str">
        <f t="shared" si="63"/>
        <v>ok</v>
      </c>
    </row>
    <row r="131" spans="1:23" x14ac:dyDescent="0.25">
      <c r="A131" s="426"/>
      <c r="B131" s="178" t="s">
        <v>20</v>
      </c>
      <c r="C131" s="129">
        <v>26</v>
      </c>
      <c r="D131" s="130">
        <f>'2.4.5.1 Missions'!D197*DMM</f>
        <v>16.472455999999998</v>
      </c>
      <c r="E131" s="131">
        <f>'2.4.5.1 Missions'!E197*DMM</f>
        <v>5.7155274999999994</v>
      </c>
      <c r="F131" s="132">
        <f t="shared" si="32"/>
        <v>4.5724219999999995</v>
      </c>
      <c r="G131" s="133">
        <f t="shared" si="33"/>
        <v>1.1431054999999997</v>
      </c>
      <c r="H131" s="134">
        <f t="shared" si="54"/>
        <v>5.7155274999999994</v>
      </c>
      <c r="I131" s="135"/>
      <c r="J131" s="136">
        <f t="shared" si="55"/>
        <v>10.756928499999997</v>
      </c>
      <c r="K131" s="137"/>
      <c r="L131" s="138">
        <f t="shared" si="56"/>
        <v>1.1431054999999997</v>
      </c>
      <c r="M131" s="137"/>
      <c r="N131" s="139">
        <f t="shared" si="57"/>
        <v>0</v>
      </c>
      <c r="O131" s="137"/>
      <c r="P131" s="140">
        <f t="shared" si="58"/>
        <v>0</v>
      </c>
      <c r="Q131" s="135"/>
      <c r="R131" s="104">
        <f t="shared" si="59"/>
        <v>4.5724219999999995</v>
      </c>
      <c r="S131" s="137"/>
      <c r="T131" s="141">
        <f t="shared" si="60"/>
        <v>1.1431054999999997</v>
      </c>
      <c r="U131" s="199">
        <f t="shared" si="61"/>
        <v>11.900033999999996</v>
      </c>
      <c r="V131" s="37" t="str">
        <f t="shared" si="62"/>
        <v>ok</v>
      </c>
      <c r="W131" s="37" t="str">
        <f t="shared" si="63"/>
        <v>ok</v>
      </c>
    </row>
    <row r="132" spans="1:23" x14ac:dyDescent="0.25">
      <c r="A132" s="426"/>
      <c r="B132" s="178" t="s">
        <v>21</v>
      </c>
      <c r="C132" s="129">
        <v>27</v>
      </c>
      <c r="D132" s="130">
        <f>'2.4.5.1 Missions'!D198*DMM</f>
        <v>13.487187999999998</v>
      </c>
      <c r="E132" s="131">
        <f>'2.4.5.1 Missions'!E198*DMM</f>
        <v>7.6155749999999998</v>
      </c>
      <c r="F132" s="132">
        <f t="shared" si="32"/>
        <v>6.09246</v>
      </c>
      <c r="G132" s="133">
        <f t="shared" si="33"/>
        <v>1.5231149999999996</v>
      </c>
      <c r="H132" s="134">
        <f t="shared" si="54"/>
        <v>7.6155749999999998</v>
      </c>
      <c r="I132" s="135"/>
      <c r="J132" s="136">
        <f t="shared" si="55"/>
        <v>5.8716129999999982</v>
      </c>
      <c r="K132" s="137"/>
      <c r="L132" s="138">
        <f t="shared" si="56"/>
        <v>1.5231149999999996</v>
      </c>
      <c r="M132" s="137"/>
      <c r="N132" s="139">
        <f t="shared" si="57"/>
        <v>0</v>
      </c>
      <c r="O132" s="137"/>
      <c r="P132" s="140">
        <f t="shared" si="58"/>
        <v>0</v>
      </c>
      <c r="Q132" s="135"/>
      <c r="R132" s="104">
        <f t="shared" si="59"/>
        <v>6.09246</v>
      </c>
      <c r="S132" s="137"/>
      <c r="T132" s="141">
        <f t="shared" si="60"/>
        <v>1.5231149999999996</v>
      </c>
      <c r="U132" s="199">
        <f t="shared" si="61"/>
        <v>7.394727999999998</v>
      </c>
      <c r="V132" s="37" t="str">
        <f t="shared" si="62"/>
        <v>ok</v>
      </c>
      <c r="W132" s="37" t="str">
        <f t="shared" si="63"/>
        <v>ok</v>
      </c>
    </row>
    <row r="133" spans="1:23" x14ac:dyDescent="0.25">
      <c r="A133" s="426"/>
      <c r="B133" s="178" t="s">
        <v>22</v>
      </c>
      <c r="C133" s="129">
        <v>28</v>
      </c>
      <c r="D133" s="130">
        <f>'2.4.5.1 Missions'!D199*DMM</f>
        <v>25.331019999999999</v>
      </c>
      <c r="E133" s="131">
        <f>'2.4.5.1 Missions'!E199*DMM</f>
        <v>12.06184</v>
      </c>
      <c r="F133" s="132">
        <f t="shared" ref="F133:F196" si="64">E133*TC</f>
        <v>9.6494720000000012</v>
      </c>
      <c r="G133" s="133">
        <f t="shared" ref="G133:G196" si="65">E133*(1-TC)</f>
        <v>2.4123679999999994</v>
      </c>
      <c r="H133" s="134">
        <f t="shared" si="54"/>
        <v>12.06184</v>
      </c>
      <c r="I133" s="135"/>
      <c r="J133" s="136">
        <f t="shared" si="55"/>
        <v>13.269179999999999</v>
      </c>
      <c r="K133" s="137"/>
      <c r="L133" s="138">
        <f t="shared" si="56"/>
        <v>2.4123679999999994</v>
      </c>
      <c r="M133" s="137"/>
      <c r="N133" s="139">
        <f t="shared" si="57"/>
        <v>0</v>
      </c>
      <c r="O133" s="137"/>
      <c r="P133" s="140">
        <f t="shared" si="58"/>
        <v>0</v>
      </c>
      <c r="Q133" s="135"/>
      <c r="R133" s="104">
        <f t="shared" si="59"/>
        <v>9.6494720000000012</v>
      </c>
      <c r="S133" s="137"/>
      <c r="T133" s="141">
        <f t="shared" si="60"/>
        <v>2.4123679999999994</v>
      </c>
      <c r="U133" s="199">
        <f t="shared" si="61"/>
        <v>15.681547999999998</v>
      </c>
      <c r="V133" s="37" t="str">
        <f t="shared" si="62"/>
        <v>ok</v>
      </c>
      <c r="W133" s="37" t="str">
        <f t="shared" si="63"/>
        <v>ok</v>
      </c>
    </row>
    <row r="134" spans="1:23" ht="15.75" thickBot="1" x14ac:dyDescent="0.3">
      <c r="A134" s="427"/>
      <c r="B134" s="277" t="s">
        <v>23</v>
      </c>
      <c r="C134" s="165">
        <v>29</v>
      </c>
      <c r="D134" s="202">
        <f>'2.4.5.1 Missions'!D200*DMM</f>
        <v>42.143815999999994</v>
      </c>
      <c r="E134" s="203">
        <f>'2.4.5.1 Missions'!E200*DMM</f>
        <v>23.077500000000001</v>
      </c>
      <c r="F134" s="204">
        <f t="shared" si="64"/>
        <v>18.462</v>
      </c>
      <c r="G134" s="205">
        <f t="shared" si="65"/>
        <v>4.615499999999999</v>
      </c>
      <c r="H134" s="206">
        <f t="shared" si="54"/>
        <v>23.077500000000001</v>
      </c>
      <c r="I134" s="207"/>
      <c r="J134" s="208">
        <f t="shared" si="55"/>
        <v>19.066315999999993</v>
      </c>
      <c r="K134" s="209"/>
      <c r="L134" s="210">
        <f t="shared" si="56"/>
        <v>4.615499999999999</v>
      </c>
      <c r="M134" s="209"/>
      <c r="N134" s="211">
        <f t="shared" si="57"/>
        <v>0</v>
      </c>
      <c r="O134" s="209"/>
      <c r="P134" s="212">
        <f t="shared" si="58"/>
        <v>0</v>
      </c>
      <c r="Q134" s="207"/>
      <c r="R134" s="213">
        <f t="shared" si="59"/>
        <v>18.462000000000003</v>
      </c>
      <c r="S134" s="209"/>
      <c r="T134" s="214">
        <f t="shared" si="60"/>
        <v>4.615499999999999</v>
      </c>
      <c r="U134" s="215">
        <f t="shared" si="61"/>
        <v>23.681815999999991</v>
      </c>
      <c r="V134" s="37" t="str">
        <f t="shared" si="62"/>
        <v>ok</v>
      </c>
      <c r="W134" s="37" t="str">
        <f t="shared" si="63"/>
        <v>ok</v>
      </c>
    </row>
    <row r="135" spans="1:23" x14ac:dyDescent="0.25">
      <c r="A135" s="425" t="s">
        <v>95</v>
      </c>
      <c r="B135" s="276" t="s">
        <v>19</v>
      </c>
      <c r="C135" s="247">
        <v>2</v>
      </c>
      <c r="D135" s="184">
        <f>'2.4.5.1 Missions'!D201*DMM</f>
        <v>8.4110084000000001</v>
      </c>
      <c r="E135" s="185">
        <f>'2.4.5.1 Missions'!E201*DMM</f>
        <v>33.249449999999996</v>
      </c>
      <c r="F135" s="186">
        <f t="shared" si="64"/>
        <v>26.599559999999997</v>
      </c>
      <c r="G135" s="187">
        <f t="shared" si="65"/>
        <v>6.6498899999999974</v>
      </c>
      <c r="H135" s="188">
        <f>IF(E135&gt;D135,D135,E135)</f>
        <v>8.4110084000000001</v>
      </c>
      <c r="I135" s="189"/>
      <c r="J135" s="190">
        <f>IF(E135&gt;D135,0,D135-E135)</f>
        <v>0</v>
      </c>
      <c r="K135" s="191"/>
      <c r="L135" s="192">
        <f>IF(E135&gt;D135,IF(F135&gt;H135,0,H135-F135),G135)</f>
        <v>0</v>
      </c>
      <c r="M135" s="191"/>
      <c r="N135" s="193">
        <f>IF(E135&gt;D135,IF(F135&gt;H135,F135-H135,0),0)</f>
        <v>18.188551599999997</v>
      </c>
      <c r="O135" s="191"/>
      <c r="P135" s="194">
        <f>IF(E135&gt;D135,IF(F135&gt;H135,G135,E135-H135),0)</f>
        <v>6.6498899999999974</v>
      </c>
      <c r="Q135" s="189"/>
      <c r="R135" s="195">
        <f>H135-L135</f>
        <v>8.4110084000000001</v>
      </c>
      <c r="S135" s="191"/>
      <c r="T135" s="196">
        <f>L135+N135+P135</f>
        <v>24.838441599999996</v>
      </c>
      <c r="U135" s="197">
        <f>J135+L135</f>
        <v>0</v>
      </c>
      <c r="V135" s="37" t="str">
        <f>IF(R135+T135=E135,"ok","bad")</f>
        <v>ok</v>
      </c>
      <c r="W135" s="37" t="str">
        <f>IF(U135+R135=D135,"ok","bad")</f>
        <v>ok</v>
      </c>
    </row>
    <row r="136" spans="1:23" x14ac:dyDescent="0.25">
      <c r="A136" s="426"/>
      <c r="B136" s="178" t="s">
        <v>20</v>
      </c>
      <c r="C136" s="129">
        <v>3</v>
      </c>
      <c r="D136" s="130">
        <f>'2.4.5.1 Missions'!D202*DMM</f>
        <v>6.6043368000000005</v>
      </c>
      <c r="E136" s="131">
        <f>'2.4.5.1 Missions'!E202*DMM</f>
        <v>24.382929999999998</v>
      </c>
      <c r="F136" s="132">
        <f t="shared" si="64"/>
        <v>19.506343999999999</v>
      </c>
      <c r="G136" s="133">
        <f t="shared" si="65"/>
        <v>4.8765859999999988</v>
      </c>
      <c r="H136" s="134">
        <f t="shared" ref="H136:H156" si="66">IF(E136&gt;D136,D136,E136)</f>
        <v>6.6043368000000005</v>
      </c>
      <c r="I136" s="135"/>
      <c r="J136" s="136">
        <f t="shared" ref="J136:J156" si="67">IF(E136&gt;D136,0,D136-E136)</f>
        <v>0</v>
      </c>
      <c r="K136" s="137"/>
      <c r="L136" s="138">
        <f t="shared" ref="L136:L156" si="68">IF(E136&gt;D136,IF(F136&gt;H136,0,H136-F136),G136)</f>
        <v>0</v>
      </c>
      <c r="M136" s="137"/>
      <c r="N136" s="139">
        <f t="shared" ref="N136:N156" si="69">IF(E136&gt;D136,IF(F136&gt;H136,F136-H136,0),0)</f>
        <v>12.902007199999998</v>
      </c>
      <c r="O136" s="137"/>
      <c r="P136" s="140">
        <f t="shared" ref="P136:P156" si="70">IF(E136&gt;D136,IF(F136&gt;H136,G136,E136-H136),0)</f>
        <v>4.8765859999999988</v>
      </c>
      <c r="Q136" s="135"/>
      <c r="R136" s="104">
        <f t="shared" ref="R136:R156" si="71">H136-L136</f>
        <v>6.6043368000000005</v>
      </c>
      <c r="S136" s="137"/>
      <c r="T136" s="141">
        <f t="shared" ref="T136:T156" si="72">L136+N136+P136</f>
        <v>17.778593199999996</v>
      </c>
      <c r="U136" s="199">
        <f t="shared" ref="U136:U156" si="73">J136+L136</f>
        <v>0</v>
      </c>
      <c r="V136" s="37" t="str">
        <f t="shared" ref="V136:V156" si="74">IF(R136+T136=E136,"ok","bad")</f>
        <v>ok</v>
      </c>
      <c r="W136" s="37" t="str">
        <f t="shared" ref="W136:W156" si="75">IF(U136+R136=D136,"ok","bad")</f>
        <v>ok</v>
      </c>
    </row>
    <row r="137" spans="1:23" x14ac:dyDescent="0.25">
      <c r="A137" s="426"/>
      <c r="B137" s="178" t="s">
        <v>21</v>
      </c>
      <c r="C137" s="129">
        <v>4</v>
      </c>
      <c r="D137" s="130">
        <f>'2.4.5.1 Missions'!D203*DMM</f>
        <v>2.8888167999999999</v>
      </c>
      <c r="E137" s="131">
        <f>'2.4.5.1 Missions'!E203*DMM</f>
        <v>9.974834999999997</v>
      </c>
      <c r="F137" s="132">
        <f t="shared" si="64"/>
        <v>7.979867999999998</v>
      </c>
      <c r="G137" s="133">
        <f t="shared" si="65"/>
        <v>1.994966999999999</v>
      </c>
      <c r="H137" s="134">
        <f t="shared" si="66"/>
        <v>2.8888167999999999</v>
      </c>
      <c r="I137" s="135"/>
      <c r="J137" s="136">
        <f t="shared" si="67"/>
        <v>0</v>
      </c>
      <c r="K137" s="137"/>
      <c r="L137" s="138">
        <f t="shared" si="68"/>
        <v>0</v>
      </c>
      <c r="M137" s="137"/>
      <c r="N137" s="139">
        <f t="shared" si="69"/>
        <v>5.0910511999999981</v>
      </c>
      <c r="O137" s="137"/>
      <c r="P137" s="140">
        <f t="shared" si="70"/>
        <v>1.994966999999999</v>
      </c>
      <c r="Q137" s="135"/>
      <c r="R137" s="104">
        <f t="shared" si="71"/>
        <v>2.8888167999999999</v>
      </c>
      <c r="S137" s="137"/>
      <c r="T137" s="141">
        <f t="shared" si="72"/>
        <v>7.0860181999999972</v>
      </c>
      <c r="U137" s="199">
        <f t="shared" si="73"/>
        <v>0</v>
      </c>
      <c r="V137" s="37" t="str">
        <f t="shared" si="74"/>
        <v>ok</v>
      </c>
      <c r="W137" s="37" t="str">
        <f t="shared" si="75"/>
        <v>ok</v>
      </c>
    </row>
    <row r="138" spans="1:23" x14ac:dyDescent="0.25">
      <c r="A138" s="426"/>
      <c r="B138" s="178" t="s">
        <v>22</v>
      </c>
      <c r="C138" s="129">
        <v>5</v>
      </c>
      <c r="D138" s="130">
        <f>'2.4.5.1 Missions'!D204*DMM</f>
        <v>2.0156695999999998</v>
      </c>
      <c r="E138" s="131">
        <f>'2.4.5.1 Missions'!E204*DMM</f>
        <v>14.9622525</v>
      </c>
      <c r="F138" s="132">
        <f t="shared" si="64"/>
        <v>11.969802000000001</v>
      </c>
      <c r="G138" s="133">
        <f t="shared" si="65"/>
        <v>2.9924504999999995</v>
      </c>
      <c r="H138" s="134">
        <f t="shared" si="66"/>
        <v>2.0156695999999998</v>
      </c>
      <c r="I138" s="135"/>
      <c r="J138" s="136">
        <f t="shared" si="67"/>
        <v>0</v>
      </c>
      <c r="K138" s="137"/>
      <c r="L138" s="138">
        <f t="shared" si="68"/>
        <v>0</v>
      </c>
      <c r="M138" s="137"/>
      <c r="N138" s="139">
        <f t="shared" si="69"/>
        <v>9.9541324000000024</v>
      </c>
      <c r="O138" s="137"/>
      <c r="P138" s="140">
        <f t="shared" si="70"/>
        <v>2.9924504999999995</v>
      </c>
      <c r="Q138" s="135"/>
      <c r="R138" s="104">
        <f t="shared" si="71"/>
        <v>2.0156695999999998</v>
      </c>
      <c r="S138" s="137"/>
      <c r="T138" s="141">
        <f t="shared" si="72"/>
        <v>12.946582900000003</v>
      </c>
      <c r="U138" s="199">
        <f t="shared" si="73"/>
        <v>0</v>
      </c>
      <c r="V138" s="37" t="str">
        <f t="shared" si="74"/>
        <v>ok</v>
      </c>
      <c r="W138" s="37" t="str">
        <f t="shared" si="75"/>
        <v>ok</v>
      </c>
    </row>
    <row r="139" spans="1:23" x14ac:dyDescent="0.25">
      <c r="A139" s="426"/>
      <c r="B139" s="178" t="s">
        <v>23</v>
      </c>
      <c r="C139" s="129">
        <v>6</v>
      </c>
      <c r="D139" s="130">
        <f>'2.4.5.1 Missions'!D205*DMM</f>
        <v>4.1799600000000003</v>
      </c>
      <c r="E139" s="131">
        <f>'2.4.5.1 Missions'!E205*DMM</f>
        <v>24.382929999999998</v>
      </c>
      <c r="F139" s="132">
        <f t="shared" si="64"/>
        <v>19.506343999999999</v>
      </c>
      <c r="G139" s="133">
        <f t="shared" si="65"/>
        <v>4.8765859999999988</v>
      </c>
      <c r="H139" s="134">
        <f t="shared" si="66"/>
        <v>4.1799600000000003</v>
      </c>
      <c r="I139" s="135"/>
      <c r="J139" s="136">
        <f t="shared" si="67"/>
        <v>0</v>
      </c>
      <c r="K139" s="137"/>
      <c r="L139" s="138">
        <f t="shared" si="68"/>
        <v>0</v>
      </c>
      <c r="M139" s="137"/>
      <c r="N139" s="139">
        <f t="shared" si="69"/>
        <v>15.326383999999997</v>
      </c>
      <c r="O139" s="137"/>
      <c r="P139" s="140">
        <f t="shared" si="70"/>
        <v>4.8765859999999988</v>
      </c>
      <c r="Q139" s="135"/>
      <c r="R139" s="104">
        <f t="shared" si="71"/>
        <v>4.1799600000000003</v>
      </c>
      <c r="S139" s="137"/>
      <c r="T139" s="141">
        <f t="shared" si="72"/>
        <v>20.202969999999997</v>
      </c>
      <c r="U139" s="199">
        <f t="shared" si="73"/>
        <v>0</v>
      </c>
      <c r="V139" s="37" t="str">
        <f t="shared" si="74"/>
        <v>ok</v>
      </c>
      <c r="W139" s="37" t="str">
        <f t="shared" si="75"/>
        <v>ok</v>
      </c>
    </row>
    <row r="140" spans="1:23" x14ac:dyDescent="0.25">
      <c r="A140" s="426"/>
      <c r="B140" s="178" t="s">
        <v>19</v>
      </c>
      <c r="C140" s="129">
        <v>9</v>
      </c>
      <c r="D140" s="130">
        <f>'2.4.5.1 Missions'!D206*DMM</f>
        <v>13.422315999999999</v>
      </c>
      <c r="E140" s="131">
        <f>'2.4.5.1 Missions'!E206*DMM</f>
        <v>17.050999999999998</v>
      </c>
      <c r="F140" s="132">
        <f t="shared" si="64"/>
        <v>13.640799999999999</v>
      </c>
      <c r="G140" s="133">
        <f t="shared" si="65"/>
        <v>3.4101999999999988</v>
      </c>
      <c r="H140" s="134">
        <f t="shared" si="66"/>
        <v>13.422315999999999</v>
      </c>
      <c r="I140" s="135"/>
      <c r="J140" s="136">
        <f t="shared" si="67"/>
        <v>0</v>
      </c>
      <c r="K140" s="137"/>
      <c r="L140" s="138">
        <f t="shared" si="68"/>
        <v>0</v>
      </c>
      <c r="M140" s="137"/>
      <c r="N140" s="139">
        <f t="shared" si="69"/>
        <v>0.21848400000000012</v>
      </c>
      <c r="O140" s="137"/>
      <c r="P140" s="140">
        <f t="shared" si="70"/>
        <v>3.4101999999999988</v>
      </c>
      <c r="Q140" s="135"/>
      <c r="R140" s="104">
        <f t="shared" si="71"/>
        <v>13.422315999999999</v>
      </c>
      <c r="S140" s="137"/>
      <c r="T140" s="141">
        <f t="shared" si="72"/>
        <v>3.6286839999999989</v>
      </c>
      <c r="U140" s="199">
        <f t="shared" si="73"/>
        <v>0</v>
      </c>
      <c r="V140" s="37" t="str">
        <f t="shared" si="74"/>
        <v>ok</v>
      </c>
      <c r="W140" s="37" t="str">
        <f t="shared" si="75"/>
        <v>ok</v>
      </c>
    </row>
    <row r="141" spans="1:23" x14ac:dyDescent="0.25">
      <c r="A141" s="426"/>
      <c r="B141" s="178" t="s">
        <v>20</v>
      </c>
      <c r="C141" s="129">
        <v>10</v>
      </c>
      <c r="D141" s="130">
        <f>'2.4.5.1 Missions'!D207*DMM</f>
        <v>10.8864736</v>
      </c>
      <c r="E141" s="131">
        <f>'2.4.5.1 Missions'!E207*DMM</f>
        <v>17.477274999999999</v>
      </c>
      <c r="F141" s="132">
        <f t="shared" si="64"/>
        <v>13.981819999999999</v>
      </c>
      <c r="G141" s="133">
        <f t="shared" si="65"/>
        <v>3.4954549999999989</v>
      </c>
      <c r="H141" s="134">
        <f t="shared" si="66"/>
        <v>10.8864736</v>
      </c>
      <c r="I141" s="135"/>
      <c r="J141" s="136">
        <f t="shared" si="67"/>
        <v>0</v>
      </c>
      <c r="K141" s="137"/>
      <c r="L141" s="138">
        <f t="shared" si="68"/>
        <v>0</v>
      </c>
      <c r="M141" s="137"/>
      <c r="N141" s="139">
        <f t="shared" si="69"/>
        <v>3.0953463999999986</v>
      </c>
      <c r="O141" s="137"/>
      <c r="P141" s="140">
        <f t="shared" si="70"/>
        <v>3.4954549999999989</v>
      </c>
      <c r="Q141" s="135"/>
      <c r="R141" s="104">
        <f t="shared" si="71"/>
        <v>10.8864736</v>
      </c>
      <c r="S141" s="137"/>
      <c r="T141" s="141">
        <f t="shared" si="72"/>
        <v>6.5908013999999975</v>
      </c>
      <c r="U141" s="199">
        <f t="shared" si="73"/>
        <v>0</v>
      </c>
      <c r="V141" s="37" t="str">
        <f t="shared" si="74"/>
        <v>ok</v>
      </c>
      <c r="W141" s="37" t="str">
        <f t="shared" si="75"/>
        <v>ok</v>
      </c>
    </row>
    <row r="142" spans="1:23" x14ac:dyDescent="0.25">
      <c r="A142" s="426"/>
      <c r="B142" s="178" t="s">
        <v>21</v>
      </c>
      <c r="C142" s="129">
        <v>11</v>
      </c>
      <c r="D142" s="130">
        <f>'2.4.5.1 Missions'!D208*DMM</f>
        <v>6.2931620000000006</v>
      </c>
      <c r="E142" s="131">
        <f>'2.4.5.1 Missions'!E208*DMM</f>
        <v>9.37805</v>
      </c>
      <c r="F142" s="132">
        <f t="shared" si="64"/>
        <v>7.50244</v>
      </c>
      <c r="G142" s="133">
        <f t="shared" si="65"/>
        <v>1.8756099999999996</v>
      </c>
      <c r="H142" s="134">
        <f t="shared" si="66"/>
        <v>6.2931620000000006</v>
      </c>
      <c r="I142" s="135"/>
      <c r="J142" s="136">
        <f t="shared" si="67"/>
        <v>0</v>
      </c>
      <c r="K142" s="137"/>
      <c r="L142" s="138">
        <f t="shared" si="68"/>
        <v>0</v>
      </c>
      <c r="M142" s="137"/>
      <c r="N142" s="139">
        <f t="shared" si="69"/>
        <v>1.2092779999999994</v>
      </c>
      <c r="O142" s="137"/>
      <c r="P142" s="140">
        <f t="shared" si="70"/>
        <v>1.8756099999999996</v>
      </c>
      <c r="Q142" s="135"/>
      <c r="R142" s="104">
        <f t="shared" si="71"/>
        <v>6.2931620000000006</v>
      </c>
      <c r="S142" s="137"/>
      <c r="T142" s="141">
        <f t="shared" si="72"/>
        <v>3.084887999999999</v>
      </c>
      <c r="U142" s="199">
        <f t="shared" si="73"/>
        <v>0</v>
      </c>
      <c r="V142" s="37" t="str">
        <f t="shared" si="74"/>
        <v>ok</v>
      </c>
      <c r="W142" s="37" t="str">
        <f t="shared" si="75"/>
        <v>ok</v>
      </c>
    </row>
    <row r="143" spans="1:23" x14ac:dyDescent="0.25">
      <c r="A143" s="426"/>
      <c r="B143" s="178" t="s">
        <v>22</v>
      </c>
      <c r="C143" s="129">
        <v>12</v>
      </c>
      <c r="D143" s="130">
        <f>'2.4.5.1 Missions'!D209*DMM</f>
        <v>5.0809735999999992</v>
      </c>
      <c r="E143" s="131">
        <f>'2.4.5.1 Missions'!E209*DMM</f>
        <v>11.935699999999999</v>
      </c>
      <c r="F143" s="132">
        <f t="shared" si="64"/>
        <v>9.5485600000000002</v>
      </c>
      <c r="G143" s="133">
        <f t="shared" si="65"/>
        <v>2.3871399999999992</v>
      </c>
      <c r="H143" s="134">
        <f t="shared" si="66"/>
        <v>5.0809735999999992</v>
      </c>
      <c r="I143" s="135"/>
      <c r="J143" s="136">
        <f t="shared" si="67"/>
        <v>0</v>
      </c>
      <c r="K143" s="137"/>
      <c r="L143" s="138">
        <f t="shared" si="68"/>
        <v>0</v>
      </c>
      <c r="M143" s="137"/>
      <c r="N143" s="139">
        <f t="shared" si="69"/>
        <v>4.467586400000001</v>
      </c>
      <c r="O143" s="137"/>
      <c r="P143" s="140">
        <f t="shared" si="70"/>
        <v>2.3871399999999992</v>
      </c>
      <c r="Q143" s="135"/>
      <c r="R143" s="104">
        <f t="shared" si="71"/>
        <v>5.0809735999999992</v>
      </c>
      <c r="S143" s="137"/>
      <c r="T143" s="141">
        <f t="shared" si="72"/>
        <v>6.8547264000000006</v>
      </c>
      <c r="U143" s="199">
        <f t="shared" si="73"/>
        <v>0</v>
      </c>
      <c r="V143" s="37" t="str">
        <f t="shared" si="74"/>
        <v>ok</v>
      </c>
      <c r="W143" s="37" t="str">
        <f t="shared" si="75"/>
        <v>ok</v>
      </c>
    </row>
    <row r="144" spans="1:23" x14ac:dyDescent="0.25">
      <c r="A144" s="426"/>
      <c r="B144" s="178" t="s">
        <v>23</v>
      </c>
      <c r="C144" s="129">
        <v>13</v>
      </c>
      <c r="D144" s="130">
        <f>'2.4.5.1 Missions'!D210*DMM</f>
        <v>9.6789296</v>
      </c>
      <c r="E144" s="131">
        <f>'2.4.5.1 Missions'!E210*DMM</f>
        <v>16.198449999999998</v>
      </c>
      <c r="F144" s="132">
        <f t="shared" si="64"/>
        <v>12.958759999999998</v>
      </c>
      <c r="G144" s="133">
        <f t="shared" si="65"/>
        <v>3.2396899999999986</v>
      </c>
      <c r="H144" s="134">
        <f t="shared" si="66"/>
        <v>9.6789296</v>
      </c>
      <c r="I144" s="135"/>
      <c r="J144" s="136">
        <f t="shared" si="67"/>
        <v>0</v>
      </c>
      <c r="K144" s="137"/>
      <c r="L144" s="138">
        <f t="shared" si="68"/>
        <v>0</v>
      </c>
      <c r="M144" s="137"/>
      <c r="N144" s="139">
        <f t="shared" si="69"/>
        <v>3.279830399999998</v>
      </c>
      <c r="O144" s="137"/>
      <c r="P144" s="140">
        <f t="shared" si="70"/>
        <v>3.2396899999999986</v>
      </c>
      <c r="Q144" s="135"/>
      <c r="R144" s="104">
        <f t="shared" si="71"/>
        <v>9.6789296</v>
      </c>
      <c r="S144" s="137"/>
      <c r="T144" s="141">
        <f t="shared" si="72"/>
        <v>6.5195203999999967</v>
      </c>
      <c r="U144" s="199">
        <f t="shared" si="73"/>
        <v>0</v>
      </c>
      <c r="V144" s="37" t="str">
        <f t="shared" si="74"/>
        <v>ok</v>
      </c>
      <c r="W144" s="37" t="str">
        <f t="shared" si="75"/>
        <v>ok</v>
      </c>
    </row>
    <row r="145" spans="1:23" x14ac:dyDescent="0.25">
      <c r="A145" s="426"/>
      <c r="B145" s="178" t="s">
        <v>19</v>
      </c>
      <c r="C145" s="129">
        <v>16</v>
      </c>
      <c r="D145" s="130">
        <f>'2.4.5.1 Missions'!D211*DMM</f>
        <v>8.4110084000000001</v>
      </c>
      <c r="E145" s="131">
        <f>'2.4.5.1 Missions'!E211*DMM</f>
        <v>25.576499999999996</v>
      </c>
      <c r="F145" s="132">
        <f t="shared" si="64"/>
        <v>20.461199999999998</v>
      </c>
      <c r="G145" s="133">
        <f t="shared" si="65"/>
        <v>5.1152999999999977</v>
      </c>
      <c r="H145" s="134">
        <f t="shared" si="66"/>
        <v>8.4110084000000001</v>
      </c>
      <c r="I145" s="135"/>
      <c r="J145" s="136">
        <f t="shared" si="67"/>
        <v>0</v>
      </c>
      <c r="K145" s="137"/>
      <c r="L145" s="138">
        <f t="shared" si="68"/>
        <v>0</v>
      </c>
      <c r="M145" s="137"/>
      <c r="N145" s="139">
        <f t="shared" si="69"/>
        <v>12.050191599999998</v>
      </c>
      <c r="O145" s="137"/>
      <c r="P145" s="140">
        <f t="shared" si="70"/>
        <v>5.1152999999999977</v>
      </c>
      <c r="Q145" s="135"/>
      <c r="R145" s="104">
        <f t="shared" si="71"/>
        <v>8.4110084000000001</v>
      </c>
      <c r="S145" s="137"/>
      <c r="T145" s="141">
        <f t="shared" si="72"/>
        <v>17.165491599999996</v>
      </c>
      <c r="U145" s="199">
        <f t="shared" si="73"/>
        <v>0</v>
      </c>
      <c r="V145" s="37" t="str">
        <f t="shared" si="74"/>
        <v>ok</v>
      </c>
      <c r="W145" s="37" t="str">
        <f t="shared" si="75"/>
        <v>ok</v>
      </c>
    </row>
    <row r="146" spans="1:23" x14ac:dyDescent="0.25">
      <c r="A146" s="426"/>
      <c r="B146" s="178" t="s">
        <v>20</v>
      </c>
      <c r="C146" s="129">
        <v>17</v>
      </c>
      <c r="D146" s="130">
        <f>'2.4.5.1 Missions'!D212*DMM</f>
        <v>6.6043368000000005</v>
      </c>
      <c r="E146" s="131">
        <f>'2.4.5.1 Missions'!E212*DMM</f>
        <v>19.608649999999997</v>
      </c>
      <c r="F146" s="132">
        <f t="shared" si="64"/>
        <v>15.686919999999999</v>
      </c>
      <c r="G146" s="133">
        <f t="shared" si="65"/>
        <v>3.9217299999999984</v>
      </c>
      <c r="H146" s="134">
        <f t="shared" si="66"/>
        <v>6.6043368000000005</v>
      </c>
      <c r="I146" s="135"/>
      <c r="J146" s="136">
        <f t="shared" si="67"/>
        <v>0</v>
      </c>
      <c r="K146" s="137"/>
      <c r="L146" s="138">
        <f t="shared" si="68"/>
        <v>0</v>
      </c>
      <c r="M146" s="137"/>
      <c r="N146" s="139">
        <f t="shared" si="69"/>
        <v>9.0825831999999984</v>
      </c>
      <c r="O146" s="137"/>
      <c r="P146" s="140">
        <f t="shared" si="70"/>
        <v>3.9217299999999984</v>
      </c>
      <c r="Q146" s="135"/>
      <c r="R146" s="104">
        <f t="shared" si="71"/>
        <v>6.6043368000000005</v>
      </c>
      <c r="S146" s="137"/>
      <c r="T146" s="141">
        <f t="shared" si="72"/>
        <v>13.004313199999997</v>
      </c>
      <c r="U146" s="199">
        <f t="shared" si="73"/>
        <v>0</v>
      </c>
      <c r="V146" s="37" t="str">
        <f t="shared" si="74"/>
        <v>ok</v>
      </c>
      <c r="W146" s="37" t="str">
        <f t="shared" si="75"/>
        <v>ok</v>
      </c>
    </row>
    <row r="147" spans="1:23" x14ac:dyDescent="0.25">
      <c r="A147" s="426"/>
      <c r="B147" s="178" t="s">
        <v>21</v>
      </c>
      <c r="C147" s="129">
        <v>18</v>
      </c>
      <c r="D147" s="130">
        <f>'2.4.5.1 Missions'!D213*DMM</f>
        <v>2.8888167999999999</v>
      </c>
      <c r="E147" s="131">
        <f>'2.4.5.1 Missions'!E213*DMM</f>
        <v>9.37805</v>
      </c>
      <c r="F147" s="132">
        <f t="shared" si="64"/>
        <v>7.50244</v>
      </c>
      <c r="G147" s="133">
        <f t="shared" si="65"/>
        <v>1.8756099999999996</v>
      </c>
      <c r="H147" s="134">
        <f t="shared" si="66"/>
        <v>2.8888167999999999</v>
      </c>
      <c r="I147" s="135"/>
      <c r="J147" s="136">
        <f t="shared" si="67"/>
        <v>0</v>
      </c>
      <c r="K147" s="137"/>
      <c r="L147" s="138">
        <f t="shared" si="68"/>
        <v>0</v>
      </c>
      <c r="M147" s="137"/>
      <c r="N147" s="139">
        <f t="shared" si="69"/>
        <v>4.6136232000000001</v>
      </c>
      <c r="O147" s="137"/>
      <c r="P147" s="140">
        <f t="shared" si="70"/>
        <v>1.8756099999999996</v>
      </c>
      <c r="Q147" s="135"/>
      <c r="R147" s="104">
        <f t="shared" si="71"/>
        <v>2.8888167999999999</v>
      </c>
      <c r="S147" s="137"/>
      <c r="T147" s="141">
        <f t="shared" si="72"/>
        <v>6.4892331999999993</v>
      </c>
      <c r="U147" s="199">
        <f t="shared" si="73"/>
        <v>0</v>
      </c>
      <c r="V147" s="37" t="str">
        <f t="shared" si="74"/>
        <v>ok</v>
      </c>
      <c r="W147" s="37" t="str">
        <f t="shared" si="75"/>
        <v>ok</v>
      </c>
    </row>
    <row r="148" spans="1:23" x14ac:dyDescent="0.25">
      <c r="A148" s="426"/>
      <c r="B148" s="178" t="s">
        <v>22</v>
      </c>
      <c r="C148" s="129">
        <v>19</v>
      </c>
      <c r="D148" s="130">
        <f>'2.4.5.1 Missions'!D214*DMM</f>
        <v>2.0156695999999998</v>
      </c>
      <c r="E148" s="131">
        <f>'2.4.5.1 Missions'!E214*DMM</f>
        <v>15.772174999999999</v>
      </c>
      <c r="F148" s="132">
        <f t="shared" si="64"/>
        <v>12.61774</v>
      </c>
      <c r="G148" s="133">
        <f t="shared" si="65"/>
        <v>3.154434999999999</v>
      </c>
      <c r="H148" s="134">
        <f t="shared" si="66"/>
        <v>2.0156695999999998</v>
      </c>
      <c r="I148" s="135"/>
      <c r="J148" s="136">
        <f t="shared" si="67"/>
        <v>0</v>
      </c>
      <c r="K148" s="137"/>
      <c r="L148" s="138">
        <f t="shared" si="68"/>
        <v>0</v>
      </c>
      <c r="M148" s="137"/>
      <c r="N148" s="139">
        <f t="shared" si="69"/>
        <v>10.602070399999999</v>
      </c>
      <c r="O148" s="137"/>
      <c r="P148" s="140">
        <f t="shared" si="70"/>
        <v>3.154434999999999</v>
      </c>
      <c r="Q148" s="135"/>
      <c r="R148" s="104">
        <f t="shared" si="71"/>
        <v>2.0156695999999998</v>
      </c>
      <c r="S148" s="137"/>
      <c r="T148" s="141">
        <f t="shared" si="72"/>
        <v>13.756505399999998</v>
      </c>
      <c r="U148" s="199">
        <f t="shared" si="73"/>
        <v>0</v>
      </c>
      <c r="V148" s="37" t="str">
        <f t="shared" si="74"/>
        <v>ok</v>
      </c>
      <c r="W148" s="37" t="str">
        <f t="shared" si="75"/>
        <v>ok</v>
      </c>
    </row>
    <row r="149" spans="1:23" x14ac:dyDescent="0.25">
      <c r="A149" s="426"/>
      <c r="B149" s="178" t="s">
        <v>23</v>
      </c>
      <c r="C149" s="129">
        <v>20</v>
      </c>
      <c r="D149" s="130">
        <f>'2.4.5.1 Missions'!D215*DMM</f>
        <v>4.1799600000000003</v>
      </c>
      <c r="E149" s="131">
        <f>'2.4.5.1 Missions'!E215*DMM</f>
        <v>18.7561</v>
      </c>
      <c r="F149" s="132">
        <f t="shared" si="64"/>
        <v>15.00488</v>
      </c>
      <c r="G149" s="133">
        <f t="shared" si="65"/>
        <v>3.7512199999999991</v>
      </c>
      <c r="H149" s="134">
        <f t="shared" si="66"/>
        <v>4.1799600000000003</v>
      </c>
      <c r="I149" s="135"/>
      <c r="J149" s="136">
        <f t="shared" si="67"/>
        <v>0</v>
      </c>
      <c r="K149" s="137"/>
      <c r="L149" s="138">
        <f t="shared" si="68"/>
        <v>0</v>
      </c>
      <c r="M149" s="137"/>
      <c r="N149" s="139">
        <f t="shared" si="69"/>
        <v>10.824919999999999</v>
      </c>
      <c r="O149" s="137"/>
      <c r="P149" s="140">
        <f t="shared" si="70"/>
        <v>3.7512199999999991</v>
      </c>
      <c r="Q149" s="135"/>
      <c r="R149" s="104">
        <f t="shared" si="71"/>
        <v>4.1799600000000003</v>
      </c>
      <c r="S149" s="137"/>
      <c r="T149" s="141">
        <f t="shared" si="72"/>
        <v>14.576139999999999</v>
      </c>
      <c r="U149" s="199">
        <f t="shared" si="73"/>
        <v>0</v>
      </c>
      <c r="V149" s="37" t="str">
        <f t="shared" si="74"/>
        <v>ok</v>
      </c>
      <c r="W149" s="37" t="str">
        <f t="shared" si="75"/>
        <v>ok</v>
      </c>
    </row>
    <row r="150" spans="1:23" x14ac:dyDescent="0.25">
      <c r="A150" s="426"/>
      <c r="B150" s="178" t="s">
        <v>19</v>
      </c>
      <c r="C150" s="129">
        <v>23</v>
      </c>
      <c r="D150" s="130">
        <f>'2.4.5.1 Missions'!D216*DMM</f>
        <v>16.775572799999999</v>
      </c>
      <c r="E150" s="131">
        <f>'2.4.5.1 Missions'!E216*DMM</f>
        <v>21.100612499999997</v>
      </c>
      <c r="F150" s="132">
        <f t="shared" si="64"/>
        <v>16.880489999999998</v>
      </c>
      <c r="G150" s="133">
        <f t="shared" si="65"/>
        <v>4.2201224999999987</v>
      </c>
      <c r="H150" s="134">
        <f t="shared" si="66"/>
        <v>16.775572799999999</v>
      </c>
      <c r="I150" s="135"/>
      <c r="J150" s="136">
        <f t="shared" si="67"/>
        <v>0</v>
      </c>
      <c r="K150" s="137"/>
      <c r="L150" s="138">
        <f t="shared" si="68"/>
        <v>0</v>
      </c>
      <c r="M150" s="137"/>
      <c r="N150" s="139">
        <f t="shared" si="69"/>
        <v>0.10491719999999916</v>
      </c>
      <c r="O150" s="137"/>
      <c r="P150" s="140">
        <f t="shared" si="70"/>
        <v>4.2201224999999987</v>
      </c>
      <c r="Q150" s="135"/>
      <c r="R150" s="104">
        <f t="shared" si="71"/>
        <v>16.775572799999999</v>
      </c>
      <c r="S150" s="137"/>
      <c r="T150" s="141">
        <f t="shared" si="72"/>
        <v>4.3250396999999978</v>
      </c>
      <c r="U150" s="199">
        <f t="shared" si="73"/>
        <v>0</v>
      </c>
      <c r="V150" s="37" t="str">
        <f t="shared" si="74"/>
        <v>ok</v>
      </c>
      <c r="W150" s="37" t="str">
        <f t="shared" si="75"/>
        <v>ok</v>
      </c>
    </row>
    <row r="151" spans="1:23" x14ac:dyDescent="0.25">
      <c r="A151" s="426"/>
      <c r="B151" s="178" t="s">
        <v>20</v>
      </c>
      <c r="C151" s="129">
        <v>24</v>
      </c>
      <c r="D151" s="130">
        <f>'2.4.5.1 Missions'!D217*DMM</f>
        <v>13.654535999999997</v>
      </c>
      <c r="E151" s="131">
        <f>'2.4.5.1 Missions'!E217*DMM</f>
        <v>13.367983999999998</v>
      </c>
      <c r="F151" s="132">
        <f t="shared" si="64"/>
        <v>10.6943872</v>
      </c>
      <c r="G151" s="133">
        <f t="shared" si="65"/>
        <v>2.673596799999999</v>
      </c>
      <c r="H151" s="134">
        <f t="shared" si="66"/>
        <v>13.367983999999998</v>
      </c>
      <c r="I151" s="135"/>
      <c r="J151" s="136">
        <f t="shared" si="67"/>
        <v>0.28655199999999859</v>
      </c>
      <c r="K151" s="137"/>
      <c r="L151" s="138">
        <f t="shared" si="68"/>
        <v>2.673596799999999</v>
      </c>
      <c r="M151" s="137"/>
      <c r="N151" s="139">
        <f t="shared" si="69"/>
        <v>0</v>
      </c>
      <c r="O151" s="137"/>
      <c r="P151" s="140">
        <f t="shared" si="70"/>
        <v>0</v>
      </c>
      <c r="Q151" s="135"/>
      <c r="R151" s="104">
        <f t="shared" si="71"/>
        <v>10.6943872</v>
      </c>
      <c r="S151" s="137"/>
      <c r="T151" s="141">
        <f t="shared" si="72"/>
        <v>2.673596799999999</v>
      </c>
      <c r="U151" s="199">
        <f t="shared" si="73"/>
        <v>2.9601487999999976</v>
      </c>
      <c r="V151" s="37" t="str">
        <f t="shared" si="74"/>
        <v>ok</v>
      </c>
      <c r="W151" s="37" t="str">
        <f t="shared" si="75"/>
        <v>ok</v>
      </c>
    </row>
    <row r="152" spans="1:23" x14ac:dyDescent="0.25">
      <c r="A152" s="426"/>
      <c r="B152" s="178" t="s">
        <v>21</v>
      </c>
      <c r="C152" s="129">
        <v>25</v>
      </c>
      <c r="D152" s="130">
        <f>'2.4.5.1 Missions'!D218*DMM</f>
        <v>7.8676136000000003</v>
      </c>
      <c r="E152" s="131">
        <f>'2.4.5.1 Missions'!E218*DMM</f>
        <v>6.3344464999999985</v>
      </c>
      <c r="F152" s="132">
        <f t="shared" si="64"/>
        <v>5.0675571999999995</v>
      </c>
      <c r="G152" s="133">
        <f t="shared" si="65"/>
        <v>1.2668892999999994</v>
      </c>
      <c r="H152" s="134">
        <f t="shared" si="66"/>
        <v>6.3344464999999985</v>
      </c>
      <c r="I152" s="135"/>
      <c r="J152" s="136">
        <f t="shared" si="67"/>
        <v>1.5331671000000018</v>
      </c>
      <c r="K152" s="137"/>
      <c r="L152" s="138">
        <f t="shared" si="68"/>
        <v>1.2668892999999994</v>
      </c>
      <c r="M152" s="137"/>
      <c r="N152" s="139">
        <f t="shared" si="69"/>
        <v>0</v>
      </c>
      <c r="O152" s="137"/>
      <c r="P152" s="140">
        <f t="shared" si="70"/>
        <v>0</v>
      </c>
      <c r="Q152" s="135"/>
      <c r="R152" s="104">
        <f t="shared" si="71"/>
        <v>5.0675571999999995</v>
      </c>
      <c r="S152" s="137"/>
      <c r="T152" s="141">
        <f t="shared" si="72"/>
        <v>1.2668892999999994</v>
      </c>
      <c r="U152" s="199">
        <f t="shared" si="73"/>
        <v>2.8000564000000012</v>
      </c>
      <c r="V152" s="37" t="str">
        <f t="shared" si="74"/>
        <v>ok</v>
      </c>
      <c r="W152" s="37" t="str">
        <f t="shared" si="75"/>
        <v>ok</v>
      </c>
    </row>
    <row r="153" spans="1:23" x14ac:dyDescent="0.25">
      <c r="A153" s="426"/>
      <c r="B153" s="178" t="s">
        <v>22</v>
      </c>
      <c r="C153" s="129">
        <v>26</v>
      </c>
      <c r="D153" s="130">
        <f>'2.4.5.1 Missions'!D219*DMM</f>
        <v>6.4417827999999995</v>
      </c>
      <c r="E153" s="131">
        <f>'2.4.5.1 Missions'!E219*DMM</f>
        <v>8.4402449999999991</v>
      </c>
      <c r="F153" s="132">
        <f t="shared" si="64"/>
        <v>6.7521959999999996</v>
      </c>
      <c r="G153" s="133">
        <f t="shared" si="65"/>
        <v>1.6880489999999995</v>
      </c>
      <c r="H153" s="134">
        <f t="shared" si="66"/>
        <v>6.4417827999999995</v>
      </c>
      <c r="I153" s="135"/>
      <c r="J153" s="136">
        <f t="shared" si="67"/>
        <v>0</v>
      </c>
      <c r="K153" s="137"/>
      <c r="L153" s="138">
        <f t="shared" si="68"/>
        <v>0</v>
      </c>
      <c r="M153" s="137"/>
      <c r="N153" s="139">
        <f t="shared" si="69"/>
        <v>0.31041320000000017</v>
      </c>
      <c r="O153" s="137"/>
      <c r="P153" s="140">
        <f t="shared" si="70"/>
        <v>1.6880489999999995</v>
      </c>
      <c r="Q153" s="135"/>
      <c r="R153" s="104">
        <f t="shared" si="71"/>
        <v>6.4417827999999995</v>
      </c>
      <c r="S153" s="137"/>
      <c r="T153" s="141">
        <f t="shared" si="72"/>
        <v>1.9984621999999996</v>
      </c>
      <c r="U153" s="199">
        <f t="shared" si="73"/>
        <v>0</v>
      </c>
      <c r="V153" s="37" t="str">
        <f t="shared" si="74"/>
        <v>ok</v>
      </c>
      <c r="W153" s="37" t="str">
        <f t="shared" si="75"/>
        <v>ok</v>
      </c>
    </row>
    <row r="154" spans="1:23" x14ac:dyDescent="0.25">
      <c r="A154" s="426"/>
      <c r="B154" s="178" t="s">
        <v>23</v>
      </c>
      <c r="C154" s="129">
        <v>27</v>
      </c>
      <c r="D154" s="130">
        <f>'2.4.5.1 Missions'!D220*DMM</f>
        <v>12.098661999999999</v>
      </c>
      <c r="E154" s="131">
        <f>'2.4.5.1 Missions'!E220*DMM</f>
        <v>13.367983999999998</v>
      </c>
      <c r="F154" s="132">
        <f t="shared" si="64"/>
        <v>10.6943872</v>
      </c>
      <c r="G154" s="133">
        <f t="shared" si="65"/>
        <v>2.673596799999999</v>
      </c>
      <c r="H154" s="134">
        <f t="shared" si="66"/>
        <v>12.098661999999999</v>
      </c>
      <c r="I154" s="135"/>
      <c r="J154" s="136">
        <f t="shared" si="67"/>
        <v>0</v>
      </c>
      <c r="K154" s="137"/>
      <c r="L154" s="138">
        <f t="shared" si="68"/>
        <v>1.4042747999999996</v>
      </c>
      <c r="M154" s="137"/>
      <c r="N154" s="139">
        <f t="shared" si="69"/>
        <v>0</v>
      </c>
      <c r="O154" s="137"/>
      <c r="P154" s="140">
        <f t="shared" si="70"/>
        <v>1.269321999999999</v>
      </c>
      <c r="Q154" s="135"/>
      <c r="R154" s="104">
        <f t="shared" si="71"/>
        <v>10.6943872</v>
      </c>
      <c r="S154" s="137"/>
      <c r="T154" s="141">
        <f t="shared" si="72"/>
        <v>2.6735967999999986</v>
      </c>
      <c r="U154" s="199">
        <f t="shared" si="73"/>
        <v>1.4042747999999996</v>
      </c>
      <c r="V154" s="37" t="str">
        <f t="shared" si="74"/>
        <v>ok</v>
      </c>
      <c r="W154" s="37" t="str">
        <f t="shared" si="75"/>
        <v>ok</v>
      </c>
    </row>
    <row r="155" spans="1:23" x14ac:dyDescent="0.25">
      <c r="A155" s="426"/>
      <c r="B155" s="178" t="s">
        <v>19</v>
      </c>
      <c r="C155" s="129">
        <v>30</v>
      </c>
      <c r="D155" s="130">
        <f>'2.4.5.1 Missions'!D221*DMM</f>
        <v>20.1288296</v>
      </c>
      <c r="E155" s="131">
        <f>'2.4.5.1 Missions'!E221*DMM</f>
        <v>25.576499999999996</v>
      </c>
      <c r="F155" s="132">
        <f t="shared" si="64"/>
        <v>20.461199999999998</v>
      </c>
      <c r="G155" s="133">
        <f t="shared" si="65"/>
        <v>5.1152999999999977</v>
      </c>
      <c r="H155" s="134">
        <f t="shared" si="66"/>
        <v>20.1288296</v>
      </c>
      <c r="I155" s="135"/>
      <c r="J155" s="136">
        <f t="shared" si="67"/>
        <v>0</v>
      </c>
      <c r="K155" s="137"/>
      <c r="L155" s="138">
        <f t="shared" si="68"/>
        <v>0</v>
      </c>
      <c r="M155" s="137"/>
      <c r="N155" s="139">
        <f t="shared" si="69"/>
        <v>0.33237039999999851</v>
      </c>
      <c r="O155" s="137"/>
      <c r="P155" s="140">
        <f t="shared" si="70"/>
        <v>5.1152999999999977</v>
      </c>
      <c r="Q155" s="135"/>
      <c r="R155" s="104">
        <f t="shared" si="71"/>
        <v>20.1288296</v>
      </c>
      <c r="S155" s="137"/>
      <c r="T155" s="141">
        <f t="shared" si="72"/>
        <v>5.4476703999999962</v>
      </c>
      <c r="U155" s="199">
        <f t="shared" si="73"/>
        <v>0</v>
      </c>
      <c r="V155" s="37" t="str">
        <f t="shared" si="74"/>
        <v>ok</v>
      </c>
      <c r="W155" s="37" t="str">
        <f t="shared" si="75"/>
        <v>ok</v>
      </c>
    </row>
    <row r="156" spans="1:23" ht="15.75" thickBot="1" x14ac:dyDescent="0.3">
      <c r="A156" s="427"/>
      <c r="B156" s="277" t="s">
        <v>20</v>
      </c>
      <c r="C156" s="165">
        <v>31</v>
      </c>
      <c r="D156" s="202">
        <f>'2.4.5.1 Missions'!D222*DMM</f>
        <v>16.329710399999996</v>
      </c>
      <c r="E156" s="203">
        <f>'2.4.5.1 Missions'!E222*DMM</f>
        <v>17.903549999999999</v>
      </c>
      <c r="F156" s="204">
        <f t="shared" si="64"/>
        <v>14.322839999999999</v>
      </c>
      <c r="G156" s="205">
        <f t="shared" si="65"/>
        <v>3.5807099999999989</v>
      </c>
      <c r="H156" s="206">
        <f t="shared" si="66"/>
        <v>16.329710399999996</v>
      </c>
      <c r="I156" s="207"/>
      <c r="J156" s="208">
        <f t="shared" si="67"/>
        <v>0</v>
      </c>
      <c r="K156" s="209"/>
      <c r="L156" s="210">
        <f t="shared" si="68"/>
        <v>2.0068703999999968</v>
      </c>
      <c r="M156" s="209"/>
      <c r="N156" s="211">
        <f t="shared" si="69"/>
        <v>0</v>
      </c>
      <c r="O156" s="209"/>
      <c r="P156" s="212">
        <f t="shared" si="70"/>
        <v>1.573839600000003</v>
      </c>
      <c r="Q156" s="207"/>
      <c r="R156" s="213">
        <f t="shared" si="71"/>
        <v>14.322839999999999</v>
      </c>
      <c r="S156" s="209"/>
      <c r="T156" s="214">
        <f t="shared" si="72"/>
        <v>3.5807099999999998</v>
      </c>
      <c r="U156" s="215">
        <f t="shared" si="73"/>
        <v>2.0068703999999968</v>
      </c>
      <c r="V156" s="37" t="str">
        <f t="shared" si="74"/>
        <v>ok</v>
      </c>
      <c r="W156" s="37" t="str">
        <f t="shared" si="75"/>
        <v>ok</v>
      </c>
    </row>
    <row r="157" spans="1:23" x14ac:dyDescent="0.25">
      <c r="A157" s="425" t="s">
        <v>96</v>
      </c>
      <c r="B157" s="276" t="s">
        <v>21</v>
      </c>
      <c r="C157" s="247">
        <v>1</v>
      </c>
      <c r="D157" s="184">
        <f>'2.4.5.1 Missions'!D223*DMM</f>
        <v>8.3740640000000006</v>
      </c>
      <c r="E157" s="185">
        <f>'2.4.5.1 Missions'!E223*DMM</f>
        <v>45.846449999999997</v>
      </c>
      <c r="F157" s="186">
        <f t="shared" si="64"/>
        <v>36.677160000000001</v>
      </c>
      <c r="G157" s="187">
        <f t="shared" si="65"/>
        <v>9.1692899999999966</v>
      </c>
      <c r="H157" s="188">
        <f>IF(E157&gt;D157,D157,E157)</f>
        <v>8.3740640000000006</v>
      </c>
      <c r="I157" s="189"/>
      <c r="J157" s="190">
        <f>IF(E157&gt;D157,0,D157-E157)</f>
        <v>0</v>
      </c>
      <c r="K157" s="191"/>
      <c r="L157" s="192">
        <f>IF(E157&gt;D157,IF(F157&gt;H157,0,H157-F157),G157)</f>
        <v>0</v>
      </c>
      <c r="M157" s="191"/>
      <c r="N157" s="193">
        <f>IF(E157&gt;D157,IF(F157&gt;H157,F157-H157,0),0)</f>
        <v>28.303096</v>
      </c>
      <c r="O157" s="191"/>
      <c r="P157" s="194">
        <f>IF(E157&gt;D157,IF(F157&gt;H157,G157,E157-H157),0)</f>
        <v>9.1692899999999966</v>
      </c>
      <c r="Q157" s="189"/>
      <c r="R157" s="195">
        <f>H157-L157</f>
        <v>8.3740640000000006</v>
      </c>
      <c r="S157" s="191"/>
      <c r="T157" s="196">
        <f>L157+N157+P157</f>
        <v>37.472386</v>
      </c>
      <c r="U157" s="197">
        <f>J157+L157</f>
        <v>0</v>
      </c>
      <c r="V157" s="37" t="str">
        <f>IF(R157+T157=E157,"ok","bad")</f>
        <v>ok</v>
      </c>
      <c r="W157" s="37" t="str">
        <f>IF(U157+R157=D157,"ok","bad")</f>
        <v>ok</v>
      </c>
    </row>
    <row r="158" spans="1:23" x14ac:dyDescent="0.25">
      <c r="A158" s="426"/>
      <c r="B158" s="178" t="s">
        <v>22</v>
      </c>
      <c r="C158" s="129">
        <v>2</v>
      </c>
      <c r="D158" s="130">
        <f>'2.4.5.1 Missions'!D224*DMM</f>
        <v>6.5753280000000007</v>
      </c>
      <c r="E158" s="131">
        <f>'2.4.5.1 Missions'!E224*DMM</f>
        <v>33.620730000000002</v>
      </c>
      <c r="F158" s="132">
        <f t="shared" si="64"/>
        <v>26.896584000000004</v>
      </c>
      <c r="G158" s="133">
        <f t="shared" si="65"/>
        <v>6.7241459999999993</v>
      </c>
      <c r="H158" s="134">
        <f t="shared" ref="H158:H179" si="76">IF(E158&gt;D158,D158,E158)</f>
        <v>6.5753280000000007</v>
      </c>
      <c r="I158" s="135"/>
      <c r="J158" s="136">
        <f t="shared" ref="J158:J179" si="77">IF(E158&gt;D158,0,D158-E158)</f>
        <v>0</v>
      </c>
      <c r="K158" s="137"/>
      <c r="L158" s="138">
        <f t="shared" ref="L158:L179" si="78">IF(E158&gt;D158,IF(F158&gt;H158,0,H158-F158),G158)</f>
        <v>0</v>
      </c>
      <c r="M158" s="137"/>
      <c r="N158" s="139">
        <f t="shared" ref="N158:N179" si="79">IF(E158&gt;D158,IF(F158&gt;H158,F158-H158,0),0)</f>
        <v>20.321256000000005</v>
      </c>
      <c r="O158" s="137"/>
      <c r="P158" s="140">
        <f t="shared" ref="P158:P179" si="80">IF(E158&gt;D158,IF(F158&gt;H158,G158,E158-H158),0)</f>
        <v>6.7241459999999993</v>
      </c>
      <c r="Q158" s="135"/>
      <c r="R158" s="104">
        <f t="shared" ref="R158:R179" si="81">H158-L158</f>
        <v>6.5753280000000007</v>
      </c>
      <c r="S158" s="137"/>
      <c r="T158" s="141">
        <f t="shared" ref="T158:T179" si="82">L158+N158+P158</f>
        <v>27.045402000000003</v>
      </c>
      <c r="U158" s="199">
        <f t="shared" ref="U158:U179" si="83">J158+L158</f>
        <v>0</v>
      </c>
      <c r="V158" s="37" t="str">
        <f t="shared" ref="V158:V179" si="84">IF(R158+T158=E158,"ok","bad")</f>
        <v>ok</v>
      </c>
      <c r="W158" s="37" t="str">
        <f t="shared" ref="W158:W179" si="85">IF(U158+R158=D158,"ok","bad")</f>
        <v>ok</v>
      </c>
    </row>
    <row r="159" spans="1:23" x14ac:dyDescent="0.25">
      <c r="A159" s="426"/>
      <c r="B159" s="178" t="s">
        <v>23</v>
      </c>
      <c r="C159" s="129">
        <v>3</v>
      </c>
      <c r="D159" s="130">
        <f>'2.4.5.1 Missions'!D225*DMM</f>
        <v>2.876128</v>
      </c>
      <c r="E159" s="131">
        <f>'2.4.5.1 Missions'!E225*DMM</f>
        <v>13.753935</v>
      </c>
      <c r="F159" s="132">
        <f t="shared" si="64"/>
        <v>11.003148000000001</v>
      </c>
      <c r="G159" s="133">
        <f t="shared" si="65"/>
        <v>2.7507869999999994</v>
      </c>
      <c r="H159" s="134">
        <f t="shared" si="76"/>
        <v>2.876128</v>
      </c>
      <c r="I159" s="135"/>
      <c r="J159" s="136">
        <f t="shared" si="77"/>
        <v>0</v>
      </c>
      <c r="K159" s="137"/>
      <c r="L159" s="138">
        <f t="shared" si="78"/>
        <v>0</v>
      </c>
      <c r="M159" s="137"/>
      <c r="N159" s="139">
        <f t="shared" si="79"/>
        <v>8.1270200000000017</v>
      </c>
      <c r="O159" s="137"/>
      <c r="P159" s="140">
        <f t="shared" si="80"/>
        <v>2.7507869999999994</v>
      </c>
      <c r="Q159" s="135"/>
      <c r="R159" s="104">
        <f t="shared" si="81"/>
        <v>2.876128</v>
      </c>
      <c r="S159" s="137"/>
      <c r="T159" s="141">
        <f t="shared" si="82"/>
        <v>10.877807000000001</v>
      </c>
      <c r="U159" s="199">
        <f t="shared" si="83"/>
        <v>0</v>
      </c>
      <c r="V159" s="37" t="str">
        <f t="shared" si="84"/>
        <v>ok</v>
      </c>
      <c r="W159" s="37" t="str">
        <f t="shared" si="85"/>
        <v>ok</v>
      </c>
    </row>
    <row r="160" spans="1:23" x14ac:dyDescent="0.25">
      <c r="A160" s="426"/>
      <c r="B160" s="178" t="s">
        <v>19</v>
      </c>
      <c r="C160" s="129">
        <v>6</v>
      </c>
      <c r="D160" s="130">
        <f>'2.4.5.1 Missions'!D226*DMM</f>
        <v>2.0068159999999997</v>
      </c>
      <c r="E160" s="131">
        <f>'2.4.5.1 Missions'!E226*DMM</f>
        <v>20.630902500000001</v>
      </c>
      <c r="F160" s="132">
        <f t="shared" si="64"/>
        <v>16.504722000000001</v>
      </c>
      <c r="G160" s="133">
        <f t="shared" si="65"/>
        <v>4.1261804999999994</v>
      </c>
      <c r="H160" s="134">
        <f t="shared" si="76"/>
        <v>2.0068159999999997</v>
      </c>
      <c r="I160" s="135"/>
      <c r="J160" s="136">
        <f t="shared" si="77"/>
        <v>0</v>
      </c>
      <c r="K160" s="137"/>
      <c r="L160" s="138">
        <f t="shared" si="78"/>
        <v>0</v>
      </c>
      <c r="M160" s="137"/>
      <c r="N160" s="139">
        <f t="shared" si="79"/>
        <v>14.497906</v>
      </c>
      <c r="O160" s="137"/>
      <c r="P160" s="140">
        <f t="shared" si="80"/>
        <v>4.1261804999999994</v>
      </c>
      <c r="Q160" s="135"/>
      <c r="R160" s="104">
        <f t="shared" si="81"/>
        <v>2.0068159999999997</v>
      </c>
      <c r="S160" s="137"/>
      <c r="T160" s="141">
        <f t="shared" si="82"/>
        <v>18.624086500000001</v>
      </c>
      <c r="U160" s="199">
        <f t="shared" si="83"/>
        <v>0</v>
      </c>
      <c r="V160" s="37" t="str">
        <f t="shared" si="84"/>
        <v>ok</v>
      </c>
      <c r="W160" s="37" t="str">
        <f t="shared" si="85"/>
        <v>ok</v>
      </c>
    </row>
    <row r="161" spans="1:23" x14ac:dyDescent="0.25">
      <c r="A161" s="426"/>
      <c r="B161" s="178" t="s">
        <v>20</v>
      </c>
      <c r="C161" s="129">
        <v>7</v>
      </c>
      <c r="D161" s="130">
        <f>'2.4.5.1 Missions'!D227*DMM</f>
        <v>4.1616000000000009</v>
      </c>
      <c r="E161" s="131">
        <f>'2.4.5.1 Missions'!E227*DMM</f>
        <v>33.620730000000002</v>
      </c>
      <c r="F161" s="132">
        <f t="shared" si="64"/>
        <v>26.896584000000004</v>
      </c>
      <c r="G161" s="133">
        <f t="shared" si="65"/>
        <v>6.7241459999999993</v>
      </c>
      <c r="H161" s="134">
        <f t="shared" si="76"/>
        <v>4.1616000000000009</v>
      </c>
      <c r="I161" s="135"/>
      <c r="J161" s="136">
        <f t="shared" si="77"/>
        <v>0</v>
      </c>
      <c r="K161" s="137"/>
      <c r="L161" s="138">
        <f t="shared" si="78"/>
        <v>0</v>
      </c>
      <c r="M161" s="137"/>
      <c r="N161" s="139">
        <f t="shared" si="79"/>
        <v>22.734984000000004</v>
      </c>
      <c r="O161" s="137"/>
      <c r="P161" s="140">
        <f t="shared" si="80"/>
        <v>6.7241459999999993</v>
      </c>
      <c r="Q161" s="135"/>
      <c r="R161" s="104">
        <f t="shared" si="81"/>
        <v>4.1616000000000009</v>
      </c>
      <c r="S161" s="137"/>
      <c r="T161" s="141">
        <f t="shared" si="82"/>
        <v>29.459130000000002</v>
      </c>
      <c r="U161" s="199">
        <f t="shared" si="83"/>
        <v>0</v>
      </c>
      <c r="V161" s="37" t="str">
        <f t="shared" si="84"/>
        <v>ok</v>
      </c>
      <c r="W161" s="37" t="str">
        <f t="shared" si="85"/>
        <v>ok</v>
      </c>
    </row>
    <row r="162" spans="1:23" x14ac:dyDescent="0.25">
      <c r="A162" s="426"/>
      <c r="B162" s="178" t="s">
        <v>21</v>
      </c>
      <c r="C162" s="129">
        <v>8</v>
      </c>
      <c r="D162" s="130">
        <f>'2.4.5.1 Missions'!D228*DMM</f>
        <v>13.36336</v>
      </c>
      <c r="E162" s="131">
        <f>'2.4.5.1 Missions'!E228*DMM</f>
        <v>23.510999999999999</v>
      </c>
      <c r="F162" s="132">
        <f t="shared" si="64"/>
        <v>18.808800000000002</v>
      </c>
      <c r="G162" s="133">
        <f t="shared" si="65"/>
        <v>4.7021999999999986</v>
      </c>
      <c r="H162" s="134">
        <f t="shared" si="76"/>
        <v>13.36336</v>
      </c>
      <c r="I162" s="135"/>
      <c r="J162" s="136">
        <f t="shared" si="77"/>
        <v>0</v>
      </c>
      <c r="K162" s="137"/>
      <c r="L162" s="138">
        <f t="shared" si="78"/>
        <v>0</v>
      </c>
      <c r="M162" s="137"/>
      <c r="N162" s="139">
        <f t="shared" si="79"/>
        <v>5.4454400000000014</v>
      </c>
      <c r="O162" s="137"/>
      <c r="P162" s="140">
        <f t="shared" si="80"/>
        <v>4.7021999999999986</v>
      </c>
      <c r="Q162" s="135"/>
      <c r="R162" s="104">
        <f t="shared" si="81"/>
        <v>13.36336</v>
      </c>
      <c r="S162" s="137"/>
      <c r="T162" s="141">
        <f t="shared" si="82"/>
        <v>10.147639999999999</v>
      </c>
      <c r="U162" s="199">
        <f t="shared" si="83"/>
        <v>0</v>
      </c>
      <c r="V162" s="37" t="str">
        <f t="shared" si="84"/>
        <v>ok</v>
      </c>
      <c r="W162" s="37" t="str">
        <f t="shared" si="85"/>
        <v>ok</v>
      </c>
    </row>
    <row r="163" spans="1:23" x14ac:dyDescent="0.25">
      <c r="A163" s="426"/>
      <c r="B163" s="178" t="s">
        <v>22</v>
      </c>
      <c r="C163" s="129">
        <v>9</v>
      </c>
      <c r="D163" s="130">
        <f>'2.4.5.1 Missions'!D229*DMM</f>
        <v>10.838656000000002</v>
      </c>
      <c r="E163" s="131">
        <f>'2.4.5.1 Missions'!E229*DMM</f>
        <v>24.098775</v>
      </c>
      <c r="F163" s="132">
        <f t="shared" si="64"/>
        <v>19.279020000000003</v>
      </c>
      <c r="G163" s="133">
        <f t="shared" si="65"/>
        <v>4.8197549999999989</v>
      </c>
      <c r="H163" s="134">
        <f t="shared" si="76"/>
        <v>10.838656000000002</v>
      </c>
      <c r="I163" s="135"/>
      <c r="J163" s="136">
        <f t="shared" si="77"/>
        <v>0</v>
      </c>
      <c r="K163" s="137"/>
      <c r="L163" s="138">
        <f t="shared" si="78"/>
        <v>0</v>
      </c>
      <c r="M163" s="137"/>
      <c r="N163" s="139">
        <f t="shared" si="79"/>
        <v>8.4403640000000006</v>
      </c>
      <c r="O163" s="137"/>
      <c r="P163" s="140">
        <f t="shared" si="80"/>
        <v>4.8197549999999989</v>
      </c>
      <c r="Q163" s="135"/>
      <c r="R163" s="104">
        <f t="shared" si="81"/>
        <v>10.838656000000002</v>
      </c>
      <c r="S163" s="137"/>
      <c r="T163" s="141">
        <f t="shared" si="82"/>
        <v>13.260119</v>
      </c>
      <c r="U163" s="199">
        <f t="shared" si="83"/>
        <v>0</v>
      </c>
      <c r="V163" s="37" t="str">
        <f t="shared" si="84"/>
        <v>ok</v>
      </c>
      <c r="W163" s="37" t="str">
        <f t="shared" si="85"/>
        <v>ok</v>
      </c>
    </row>
    <row r="164" spans="1:23" x14ac:dyDescent="0.25">
      <c r="A164" s="426"/>
      <c r="B164" s="178" t="s">
        <v>23</v>
      </c>
      <c r="C164" s="129">
        <v>10</v>
      </c>
      <c r="D164" s="130">
        <f>'2.4.5.1 Missions'!D230*DMM</f>
        <v>6.2655200000000004</v>
      </c>
      <c r="E164" s="131">
        <f>'2.4.5.1 Missions'!E230*DMM</f>
        <v>12.931050000000001</v>
      </c>
      <c r="F164" s="132">
        <f t="shared" si="64"/>
        <v>10.344840000000001</v>
      </c>
      <c r="G164" s="133">
        <f t="shared" si="65"/>
        <v>2.5862099999999995</v>
      </c>
      <c r="H164" s="134">
        <f t="shared" si="76"/>
        <v>6.2655200000000004</v>
      </c>
      <c r="I164" s="135"/>
      <c r="J164" s="136">
        <f t="shared" si="77"/>
        <v>0</v>
      </c>
      <c r="K164" s="137"/>
      <c r="L164" s="138">
        <f t="shared" si="78"/>
        <v>0</v>
      </c>
      <c r="M164" s="137"/>
      <c r="N164" s="139">
        <f t="shared" si="79"/>
        <v>4.0793200000000009</v>
      </c>
      <c r="O164" s="137"/>
      <c r="P164" s="140">
        <f t="shared" si="80"/>
        <v>2.5862099999999995</v>
      </c>
      <c r="Q164" s="135"/>
      <c r="R164" s="104">
        <f t="shared" si="81"/>
        <v>6.2655200000000004</v>
      </c>
      <c r="S164" s="137"/>
      <c r="T164" s="141">
        <f t="shared" si="82"/>
        <v>6.6655300000000004</v>
      </c>
      <c r="U164" s="199">
        <f t="shared" si="83"/>
        <v>0</v>
      </c>
      <c r="V164" s="37" t="str">
        <f t="shared" si="84"/>
        <v>ok</v>
      </c>
      <c r="W164" s="37" t="str">
        <f t="shared" si="85"/>
        <v>ok</v>
      </c>
    </row>
    <row r="165" spans="1:23" x14ac:dyDescent="0.25">
      <c r="A165" s="426"/>
      <c r="B165" s="178" t="s">
        <v>19</v>
      </c>
      <c r="C165" s="129">
        <v>13</v>
      </c>
      <c r="D165" s="130">
        <f>'2.4.5.1 Missions'!D231*DMM</f>
        <v>5.058656</v>
      </c>
      <c r="E165" s="131">
        <f>'2.4.5.1 Missions'!E231*DMM</f>
        <v>16.457700000000003</v>
      </c>
      <c r="F165" s="132">
        <f t="shared" si="64"/>
        <v>13.166160000000003</v>
      </c>
      <c r="G165" s="133">
        <f t="shared" si="65"/>
        <v>3.2915399999999999</v>
      </c>
      <c r="H165" s="134">
        <f t="shared" si="76"/>
        <v>5.058656</v>
      </c>
      <c r="I165" s="135"/>
      <c r="J165" s="136">
        <f t="shared" si="77"/>
        <v>0</v>
      </c>
      <c r="K165" s="137"/>
      <c r="L165" s="138">
        <f t="shared" si="78"/>
        <v>0</v>
      </c>
      <c r="M165" s="137"/>
      <c r="N165" s="139">
        <f t="shared" si="79"/>
        <v>8.1075040000000023</v>
      </c>
      <c r="O165" s="137"/>
      <c r="P165" s="140">
        <f t="shared" si="80"/>
        <v>3.2915399999999999</v>
      </c>
      <c r="Q165" s="135"/>
      <c r="R165" s="104">
        <f t="shared" si="81"/>
        <v>5.058656</v>
      </c>
      <c r="S165" s="137"/>
      <c r="T165" s="141">
        <f t="shared" si="82"/>
        <v>11.399044000000002</v>
      </c>
      <c r="U165" s="199">
        <f t="shared" si="83"/>
        <v>0</v>
      </c>
      <c r="V165" s="37" t="str">
        <f t="shared" si="84"/>
        <v>ok</v>
      </c>
      <c r="W165" s="37" t="str">
        <f t="shared" si="85"/>
        <v>ok</v>
      </c>
    </row>
    <row r="166" spans="1:23" x14ac:dyDescent="0.25">
      <c r="A166" s="426"/>
      <c r="B166" s="178" t="s">
        <v>20</v>
      </c>
      <c r="C166" s="129">
        <v>14</v>
      </c>
      <c r="D166" s="130">
        <f>'2.4.5.1 Missions'!D232*DMM</f>
        <v>9.6364160000000005</v>
      </c>
      <c r="E166" s="131">
        <f>'2.4.5.1 Missions'!E232*DMM</f>
        <v>22.335450000000002</v>
      </c>
      <c r="F166" s="132">
        <f t="shared" si="64"/>
        <v>17.868360000000003</v>
      </c>
      <c r="G166" s="133">
        <f t="shared" si="65"/>
        <v>4.4670899999999989</v>
      </c>
      <c r="H166" s="134">
        <f t="shared" si="76"/>
        <v>9.6364160000000005</v>
      </c>
      <c r="I166" s="135"/>
      <c r="J166" s="136">
        <f t="shared" si="77"/>
        <v>0</v>
      </c>
      <c r="K166" s="137"/>
      <c r="L166" s="138">
        <f t="shared" si="78"/>
        <v>0</v>
      </c>
      <c r="M166" s="137"/>
      <c r="N166" s="139">
        <f t="shared" si="79"/>
        <v>8.2319440000000021</v>
      </c>
      <c r="O166" s="137"/>
      <c r="P166" s="140">
        <f t="shared" si="80"/>
        <v>4.4670899999999989</v>
      </c>
      <c r="Q166" s="135"/>
      <c r="R166" s="104">
        <f t="shared" si="81"/>
        <v>9.6364160000000005</v>
      </c>
      <c r="S166" s="137"/>
      <c r="T166" s="141">
        <f t="shared" si="82"/>
        <v>12.699034000000001</v>
      </c>
      <c r="U166" s="199">
        <f t="shared" si="83"/>
        <v>0</v>
      </c>
      <c r="V166" s="37" t="str">
        <f t="shared" si="84"/>
        <v>ok</v>
      </c>
      <c r="W166" s="37" t="str">
        <f t="shared" si="85"/>
        <v>ok</v>
      </c>
    </row>
    <row r="167" spans="1:23" x14ac:dyDescent="0.25">
      <c r="A167" s="426"/>
      <c r="B167" s="178" t="s">
        <v>21</v>
      </c>
      <c r="C167" s="129">
        <v>15</v>
      </c>
      <c r="D167" s="130">
        <f>'2.4.5.1 Missions'!D233*DMM</f>
        <v>8.3740640000000006</v>
      </c>
      <c r="E167" s="131">
        <f>'2.4.5.1 Missions'!E233*DMM</f>
        <v>35.266500000000001</v>
      </c>
      <c r="F167" s="132">
        <f t="shared" si="64"/>
        <v>28.213200000000001</v>
      </c>
      <c r="G167" s="133">
        <f t="shared" si="65"/>
        <v>7.0532999999999983</v>
      </c>
      <c r="H167" s="134">
        <f t="shared" si="76"/>
        <v>8.3740640000000006</v>
      </c>
      <c r="I167" s="135"/>
      <c r="J167" s="136">
        <f t="shared" si="77"/>
        <v>0</v>
      </c>
      <c r="K167" s="137"/>
      <c r="L167" s="138">
        <f t="shared" si="78"/>
        <v>0</v>
      </c>
      <c r="M167" s="137"/>
      <c r="N167" s="139">
        <f t="shared" si="79"/>
        <v>19.839136</v>
      </c>
      <c r="O167" s="137"/>
      <c r="P167" s="140">
        <f t="shared" si="80"/>
        <v>7.0532999999999983</v>
      </c>
      <c r="Q167" s="135"/>
      <c r="R167" s="104">
        <f t="shared" si="81"/>
        <v>8.3740640000000006</v>
      </c>
      <c r="S167" s="137"/>
      <c r="T167" s="141">
        <f t="shared" si="82"/>
        <v>26.892435999999996</v>
      </c>
      <c r="U167" s="199">
        <f t="shared" si="83"/>
        <v>0</v>
      </c>
      <c r="V167" s="37" t="str">
        <f t="shared" si="84"/>
        <v>ok</v>
      </c>
      <c r="W167" s="37" t="str">
        <f t="shared" si="85"/>
        <v>ok</v>
      </c>
    </row>
    <row r="168" spans="1:23" x14ac:dyDescent="0.25">
      <c r="A168" s="426"/>
      <c r="B168" s="178" t="s">
        <v>22</v>
      </c>
      <c r="C168" s="129">
        <v>16</v>
      </c>
      <c r="D168" s="130">
        <f>'2.4.5.1 Missions'!D234*DMM</f>
        <v>6.5753280000000007</v>
      </c>
      <c r="E168" s="131">
        <f>'2.4.5.1 Missions'!E234*DMM</f>
        <v>27.037649999999999</v>
      </c>
      <c r="F168" s="132">
        <f t="shared" si="64"/>
        <v>21.630120000000002</v>
      </c>
      <c r="G168" s="133">
        <f t="shared" si="65"/>
        <v>5.4075299999999986</v>
      </c>
      <c r="H168" s="134">
        <f t="shared" si="76"/>
        <v>6.5753280000000007</v>
      </c>
      <c r="I168" s="135"/>
      <c r="J168" s="136">
        <f t="shared" si="77"/>
        <v>0</v>
      </c>
      <c r="K168" s="137"/>
      <c r="L168" s="138">
        <f t="shared" si="78"/>
        <v>0</v>
      </c>
      <c r="M168" s="137"/>
      <c r="N168" s="139">
        <f t="shared" si="79"/>
        <v>15.054792000000001</v>
      </c>
      <c r="O168" s="137"/>
      <c r="P168" s="140">
        <f t="shared" si="80"/>
        <v>5.4075299999999986</v>
      </c>
      <c r="Q168" s="135"/>
      <c r="R168" s="104">
        <f t="shared" si="81"/>
        <v>6.5753280000000007</v>
      </c>
      <c r="S168" s="137"/>
      <c r="T168" s="141">
        <f t="shared" si="82"/>
        <v>20.462322</v>
      </c>
      <c r="U168" s="199">
        <f t="shared" si="83"/>
        <v>0</v>
      </c>
      <c r="V168" s="37" t="str">
        <f t="shared" si="84"/>
        <v>ok</v>
      </c>
      <c r="W168" s="37" t="str">
        <f t="shared" si="85"/>
        <v>ok</v>
      </c>
    </row>
    <row r="169" spans="1:23" x14ac:dyDescent="0.25">
      <c r="A169" s="426"/>
      <c r="B169" s="178" t="s">
        <v>23</v>
      </c>
      <c r="C169" s="129">
        <v>17</v>
      </c>
      <c r="D169" s="130">
        <f>'2.4.5.1 Missions'!D235*DMM</f>
        <v>2.876128</v>
      </c>
      <c r="E169" s="131">
        <f>'2.4.5.1 Missions'!E235*DMM</f>
        <v>12.931050000000001</v>
      </c>
      <c r="F169" s="132">
        <f t="shared" si="64"/>
        <v>10.344840000000001</v>
      </c>
      <c r="G169" s="133">
        <f t="shared" si="65"/>
        <v>2.5862099999999995</v>
      </c>
      <c r="H169" s="134">
        <f t="shared" si="76"/>
        <v>2.876128</v>
      </c>
      <c r="I169" s="135"/>
      <c r="J169" s="136">
        <f t="shared" si="77"/>
        <v>0</v>
      </c>
      <c r="K169" s="137"/>
      <c r="L169" s="138">
        <f t="shared" si="78"/>
        <v>0</v>
      </c>
      <c r="M169" s="137"/>
      <c r="N169" s="139">
        <f t="shared" si="79"/>
        <v>7.4687120000000018</v>
      </c>
      <c r="O169" s="137"/>
      <c r="P169" s="140">
        <f t="shared" si="80"/>
        <v>2.5862099999999995</v>
      </c>
      <c r="Q169" s="135"/>
      <c r="R169" s="104">
        <f t="shared" si="81"/>
        <v>2.876128</v>
      </c>
      <c r="S169" s="137"/>
      <c r="T169" s="141">
        <f t="shared" si="82"/>
        <v>10.054922000000001</v>
      </c>
      <c r="U169" s="199">
        <f t="shared" si="83"/>
        <v>0</v>
      </c>
      <c r="V169" s="37" t="str">
        <f t="shared" si="84"/>
        <v>ok</v>
      </c>
      <c r="W169" s="37" t="str">
        <f t="shared" si="85"/>
        <v>ok</v>
      </c>
    </row>
    <row r="170" spans="1:23" x14ac:dyDescent="0.25">
      <c r="A170" s="426"/>
      <c r="B170" s="178" t="s">
        <v>19</v>
      </c>
      <c r="C170" s="129">
        <v>20</v>
      </c>
      <c r="D170" s="130">
        <f>'2.4.5.1 Missions'!D236*DMM</f>
        <v>2.0068159999999997</v>
      </c>
      <c r="E170" s="131">
        <f>'2.4.5.1 Missions'!E236*DMM</f>
        <v>21.747674999999997</v>
      </c>
      <c r="F170" s="132">
        <f t="shared" si="64"/>
        <v>17.398139999999998</v>
      </c>
      <c r="G170" s="133">
        <f t="shared" si="65"/>
        <v>4.3495349999999986</v>
      </c>
      <c r="H170" s="134">
        <f t="shared" si="76"/>
        <v>2.0068159999999997</v>
      </c>
      <c r="I170" s="135"/>
      <c r="J170" s="136">
        <f t="shared" si="77"/>
        <v>0</v>
      </c>
      <c r="K170" s="137"/>
      <c r="L170" s="138">
        <f t="shared" si="78"/>
        <v>0</v>
      </c>
      <c r="M170" s="137"/>
      <c r="N170" s="139">
        <f t="shared" si="79"/>
        <v>15.391323999999997</v>
      </c>
      <c r="O170" s="137"/>
      <c r="P170" s="140">
        <f t="shared" si="80"/>
        <v>4.3495349999999986</v>
      </c>
      <c r="Q170" s="135"/>
      <c r="R170" s="104">
        <f t="shared" si="81"/>
        <v>2.0068159999999997</v>
      </c>
      <c r="S170" s="137"/>
      <c r="T170" s="141">
        <f t="shared" si="82"/>
        <v>19.740858999999997</v>
      </c>
      <c r="U170" s="199">
        <f t="shared" si="83"/>
        <v>0</v>
      </c>
      <c r="V170" s="37" t="str">
        <f t="shared" si="84"/>
        <v>ok</v>
      </c>
      <c r="W170" s="37" t="str">
        <f t="shared" si="85"/>
        <v>ok</v>
      </c>
    </row>
    <row r="171" spans="1:23" x14ac:dyDescent="0.25">
      <c r="A171" s="426"/>
      <c r="B171" s="178" t="s">
        <v>20</v>
      </c>
      <c r="C171" s="129">
        <v>21</v>
      </c>
      <c r="D171" s="130">
        <f>'2.4.5.1 Missions'!D237*DMM</f>
        <v>4.1616000000000009</v>
      </c>
      <c r="E171" s="131">
        <f>'2.4.5.1 Missions'!E237*DMM</f>
        <v>25.862100000000002</v>
      </c>
      <c r="F171" s="132">
        <f t="shared" si="64"/>
        <v>20.689680000000003</v>
      </c>
      <c r="G171" s="133">
        <f t="shared" si="65"/>
        <v>5.1724199999999989</v>
      </c>
      <c r="H171" s="134">
        <f t="shared" si="76"/>
        <v>4.1616000000000009</v>
      </c>
      <c r="I171" s="135"/>
      <c r="J171" s="136">
        <f t="shared" si="77"/>
        <v>0</v>
      </c>
      <c r="K171" s="137"/>
      <c r="L171" s="138">
        <f t="shared" si="78"/>
        <v>0</v>
      </c>
      <c r="M171" s="137"/>
      <c r="N171" s="139">
        <f t="shared" si="79"/>
        <v>16.528080000000003</v>
      </c>
      <c r="O171" s="137"/>
      <c r="P171" s="140">
        <f t="shared" si="80"/>
        <v>5.1724199999999989</v>
      </c>
      <c r="Q171" s="135"/>
      <c r="R171" s="104">
        <f t="shared" si="81"/>
        <v>4.1616000000000009</v>
      </c>
      <c r="S171" s="137"/>
      <c r="T171" s="141">
        <f t="shared" si="82"/>
        <v>21.700500000000002</v>
      </c>
      <c r="U171" s="199">
        <f t="shared" si="83"/>
        <v>0</v>
      </c>
      <c r="V171" s="37" t="str">
        <f t="shared" si="84"/>
        <v>ok</v>
      </c>
      <c r="W171" s="37" t="str">
        <f t="shared" si="85"/>
        <v>ok</v>
      </c>
    </row>
    <row r="172" spans="1:23" x14ac:dyDescent="0.25">
      <c r="A172" s="426"/>
      <c r="B172" s="178" t="s">
        <v>21</v>
      </c>
      <c r="C172" s="129">
        <v>22</v>
      </c>
      <c r="D172" s="130">
        <f>'2.4.5.1 Missions'!D238*DMM</f>
        <v>16.701888</v>
      </c>
      <c r="E172" s="131">
        <f>'2.4.5.1 Missions'!E238*DMM</f>
        <v>29.094862499999998</v>
      </c>
      <c r="F172" s="132">
        <f t="shared" si="64"/>
        <v>23.27589</v>
      </c>
      <c r="G172" s="133">
        <f t="shared" si="65"/>
        <v>5.8189724999999983</v>
      </c>
      <c r="H172" s="134">
        <f t="shared" si="76"/>
        <v>16.701888</v>
      </c>
      <c r="I172" s="135"/>
      <c r="J172" s="136">
        <f t="shared" si="77"/>
        <v>0</v>
      </c>
      <c r="K172" s="137"/>
      <c r="L172" s="138">
        <f t="shared" si="78"/>
        <v>0</v>
      </c>
      <c r="M172" s="137"/>
      <c r="N172" s="139">
        <f t="shared" si="79"/>
        <v>6.5740020000000001</v>
      </c>
      <c r="O172" s="137"/>
      <c r="P172" s="140">
        <f t="shared" si="80"/>
        <v>5.8189724999999983</v>
      </c>
      <c r="Q172" s="135"/>
      <c r="R172" s="104">
        <f t="shared" si="81"/>
        <v>16.701888</v>
      </c>
      <c r="S172" s="137"/>
      <c r="T172" s="141">
        <f t="shared" si="82"/>
        <v>12.392974499999998</v>
      </c>
      <c r="U172" s="199">
        <f t="shared" si="83"/>
        <v>0</v>
      </c>
      <c r="V172" s="37" t="str">
        <f t="shared" si="84"/>
        <v>ok</v>
      </c>
      <c r="W172" s="37" t="str">
        <f t="shared" si="85"/>
        <v>ok</v>
      </c>
    </row>
    <row r="173" spans="1:23" x14ac:dyDescent="0.25">
      <c r="A173" s="426"/>
      <c r="B173" s="178" t="s">
        <v>22</v>
      </c>
      <c r="C173" s="129">
        <v>23</v>
      </c>
      <c r="D173" s="130">
        <f>'2.4.5.1 Missions'!D239*DMM</f>
        <v>13.59456</v>
      </c>
      <c r="E173" s="131">
        <f>'2.4.5.1 Missions'!E239*DMM</f>
        <v>18.432624000000001</v>
      </c>
      <c r="F173" s="132">
        <f t="shared" si="64"/>
        <v>14.746099200000002</v>
      </c>
      <c r="G173" s="133">
        <f t="shared" si="65"/>
        <v>3.6865247999999995</v>
      </c>
      <c r="H173" s="134">
        <f t="shared" si="76"/>
        <v>13.59456</v>
      </c>
      <c r="I173" s="135"/>
      <c r="J173" s="136">
        <f t="shared" si="77"/>
        <v>0</v>
      </c>
      <c r="K173" s="137"/>
      <c r="L173" s="138">
        <f t="shared" si="78"/>
        <v>0</v>
      </c>
      <c r="M173" s="137"/>
      <c r="N173" s="139">
        <f t="shared" si="79"/>
        <v>1.151539200000002</v>
      </c>
      <c r="O173" s="137"/>
      <c r="P173" s="140">
        <f t="shared" si="80"/>
        <v>3.6865247999999995</v>
      </c>
      <c r="Q173" s="135"/>
      <c r="R173" s="104">
        <f t="shared" si="81"/>
        <v>13.59456</v>
      </c>
      <c r="S173" s="137"/>
      <c r="T173" s="141">
        <f t="shared" si="82"/>
        <v>4.838064000000001</v>
      </c>
      <c r="U173" s="199">
        <f t="shared" si="83"/>
        <v>0</v>
      </c>
      <c r="V173" s="37" t="str">
        <f t="shared" si="84"/>
        <v>ok</v>
      </c>
      <c r="W173" s="37" t="str">
        <f t="shared" si="85"/>
        <v>ok</v>
      </c>
    </row>
    <row r="174" spans="1:23" x14ac:dyDescent="0.25">
      <c r="A174" s="426"/>
      <c r="B174" s="178" t="s">
        <v>23</v>
      </c>
      <c r="C174" s="129">
        <v>24</v>
      </c>
      <c r="D174" s="130">
        <f>'2.4.5.1 Missions'!D240*DMM</f>
        <v>7.8330560000000018</v>
      </c>
      <c r="E174" s="131">
        <f>'2.4.5.1 Missions'!E240*DMM</f>
        <v>8.7343364999999995</v>
      </c>
      <c r="F174" s="132">
        <f t="shared" si="64"/>
        <v>6.9874691999999996</v>
      </c>
      <c r="G174" s="133">
        <f t="shared" si="65"/>
        <v>1.7468672999999995</v>
      </c>
      <c r="H174" s="134">
        <f t="shared" si="76"/>
        <v>7.8330560000000018</v>
      </c>
      <c r="I174" s="135"/>
      <c r="J174" s="136">
        <f t="shared" si="77"/>
        <v>0</v>
      </c>
      <c r="K174" s="137"/>
      <c r="L174" s="138">
        <f t="shared" si="78"/>
        <v>0.84558680000000219</v>
      </c>
      <c r="M174" s="137"/>
      <c r="N174" s="139">
        <f t="shared" si="79"/>
        <v>0</v>
      </c>
      <c r="O174" s="137"/>
      <c r="P174" s="140">
        <f t="shared" si="80"/>
        <v>0.90128049999999771</v>
      </c>
      <c r="Q174" s="135"/>
      <c r="R174" s="104">
        <f t="shared" si="81"/>
        <v>6.9874691999999996</v>
      </c>
      <c r="S174" s="137"/>
      <c r="T174" s="141">
        <f t="shared" si="82"/>
        <v>1.7468672999999999</v>
      </c>
      <c r="U174" s="199">
        <f t="shared" si="83"/>
        <v>0.84558680000000219</v>
      </c>
      <c r="V174" s="37" t="str">
        <f t="shared" si="84"/>
        <v>ok</v>
      </c>
      <c r="W174" s="37" t="str">
        <f t="shared" si="85"/>
        <v>ok</v>
      </c>
    </row>
    <row r="175" spans="1:23" x14ac:dyDescent="0.25">
      <c r="A175" s="426"/>
      <c r="B175" s="178" t="s">
        <v>19</v>
      </c>
      <c r="C175" s="129">
        <v>27</v>
      </c>
      <c r="D175" s="130">
        <f>'2.4.5.1 Missions'!D241*DMM</f>
        <v>6.4134880000000001</v>
      </c>
      <c r="E175" s="131">
        <f>'2.4.5.1 Missions'!E241*DMM</f>
        <v>11.637945</v>
      </c>
      <c r="F175" s="132">
        <f t="shared" si="64"/>
        <v>9.3103560000000005</v>
      </c>
      <c r="G175" s="133">
        <f t="shared" si="65"/>
        <v>2.3275889999999997</v>
      </c>
      <c r="H175" s="134">
        <f t="shared" si="76"/>
        <v>6.4134880000000001</v>
      </c>
      <c r="I175" s="135"/>
      <c r="J175" s="136">
        <f t="shared" si="77"/>
        <v>0</v>
      </c>
      <c r="K175" s="137"/>
      <c r="L175" s="138">
        <f t="shared" si="78"/>
        <v>0</v>
      </c>
      <c r="M175" s="137"/>
      <c r="N175" s="139">
        <f t="shared" si="79"/>
        <v>2.8968680000000004</v>
      </c>
      <c r="O175" s="137"/>
      <c r="P175" s="140">
        <f t="shared" si="80"/>
        <v>2.3275889999999997</v>
      </c>
      <c r="Q175" s="135"/>
      <c r="R175" s="104">
        <f t="shared" si="81"/>
        <v>6.4134880000000001</v>
      </c>
      <c r="S175" s="137"/>
      <c r="T175" s="141">
        <f t="shared" si="82"/>
        <v>5.2244570000000001</v>
      </c>
      <c r="U175" s="199">
        <f t="shared" si="83"/>
        <v>0</v>
      </c>
      <c r="V175" s="37" t="str">
        <f t="shared" si="84"/>
        <v>ok</v>
      </c>
      <c r="W175" s="37" t="str">
        <f t="shared" si="85"/>
        <v>ok</v>
      </c>
    </row>
    <row r="176" spans="1:23" x14ac:dyDescent="0.25">
      <c r="A176" s="426"/>
      <c r="B176" s="178" t="s">
        <v>20</v>
      </c>
      <c r="C176" s="129">
        <v>28</v>
      </c>
      <c r="D176" s="130">
        <f>'2.4.5.1 Missions'!D242*DMM</f>
        <v>12.04552</v>
      </c>
      <c r="E176" s="131">
        <f>'2.4.5.1 Missions'!E242*DMM</f>
        <v>18.432624000000001</v>
      </c>
      <c r="F176" s="132">
        <f t="shared" si="64"/>
        <v>14.746099200000002</v>
      </c>
      <c r="G176" s="133">
        <f t="shared" si="65"/>
        <v>3.6865247999999995</v>
      </c>
      <c r="H176" s="134">
        <f t="shared" si="76"/>
        <v>12.04552</v>
      </c>
      <c r="I176" s="135"/>
      <c r="J176" s="136">
        <f t="shared" si="77"/>
        <v>0</v>
      </c>
      <c r="K176" s="137"/>
      <c r="L176" s="138">
        <f t="shared" si="78"/>
        <v>0</v>
      </c>
      <c r="M176" s="137"/>
      <c r="N176" s="139">
        <f t="shared" si="79"/>
        <v>2.7005792000000017</v>
      </c>
      <c r="O176" s="137"/>
      <c r="P176" s="140">
        <f t="shared" si="80"/>
        <v>3.6865247999999995</v>
      </c>
      <c r="Q176" s="135"/>
      <c r="R176" s="104">
        <f t="shared" si="81"/>
        <v>12.04552</v>
      </c>
      <c r="S176" s="137"/>
      <c r="T176" s="141">
        <f t="shared" si="82"/>
        <v>6.3871040000000008</v>
      </c>
      <c r="U176" s="199">
        <f t="shared" si="83"/>
        <v>0</v>
      </c>
      <c r="V176" s="37" t="str">
        <f t="shared" si="84"/>
        <v>ok</v>
      </c>
      <c r="W176" s="37" t="str">
        <f t="shared" si="85"/>
        <v>ok</v>
      </c>
    </row>
    <row r="177" spans="1:23" x14ac:dyDescent="0.25">
      <c r="A177" s="426"/>
      <c r="B177" s="178" t="s">
        <v>21</v>
      </c>
      <c r="C177" s="129">
        <v>29</v>
      </c>
      <c r="D177" s="130">
        <f>'2.4.5.1 Missions'!D243*DMM</f>
        <v>20.040416000000004</v>
      </c>
      <c r="E177" s="131">
        <f>'2.4.5.1 Missions'!E243*DMM</f>
        <v>35.266500000000001</v>
      </c>
      <c r="F177" s="132">
        <f t="shared" si="64"/>
        <v>28.213200000000001</v>
      </c>
      <c r="G177" s="133">
        <f t="shared" si="65"/>
        <v>7.0532999999999983</v>
      </c>
      <c r="H177" s="134">
        <f t="shared" si="76"/>
        <v>20.040416000000004</v>
      </c>
      <c r="I177" s="135"/>
      <c r="J177" s="136">
        <f t="shared" si="77"/>
        <v>0</v>
      </c>
      <c r="K177" s="137"/>
      <c r="L177" s="138">
        <f t="shared" si="78"/>
        <v>0</v>
      </c>
      <c r="M177" s="137"/>
      <c r="N177" s="139">
        <f t="shared" si="79"/>
        <v>8.1727839999999965</v>
      </c>
      <c r="O177" s="137"/>
      <c r="P177" s="140">
        <f t="shared" si="80"/>
        <v>7.0532999999999983</v>
      </c>
      <c r="Q177" s="135"/>
      <c r="R177" s="104">
        <f t="shared" si="81"/>
        <v>20.040416000000004</v>
      </c>
      <c r="S177" s="137"/>
      <c r="T177" s="141">
        <f t="shared" si="82"/>
        <v>15.226083999999995</v>
      </c>
      <c r="U177" s="199">
        <f t="shared" si="83"/>
        <v>0</v>
      </c>
      <c r="V177" s="37" t="str">
        <f t="shared" si="84"/>
        <v>ok</v>
      </c>
      <c r="W177" s="37" t="str">
        <f t="shared" si="85"/>
        <v>ok</v>
      </c>
    </row>
    <row r="178" spans="1:23" x14ac:dyDescent="0.25">
      <c r="A178" s="426"/>
      <c r="B178" s="178" t="s">
        <v>22</v>
      </c>
      <c r="C178" s="129">
        <v>30</v>
      </c>
      <c r="D178" s="130">
        <f>'2.4.5.1 Missions'!D244*DMM</f>
        <v>16.257984</v>
      </c>
      <c r="E178" s="131">
        <f>'2.4.5.1 Missions'!E244*DMM</f>
        <v>24.68655</v>
      </c>
      <c r="F178" s="132">
        <f t="shared" si="64"/>
        <v>19.74924</v>
      </c>
      <c r="G178" s="133">
        <f t="shared" si="65"/>
        <v>4.9373099999999992</v>
      </c>
      <c r="H178" s="134">
        <f t="shared" si="76"/>
        <v>16.257984</v>
      </c>
      <c r="I178" s="135"/>
      <c r="J178" s="136">
        <f t="shared" si="77"/>
        <v>0</v>
      </c>
      <c r="K178" s="137"/>
      <c r="L178" s="138">
        <f t="shared" si="78"/>
        <v>0</v>
      </c>
      <c r="M178" s="137"/>
      <c r="N178" s="139">
        <f t="shared" si="79"/>
        <v>3.4912559999999999</v>
      </c>
      <c r="O178" s="137"/>
      <c r="P178" s="140">
        <f t="shared" si="80"/>
        <v>4.9373099999999992</v>
      </c>
      <c r="Q178" s="135"/>
      <c r="R178" s="104">
        <f t="shared" si="81"/>
        <v>16.257984</v>
      </c>
      <c r="S178" s="137"/>
      <c r="T178" s="141">
        <f t="shared" si="82"/>
        <v>8.428566</v>
      </c>
      <c r="U178" s="199">
        <f t="shared" si="83"/>
        <v>0</v>
      </c>
      <c r="V178" s="37" t="str">
        <f t="shared" si="84"/>
        <v>ok</v>
      </c>
      <c r="W178" s="37" t="str">
        <f t="shared" si="85"/>
        <v>ok</v>
      </c>
    </row>
    <row r="179" spans="1:23" ht="15.75" thickBot="1" x14ac:dyDescent="0.3">
      <c r="A179" s="427"/>
      <c r="B179" s="277" t="s">
        <v>23</v>
      </c>
      <c r="C179" s="165">
        <v>31</v>
      </c>
      <c r="D179" s="202">
        <f>'2.4.5.1 Missions'!D245*DMM</f>
        <v>9.4005919999999996</v>
      </c>
      <c r="E179" s="203">
        <f>'2.4.5.1 Missions'!E245*DMM</f>
        <v>11.7555</v>
      </c>
      <c r="F179" s="204">
        <f t="shared" si="64"/>
        <v>9.4044000000000008</v>
      </c>
      <c r="G179" s="205">
        <f t="shared" si="65"/>
        <v>2.3510999999999993</v>
      </c>
      <c r="H179" s="206">
        <f t="shared" si="76"/>
        <v>9.4005919999999996</v>
      </c>
      <c r="I179" s="207"/>
      <c r="J179" s="208">
        <f t="shared" si="77"/>
        <v>0</v>
      </c>
      <c r="K179" s="209"/>
      <c r="L179" s="210">
        <f t="shared" si="78"/>
        <v>0</v>
      </c>
      <c r="M179" s="209"/>
      <c r="N179" s="211">
        <f t="shared" si="79"/>
        <v>3.8080000000011438E-3</v>
      </c>
      <c r="O179" s="209"/>
      <c r="P179" s="212">
        <f t="shared" si="80"/>
        <v>2.3510999999999993</v>
      </c>
      <c r="Q179" s="207"/>
      <c r="R179" s="213">
        <f t="shared" si="81"/>
        <v>9.4005919999999996</v>
      </c>
      <c r="S179" s="209"/>
      <c r="T179" s="214">
        <f t="shared" si="82"/>
        <v>2.3549080000000004</v>
      </c>
      <c r="U179" s="215">
        <f t="shared" si="83"/>
        <v>0</v>
      </c>
      <c r="V179" s="37" t="str">
        <f t="shared" si="84"/>
        <v>ok</v>
      </c>
      <c r="W179" s="37" t="str">
        <f t="shared" si="85"/>
        <v>ok</v>
      </c>
    </row>
    <row r="180" spans="1:23" x14ac:dyDescent="0.25">
      <c r="A180" s="425" t="s">
        <v>97</v>
      </c>
      <c r="B180" s="276" t="s">
        <v>19</v>
      </c>
      <c r="C180" s="247">
        <v>3</v>
      </c>
      <c r="D180" s="184">
        <f>'2.4.5.1 Missions'!D246*DMM</f>
        <v>19.010972500000001</v>
      </c>
      <c r="E180" s="185">
        <f>'2.4.5.1 Missions'!E246*DMM</f>
        <v>42.730349999999994</v>
      </c>
      <c r="F180" s="186">
        <f t="shared" si="64"/>
        <v>34.184279999999994</v>
      </c>
      <c r="G180" s="187">
        <f t="shared" si="65"/>
        <v>8.5460699999999967</v>
      </c>
      <c r="H180" s="188">
        <f>IF(E180&gt;D180,D180,E180)</f>
        <v>19.010972500000001</v>
      </c>
      <c r="I180" s="189"/>
      <c r="J180" s="190">
        <f>IF(E180&gt;D180,0,D180-E180)</f>
        <v>0</v>
      </c>
      <c r="K180" s="191"/>
      <c r="L180" s="192">
        <f>IF(E180&gt;D180,IF(F180&gt;H180,0,H180-F180),G180)</f>
        <v>0</v>
      </c>
      <c r="M180" s="191"/>
      <c r="N180" s="193">
        <f>IF(E180&gt;D180,IF(F180&gt;H180,F180-H180,0),0)</f>
        <v>15.173307499999993</v>
      </c>
      <c r="O180" s="191"/>
      <c r="P180" s="194">
        <f>IF(E180&gt;D180,IF(F180&gt;H180,G180,E180-H180),0)</f>
        <v>8.5460699999999967</v>
      </c>
      <c r="Q180" s="189"/>
      <c r="R180" s="195">
        <f>H180-L180</f>
        <v>19.010972500000001</v>
      </c>
      <c r="S180" s="191"/>
      <c r="T180" s="196">
        <f>L180+N180+P180</f>
        <v>23.71937749999999</v>
      </c>
      <c r="U180" s="197">
        <f>J180+L180</f>
        <v>0</v>
      </c>
      <c r="V180" s="37" t="str">
        <f>IF(R180+T180=E180,"ok","bad")</f>
        <v>ok</v>
      </c>
      <c r="W180" s="37" t="str">
        <f>IF(U180+R180=D180,"ok","bad")</f>
        <v>ok</v>
      </c>
    </row>
    <row r="181" spans="1:23" x14ac:dyDescent="0.25">
      <c r="A181" s="426"/>
      <c r="B181" s="178" t="s">
        <v>20</v>
      </c>
      <c r="C181" s="129">
        <v>4</v>
      </c>
      <c r="D181" s="130">
        <f>'2.4.5.1 Missions'!D247*DMM</f>
        <v>14.927445000000001</v>
      </c>
      <c r="E181" s="131">
        <f>'2.4.5.1 Missions'!E247*DMM</f>
        <v>31.33559</v>
      </c>
      <c r="F181" s="132">
        <f t="shared" si="64"/>
        <v>25.068472</v>
      </c>
      <c r="G181" s="133">
        <f t="shared" si="65"/>
        <v>6.2671179999999982</v>
      </c>
      <c r="H181" s="134">
        <f t="shared" ref="H181:H199" si="86">IF(E181&gt;D181,D181,E181)</f>
        <v>14.927445000000001</v>
      </c>
      <c r="I181" s="135"/>
      <c r="J181" s="136">
        <f t="shared" ref="J181:J199" si="87">IF(E181&gt;D181,0,D181-E181)</f>
        <v>0</v>
      </c>
      <c r="K181" s="137"/>
      <c r="L181" s="138">
        <f t="shared" ref="L181:L199" si="88">IF(E181&gt;D181,IF(F181&gt;H181,0,H181-F181),G181)</f>
        <v>0</v>
      </c>
      <c r="M181" s="137"/>
      <c r="N181" s="139">
        <f t="shared" ref="N181:N199" si="89">IF(E181&gt;D181,IF(F181&gt;H181,F181-H181,0),0)</f>
        <v>10.141026999999999</v>
      </c>
      <c r="O181" s="137"/>
      <c r="P181" s="140">
        <f t="shared" ref="P181:P199" si="90">IF(E181&gt;D181,IF(F181&gt;H181,G181,E181-H181),0)</f>
        <v>6.2671179999999982</v>
      </c>
      <c r="Q181" s="135"/>
      <c r="R181" s="104">
        <f t="shared" ref="R181:R199" si="91">H181-L181</f>
        <v>14.927445000000001</v>
      </c>
      <c r="S181" s="137"/>
      <c r="T181" s="141">
        <f t="shared" ref="T181:T199" si="92">L181+N181+P181</f>
        <v>16.408144999999998</v>
      </c>
      <c r="U181" s="199">
        <f t="shared" ref="U181:U199" si="93">J181+L181</f>
        <v>0</v>
      </c>
      <c r="V181" s="37" t="str">
        <f t="shared" ref="V181:V199" si="94">IF(R181+T181=E181,"ok","bad")</f>
        <v>ok</v>
      </c>
      <c r="W181" s="37" t="str">
        <f t="shared" ref="W181:W199" si="95">IF(U181+R181=D181,"ok","bad")</f>
        <v>ok</v>
      </c>
    </row>
    <row r="182" spans="1:23" x14ac:dyDescent="0.25">
      <c r="A182" s="426"/>
      <c r="B182" s="178" t="s">
        <v>21</v>
      </c>
      <c r="C182" s="129">
        <v>5</v>
      </c>
      <c r="D182" s="130">
        <f>'2.4.5.1 Missions'!D248*DMM</f>
        <v>6.5294449999999999</v>
      </c>
      <c r="E182" s="131">
        <f>'2.4.5.1 Missions'!E248*DMM</f>
        <v>12.819104999999999</v>
      </c>
      <c r="F182" s="132">
        <f t="shared" si="64"/>
        <v>10.255284</v>
      </c>
      <c r="G182" s="133">
        <f t="shared" si="65"/>
        <v>2.563820999999999</v>
      </c>
      <c r="H182" s="134">
        <f t="shared" si="86"/>
        <v>6.5294449999999999</v>
      </c>
      <c r="I182" s="135"/>
      <c r="J182" s="136">
        <f t="shared" si="87"/>
        <v>0</v>
      </c>
      <c r="K182" s="137"/>
      <c r="L182" s="138">
        <f t="shared" si="88"/>
        <v>0</v>
      </c>
      <c r="M182" s="137"/>
      <c r="N182" s="139">
        <f t="shared" si="89"/>
        <v>3.7258389999999997</v>
      </c>
      <c r="O182" s="137"/>
      <c r="P182" s="140">
        <f t="shared" si="90"/>
        <v>2.563820999999999</v>
      </c>
      <c r="Q182" s="135"/>
      <c r="R182" s="104">
        <f t="shared" si="91"/>
        <v>6.5294449999999999</v>
      </c>
      <c r="S182" s="137"/>
      <c r="T182" s="141">
        <f t="shared" si="92"/>
        <v>6.2896599999999987</v>
      </c>
      <c r="U182" s="199">
        <f t="shared" si="93"/>
        <v>0</v>
      </c>
      <c r="V182" s="37" t="str">
        <f t="shared" si="94"/>
        <v>ok</v>
      </c>
      <c r="W182" s="37" t="str">
        <f t="shared" si="95"/>
        <v>ok</v>
      </c>
    </row>
    <row r="183" spans="1:23" x14ac:dyDescent="0.25">
      <c r="A183" s="426"/>
      <c r="B183" s="178" t="s">
        <v>22</v>
      </c>
      <c r="C183" s="129">
        <v>6</v>
      </c>
      <c r="D183" s="130">
        <f>'2.4.5.1 Missions'!D249*DMM</f>
        <v>4.5559150000000006</v>
      </c>
      <c r="E183" s="131">
        <f>'2.4.5.1 Missions'!E249*DMM</f>
        <v>19.228657499999997</v>
      </c>
      <c r="F183" s="132">
        <f t="shared" si="64"/>
        <v>15.382925999999998</v>
      </c>
      <c r="G183" s="133">
        <f t="shared" si="65"/>
        <v>3.8457314999999985</v>
      </c>
      <c r="H183" s="134">
        <f t="shared" si="86"/>
        <v>4.5559150000000006</v>
      </c>
      <c r="I183" s="135"/>
      <c r="J183" s="136">
        <f t="shared" si="87"/>
        <v>0</v>
      </c>
      <c r="K183" s="137"/>
      <c r="L183" s="138">
        <f t="shared" si="88"/>
        <v>0</v>
      </c>
      <c r="M183" s="137"/>
      <c r="N183" s="139">
        <f t="shared" si="89"/>
        <v>10.827010999999997</v>
      </c>
      <c r="O183" s="137"/>
      <c r="P183" s="140">
        <f t="shared" si="90"/>
        <v>3.8457314999999985</v>
      </c>
      <c r="Q183" s="135"/>
      <c r="R183" s="104">
        <f t="shared" si="91"/>
        <v>4.5559150000000006</v>
      </c>
      <c r="S183" s="137"/>
      <c r="T183" s="141">
        <f t="shared" si="92"/>
        <v>14.672742499999995</v>
      </c>
      <c r="U183" s="199">
        <f t="shared" si="93"/>
        <v>0</v>
      </c>
      <c r="V183" s="37" t="str">
        <f t="shared" si="94"/>
        <v>ok</v>
      </c>
      <c r="W183" s="37" t="str">
        <f t="shared" si="95"/>
        <v>ok</v>
      </c>
    </row>
    <row r="184" spans="1:23" x14ac:dyDescent="0.25">
      <c r="A184" s="426"/>
      <c r="B184" s="178" t="s">
        <v>23</v>
      </c>
      <c r="C184" s="129">
        <v>7</v>
      </c>
      <c r="D184" s="130">
        <f>'2.4.5.1 Missions'!D250*DMM</f>
        <v>9.4477499999999992</v>
      </c>
      <c r="E184" s="131">
        <f>'2.4.5.1 Missions'!E250*DMM</f>
        <v>31.33559</v>
      </c>
      <c r="F184" s="132">
        <f t="shared" si="64"/>
        <v>25.068472</v>
      </c>
      <c r="G184" s="133">
        <f t="shared" si="65"/>
        <v>6.2671179999999982</v>
      </c>
      <c r="H184" s="134">
        <f t="shared" si="86"/>
        <v>9.4477499999999992</v>
      </c>
      <c r="I184" s="135"/>
      <c r="J184" s="136">
        <f t="shared" si="87"/>
        <v>0</v>
      </c>
      <c r="K184" s="137"/>
      <c r="L184" s="138">
        <f t="shared" si="88"/>
        <v>0</v>
      </c>
      <c r="M184" s="137"/>
      <c r="N184" s="139">
        <f t="shared" si="89"/>
        <v>15.620722000000001</v>
      </c>
      <c r="O184" s="137"/>
      <c r="P184" s="140">
        <f t="shared" si="90"/>
        <v>6.2671179999999982</v>
      </c>
      <c r="Q184" s="135"/>
      <c r="R184" s="104">
        <f t="shared" si="91"/>
        <v>9.4477499999999992</v>
      </c>
      <c r="S184" s="137"/>
      <c r="T184" s="141">
        <f t="shared" si="92"/>
        <v>21.887839999999997</v>
      </c>
      <c r="U184" s="199">
        <f t="shared" si="93"/>
        <v>0</v>
      </c>
      <c r="V184" s="37" t="str">
        <f t="shared" si="94"/>
        <v>ok</v>
      </c>
      <c r="W184" s="37" t="str">
        <f t="shared" si="95"/>
        <v>ok</v>
      </c>
    </row>
    <row r="185" spans="1:23" x14ac:dyDescent="0.25">
      <c r="A185" s="426"/>
      <c r="B185" s="178" t="s">
        <v>19</v>
      </c>
      <c r="C185" s="129">
        <v>10</v>
      </c>
      <c r="D185" s="130">
        <f>'2.4.5.1 Missions'!D251*DMM</f>
        <v>30.337774999999997</v>
      </c>
      <c r="E185" s="131">
        <f>'2.4.5.1 Missions'!E251*DMM</f>
        <v>21.912999999999997</v>
      </c>
      <c r="F185" s="132">
        <f t="shared" si="64"/>
        <v>17.530399999999997</v>
      </c>
      <c r="G185" s="133">
        <f t="shared" si="65"/>
        <v>4.3825999999999983</v>
      </c>
      <c r="H185" s="134">
        <f t="shared" si="86"/>
        <v>21.912999999999997</v>
      </c>
      <c r="I185" s="135"/>
      <c r="J185" s="136">
        <f t="shared" si="87"/>
        <v>8.4247750000000003</v>
      </c>
      <c r="K185" s="137"/>
      <c r="L185" s="138">
        <f t="shared" si="88"/>
        <v>4.3825999999999983</v>
      </c>
      <c r="M185" s="137"/>
      <c r="N185" s="139">
        <f t="shared" si="89"/>
        <v>0</v>
      </c>
      <c r="O185" s="137"/>
      <c r="P185" s="140">
        <f t="shared" si="90"/>
        <v>0</v>
      </c>
      <c r="Q185" s="135"/>
      <c r="R185" s="104">
        <f t="shared" si="91"/>
        <v>17.5304</v>
      </c>
      <c r="S185" s="137"/>
      <c r="T185" s="141">
        <f t="shared" si="92"/>
        <v>4.3825999999999983</v>
      </c>
      <c r="U185" s="199">
        <f t="shared" si="93"/>
        <v>12.807374999999999</v>
      </c>
      <c r="V185" s="37" t="str">
        <f t="shared" si="94"/>
        <v>ok</v>
      </c>
      <c r="W185" s="37" t="str">
        <f t="shared" si="95"/>
        <v>ok</v>
      </c>
    </row>
    <row r="186" spans="1:23" x14ac:dyDescent="0.25">
      <c r="A186" s="426"/>
      <c r="B186" s="178" t="s">
        <v>20</v>
      </c>
      <c r="C186" s="129">
        <v>11</v>
      </c>
      <c r="D186" s="130">
        <f>'2.4.5.1 Missions'!D252*DMM</f>
        <v>24.606140000000003</v>
      </c>
      <c r="E186" s="131">
        <f>'2.4.5.1 Missions'!E252*DMM</f>
        <v>22.460824999999996</v>
      </c>
      <c r="F186" s="132">
        <f t="shared" si="64"/>
        <v>17.968659999999996</v>
      </c>
      <c r="G186" s="133">
        <f t="shared" si="65"/>
        <v>4.4921649999999982</v>
      </c>
      <c r="H186" s="134">
        <f t="shared" si="86"/>
        <v>22.460824999999996</v>
      </c>
      <c r="I186" s="135"/>
      <c r="J186" s="136">
        <f t="shared" si="87"/>
        <v>2.1453150000000072</v>
      </c>
      <c r="K186" s="137"/>
      <c r="L186" s="138">
        <f t="shared" si="88"/>
        <v>4.4921649999999982</v>
      </c>
      <c r="M186" s="137"/>
      <c r="N186" s="139">
        <f t="shared" si="89"/>
        <v>0</v>
      </c>
      <c r="O186" s="137"/>
      <c r="P186" s="140">
        <f t="shared" si="90"/>
        <v>0</v>
      </c>
      <c r="Q186" s="135"/>
      <c r="R186" s="104">
        <f t="shared" si="91"/>
        <v>17.96866</v>
      </c>
      <c r="S186" s="137"/>
      <c r="T186" s="141">
        <f t="shared" si="92"/>
        <v>4.4921649999999982</v>
      </c>
      <c r="U186" s="199">
        <f t="shared" si="93"/>
        <v>6.6374800000000054</v>
      </c>
      <c r="V186" s="37" t="str">
        <f t="shared" si="94"/>
        <v>ok</v>
      </c>
      <c r="W186" s="37" t="str">
        <f t="shared" si="95"/>
        <v>ok</v>
      </c>
    </row>
    <row r="187" spans="1:23" x14ac:dyDescent="0.25">
      <c r="A187" s="426"/>
      <c r="B187" s="178" t="s">
        <v>21</v>
      </c>
      <c r="C187" s="129">
        <v>12</v>
      </c>
      <c r="D187" s="130">
        <f>'2.4.5.1 Missions'!D253*DMM</f>
        <v>14.224112500000002</v>
      </c>
      <c r="E187" s="131">
        <f>'2.4.5.1 Missions'!E253*DMM</f>
        <v>12.052149999999999</v>
      </c>
      <c r="F187" s="132">
        <f t="shared" si="64"/>
        <v>9.6417199999999994</v>
      </c>
      <c r="G187" s="133">
        <f t="shared" si="65"/>
        <v>2.4104299999999994</v>
      </c>
      <c r="H187" s="134">
        <f t="shared" si="86"/>
        <v>12.052149999999999</v>
      </c>
      <c r="I187" s="135"/>
      <c r="J187" s="136">
        <f t="shared" si="87"/>
        <v>2.1719625000000029</v>
      </c>
      <c r="K187" s="137"/>
      <c r="L187" s="138">
        <f t="shared" si="88"/>
        <v>2.4104299999999994</v>
      </c>
      <c r="M187" s="137"/>
      <c r="N187" s="139">
        <f t="shared" si="89"/>
        <v>0</v>
      </c>
      <c r="O187" s="137"/>
      <c r="P187" s="140">
        <f t="shared" si="90"/>
        <v>0</v>
      </c>
      <c r="Q187" s="135"/>
      <c r="R187" s="104">
        <f t="shared" si="91"/>
        <v>9.6417199999999994</v>
      </c>
      <c r="S187" s="137"/>
      <c r="T187" s="141">
        <f t="shared" si="92"/>
        <v>2.4104299999999994</v>
      </c>
      <c r="U187" s="199">
        <f t="shared" si="93"/>
        <v>4.5823925000000028</v>
      </c>
      <c r="V187" s="37" t="str">
        <f t="shared" si="94"/>
        <v>ok</v>
      </c>
      <c r="W187" s="37" t="str">
        <f t="shared" si="95"/>
        <v>ok</v>
      </c>
    </row>
    <row r="188" spans="1:23" x14ac:dyDescent="0.25">
      <c r="A188" s="426"/>
      <c r="B188" s="178" t="s">
        <v>22</v>
      </c>
      <c r="C188" s="129">
        <v>13</v>
      </c>
      <c r="D188" s="130">
        <f>'2.4.5.1 Missions'!D254*DMM</f>
        <v>11.484265000000001</v>
      </c>
      <c r="E188" s="131">
        <f>'2.4.5.1 Missions'!E254*DMM</f>
        <v>15.339099999999998</v>
      </c>
      <c r="F188" s="132">
        <f t="shared" si="64"/>
        <v>12.271279999999999</v>
      </c>
      <c r="G188" s="133">
        <f t="shared" si="65"/>
        <v>3.0678199999999989</v>
      </c>
      <c r="H188" s="134">
        <f t="shared" si="86"/>
        <v>11.484265000000001</v>
      </c>
      <c r="I188" s="135"/>
      <c r="J188" s="136">
        <f t="shared" si="87"/>
        <v>0</v>
      </c>
      <c r="K188" s="137"/>
      <c r="L188" s="138">
        <f t="shared" si="88"/>
        <v>0</v>
      </c>
      <c r="M188" s="137"/>
      <c r="N188" s="139">
        <f t="shared" si="89"/>
        <v>0.78701499999999847</v>
      </c>
      <c r="O188" s="137"/>
      <c r="P188" s="140">
        <f t="shared" si="90"/>
        <v>3.0678199999999989</v>
      </c>
      <c r="Q188" s="135"/>
      <c r="R188" s="104">
        <f t="shared" si="91"/>
        <v>11.484265000000001</v>
      </c>
      <c r="S188" s="137"/>
      <c r="T188" s="141">
        <f t="shared" si="92"/>
        <v>3.8548349999999973</v>
      </c>
      <c r="U188" s="199">
        <f t="shared" si="93"/>
        <v>0</v>
      </c>
      <c r="V188" s="37" t="str">
        <f t="shared" si="94"/>
        <v>ok</v>
      </c>
      <c r="W188" s="37" t="str">
        <f t="shared" si="95"/>
        <v>ok</v>
      </c>
    </row>
    <row r="189" spans="1:23" x14ac:dyDescent="0.25">
      <c r="A189" s="426"/>
      <c r="B189" s="178" t="s">
        <v>23</v>
      </c>
      <c r="C189" s="129">
        <v>14</v>
      </c>
      <c r="D189" s="130">
        <f>'2.4.5.1 Missions'!D255*DMM</f>
        <v>21.87679</v>
      </c>
      <c r="E189" s="131">
        <f>'2.4.5.1 Missions'!E255*DMM</f>
        <v>20.817349999999998</v>
      </c>
      <c r="F189" s="132">
        <f t="shared" si="64"/>
        <v>16.653879999999997</v>
      </c>
      <c r="G189" s="133">
        <f t="shared" si="65"/>
        <v>4.1634699999999984</v>
      </c>
      <c r="H189" s="134">
        <f t="shared" si="86"/>
        <v>20.817349999999998</v>
      </c>
      <c r="I189" s="135"/>
      <c r="J189" s="136">
        <f t="shared" si="87"/>
        <v>1.0594400000000022</v>
      </c>
      <c r="K189" s="137"/>
      <c r="L189" s="138">
        <f t="shared" si="88"/>
        <v>4.1634699999999984</v>
      </c>
      <c r="M189" s="137"/>
      <c r="N189" s="139">
        <f t="shared" si="89"/>
        <v>0</v>
      </c>
      <c r="O189" s="137"/>
      <c r="P189" s="140">
        <f t="shared" si="90"/>
        <v>0</v>
      </c>
      <c r="Q189" s="135"/>
      <c r="R189" s="104">
        <f t="shared" si="91"/>
        <v>16.653880000000001</v>
      </c>
      <c r="S189" s="137"/>
      <c r="T189" s="141">
        <f t="shared" si="92"/>
        <v>4.1634699999999984</v>
      </c>
      <c r="U189" s="199">
        <f t="shared" si="93"/>
        <v>5.2229100000000006</v>
      </c>
      <c r="V189" s="37" t="str">
        <f t="shared" si="94"/>
        <v>ok</v>
      </c>
      <c r="W189" s="37" t="str">
        <f t="shared" si="95"/>
        <v>ok</v>
      </c>
    </row>
    <row r="190" spans="1:23" x14ac:dyDescent="0.25">
      <c r="A190" s="426"/>
      <c r="B190" s="178" t="s">
        <v>19</v>
      </c>
      <c r="C190" s="129">
        <v>17</v>
      </c>
      <c r="D190" s="130">
        <f>'2.4.5.1 Missions'!D256*DMM</f>
        <v>19.010972500000001</v>
      </c>
      <c r="E190" s="131">
        <f>'2.4.5.1 Missions'!E256*DMM</f>
        <v>32.869499999999995</v>
      </c>
      <c r="F190" s="132">
        <f t="shared" si="64"/>
        <v>26.295599999999997</v>
      </c>
      <c r="G190" s="133">
        <f t="shared" si="65"/>
        <v>6.5738999999999974</v>
      </c>
      <c r="H190" s="134">
        <f t="shared" si="86"/>
        <v>19.010972500000001</v>
      </c>
      <c r="I190" s="135"/>
      <c r="J190" s="136">
        <f t="shared" si="87"/>
        <v>0</v>
      </c>
      <c r="K190" s="137"/>
      <c r="L190" s="138">
        <f t="shared" si="88"/>
        <v>0</v>
      </c>
      <c r="M190" s="137"/>
      <c r="N190" s="139">
        <f t="shared" si="89"/>
        <v>7.2846274999999956</v>
      </c>
      <c r="O190" s="137"/>
      <c r="P190" s="140">
        <f t="shared" si="90"/>
        <v>6.5738999999999974</v>
      </c>
      <c r="Q190" s="135"/>
      <c r="R190" s="104">
        <f t="shared" si="91"/>
        <v>19.010972500000001</v>
      </c>
      <c r="S190" s="137"/>
      <c r="T190" s="141">
        <f t="shared" si="92"/>
        <v>13.858527499999994</v>
      </c>
      <c r="U190" s="199">
        <f t="shared" si="93"/>
        <v>0</v>
      </c>
      <c r="V190" s="37" t="str">
        <f t="shared" si="94"/>
        <v>ok</v>
      </c>
      <c r="W190" s="37" t="str">
        <f t="shared" si="95"/>
        <v>ok</v>
      </c>
    </row>
    <row r="191" spans="1:23" x14ac:dyDescent="0.25">
      <c r="A191" s="426"/>
      <c r="B191" s="178" t="s">
        <v>20</v>
      </c>
      <c r="C191" s="129">
        <v>18</v>
      </c>
      <c r="D191" s="130">
        <f>'2.4.5.1 Missions'!D257*DMM</f>
        <v>14.927445000000001</v>
      </c>
      <c r="E191" s="131">
        <f>'2.4.5.1 Missions'!E257*DMM</f>
        <v>25.199949999999998</v>
      </c>
      <c r="F191" s="132">
        <f t="shared" si="64"/>
        <v>20.159959999999998</v>
      </c>
      <c r="G191" s="133">
        <f t="shared" si="65"/>
        <v>5.0399899999999986</v>
      </c>
      <c r="H191" s="134">
        <f t="shared" si="86"/>
        <v>14.927445000000001</v>
      </c>
      <c r="I191" s="135"/>
      <c r="J191" s="136">
        <f t="shared" si="87"/>
        <v>0</v>
      </c>
      <c r="K191" s="137"/>
      <c r="L191" s="138">
        <f t="shared" si="88"/>
        <v>0</v>
      </c>
      <c r="M191" s="137"/>
      <c r="N191" s="139">
        <f t="shared" si="89"/>
        <v>5.2325149999999976</v>
      </c>
      <c r="O191" s="137"/>
      <c r="P191" s="140">
        <f t="shared" si="90"/>
        <v>5.0399899999999986</v>
      </c>
      <c r="Q191" s="135"/>
      <c r="R191" s="104">
        <f t="shared" si="91"/>
        <v>14.927445000000001</v>
      </c>
      <c r="S191" s="137"/>
      <c r="T191" s="141">
        <f t="shared" si="92"/>
        <v>10.272504999999995</v>
      </c>
      <c r="U191" s="199">
        <f t="shared" si="93"/>
        <v>0</v>
      </c>
      <c r="V191" s="37" t="str">
        <f t="shared" si="94"/>
        <v>ok</v>
      </c>
      <c r="W191" s="37" t="str">
        <f t="shared" si="95"/>
        <v>ok</v>
      </c>
    </row>
    <row r="192" spans="1:23" x14ac:dyDescent="0.25">
      <c r="A192" s="426"/>
      <c r="B192" s="178" t="s">
        <v>21</v>
      </c>
      <c r="C192" s="129">
        <v>19</v>
      </c>
      <c r="D192" s="130">
        <f>'2.4.5.1 Missions'!D258*DMM</f>
        <v>6.5294449999999999</v>
      </c>
      <c r="E192" s="131">
        <f>'2.4.5.1 Missions'!E258*DMM</f>
        <v>12.052149999999999</v>
      </c>
      <c r="F192" s="132">
        <f t="shared" si="64"/>
        <v>9.6417199999999994</v>
      </c>
      <c r="G192" s="133">
        <f t="shared" si="65"/>
        <v>2.4104299999999994</v>
      </c>
      <c r="H192" s="134">
        <f t="shared" si="86"/>
        <v>6.5294449999999999</v>
      </c>
      <c r="I192" s="135"/>
      <c r="J192" s="136">
        <f t="shared" si="87"/>
        <v>0</v>
      </c>
      <c r="K192" s="137"/>
      <c r="L192" s="138">
        <f t="shared" si="88"/>
        <v>0</v>
      </c>
      <c r="M192" s="137"/>
      <c r="N192" s="139">
        <f t="shared" si="89"/>
        <v>3.1122749999999995</v>
      </c>
      <c r="O192" s="137"/>
      <c r="P192" s="140">
        <f t="shared" si="90"/>
        <v>2.4104299999999994</v>
      </c>
      <c r="Q192" s="135"/>
      <c r="R192" s="104">
        <f t="shared" si="91"/>
        <v>6.5294449999999999</v>
      </c>
      <c r="S192" s="137"/>
      <c r="T192" s="141">
        <f t="shared" si="92"/>
        <v>5.5227049999999984</v>
      </c>
      <c r="U192" s="199">
        <f t="shared" si="93"/>
        <v>0</v>
      </c>
      <c r="V192" s="37" t="str">
        <f t="shared" si="94"/>
        <v>ok</v>
      </c>
      <c r="W192" s="37" t="str">
        <f t="shared" si="95"/>
        <v>ok</v>
      </c>
    </row>
    <row r="193" spans="1:23" x14ac:dyDescent="0.25">
      <c r="A193" s="426"/>
      <c r="B193" s="178" t="s">
        <v>22</v>
      </c>
      <c r="C193" s="129">
        <v>20</v>
      </c>
      <c r="D193" s="130">
        <f>'2.4.5.1 Missions'!D259*DMM</f>
        <v>4.5559150000000006</v>
      </c>
      <c r="E193" s="131">
        <f>'2.4.5.1 Missions'!E259*DMM</f>
        <v>20.269524999999998</v>
      </c>
      <c r="F193" s="132">
        <f t="shared" si="64"/>
        <v>16.215619999999998</v>
      </c>
      <c r="G193" s="133">
        <f t="shared" si="65"/>
        <v>4.0539049999999985</v>
      </c>
      <c r="H193" s="134">
        <f t="shared" si="86"/>
        <v>4.5559150000000006</v>
      </c>
      <c r="I193" s="135"/>
      <c r="J193" s="136">
        <f t="shared" si="87"/>
        <v>0</v>
      </c>
      <c r="K193" s="137"/>
      <c r="L193" s="138">
        <f t="shared" si="88"/>
        <v>0</v>
      </c>
      <c r="M193" s="137"/>
      <c r="N193" s="139">
        <f t="shared" si="89"/>
        <v>11.659704999999997</v>
      </c>
      <c r="O193" s="137"/>
      <c r="P193" s="140">
        <f t="shared" si="90"/>
        <v>4.0539049999999985</v>
      </c>
      <c r="Q193" s="135"/>
      <c r="R193" s="104">
        <f t="shared" si="91"/>
        <v>4.5559150000000006</v>
      </c>
      <c r="S193" s="137"/>
      <c r="T193" s="141">
        <f t="shared" si="92"/>
        <v>15.713609999999996</v>
      </c>
      <c r="U193" s="199">
        <f t="shared" si="93"/>
        <v>0</v>
      </c>
      <c r="V193" s="37" t="str">
        <f t="shared" si="94"/>
        <v>ok</v>
      </c>
      <c r="W193" s="37" t="str">
        <f t="shared" si="95"/>
        <v>ok</v>
      </c>
    </row>
    <row r="194" spans="1:23" x14ac:dyDescent="0.25">
      <c r="A194" s="426"/>
      <c r="B194" s="178" t="s">
        <v>23</v>
      </c>
      <c r="C194" s="129">
        <v>21</v>
      </c>
      <c r="D194" s="130">
        <f>'2.4.5.1 Missions'!D260*DMM</f>
        <v>9.4477499999999992</v>
      </c>
      <c r="E194" s="131">
        <f>'2.4.5.1 Missions'!E260*DMM</f>
        <v>24.104299999999999</v>
      </c>
      <c r="F194" s="132">
        <f t="shared" si="64"/>
        <v>19.283439999999999</v>
      </c>
      <c r="G194" s="133">
        <f t="shared" si="65"/>
        <v>4.8208599999999988</v>
      </c>
      <c r="H194" s="134">
        <f t="shared" si="86"/>
        <v>9.4477499999999992</v>
      </c>
      <c r="I194" s="135"/>
      <c r="J194" s="136">
        <f t="shared" si="87"/>
        <v>0</v>
      </c>
      <c r="K194" s="137"/>
      <c r="L194" s="138">
        <f t="shared" si="88"/>
        <v>0</v>
      </c>
      <c r="M194" s="137"/>
      <c r="N194" s="139">
        <f t="shared" si="89"/>
        <v>9.8356899999999996</v>
      </c>
      <c r="O194" s="137"/>
      <c r="P194" s="140">
        <f t="shared" si="90"/>
        <v>4.8208599999999988</v>
      </c>
      <c r="Q194" s="135"/>
      <c r="R194" s="104">
        <f t="shared" si="91"/>
        <v>9.4477499999999992</v>
      </c>
      <c r="S194" s="137"/>
      <c r="T194" s="141">
        <f t="shared" si="92"/>
        <v>14.656549999999999</v>
      </c>
      <c r="U194" s="199">
        <f t="shared" si="93"/>
        <v>0</v>
      </c>
      <c r="V194" s="37" t="str">
        <f t="shared" si="94"/>
        <v>ok</v>
      </c>
      <c r="W194" s="37" t="str">
        <f t="shared" si="95"/>
        <v>ok</v>
      </c>
    </row>
    <row r="195" spans="1:23" x14ac:dyDescent="0.25">
      <c r="A195" s="426"/>
      <c r="B195" s="178" t="s">
        <v>19</v>
      </c>
      <c r="C195" s="129">
        <v>24</v>
      </c>
      <c r="D195" s="130">
        <f>'2.4.5.1 Missions'!D261*DMM</f>
        <v>37.916969999999999</v>
      </c>
      <c r="E195" s="131">
        <f>'2.4.5.1 Missions'!E261*DMM</f>
        <v>27.117337499999998</v>
      </c>
      <c r="F195" s="132">
        <f t="shared" si="64"/>
        <v>21.69387</v>
      </c>
      <c r="G195" s="133">
        <f t="shared" si="65"/>
        <v>5.4234674999999983</v>
      </c>
      <c r="H195" s="134">
        <f t="shared" si="86"/>
        <v>27.117337499999998</v>
      </c>
      <c r="I195" s="135"/>
      <c r="J195" s="136">
        <f t="shared" si="87"/>
        <v>10.799632500000001</v>
      </c>
      <c r="K195" s="137"/>
      <c r="L195" s="138">
        <f t="shared" si="88"/>
        <v>5.4234674999999983</v>
      </c>
      <c r="M195" s="137"/>
      <c r="N195" s="139">
        <f t="shared" si="89"/>
        <v>0</v>
      </c>
      <c r="O195" s="137"/>
      <c r="P195" s="140">
        <f t="shared" si="90"/>
        <v>0</v>
      </c>
      <c r="Q195" s="135"/>
      <c r="R195" s="104">
        <f t="shared" si="91"/>
        <v>21.69387</v>
      </c>
      <c r="S195" s="137"/>
      <c r="T195" s="141">
        <f t="shared" si="92"/>
        <v>5.4234674999999983</v>
      </c>
      <c r="U195" s="199">
        <f t="shared" si="93"/>
        <v>16.223099999999999</v>
      </c>
      <c r="V195" s="37" t="str">
        <f t="shared" si="94"/>
        <v>ok</v>
      </c>
      <c r="W195" s="37" t="str">
        <f t="shared" si="95"/>
        <v>ok</v>
      </c>
    </row>
    <row r="196" spans="1:23" x14ac:dyDescent="0.25">
      <c r="A196" s="426"/>
      <c r="B196" s="178" t="s">
        <v>20</v>
      </c>
      <c r="C196" s="129">
        <v>25</v>
      </c>
      <c r="D196" s="130">
        <f>'2.4.5.1 Missions'!D262*DMM</f>
        <v>30.862650000000002</v>
      </c>
      <c r="E196" s="131">
        <f>'2.4.5.1 Missions'!E262*DMM</f>
        <v>17.179791999999999</v>
      </c>
      <c r="F196" s="132">
        <f t="shared" si="64"/>
        <v>13.7438336</v>
      </c>
      <c r="G196" s="133">
        <f t="shared" si="65"/>
        <v>3.4359583999999992</v>
      </c>
      <c r="H196" s="134">
        <f t="shared" si="86"/>
        <v>17.179791999999999</v>
      </c>
      <c r="I196" s="135"/>
      <c r="J196" s="136">
        <f t="shared" si="87"/>
        <v>13.682858000000003</v>
      </c>
      <c r="K196" s="137"/>
      <c r="L196" s="138">
        <f t="shared" si="88"/>
        <v>3.4359583999999992</v>
      </c>
      <c r="M196" s="137"/>
      <c r="N196" s="139">
        <f t="shared" si="89"/>
        <v>0</v>
      </c>
      <c r="O196" s="137"/>
      <c r="P196" s="140">
        <f t="shared" si="90"/>
        <v>0</v>
      </c>
      <c r="Q196" s="135"/>
      <c r="R196" s="104">
        <f t="shared" si="91"/>
        <v>13.7438336</v>
      </c>
      <c r="S196" s="137"/>
      <c r="T196" s="141">
        <f t="shared" si="92"/>
        <v>3.4359583999999992</v>
      </c>
      <c r="U196" s="199">
        <f t="shared" si="93"/>
        <v>17.118816400000004</v>
      </c>
      <c r="V196" s="37" t="str">
        <f t="shared" si="94"/>
        <v>ok</v>
      </c>
      <c r="W196" s="37" t="str">
        <f t="shared" si="95"/>
        <v>ok</v>
      </c>
    </row>
    <row r="197" spans="1:23" x14ac:dyDescent="0.25">
      <c r="A197" s="426"/>
      <c r="B197" s="178" t="s">
        <v>21</v>
      </c>
      <c r="C197" s="129">
        <v>26</v>
      </c>
      <c r="D197" s="130">
        <f>'2.4.5.1 Missions'!D263*DMM</f>
        <v>17.782765000000001</v>
      </c>
      <c r="E197" s="131">
        <f>'2.4.5.1 Missions'!E263*DMM</f>
        <v>8.1406794999999992</v>
      </c>
      <c r="F197" s="132">
        <f t="shared" ref="F197:F260" si="96">E197*TC</f>
        <v>6.5125435999999999</v>
      </c>
      <c r="G197" s="133">
        <f t="shared" ref="G197:G260" si="97">E197*(1-TC)</f>
        <v>1.6281358999999995</v>
      </c>
      <c r="H197" s="134">
        <f t="shared" si="86"/>
        <v>8.1406794999999992</v>
      </c>
      <c r="I197" s="135"/>
      <c r="J197" s="136">
        <f t="shared" si="87"/>
        <v>9.6420855000000021</v>
      </c>
      <c r="K197" s="137"/>
      <c r="L197" s="138">
        <f t="shared" si="88"/>
        <v>1.6281358999999995</v>
      </c>
      <c r="M197" s="137"/>
      <c r="N197" s="139">
        <f t="shared" si="89"/>
        <v>0</v>
      </c>
      <c r="O197" s="137"/>
      <c r="P197" s="140">
        <f t="shared" si="90"/>
        <v>0</v>
      </c>
      <c r="Q197" s="135"/>
      <c r="R197" s="104">
        <f t="shared" si="91"/>
        <v>6.5125435999999999</v>
      </c>
      <c r="S197" s="137"/>
      <c r="T197" s="141">
        <f t="shared" si="92"/>
        <v>1.6281358999999995</v>
      </c>
      <c r="U197" s="199">
        <f t="shared" si="93"/>
        <v>11.270221400000002</v>
      </c>
      <c r="V197" s="37" t="str">
        <f t="shared" si="94"/>
        <v>ok</v>
      </c>
      <c r="W197" s="37" t="str">
        <f t="shared" si="95"/>
        <v>ok</v>
      </c>
    </row>
    <row r="198" spans="1:23" x14ac:dyDescent="0.25">
      <c r="A198" s="426"/>
      <c r="B198" s="178" t="s">
        <v>22</v>
      </c>
      <c r="C198" s="129">
        <v>27</v>
      </c>
      <c r="D198" s="130">
        <f>'2.4.5.1 Missions'!D264*DMM</f>
        <v>14.560032500000002</v>
      </c>
      <c r="E198" s="131">
        <f>'2.4.5.1 Missions'!E264*DMM</f>
        <v>10.846934999999998</v>
      </c>
      <c r="F198" s="132">
        <f t="shared" si="96"/>
        <v>8.6775479999999998</v>
      </c>
      <c r="G198" s="133">
        <f t="shared" si="97"/>
        <v>2.1693869999999991</v>
      </c>
      <c r="H198" s="134">
        <f t="shared" si="86"/>
        <v>10.846934999999998</v>
      </c>
      <c r="I198" s="135"/>
      <c r="J198" s="136">
        <f t="shared" si="87"/>
        <v>3.7130975000000035</v>
      </c>
      <c r="K198" s="137"/>
      <c r="L198" s="138">
        <f t="shared" si="88"/>
        <v>2.1693869999999991</v>
      </c>
      <c r="M198" s="137"/>
      <c r="N198" s="139">
        <f t="shared" si="89"/>
        <v>0</v>
      </c>
      <c r="O198" s="137"/>
      <c r="P198" s="140">
        <f t="shared" si="90"/>
        <v>0</v>
      </c>
      <c r="Q198" s="135"/>
      <c r="R198" s="104">
        <f t="shared" si="91"/>
        <v>8.6775479999999998</v>
      </c>
      <c r="S198" s="137"/>
      <c r="T198" s="141">
        <f t="shared" si="92"/>
        <v>2.1693869999999991</v>
      </c>
      <c r="U198" s="199">
        <f t="shared" si="93"/>
        <v>5.8824845000000021</v>
      </c>
      <c r="V198" s="37" t="str">
        <f t="shared" si="94"/>
        <v>ok</v>
      </c>
      <c r="W198" s="37" t="str">
        <f t="shared" si="95"/>
        <v>ok</v>
      </c>
    </row>
    <row r="199" spans="1:23" ht="15.75" thickBot="1" x14ac:dyDescent="0.3">
      <c r="A199" s="427"/>
      <c r="B199" s="277" t="s">
        <v>23</v>
      </c>
      <c r="C199" s="165">
        <v>28</v>
      </c>
      <c r="D199" s="202">
        <f>'2.4.5.1 Missions'!D265*DMM</f>
        <v>27.345987500000003</v>
      </c>
      <c r="E199" s="203">
        <f>'2.4.5.1 Missions'!E265*DMM</f>
        <v>17.179791999999999</v>
      </c>
      <c r="F199" s="204">
        <f t="shared" si="96"/>
        <v>13.7438336</v>
      </c>
      <c r="G199" s="205">
        <f t="shared" si="97"/>
        <v>3.4359583999999992</v>
      </c>
      <c r="H199" s="206">
        <f t="shared" si="86"/>
        <v>17.179791999999999</v>
      </c>
      <c r="I199" s="207"/>
      <c r="J199" s="208">
        <f t="shared" si="87"/>
        <v>10.166195500000004</v>
      </c>
      <c r="K199" s="209"/>
      <c r="L199" s="210">
        <f t="shared" si="88"/>
        <v>3.4359583999999992</v>
      </c>
      <c r="M199" s="209"/>
      <c r="N199" s="211">
        <f t="shared" si="89"/>
        <v>0</v>
      </c>
      <c r="O199" s="209"/>
      <c r="P199" s="212">
        <f t="shared" si="90"/>
        <v>0</v>
      </c>
      <c r="Q199" s="207"/>
      <c r="R199" s="213">
        <f t="shared" si="91"/>
        <v>13.7438336</v>
      </c>
      <c r="S199" s="209"/>
      <c r="T199" s="214">
        <f t="shared" si="92"/>
        <v>3.4359583999999992</v>
      </c>
      <c r="U199" s="215">
        <f t="shared" si="93"/>
        <v>13.602153900000003</v>
      </c>
      <c r="V199" s="37" t="str">
        <f t="shared" si="94"/>
        <v>ok</v>
      </c>
      <c r="W199" s="37" t="str">
        <f t="shared" si="95"/>
        <v>ok</v>
      </c>
    </row>
    <row r="200" spans="1:23" x14ac:dyDescent="0.25">
      <c r="A200" s="425" t="s">
        <v>98</v>
      </c>
      <c r="B200" s="276" t="s">
        <v>19</v>
      </c>
      <c r="C200" s="247">
        <v>1</v>
      </c>
      <c r="D200" s="184">
        <f>'2.4.5.1 Missions'!D266*DMM</f>
        <v>14.2389875</v>
      </c>
      <c r="E200" s="185">
        <f>'2.4.5.1 Missions'!E266*DMM</f>
        <v>33.978749999999991</v>
      </c>
      <c r="F200" s="186">
        <f t="shared" si="96"/>
        <v>27.182999999999993</v>
      </c>
      <c r="G200" s="187">
        <f t="shared" si="97"/>
        <v>6.7957499999999964</v>
      </c>
      <c r="H200" s="188">
        <f>IF(E200&gt;D200,D200,E200)</f>
        <v>14.2389875</v>
      </c>
      <c r="I200" s="189"/>
      <c r="J200" s="190">
        <f>IF(E200&gt;D200,0,D200-E200)</f>
        <v>0</v>
      </c>
      <c r="K200" s="191"/>
      <c r="L200" s="192">
        <f>IF(E200&gt;D200,IF(F200&gt;H200,0,H200-F200),G200)</f>
        <v>0</v>
      </c>
      <c r="M200" s="191"/>
      <c r="N200" s="193">
        <f>IF(E200&gt;D200,IF(F200&gt;H200,F200-H200,0),0)</f>
        <v>12.944012499999992</v>
      </c>
      <c r="O200" s="191"/>
      <c r="P200" s="194">
        <f>IF(E200&gt;D200,IF(F200&gt;H200,G200,E200-H200),0)</f>
        <v>6.7957499999999964</v>
      </c>
      <c r="Q200" s="189"/>
      <c r="R200" s="195">
        <f>H200-L200</f>
        <v>14.2389875</v>
      </c>
      <c r="S200" s="191"/>
      <c r="T200" s="196">
        <f>L200+N200+P200</f>
        <v>19.739762499999991</v>
      </c>
      <c r="U200" s="197">
        <f>J200+L200</f>
        <v>0</v>
      </c>
      <c r="V200" s="37" t="str">
        <f>IF(R200+T200=E200,"ok","bad")</f>
        <v>ok</v>
      </c>
      <c r="W200" s="37" t="str">
        <f>IF(U200+R200=D200,"ok","bad")</f>
        <v>ok</v>
      </c>
    </row>
    <row r="201" spans="1:23" x14ac:dyDescent="0.25">
      <c r="A201" s="426"/>
      <c r="B201" s="178" t="s">
        <v>20</v>
      </c>
      <c r="C201" s="129">
        <v>2</v>
      </c>
      <c r="D201" s="130">
        <f>'2.4.5.1 Missions'!D267*DMM</f>
        <v>11.180475000000001</v>
      </c>
      <c r="E201" s="131">
        <f>'2.4.5.1 Missions'!E267*DMM</f>
        <v>24.917749999999998</v>
      </c>
      <c r="F201" s="132">
        <f t="shared" si="96"/>
        <v>19.934200000000001</v>
      </c>
      <c r="G201" s="133">
        <f t="shared" si="97"/>
        <v>4.9835499999999984</v>
      </c>
      <c r="H201" s="134">
        <f t="shared" ref="H201:H222" si="98">IF(E201&gt;D201,D201,E201)</f>
        <v>11.180475000000001</v>
      </c>
      <c r="I201" s="135"/>
      <c r="J201" s="136">
        <f t="shared" ref="J201:J222" si="99">IF(E201&gt;D201,0,D201-E201)</f>
        <v>0</v>
      </c>
      <c r="K201" s="137"/>
      <c r="L201" s="138">
        <f t="shared" ref="L201:L222" si="100">IF(E201&gt;D201,IF(F201&gt;H201,0,H201-F201),G201)</f>
        <v>0</v>
      </c>
      <c r="M201" s="137"/>
      <c r="N201" s="139">
        <f t="shared" ref="N201:N222" si="101">IF(E201&gt;D201,IF(F201&gt;H201,F201-H201,0),0)</f>
        <v>8.7537249999999993</v>
      </c>
      <c r="O201" s="137"/>
      <c r="P201" s="140">
        <f t="shared" ref="P201:P222" si="102">IF(E201&gt;D201,IF(F201&gt;H201,G201,E201-H201),0)</f>
        <v>4.9835499999999984</v>
      </c>
      <c r="Q201" s="135"/>
      <c r="R201" s="104">
        <f t="shared" ref="R201:R222" si="103">H201-L201</f>
        <v>11.180475000000001</v>
      </c>
      <c r="S201" s="137"/>
      <c r="T201" s="141">
        <f t="shared" ref="T201:T222" si="104">L201+N201+P201</f>
        <v>13.737274999999997</v>
      </c>
      <c r="U201" s="199">
        <f t="shared" ref="U201:U222" si="105">J201+L201</f>
        <v>0</v>
      </c>
      <c r="V201" s="37" t="str">
        <f t="shared" ref="V201:V222" si="106">IF(R201+T201=E201,"ok","bad")</f>
        <v>ok</v>
      </c>
      <c r="W201" s="37" t="str">
        <f t="shared" ref="W201:W222" si="107">IF(U201+R201=D201,"ok","bad")</f>
        <v>ok</v>
      </c>
    </row>
    <row r="202" spans="1:23" x14ac:dyDescent="0.25">
      <c r="A202" s="426"/>
      <c r="B202" s="178" t="s">
        <v>21</v>
      </c>
      <c r="C202" s="129">
        <v>3</v>
      </c>
      <c r="D202" s="130">
        <f>'2.4.5.1 Missions'!D268*DMM</f>
        <v>4.8904749999999995</v>
      </c>
      <c r="E202" s="131">
        <f>'2.4.5.1 Missions'!E268*DMM</f>
        <v>10.193624999999997</v>
      </c>
      <c r="F202" s="132">
        <f t="shared" si="96"/>
        <v>8.1548999999999978</v>
      </c>
      <c r="G202" s="133">
        <f t="shared" si="97"/>
        <v>2.038724999999999</v>
      </c>
      <c r="H202" s="134">
        <f t="shared" si="98"/>
        <v>4.8904749999999995</v>
      </c>
      <c r="I202" s="135"/>
      <c r="J202" s="136">
        <f t="shared" si="99"/>
        <v>0</v>
      </c>
      <c r="K202" s="137"/>
      <c r="L202" s="138">
        <f t="shared" si="100"/>
        <v>0</v>
      </c>
      <c r="M202" s="137"/>
      <c r="N202" s="139">
        <f t="shared" si="101"/>
        <v>3.2644249999999984</v>
      </c>
      <c r="O202" s="137"/>
      <c r="P202" s="140">
        <f t="shared" si="102"/>
        <v>2.038724999999999</v>
      </c>
      <c r="Q202" s="135"/>
      <c r="R202" s="104">
        <f t="shared" si="103"/>
        <v>4.8904749999999995</v>
      </c>
      <c r="S202" s="137"/>
      <c r="T202" s="141">
        <f t="shared" si="104"/>
        <v>5.3031499999999969</v>
      </c>
      <c r="U202" s="199">
        <f t="shared" si="105"/>
        <v>0</v>
      </c>
      <c r="V202" s="37" t="str">
        <f t="shared" si="106"/>
        <v>ok</v>
      </c>
      <c r="W202" s="37" t="str">
        <f t="shared" si="107"/>
        <v>ok</v>
      </c>
    </row>
    <row r="203" spans="1:23" x14ac:dyDescent="0.25">
      <c r="A203" s="426"/>
      <c r="B203" s="178" t="s">
        <v>22</v>
      </c>
      <c r="C203" s="129">
        <v>4</v>
      </c>
      <c r="D203" s="130">
        <f>'2.4.5.1 Missions'!D269*DMM</f>
        <v>3.4123250000000001</v>
      </c>
      <c r="E203" s="131">
        <f>'2.4.5.1 Missions'!E269*DMM</f>
        <v>15.290437499999999</v>
      </c>
      <c r="F203" s="132">
        <f t="shared" si="96"/>
        <v>12.23235</v>
      </c>
      <c r="G203" s="133">
        <f t="shared" si="97"/>
        <v>3.0580874999999992</v>
      </c>
      <c r="H203" s="134">
        <f t="shared" si="98"/>
        <v>3.4123250000000001</v>
      </c>
      <c r="I203" s="135"/>
      <c r="J203" s="136">
        <f t="shared" si="99"/>
        <v>0</v>
      </c>
      <c r="K203" s="137"/>
      <c r="L203" s="138">
        <f t="shared" si="100"/>
        <v>0</v>
      </c>
      <c r="M203" s="137"/>
      <c r="N203" s="139">
        <f t="shared" si="101"/>
        <v>8.8200250000000011</v>
      </c>
      <c r="O203" s="137"/>
      <c r="P203" s="140">
        <f t="shared" si="102"/>
        <v>3.0580874999999992</v>
      </c>
      <c r="Q203" s="135"/>
      <c r="R203" s="104">
        <f t="shared" si="103"/>
        <v>3.4123250000000001</v>
      </c>
      <c r="S203" s="137"/>
      <c r="T203" s="141">
        <f t="shared" si="104"/>
        <v>11.8781125</v>
      </c>
      <c r="U203" s="199">
        <f t="shared" si="105"/>
        <v>0</v>
      </c>
      <c r="V203" s="37" t="str">
        <f t="shared" si="106"/>
        <v>ok</v>
      </c>
      <c r="W203" s="37" t="str">
        <f t="shared" si="107"/>
        <v>ok</v>
      </c>
    </row>
    <row r="204" spans="1:23" x14ac:dyDescent="0.25">
      <c r="A204" s="426"/>
      <c r="B204" s="178" t="s">
        <v>23</v>
      </c>
      <c r="C204" s="129">
        <v>5</v>
      </c>
      <c r="D204" s="130">
        <f>'2.4.5.1 Missions'!D270*DMM</f>
        <v>7.0762500000000008</v>
      </c>
      <c r="E204" s="131">
        <f>'2.4.5.1 Missions'!E270*DMM</f>
        <v>24.917749999999998</v>
      </c>
      <c r="F204" s="132">
        <f t="shared" si="96"/>
        <v>19.934200000000001</v>
      </c>
      <c r="G204" s="133">
        <f t="shared" si="97"/>
        <v>4.9835499999999984</v>
      </c>
      <c r="H204" s="134">
        <f t="shared" si="98"/>
        <v>7.0762500000000008</v>
      </c>
      <c r="I204" s="135"/>
      <c r="J204" s="136">
        <f t="shared" si="99"/>
        <v>0</v>
      </c>
      <c r="K204" s="137"/>
      <c r="L204" s="138">
        <f t="shared" si="100"/>
        <v>0</v>
      </c>
      <c r="M204" s="137"/>
      <c r="N204" s="139">
        <f t="shared" si="101"/>
        <v>12.857949999999999</v>
      </c>
      <c r="O204" s="137"/>
      <c r="P204" s="140">
        <f t="shared" si="102"/>
        <v>4.9835499999999984</v>
      </c>
      <c r="Q204" s="135"/>
      <c r="R204" s="104">
        <f t="shared" si="103"/>
        <v>7.0762500000000008</v>
      </c>
      <c r="S204" s="137"/>
      <c r="T204" s="141">
        <f t="shared" si="104"/>
        <v>17.841499999999996</v>
      </c>
      <c r="U204" s="199">
        <f t="shared" si="105"/>
        <v>0</v>
      </c>
      <c r="V204" s="37" t="str">
        <f t="shared" si="106"/>
        <v>ok</v>
      </c>
      <c r="W204" s="37" t="str">
        <f t="shared" si="107"/>
        <v>ok</v>
      </c>
    </row>
    <row r="205" spans="1:23" x14ac:dyDescent="0.25">
      <c r="A205" s="426"/>
      <c r="B205" s="178" t="s">
        <v>19</v>
      </c>
      <c r="C205" s="129">
        <v>8</v>
      </c>
      <c r="D205" s="130">
        <f>'2.4.5.1 Missions'!D271*DMM</f>
        <v>22.722625000000001</v>
      </c>
      <c r="E205" s="131">
        <f>'2.4.5.1 Missions'!E271*DMM</f>
        <v>17.425000000000001</v>
      </c>
      <c r="F205" s="132">
        <f t="shared" si="96"/>
        <v>13.940000000000001</v>
      </c>
      <c r="G205" s="133">
        <f t="shared" si="97"/>
        <v>3.4849999999999994</v>
      </c>
      <c r="H205" s="134">
        <f t="shared" si="98"/>
        <v>17.425000000000001</v>
      </c>
      <c r="I205" s="135"/>
      <c r="J205" s="136">
        <f t="shared" si="99"/>
        <v>5.297625</v>
      </c>
      <c r="K205" s="137"/>
      <c r="L205" s="138">
        <f t="shared" si="100"/>
        <v>3.4849999999999994</v>
      </c>
      <c r="M205" s="137"/>
      <c r="N205" s="139">
        <f t="shared" si="101"/>
        <v>0</v>
      </c>
      <c r="O205" s="137"/>
      <c r="P205" s="140">
        <f t="shared" si="102"/>
        <v>0</v>
      </c>
      <c r="Q205" s="135"/>
      <c r="R205" s="104">
        <f t="shared" si="103"/>
        <v>13.940000000000001</v>
      </c>
      <c r="S205" s="137"/>
      <c r="T205" s="141">
        <f t="shared" si="104"/>
        <v>3.4849999999999994</v>
      </c>
      <c r="U205" s="199">
        <f t="shared" si="105"/>
        <v>8.7826249999999995</v>
      </c>
      <c r="V205" s="37" t="str">
        <f t="shared" si="106"/>
        <v>ok</v>
      </c>
      <c r="W205" s="37" t="str">
        <f t="shared" si="107"/>
        <v>ok</v>
      </c>
    </row>
    <row r="206" spans="1:23" x14ac:dyDescent="0.25">
      <c r="A206" s="426"/>
      <c r="B206" s="178" t="s">
        <v>20</v>
      </c>
      <c r="C206" s="129">
        <v>9</v>
      </c>
      <c r="D206" s="130">
        <f>'2.4.5.1 Missions'!D272*DMM</f>
        <v>18.4297</v>
      </c>
      <c r="E206" s="131">
        <f>'2.4.5.1 Missions'!E272*DMM</f>
        <v>17.860624999999999</v>
      </c>
      <c r="F206" s="132">
        <f t="shared" si="96"/>
        <v>14.288499999999999</v>
      </c>
      <c r="G206" s="133">
        <f t="shared" si="97"/>
        <v>3.5721249999999989</v>
      </c>
      <c r="H206" s="134">
        <f t="shared" si="98"/>
        <v>17.860624999999999</v>
      </c>
      <c r="I206" s="135"/>
      <c r="J206" s="136">
        <f t="shared" si="99"/>
        <v>0.56907500000000155</v>
      </c>
      <c r="K206" s="137"/>
      <c r="L206" s="138">
        <f t="shared" si="100"/>
        <v>3.5721249999999989</v>
      </c>
      <c r="M206" s="137"/>
      <c r="N206" s="139">
        <f t="shared" si="101"/>
        <v>0</v>
      </c>
      <c r="O206" s="137"/>
      <c r="P206" s="140">
        <f t="shared" si="102"/>
        <v>0</v>
      </c>
      <c r="Q206" s="135"/>
      <c r="R206" s="104">
        <f t="shared" si="103"/>
        <v>14.288499999999999</v>
      </c>
      <c r="S206" s="137"/>
      <c r="T206" s="141">
        <f t="shared" si="104"/>
        <v>3.5721249999999989</v>
      </c>
      <c r="U206" s="199">
        <f t="shared" si="105"/>
        <v>4.1412000000000004</v>
      </c>
      <c r="V206" s="37" t="str">
        <f t="shared" si="106"/>
        <v>ok</v>
      </c>
      <c r="W206" s="37" t="str">
        <f t="shared" si="107"/>
        <v>ok</v>
      </c>
    </row>
    <row r="207" spans="1:23" x14ac:dyDescent="0.25">
      <c r="A207" s="426"/>
      <c r="B207" s="178" t="s">
        <v>21</v>
      </c>
      <c r="C207" s="129">
        <v>10</v>
      </c>
      <c r="D207" s="130">
        <f>'2.4.5.1 Missions'!D273*DMM</f>
        <v>10.6536875</v>
      </c>
      <c r="E207" s="131">
        <f>'2.4.5.1 Missions'!E273*DMM</f>
        <v>9.5837499999999984</v>
      </c>
      <c r="F207" s="132">
        <f t="shared" si="96"/>
        <v>7.6669999999999989</v>
      </c>
      <c r="G207" s="133">
        <f t="shared" si="97"/>
        <v>1.9167499999999993</v>
      </c>
      <c r="H207" s="134">
        <f t="shared" si="98"/>
        <v>9.5837499999999984</v>
      </c>
      <c r="I207" s="135"/>
      <c r="J207" s="136">
        <f t="shared" si="99"/>
        <v>1.0699375000000018</v>
      </c>
      <c r="K207" s="137"/>
      <c r="L207" s="138">
        <f t="shared" si="100"/>
        <v>1.9167499999999993</v>
      </c>
      <c r="M207" s="137"/>
      <c r="N207" s="139">
        <f t="shared" si="101"/>
        <v>0</v>
      </c>
      <c r="O207" s="137"/>
      <c r="P207" s="140">
        <f t="shared" si="102"/>
        <v>0</v>
      </c>
      <c r="Q207" s="135"/>
      <c r="R207" s="104">
        <f t="shared" si="103"/>
        <v>7.6669999999999989</v>
      </c>
      <c r="S207" s="137"/>
      <c r="T207" s="141">
        <f t="shared" si="104"/>
        <v>1.9167499999999993</v>
      </c>
      <c r="U207" s="199">
        <f t="shared" si="105"/>
        <v>2.9866875000000013</v>
      </c>
      <c r="V207" s="37" t="str">
        <f t="shared" si="106"/>
        <v>ok</v>
      </c>
      <c r="W207" s="37" t="str">
        <f t="shared" si="107"/>
        <v>ok</v>
      </c>
    </row>
    <row r="208" spans="1:23" x14ac:dyDescent="0.25">
      <c r="A208" s="426"/>
      <c r="B208" s="178" t="s">
        <v>22</v>
      </c>
      <c r="C208" s="129">
        <v>11</v>
      </c>
      <c r="D208" s="130">
        <f>'2.4.5.1 Missions'!D274*DMM</f>
        <v>8.6015750000000004</v>
      </c>
      <c r="E208" s="131">
        <f>'2.4.5.1 Missions'!E274*DMM</f>
        <v>12.197499999999998</v>
      </c>
      <c r="F208" s="132">
        <f t="shared" si="96"/>
        <v>9.7579999999999991</v>
      </c>
      <c r="G208" s="133">
        <f t="shared" si="97"/>
        <v>2.4394999999999989</v>
      </c>
      <c r="H208" s="134">
        <f t="shared" si="98"/>
        <v>8.6015750000000004</v>
      </c>
      <c r="I208" s="135"/>
      <c r="J208" s="136">
        <f t="shared" si="99"/>
        <v>0</v>
      </c>
      <c r="K208" s="137"/>
      <c r="L208" s="138">
        <f t="shared" si="100"/>
        <v>0</v>
      </c>
      <c r="M208" s="137"/>
      <c r="N208" s="139">
        <f t="shared" si="101"/>
        <v>1.1564249999999987</v>
      </c>
      <c r="O208" s="137"/>
      <c r="P208" s="140">
        <f t="shared" si="102"/>
        <v>2.4394999999999989</v>
      </c>
      <c r="Q208" s="135"/>
      <c r="R208" s="104">
        <f t="shared" si="103"/>
        <v>8.6015750000000004</v>
      </c>
      <c r="S208" s="137"/>
      <c r="T208" s="141">
        <f t="shared" si="104"/>
        <v>3.5959249999999976</v>
      </c>
      <c r="U208" s="199">
        <f t="shared" si="105"/>
        <v>0</v>
      </c>
      <c r="V208" s="37" t="str">
        <f t="shared" si="106"/>
        <v>ok</v>
      </c>
      <c r="W208" s="37" t="str">
        <f t="shared" si="107"/>
        <v>ok</v>
      </c>
    </row>
    <row r="209" spans="1:23" x14ac:dyDescent="0.25">
      <c r="A209" s="426"/>
      <c r="B209" s="178" t="s">
        <v>23</v>
      </c>
      <c r="C209" s="129">
        <v>12</v>
      </c>
      <c r="D209" s="130">
        <f>'2.4.5.1 Missions'!D275*DMM</f>
        <v>16.385449999999999</v>
      </c>
      <c r="E209" s="131">
        <f>'2.4.5.1 Missions'!E275*DMM</f>
        <v>16.553749999999997</v>
      </c>
      <c r="F209" s="132">
        <f t="shared" si="96"/>
        <v>13.242999999999999</v>
      </c>
      <c r="G209" s="133">
        <f t="shared" si="97"/>
        <v>3.3107499999999987</v>
      </c>
      <c r="H209" s="134">
        <f t="shared" si="98"/>
        <v>16.385449999999999</v>
      </c>
      <c r="I209" s="135"/>
      <c r="J209" s="136">
        <f t="shared" si="99"/>
        <v>0</v>
      </c>
      <c r="K209" s="137"/>
      <c r="L209" s="138">
        <f t="shared" si="100"/>
        <v>3.1424500000000002</v>
      </c>
      <c r="M209" s="137"/>
      <c r="N209" s="139">
        <f t="shared" si="101"/>
        <v>0</v>
      </c>
      <c r="O209" s="137"/>
      <c r="P209" s="140">
        <f t="shared" si="102"/>
        <v>0.16829999999999856</v>
      </c>
      <c r="Q209" s="135"/>
      <c r="R209" s="104">
        <f t="shared" si="103"/>
        <v>13.242999999999999</v>
      </c>
      <c r="S209" s="137"/>
      <c r="T209" s="141">
        <f t="shared" si="104"/>
        <v>3.3107499999999987</v>
      </c>
      <c r="U209" s="199">
        <f t="shared" si="105"/>
        <v>3.1424500000000002</v>
      </c>
      <c r="V209" s="37" t="str">
        <f t="shared" si="106"/>
        <v>ok</v>
      </c>
      <c r="W209" s="37" t="str">
        <f t="shared" si="107"/>
        <v>ok</v>
      </c>
    </row>
    <row r="210" spans="1:23" x14ac:dyDescent="0.25">
      <c r="A210" s="426"/>
      <c r="B210" s="178" t="s">
        <v>19</v>
      </c>
      <c r="C210" s="129">
        <v>15</v>
      </c>
      <c r="D210" s="130">
        <f>'2.4.5.1 Missions'!D276*DMM</f>
        <v>14.2389875</v>
      </c>
      <c r="E210" s="131">
        <f>'2.4.5.1 Missions'!E276*DMM</f>
        <v>26.137499999999996</v>
      </c>
      <c r="F210" s="132">
        <f t="shared" si="96"/>
        <v>20.909999999999997</v>
      </c>
      <c r="G210" s="133">
        <f t="shared" si="97"/>
        <v>5.2274999999999983</v>
      </c>
      <c r="H210" s="134">
        <f t="shared" si="98"/>
        <v>14.2389875</v>
      </c>
      <c r="I210" s="135"/>
      <c r="J210" s="136">
        <f t="shared" si="99"/>
        <v>0</v>
      </c>
      <c r="K210" s="137"/>
      <c r="L210" s="138">
        <f t="shared" si="100"/>
        <v>0</v>
      </c>
      <c r="M210" s="137"/>
      <c r="N210" s="139">
        <f t="shared" si="101"/>
        <v>6.6710124999999962</v>
      </c>
      <c r="O210" s="137"/>
      <c r="P210" s="140">
        <f t="shared" si="102"/>
        <v>5.2274999999999983</v>
      </c>
      <c r="Q210" s="135"/>
      <c r="R210" s="104">
        <f t="shared" si="103"/>
        <v>14.2389875</v>
      </c>
      <c r="S210" s="137"/>
      <c r="T210" s="141">
        <f t="shared" si="104"/>
        <v>11.898512499999995</v>
      </c>
      <c r="U210" s="199">
        <f t="shared" si="105"/>
        <v>0</v>
      </c>
      <c r="V210" s="37" t="str">
        <f t="shared" si="106"/>
        <v>ok</v>
      </c>
      <c r="W210" s="37" t="str">
        <f t="shared" si="107"/>
        <v>ok</v>
      </c>
    </row>
    <row r="211" spans="1:23" x14ac:dyDescent="0.25">
      <c r="A211" s="426"/>
      <c r="B211" s="178" t="s">
        <v>20</v>
      </c>
      <c r="C211" s="129">
        <v>16</v>
      </c>
      <c r="D211" s="130">
        <f>'2.4.5.1 Missions'!D277*DMM</f>
        <v>11.180475000000001</v>
      </c>
      <c r="E211" s="131">
        <f>'2.4.5.1 Missions'!E277*DMM</f>
        <v>20.03875</v>
      </c>
      <c r="F211" s="132">
        <f t="shared" si="96"/>
        <v>16.031000000000002</v>
      </c>
      <c r="G211" s="133">
        <f t="shared" si="97"/>
        <v>4.0077499999999988</v>
      </c>
      <c r="H211" s="134">
        <f t="shared" si="98"/>
        <v>11.180475000000001</v>
      </c>
      <c r="I211" s="135"/>
      <c r="J211" s="136">
        <f t="shared" si="99"/>
        <v>0</v>
      </c>
      <c r="K211" s="137"/>
      <c r="L211" s="138">
        <f t="shared" si="100"/>
        <v>0</v>
      </c>
      <c r="M211" s="137"/>
      <c r="N211" s="139">
        <f t="shared" si="101"/>
        <v>4.8505250000000011</v>
      </c>
      <c r="O211" s="137"/>
      <c r="P211" s="140">
        <f t="shared" si="102"/>
        <v>4.0077499999999988</v>
      </c>
      <c r="Q211" s="135"/>
      <c r="R211" s="104">
        <f t="shared" si="103"/>
        <v>11.180475000000001</v>
      </c>
      <c r="S211" s="137"/>
      <c r="T211" s="141">
        <f t="shared" si="104"/>
        <v>8.858274999999999</v>
      </c>
      <c r="U211" s="199">
        <f t="shared" si="105"/>
        <v>0</v>
      </c>
      <c r="V211" s="37" t="str">
        <f t="shared" si="106"/>
        <v>ok</v>
      </c>
      <c r="W211" s="37" t="str">
        <f t="shared" si="107"/>
        <v>ok</v>
      </c>
    </row>
    <row r="212" spans="1:23" x14ac:dyDescent="0.25">
      <c r="A212" s="426"/>
      <c r="B212" s="178" t="s">
        <v>21</v>
      </c>
      <c r="C212" s="129">
        <v>17</v>
      </c>
      <c r="D212" s="130">
        <f>'2.4.5.1 Missions'!D278*DMM</f>
        <v>4.8904749999999995</v>
      </c>
      <c r="E212" s="131">
        <f>'2.4.5.1 Missions'!E278*DMM</f>
        <v>9.5837499999999984</v>
      </c>
      <c r="F212" s="132">
        <f t="shared" si="96"/>
        <v>7.6669999999999989</v>
      </c>
      <c r="G212" s="133">
        <f t="shared" si="97"/>
        <v>1.9167499999999993</v>
      </c>
      <c r="H212" s="134">
        <f t="shared" si="98"/>
        <v>4.8904749999999995</v>
      </c>
      <c r="I212" s="135"/>
      <c r="J212" s="136">
        <f t="shared" si="99"/>
        <v>0</v>
      </c>
      <c r="K212" s="137"/>
      <c r="L212" s="138">
        <f t="shared" si="100"/>
        <v>0</v>
      </c>
      <c r="M212" s="137"/>
      <c r="N212" s="139">
        <f t="shared" si="101"/>
        <v>2.7765249999999995</v>
      </c>
      <c r="O212" s="137"/>
      <c r="P212" s="140">
        <f t="shared" si="102"/>
        <v>1.9167499999999993</v>
      </c>
      <c r="Q212" s="135"/>
      <c r="R212" s="104">
        <f t="shared" si="103"/>
        <v>4.8904749999999995</v>
      </c>
      <c r="S212" s="137"/>
      <c r="T212" s="141">
        <f t="shared" si="104"/>
        <v>4.693274999999999</v>
      </c>
      <c r="U212" s="199">
        <f t="shared" si="105"/>
        <v>0</v>
      </c>
      <c r="V212" s="37" t="str">
        <f t="shared" si="106"/>
        <v>ok</v>
      </c>
      <c r="W212" s="37" t="str">
        <f t="shared" si="107"/>
        <v>ok</v>
      </c>
    </row>
    <row r="213" spans="1:23" x14ac:dyDescent="0.25">
      <c r="A213" s="426"/>
      <c r="B213" s="178" t="s">
        <v>22</v>
      </c>
      <c r="C213" s="129">
        <v>18</v>
      </c>
      <c r="D213" s="130">
        <f>'2.4.5.1 Missions'!D279*DMM</f>
        <v>3.4123250000000001</v>
      </c>
      <c r="E213" s="131">
        <f>'2.4.5.1 Missions'!E279*DMM</f>
        <v>16.118124999999999</v>
      </c>
      <c r="F213" s="132">
        <f t="shared" si="96"/>
        <v>12.894500000000001</v>
      </c>
      <c r="G213" s="133">
        <f t="shared" si="97"/>
        <v>3.2236249999999993</v>
      </c>
      <c r="H213" s="134">
        <f t="shared" si="98"/>
        <v>3.4123250000000001</v>
      </c>
      <c r="I213" s="135"/>
      <c r="J213" s="136">
        <f t="shared" si="99"/>
        <v>0</v>
      </c>
      <c r="K213" s="137"/>
      <c r="L213" s="138">
        <f t="shared" si="100"/>
        <v>0</v>
      </c>
      <c r="M213" s="137"/>
      <c r="N213" s="139">
        <f t="shared" si="101"/>
        <v>9.4821750000000016</v>
      </c>
      <c r="O213" s="137"/>
      <c r="P213" s="140">
        <f t="shared" si="102"/>
        <v>3.2236249999999993</v>
      </c>
      <c r="Q213" s="135"/>
      <c r="R213" s="104">
        <f t="shared" si="103"/>
        <v>3.4123250000000001</v>
      </c>
      <c r="S213" s="137"/>
      <c r="T213" s="141">
        <f t="shared" si="104"/>
        <v>12.7058</v>
      </c>
      <c r="U213" s="199">
        <f t="shared" si="105"/>
        <v>0</v>
      </c>
      <c r="V213" s="37" t="str">
        <f t="shared" si="106"/>
        <v>ok</v>
      </c>
      <c r="W213" s="37" t="str">
        <f t="shared" si="107"/>
        <v>ok</v>
      </c>
    </row>
    <row r="214" spans="1:23" x14ac:dyDescent="0.25">
      <c r="A214" s="426"/>
      <c r="B214" s="178" t="s">
        <v>23</v>
      </c>
      <c r="C214" s="129">
        <v>19</v>
      </c>
      <c r="D214" s="130">
        <f>'2.4.5.1 Missions'!D280*DMM</f>
        <v>7.0762500000000008</v>
      </c>
      <c r="E214" s="131">
        <f>'2.4.5.1 Missions'!E280*DMM</f>
        <v>19.167499999999997</v>
      </c>
      <c r="F214" s="132">
        <f t="shared" si="96"/>
        <v>15.333999999999998</v>
      </c>
      <c r="G214" s="133">
        <f t="shared" si="97"/>
        <v>3.8334999999999986</v>
      </c>
      <c r="H214" s="134">
        <f t="shared" si="98"/>
        <v>7.0762500000000008</v>
      </c>
      <c r="I214" s="135"/>
      <c r="J214" s="136">
        <f t="shared" si="99"/>
        <v>0</v>
      </c>
      <c r="K214" s="137"/>
      <c r="L214" s="138">
        <f t="shared" si="100"/>
        <v>0</v>
      </c>
      <c r="M214" s="137"/>
      <c r="N214" s="139">
        <f t="shared" si="101"/>
        <v>8.2577499999999979</v>
      </c>
      <c r="O214" s="137"/>
      <c r="P214" s="140">
        <f t="shared" si="102"/>
        <v>3.8334999999999986</v>
      </c>
      <c r="Q214" s="135"/>
      <c r="R214" s="104">
        <f t="shared" si="103"/>
        <v>7.0762500000000008</v>
      </c>
      <c r="S214" s="137"/>
      <c r="T214" s="141">
        <f t="shared" si="104"/>
        <v>12.091249999999997</v>
      </c>
      <c r="U214" s="199">
        <f t="shared" si="105"/>
        <v>0</v>
      </c>
      <c r="V214" s="37" t="str">
        <f t="shared" si="106"/>
        <v>ok</v>
      </c>
      <c r="W214" s="37" t="str">
        <f t="shared" si="107"/>
        <v>ok</v>
      </c>
    </row>
    <row r="215" spans="1:23" x14ac:dyDescent="0.25">
      <c r="A215" s="426"/>
      <c r="B215" s="178" t="s">
        <v>19</v>
      </c>
      <c r="C215" s="129">
        <v>22</v>
      </c>
      <c r="D215" s="130">
        <f>'2.4.5.1 Missions'!D281*DMM</f>
        <v>28.399350000000002</v>
      </c>
      <c r="E215" s="131">
        <f>'2.4.5.1 Missions'!E281*DMM</f>
        <v>21.563437499999999</v>
      </c>
      <c r="F215" s="132">
        <f t="shared" si="96"/>
        <v>17.25075</v>
      </c>
      <c r="G215" s="133">
        <f t="shared" si="97"/>
        <v>4.3126874999999991</v>
      </c>
      <c r="H215" s="134">
        <f t="shared" si="98"/>
        <v>21.563437499999999</v>
      </c>
      <c r="I215" s="135"/>
      <c r="J215" s="136">
        <f t="shared" si="99"/>
        <v>6.8359125000000027</v>
      </c>
      <c r="K215" s="137"/>
      <c r="L215" s="138">
        <f t="shared" si="100"/>
        <v>4.3126874999999991</v>
      </c>
      <c r="M215" s="137"/>
      <c r="N215" s="139">
        <f t="shared" si="101"/>
        <v>0</v>
      </c>
      <c r="O215" s="137"/>
      <c r="P215" s="140">
        <f t="shared" si="102"/>
        <v>0</v>
      </c>
      <c r="Q215" s="135"/>
      <c r="R215" s="104">
        <f t="shared" si="103"/>
        <v>17.25075</v>
      </c>
      <c r="S215" s="137"/>
      <c r="T215" s="141">
        <f t="shared" si="104"/>
        <v>4.3126874999999991</v>
      </c>
      <c r="U215" s="199">
        <f t="shared" si="105"/>
        <v>11.148600000000002</v>
      </c>
      <c r="V215" s="37" t="str">
        <f t="shared" si="106"/>
        <v>ok</v>
      </c>
      <c r="W215" s="37" t="str">
        <f t="shared" si="107"/>
        <v>ok</v>
      </c>
    </row>
    <row r="216" spans="1:23" x14ac:dyDescent="0.25">
      <c r="A216" s="426"/>
      <c r="B216" s="178" t="s">
        <v>20</v>
      </c>
      <c r="C216" s="129">
        <v>23</v>
      </c>
      <c r="D216" s="130">
        <f>'2.4.5.1 Missions'!D282*DMM</f>
        <v>23.115749999999998</v>
      </c>
      <c r="E216" s="131">
        <f>'2.4.5.1 Missions'!E282*DMM</f>
        <v>13.661199999999999</v>
      </c>
      <c r="F216" s="132">
        <f t="shared" si="96"/>
        <v>10.92896</v>
      </c>
      <c r="G216" s="133">
        <f t="shared" si="97"/>
        <v>2.7322399999999991</v>
      </c>
      <c r="H216" s="134">
        <f t="shared" si="98"/>
        <v>13.661199999999999</v>
      </c>
      <c r="I216" s="135"/>
      <c r="J216" s="136">
        <f t="shared" si="99"/>
        <v>9.4545499999999993</v>
      </c>
      <c r="K216" s="137"/>
      <c r="L216" s="138">
        <f t="shared" si="100"/>
        <v>2.7322399999999991</v>
      </c>
      <c r="M216" s="137"/>
      <c r="N216" s="139">
        <f t="shared" si="101"/>
        <v>0</v>
      </c>
      <c r="O216" s="137"/>
      <c r="P216" s="140">
        <f t="shared" si="102"/>
        <v>0</v>
      </c>
      <c r="Q216" s="135"/>
      <c r="R216" s="104">
        <f t="shared" si="103"/>
        <v>10.92896</v>
      </c>
      <c r="S216" s="137"/>
      <c r="T216" s="141">
        <f t="shared" si="104"/>
        <v>2.7322399999999991</v>
      </c>
      <c r="U216" s="199">
        <f t="shared" si="105"/>
        <v>12.186789999999998</v>
      </c>
      <c r="V216" s="37" t="str">
        <f t="shared" si="106"/>
        <v>ok</v>
      </c>
      <c r="W216" s="37" t="str">
        <f t="shared" si="107"/>
        <v>ok</v>
      </c>
    </row>
    <row r="217" spans="1:23" x14ac:dyDescent="0.25">
      <c r="A217" s="426"/>
      <c r="B217" s="178" t="s">
        <v>21</v>
      </c>
      <c r="C217" s="129">
        <v>24</v>
      </c>
      <c r="D217" s="130">
        <f>'2.4.5.1 Missions'!D283*DMM</f>
        <v>13.319075</v>
      </c>
      <c r="E217" s="131">
        <f>'2.4.5.1 Missions'!E283*DMM</f>
        <v>6.4733874999999994</v>
      </c>
      <c r="F217" s="132">
        <f t="shared" si="96"/>
        <v>5.1787099999999997</v>
      </c>
      <c r="G217" s="133">
        <f t="shared" si="97"/>
        <v>1.2946774999999997</v>
      </c>
      <c r="H217" s="134">
        <f t="shared" si="98"/>
        <v>6.4733874999999994</v>
      </c>
      <c r="I217" s="135"/>
      <c r="J217" s="136">
        <f t="shared" si="99"/>
        <v>6.8456875000000004</v>
      </c>
      <c r="K217" s="137"/>
      <c r="L217" s="138">
        <f t="shared" si="100"/>
        <v>1.2946774999999997</v>
      </c>
      <c r="M217" s="137"/>
      <c r="N217" s="139">
        <f t="shared" si="101"/>
        <v>0</v>
      </c>
      <c r="O217" s="137"/>
      <c r="P217" s="140">
        <f t="shared" si="102"/>
        <v>0</v>
      </c>
      <c r="Q217" s="135"/>
      <c r="R217" s="104">
        <f t="shared" si="103"/>
        <v>5.1787099999999997</v>
      </c>
      <c r="S217" s="137"/>
      <c r="T217" s="141">
        <f t="shared" si="104"/>
        <v>1.2946774999999997</v>
      </c>
      <c r="U217" s="199">
        <f t="shared" si="105"/>
        <v>8.1403649999999992</v>
      </c>
      <c r="V217" s="37" t="str">
        <f t="shared" si="106"/>
        <v>ok</v>
      </c>
      <c r="W217" s="37" t="str">
        <f t="shared" si="107"/>
        <v>ok</v>
      </c>
    </row>
    <row r="218" spans="1:23" x14ac:dyDescent="0.25">
      <c r="A218" s="426"/>
      <c r="B218" s="178" t="s">
        <v>22</v>
      </c>
      <c r="C218" s="129">
        <v>25</v>
      </c>
      <c r="D218" s="130">
        <f>'2.4.5.1 Missions'!D284*DMM</f>
        <v>10.9052875</v>
      </c>
      <c r="E218" s="131">
        <f>'2.4.5.1 Missions'!E284*DMM</f>
        <v>8.6253749999999982</v>
      </c>
      <c r="F218" s="132">
        <f t="shared" si="96"/>
        <v>6.9002999999999988</v>
      </c>
      <c r="G218" s="133">
        <f t="shared" si="97"/>
        <v>1.7250749999999992</v>
      </c>
      <c r="H218" s="134">
        <f t="shared" si="98"/>
        <v>8.6253749999999982</v>
      </c>
      <c r="I218" s="135"/>
      <c r="J218" s="136">
        <f t="shared" si="99"/>
        <v>2.2799125000000018</v>
      </c>
      <c r="K218" s="137"/>
      <c r="L218" s="138">
        <f t="shared" si="100"/>
        <v>1.7250749999999992</v>
      </c>
      <c r="M218" s="137"/>
      <c r="N218" s="139">
        <f t="shared" si="101"/>
        <v>0</v>
      </c>
      <c r="O218" s="137"/>
      <c r="P218" s="140">
        <f t="shared" si="102"/>
        <v>0</v>
      </c>
      <c r="Q218" s="135"/>
      <c r="R218" s="104">
        <f t="shared" si="103"/>
        <v>6.9002999999999988</v>
      </c>
      <c r="S218" s="137"/>
      <c r="T218" s="141">
        <f t="shared" si="104"/>
        <v>1.7250749999999992</v>
      </c>
      <c r="U218" s="199">
        <f t="shared" si="105"/>
        <v>4.0049875000000013</v>
      </c>
      <c r="V218" s="37" t="str">
        <f t="shared" si="106"/>
        <v>ok</v>
      </c>
      <c r="W218" s="37" t="str">
        <f t="shared" si="107"/>
        <v>ok</v>
      </c>
    </row>
    <row r="219" spans="1:23" x14ac:dyDescent="0.25">
      <c r="A219" s="426"/>
      <c r="B219" s="178" t="s">
        <v>23</v>
      </c>
      <c r="C219" s="129">
        <v>26</v>
      </c>
      <c r="D219" s="130">
        <f>'2.4.5.1 Missions'!D285*DMM</f>
        <v>20.4818125</v>
      </c>
      <c r="E219" s="131">
        <f>'2.4.5.1 Missions'!E285*DMM</f>
        <v>13.661199999999999</v>
      </c>
      <c r="F219" s="132">
        <f t="shared" si="96"/>
        <v>10.92896</v>
      </c>
      <c r="G219" s="133">
        <f t="shared" si="97"/>
        <v>2.7322399999999991</v>
      </c>
      <c r="H219" s="134">
        <f t="shared" si="98"/>
        <v>13.661199999999999</v>
      </c>
      <c r="I219" s="135"/>
      <c r="J219" s="136">
        <f t="shared" si="99"/>
        <v>6.8206125000000011</v>
      </c>
      <c r="K219" s="137"/>
      <c r="L219" s="138">
        <f t="shared" si="100"/>
        <v>2.7322399999999991</v>
      </c>
      <c r="M219" s="137"/>
      <c r="N219" s="139">
        <f t="shared" si="101"/>
        <v>0</v>
      </c>
      <c r="O219" s="137"/>
      <c r="P219" s="140">
        <f t="shared" si="102"/>
        <v>0</v>
      </c>
      <c r="Q219" s="135"/>
      <c r="R219" s="104">
        <f t="shared" si="103"/>
        <v>10.92896</v>
      </c>
      <c r="S219" s="137"/>
      <c r="T219" s="141">
        <f t="shared" si="104"/>
        <v>2.7322399999999991</v>
      </c>
      <c r="U219" s="199">
        <f t="shared" si="105"/>
        <v>9.5528525000000002</v>
      </c>
      <c r="V219" s="37" t="str">
        <f t="shared" si="106"/>
        <v>ok</v>
      </c>
      <c r="W219" s="37" t="str">
        <f t="shared" si="107"/>
        <v>ok</v>
      </c>
    </row>
    <row r="220" spans="1:23" x14ac:dyDescent="0.25">
      <c r="A220" s="426"/>
      <c r="B220" s="178" t="s">
        <v>19</v>
      </c>
      <c r="C220" s="129">
        <v>29</v>
      </c>
      <c r="D220" s="130">
        <f>'2.4.5.1 Missions'!D286*DMM</f>
        <v>34.076075000000003</v>
      </c>
      <c r="E220" s="131">
        <f>'2.4.5.1 Missions'!E286*DMM</f>
        <v>26.137499999999996</v>
      </c>
      <c r="F220" s="132">
        <f t="shared" si="96"/>
        <v>20.909999999999997</v>
      </c>
      <c r="G220" s="133">
        <f t="shared" si="97"/>
        <v>5.2274999999999983</v>
      </c>
      <c r="H220" s="134">
        <f t="shared" si="98"/>
        <v>26.137499999999996</v>
      </c>
      <c r="I220" s="135"/>
      <c r="J220" s="136">
        <f t="shared" si="99"/>
        <v>7.9385750000000073</v>
      </c>
      <c r="K220" s="137"/>
      <c r="L220" s="138">
        <f t="shared" si="100"/>
        <v>5.2274999999999983</v>
      </c>
      <c r="M220" s="137"/>
      <c r="N220" s="139">
        <f t="shared" si="101"/>
        <v>0</v>
      </c>
      <c r="O220" s="137"/>
      <c r="P220" s="140">
        <f t="shared" si="102"/>
        <v>0</v>
      </c>
      <c r="Q220" s="135"/>
      <c r="R220" s="104">
        <f t="shared" si="103"/>
        <v>20.909999999999997</v>
      </c>
      <c r="S220" s="137"/>
      <c r="T220" s="141">
        <f t="shared" si="104"/>
        <v>5.2274999999999983</v>
      </c>
      <c r="U220" s="199">
        <f t="shared" si="105"/>
        <v>13.166075000000006</v>
      </c>
      <c r="V220" s="37" t="str">
        <f t="shared" si="106"/>
        <v>ok</v>
      </c>
      <c r="W220" s="37" t="str">
        <f t="shared" si="107"/>
        <v>ok</v>
      </c>
    </row>
    <row r="221" spans="1:23" x14ac:dyDescent="0.25">
      <c r="A221" s="426"/>
      <c r="B221" s="178" t="s">
        <v>20</v>
      </c>
      <c r="C221" s="129">
        <v>30</v>
      </c>
      <c r="D221" s="130">
        <f>'2.4.5.1 Missions'!D287*DMM</f>
        <v>27.644549999999995</v>
      </c>
      <c r="E221" s="131">
        <f>'2.4.5.1 Missions'!E287*DMM</f>
        <v>18.296249999999997</v>
      </c>
      <c r="F221" s="132">
        <f t="shared" si="96"/>
        <v>14.636999999999999</v>
      </c>
      <c r="G221" s="133">
        <f t="shared" si="97"/>
        <v>3.6592499999999988</v>
      </c>
      <c r="H221" s="134">
        <f t="shared" si="98"/>
        <v>18.296249999999997</v>
      </c>
      <c r="I221" s="135"/>
      <c r="J221" s="136">
        <f t="shared" si="99"/>
        <v>9.3482999999999983</v>
      </c>
      <c r="K221" s="137"/>
      <c r="L221" s="138">
        <f t="shared" si="100"/>
        <v>3.6592499999999988</v>
      </c>
      <c r="M221" s="137"/>
      <c r="N221" s="139">
        <f t="shared" si="101"/>
        <v>0</v>
      </c>
      <c r="O221" s="137"/>
      <c r="P221" s="140">
        <f t="shared" si="102"/>
        <v>0</v>
      </c>
      <c r="Q221" s="135"/>
      <c r="R221" s="104">
        <f t="shared" si="103"/>
        <v>14.636999999999999</v>
      </c>
      <c r="S221" s="137"/>
      <c r="T221" s="141">
        <f t="shared" si="104"/>
        <v>3.6592499999999988</v>
      </c>
      <c r="U221" s="199">
        <f t="shared" si="105"/>
        <v>13.007549999999997</v>
      </c>
      <c r="V221" s="37" t="str">
        <f t="shared" si="106"/>
        <v>ok</v>
      </c>
      <c r="W221" s="37" t="str">
        <f t="shared" si="107"/>
        <v>ok</v>
      </c>
    </row>
    <row r="222" spans="1:23" ht="15.75" thickBot="1" x14ac:dyDescent="0.3">
      <c r="A222" s="427"/>
      <c r="B222" s="277" t="s">
        <v>21</v>
      </c>
      <c r="C222" s="165">
        <v>31</v>
      </c>
      <c r="D222" s="202">
        <f>'2.4.5.1 Missions'!D288*DMM</f>
        <v>15.984462500000001</v>
      </c>
      <c r="E222" s="203">
        <f>'2.4.5.1 Missions'!E288*DMM</f>
        <v>8.7125000000000004</v>
      </c>
      <c r="F222" s="204">
        <f t="shared" si="96"/>
        <v>6.9700000000000006</v>
      </c>
      <c r="G222" s="205">
        <f t="shared" si="97"/>
        <v>1.7424999999999997</v>
      </c>
      <c r="H222" s="206">
        <f t="shared" si="98"/>
        <v>8.7125000000000004</v>
      </c>
      <c r="I222" s="207"/>
      <c r="J222" s="208">
        <f t="shared" si="99"/>
        <v>7.2719625000000008</v>
      </c>
      <c r="K222" s="209"/>
      <c r="L222" s="210">
        <f t="shared" si="100"/>
        <v>1.7424999999999997</v>
      </c>
      <c r="M222" s="209"/>
      <c r="N222" s="211">
        <f t="shared" si="101"/>
        <v>0</v>
      </c>
      <c r="O222" s="209"/>
      <c r="P222" s="212">
        <f t="shared" si="102"/>
        <v>0</v>
      </c>
      <c r="Q222" s="207"/>
      <c r="R222" s="213">
        <f t="shared" si="103"/>
        <v>6.9700000000000006</v>
      </c>
      <c r="S222" s="209"/>
      <c r="T222" s="214">
        <f t="shared" si="104"/>
        <v>1.7424999999999997</v>
      </c>
      <c r="U222" s="215">
        <f t="shared" si="105"/>
        <v>9.0144625000000005</v>
      </c>
      <c r="V222" s="37" t="str">
        <f t="shared" si="106"/>
        <v>ok</v>
      </c>
      <c r="W222" s="37" t="str">
        <f t="shared" si="107"/>
        <v>ok</v>
      </c>
    </row>
    <row r="223" spans="1:23" x14ac:dyDescent="0.25">
      <c r="A223" s="425" t="s">
        <v>99</v>
      </c>
      <c r="B223" s="276" t="s">
        <v>22</v>
      </c>
      <c r="C223" s="247">
        <v>1</v>
      </c>
      <c r="D223" s="184">
        <f>'2.4.5.1 Missions'!D289*DMM</f>
        <v>11.791421</v>
      </c>
      <c r="E223" s="185">
        <f>'2.4.5.1 Missions'!E289*DMM</f>
        <v>49.857599999999998</v>
      </c>
      <c r="F223" s="186">
        <f t="shared" si="96"/>
        <v>39.88608</v>
      </c>
      <c r="G223" s="187">
        <f t="shared" si="97"/>
        <v>9.9715199999999982</v>
      </c>
      <c r="H223" s="188">
        <f>IF(E223&gt;D223,D223,E223)</f>
        <v>11.791421</v>
      </c>
      <c r="I223" s="189"/>
      <c r="J223" s="190">
        <f>IF(E223&gt;D223,0,D223-E223)</f>
        <v>0</v>
      </c>
      <c r="K223" s="191"/>
      <c r="L223" s="192">
        <f>IF(E223&gt;D223,IF(F223&gt;H223,0,H223-F223),G223)</f>
        <v>0</v>
      </c>
      <c r="M223" s="191"/>
      <c r="N223" s="193">
        <f>IF(E223&gt;D223,IF(F223&gt;H223,F223-H223,0),0)</f>
        <v>28.094659</v>
      </c>
      <c r="O223" s="191"/>
      <c r="P223" s="194">
        <f>IF(E223&gt;D223,IF(F223&gt;H223,G223,E223-H223),0)</f>
        <v>9.9715199999999982</v>
      </c>
      <c r="Q223" s="189"/>
      <c r="R223" s="195">
        <f>H223-L223</f>
        <v>11.791421</v>
      </c>
      <c r="S223" s="191"/>
      <c r="T223" s="196">
        <f>L223+N223+P223</f>
        <v>38.066178999999998</v>
      </c>
      <c r="U223" s="197">
        <f>J223+L223</f>
        <v>0</v>
      </c>
      <c r="V223" s="37" t="str">
        <f>IF(R223+T223=E223,"ok","bad")</f>
        <v>ok</v>
      </c>
      <c r="W223" s="37" t="str">
        <f>IF(U223+R223=D223,"ok","bad")</f>
        <v>ok</v>
      </c>
    </row>
    <row r="224" spans="1:23" x14ac:dyDescent="0.25">
      <c r="A224" s="426"/>
      <c r="B224" s="178" t="s">
        <v>23</v>
      </c>
      <c r="C224" s="129">
        <v>2</v>
      </c>
      <c r="D224" s="130">
        <f>'2.4.5.1 Missions'!D290*DMM</f>
        <v>9.258642</v>
      </c>
      <c r="E224" s="131">
        <f>'2.4.5.1 Missions'!E290*DMM</f>
        <v>36.562240000000003</v>
      </c>
      <c r="F224" s="132">
        <f t="shared" si="96"/>
        <v>29.249792000000003</v>
      </c>
      <c r="G224" s="133">
        <f t="shared" si="97"/>
        <v>7.3124479999999989</v>
      </c>
      <c r="H224" s="134">
        <f t="shared" ref="H224:H244" si="108">IF(E224&gt;D224,D224,E224)</f>
        <v>9.258642</v>
      </c>
      <c r="I224" s="135"/>
      <c r="J224" s="136">
        <f t="shared" ref="J224:J244" si="109">IF(E224&gt;D224,0,D224-E224)</f>
        <v>0</v>
      </c>
      <c r="K224" s="137"/>
      <c r="L224" s="138">
        <f t="shared" ref="L224:L244" si="110">IF(E224&gt;D224,IF(F224&gt;H224,0,H224-F224),G224)</f>
        <v>0</v>
      </c>
      <c r="M224" s="137"/>
      <c r="N224" s="139">
        <f t="shared" ref="N224:N244" si="111">IF(E224&gt;D224,IF(F224&gt;H224,F224-H224,0),0)</f>
        <v>19.991150000000005</v>
      </c>
      <c r="O224" s="137"/>
      <c r="P224" s="140">
        <f t="shared" ref="P224:P244" si="112">IF(E224&gt;D224,IF(F224&gt;H224,G224,E224-H224),0)</f>
        <v>7.3124479999999989</v>
      </c>
      <c r="Q224" s="135"/>
      <c r="R224" s="104">
        <f t="shared" ref="R224:R244" si="113">H224-L224</f>
        <v>9.258642</v>
      </c>
      <c r="S224" s="137"/>
      <c r="T224" s="141">
        <f t="shared" ref="T224:T244" si="114">L224+N224+P224</f>
        <v>27.303598000000004</v>
      </c>
      <c r="U224" s="199">
        <f t="shared" ref="U224:U244" si="115">J224+L224</f>
        <v>0</v>
      </c>
      <c r="V224" s="37" t="str">
        <f t="shared" ref="V224:V244" si="116">IF(R224+T224=E224,"ok","bad")</f>
        <v>ok</v>
      </c>
      <c r="W224" s="37" t="str">
        <f t="shared" ref="W224:W244" si="117">IF(U224+R224=D224,"ok","bad")</f>
        <v>ok</v>
      </c>
    </row>
    <row r="225" spans="1:23" x14ac:dyDescent="0.25">
      <c r="A225" s="426"/>
      <c r="B225" s="178" t="s">
        <v>19</v>
      </c>
      <c r="C225" s="129">
        <v>5</v>
      </c>
      <c r="D225" s="130">
        <f>'2.4.5.1 Missions'!D291*DMM</f>
        <v>4.0498419999999999</v>
      </c>
      <c r="E225" s="131">
        <f>'2.4.5.1 Missions'!E291*DMM</f>
        <v>14.957279999999997</v>
      </c>
      <c r="F225" s="132">
        <f t="shared" si="96"/>
        <v>11.965823999999998</v>
      </c>
      <c r="G225" s="133">
        <f t="shared" si="97"/>
        <v>2.991455999999999</v>
      </c>
      <c r="H225" s="134">
        <f t="shared" si="108"/>
        <v>4.0498419999999999</v>
      </c>
      <c r="I225" s="135"/>
      <c r="J225" s="136">
        <f t="shared" si="109"/>
        <v>0</v>
      </c>
      <c r="K225" s="137"/>
      <c r="L225" s="138">
        <f t="shared" si="110"/>
        <v>0</v>
      </c>
      <c r="M225" s="137"/>
      <c r="N225" s="139">
        <f t="shared" si="111"/>
        <v>7.9159819999999979</v>
      </c>
      <c r="O225" s="137"/>
      <c r="P225" s="140">
        <f t="shared" si="112"/>
        <v>2.991455999999999</v>
      </c>
      <c r="Q225" s="135"/>
      <c r="R225" s="104">
        <f t="shared" si="113"/>
        <v>4.0498419999999999</v>
      </c>
      <c r="S225" s="137"/>
      <c r="T225" s="141">
        <f t="shared" si="114"/>
        <v>10.907437999999997</v>
      </c>
      <c r="U225" s="199">
        <f t="shared" si="115"/>
        <v>0</v>
      </c>
      <c r="V225" s="37" t="str">
        <f t="shared" si="116"/>
        <v>ok</v>
      </c>
      <c r="W225" s="37" t="str">
        <f t="shared" si="117"/>
        <v>ok</v>
      </c>
    </row>
    <row r="226" spans="1:23" x14ac:dyDescent="0.25">
      <c r="A226" s="426"/>
      <c r="B226" s="178" t="s">
        <v>20</v>
      </c>
      <c r="C226" s="129">
        <v>6</v>
      </c>
      <c r="D226" s="130">
        <f>'2.4.5.1 Missions'!D292*DMM</f>
        <v>2.825774</v>
      </c>
      <c r="E226" s="131">
        <f>'2.4.5.1 Missions'!E292*DMM</f>
        <v>22.435920000000003</v>
      </c>
      <c r="F226" s="132">
        <f t="shared" si="96"/>
        <v>17.948736000000004</v>
      </c>
      <c r="G226" s="133">
        <f t="shared" si="97"/>
        <v>4.4871839999999992</v>
      </c>
      <c r="H226" s="134">
        <f t="shared" si="108"/>
        <v>2.825774</v>
      </c>
      <c r="I226" s="135"/>
      <c r="J226" s="136">
        <f t="shared" si="109"/>
        <v>0</v>
      </c>
      <c r="K226" s="137"/>
      <c r="L226" s="138">
        <f t="shared" si="110"/>
        <v>0</v>
      </c>
      <c r="M226" s="137"/>
      <c r="N226" s="139">
        <f t="shared" si="111"/>
        <v>15.122962000000005</v>
      </c>
      <c r="O226" s="137"/>
      <c r="P226" s="140">
        <f t="shared" si="112"/>
        <v>4.4871839999999992</v>
      </c>
      <c r="Q226" s="135"/>
      <c r="R226" s="104">
        <f t="shared" si="113"/>
        <v>2.825774</v>
      </c>
      <c r="S226" s="137"/>
      <c r="T226" s="141">
        <f t="shared" si="114"/>
        <v>19.610146000000004</v>
      </c>
      <c r="U226" s="199">
        <f t="shared" si="115"/>
        <v>0</v>
      </c>
      <c r="V226" s="37" t="str">
        <f t="shared" si="116"/>
        <v>ok</v>
      </c>
      <c r="W226" s="37" t="str">
        <f t="shared" si="117"/>
        <v>ok</v>
      </c>
    </row>
    <row r="227" spans="1:23" x14ac:dyDescent="0.25">
      <c r="A227" s="426"/>
      <c r="B227" s="178" t="s">
        <v>21</v>
      </c>
      <c r="C227" s="129">
        <v>7</v>
      </c>
      <c r="D227" s="130">
        <f>'2.4.5.1 Missions'!D293*DMM</f>
        <v>5.8598999999999997</v>
      </c>
      <c r="E227" s="131">
        <f>'2.4.5.1 Missions'!E293*DMM</f>
        <v>36.562240000000003</v>
      </c>
      <c r="F227" s="132">
        <f t="shared" si="96"/>
        <v>29.249792000000003</v>
      </c>
      <c r="G227" s="133">
        <f t="shared" si="97"/>
        <v>7.3124479999999989</v>
      </c>
      <c r="H227" s="134">
        <f t="shared" si="108"/>
        <v>5.8598999999999997</v>
      </c>
      <c r="I227" s="135"/>
      <c r="J227" s="136">
        <f t="shared" si="109"/>
        <v>0</v>
      </c>
      <c r="K227" s="137"/>
      <c r="L227" s="138">
        <f t="shared" si="110"/>
        <v>0</v>
      </c>
      <c r="M227" s="137"/>
      <c r="N227" s="139">
        <f t="shared" si="111"/>
        <v>23.389892000000003</v>
      </c>
      <c r="O227" s="137"/>
      <c r="P227" s="140">
        <f t="shared" si="112"/>
        <v>7.3124479999999989</v>
      </c>
      <c r="Q227" s="135"/>
      <c r="R227" s="104">
        <f t="shared" si="113"/>
        <v>5.8598999999999997</v>
      </c>
      <c r="S227" s="137"/>
      <c r="T227" s="141">
        <f t="shared" si="114"/>
        <v>30.702340000000003</v>
      </c>
      <c r="U227" s="199">
        <f t="shared" si="115"/>
        <v>0</v>
      </c>
      <c r="V227" s="37" t="str">
        <f t="shared" si="116"/>
        <v>ok</v>
      </c>
      <c r="W227" s="37" t="str">
        <f t="shared" si="117"/>
        <v>ok</v>
      </c>
    </row>
    <row r="228" spans="1:23" x14ac:dyDescent="0.25">
      <c r="A228" s="426"/>
      <c r="B228" s="178" t="s">
        <v>22</v>
      </c>
      <c r="C228" s="129">
        <v>8</v>
      </c>
      <c r="D228" s="130">
        <f>'2.4.5.1 Missions'!D294*DMM</f>
        <v>18.816789999999997</v>
      </c>
      <c r="E228" s="131">
        <f>'2.4.5.1 Missions'!E294*DMM</f>
        <v>25.567999999999998</v>
      </c>
      <c r="F228" s="132">
        <f t="shared" si="96"/>
        <v>20.4544</v>
      </c>
      <c r="G228" s="133">
        <f t="shared" si="97"/>
        <v>5.1135999999999981</v>
      </c>
      <c r="H228" s="134">
        <f t="shared" si="108"/>
        <v>18.816789999999997</v>
      </c>
      <c r="I228" s="135"/>
      <c r="J228" s="136">
        <f t="shared" si="109"/>
        <v>0</v>
      </c>
      <c r="K228" s="137"/>
      <c r="L228" s="138">
        <f t="shared" si="110"/>
        <v>0</v>
      </c>
      <c r="M228" s="137"/>
      <c r="N228" s="139">
        <f t="shared" si="111"/>
        <v>1.6376100000000022</v>
      </c>
      <c r="O228" s="137"/>
      <c r="P228" s="140">
        <f t="shared" si="112"/>
        <v>5.1135999999999981</v>
      </c>
      <c r="Q228" s="135"/>
      <c r="R228" s="104">
        <f t="shared" si="113"/>
        <v>18.816789999999997</v>
      </c>
      <c r="S228" s="137"/>
      <c r="T228" s="141">
        <f t="shared" si="114"/>
        <v>6.7512100000000004</v>
      </c>
      <c r="U228" s="199">
        <f t="shared" si="115"/>
        <v>0</v>
      </c>
      <c r="V228" s="37" t="str">
        <f t="shared" si="116"/>
        <v>ok</v>
      </c>
      <c r="W228" s="37" t="str">
        <f t="shared" si="117"/>
        <v>ok</v>
      </c>
    </row>
    <row r="229" spans="1:23" x14ac:dyDescent="0.25">
      <c r="A229" s="426"/>
      <c r="B229" s="178" t="s">
        <v>23</v>
      </c>
      <c r="C229" s="129">
        <v>9</v>
      </c>
      <c r="D229" s="130">
        <f>'2.4.5.1 Missions'!D295*DMM</f>
        <v>15.261784</v>
      </c>
      <c r="E229" s="131">
        <f>'2.4.5.1 Missions'!E295*DMM</f>
        <v>26.2072</v>
      </c>
      <c r="F229" s="132">
        <f t="shared" si="96"/>
        <v>20.965760000000003</v>
      </c>
      <c r="G229" s="133">
        <f t="shared" si="97"/>
        <v>5.241439999999999</v>
      </c>
      <c r="H229" s="134">
        <f t="shared" si="108"/>
        <v>15.261784</v>
      </c>
      <c r="I229" s="135"/>
      <c r="J229" s="136">
        <f t="shared" si="109"/>
        <v>0</v>
      </c>
      <c r="K229" s="137"/>
      <c r="L229" s="138">
        <f t="shared" si="110"/>
        <v>0</v>
      </c>
      <c r="M229" s="137"/>
      <c r="N229" s="139">
        <f t="shared" si="111"/>
        <v>5.7039760000000026</v>
      </c>
      <c r="O229" s="137"/>
      <c r="P229" s="140">
        <f t="shared" si="112"/>
        <v>5.241439999999999</v>
      </c>
      <c r="Q229" s="135"/>
      <c r="R229" s="104">
        <f t="shared" si="113"/>
        <v>15.261784</v>
      </c>
      <c r="S229" s="137"/>
      <c r="T229" s="141">
        <f t="shared" si="114"/>
        <v>10.945416000000002</v>
      </c>
      <c r="U229" s="199">
        <f t="shared" si="115"/>
        <v>0</v>
      </c>
      <c r="V229" s="37" t="str">
        <f t="shared" si="116"/>
        <v>ok</v>
      </c>
      <c r="W229" s="37" t="str">
        <f t="shared" si="117"/>
        <v>ok</v>
      </c>
    </row>
    <row r="230" spans="1:23" x14ac:dyDescent="0.25">
      <c r="A230" s="426"/>
      <c r="B230" s="178" t="s">
        <v>19</v>
      </c>
      <c r="C230" s="129">
        <v>12</v>
      </c>
      <c r="D230" s="130">
        <f>'2.4.5.1 Missions'!D296*DMM</f>
        <v>8.8224049999999998</v>
      </c>
      <c r="E230" s="131">
        <f>'2.4.5.1 Missions'!E296*DMM</f>
        <v>14.0624</v>
      </c>
      <c r="F230" s="132">
        <f t="shared" si="96"/>
        <v>11.249920000000001</v>
      </c>
      <c r="G230" s="133">
        <f t="shared" si="97"/>
        <v>2.8124799999999994</v>
      </c>
      <c r="H230" s="134">
        <f t="shared" si="108"/>
        <v>8.8224049999999998</v>
      </c>
      <c r="I230" s="135"/>
      <c r="J230" s="136">
        <f t="shared" si="109"/>
        <v>0</v>
      </c>
      <c r="K230" s="137"/>
      <c r="L230" s="138">
        <f t="shared" si="110"/>
        <v>0</v>
      </c>
      <c r="M230" s="137"/>
      <c r="N230" s="139">
        <f t="shared" si="111"/>
        <v>2.4275150000000014</v>
      </c>
      <c r="O230" s="137"/>
      <c r="P230" s="140">
        <f t="shared" si="112"/>
        <v>2.8124799999999994</v>
      </c>
      <c r="Q230" s="135"/>
      <c r="R230" s="104">
        <f t="shared" si="113"/>
        <v>8.8224049999999998</v>
      </c>
      <c r="S230" s="137"/>
      <c r="T230" s="141">
        <f t="shared" si="114"/>
        <v>5.2399950000000004</v>
      </c>
      <c r="U230" s="199">
        <f t="shared" si="115"/>
        <v>0</v>
      </c>
      <c r="V230" s="37" t="str">
        <f t="shared" si="116"/>
        <v>ok</v>
      </c>
      <c r="W230" s="37" t="str">
        <f t="shared" si="117"/>
        <v>ok</v>
      </c>
    </row>
    <row r="231" spans="1:23" x14ac:dyDescent="0.25">
      <c r="A231" s="426"/>
      <c r="B231" s="178" t="s">
        <v>20</v>
      </c>
      <c r="C231" s="129">
        <v>13</v>
      </c>
      <c r="D231" s="130">
        <f>'2.4.5.1 Missions'!D297*DMM</f>
        <v>7.1230339999999988</v>
      </c>
      <c r="E231" s="131">
        <f>'2.4.5.1 Missions'!E297*DMM</f>
        <v>17.897600000000001</v>
      </c>
      <c r="F231" s="132">
        <f t="shared" si="96"/>
        <v>14.318080000000002</v>
      </c>
      <c r="G231" s="133">
        <f t="shared" si="97"/>
        <v>3.5795199999999991</v>
      </c>
      <c r="H231" s="134">
        <f t="shared" si="108"/>
        <v>7.1230339999999988</v>
      </c>
      <c r="I231" s="135"/>
      <c r="J231" s="136">
        <f t="shared" si="109"/>
        <v>0</v>
      </c>
      <c r="K231" s="137"/>
      <c r="L231" s="138">
        <f t="shared" si="110"/>
        <v>0</v>
      </c>
      <c r="M231" s="137"/>
      <c r="N231" s="139">
        <f t="shared" si="111"/>
        <v>7.1950460000000032</v>
      </c>
      <c r="O231" s="137"/>
      <c r="P231" s="140">
        <f t="shared" si="112"/>
        <v>3.5795199999999991</v>
      </c>
      <c r="Q231" s="135"/>
      <c r="R231" s="104">
        <f t="shared" si="113"/>
        <v>7.1230339999999988</v>
      </c>
      <c r="S231" s="137"/>
      <c r="T231" s="141">
        <f t="shared" si="114"/>
        <v>10.774566000000002</v>
      </c>
      <c r="U231" s="199">
        <f t="shared" si="115"/>
        <v>0</v>
      </c>
      <c r="V231" s="37" t="str">
        <f t="shared" si="116"/>
        <v>ok</v>
      </c>
      <c r="W231" s="37" t="str">
        <f t="shared" si="117"/>
        <v>ok</v>
      </c>
    </row>
    <row r="232" spans="1:23" x14ac:dyDescent="0.25">
      <c r="A232" s="426"/>
      <c r="B232" s="178" t="s">
        <v>21</v>
      </c>
      <c r="C232" s="129">
        <v>14</v>
      </c>
      <c r="D232" s="130">
        <f>'2.4.5.1 Missions'!D298*DMM</f>
        <v>13.568923999999999</v>
      </c>
      <c r="E232" s="131">
        <f>'2.4.5.1 Missions'!E298*DMM</f>
        <v>24.2896</v>
      </c>
      <c r="F232" s="132">
        <f t="shared" si="96"/>
        <v>19.43168</v>
      </c>
      <c r="G232" s="133">
        <f t="shared" si="97"/>
        <v>4.8579199999999991</v>
      </c>
      <c r="H232" s="134">
        <f t="shared" si="108"/>
        <v>13.568923999999999</v>
      </c>
      <c r="I232" s="135"/>
      <c r="J232" s="136">
        <f t="shared" si="109"/>
        <v>0</v>
      </c>
      <c r="K232" s="137"/>
      <c r="L232" s="138">
        <f t="shared" si="110"/>
        <v>0</v>
      </c>
      <c r="M232" s="137"/>
      <c r="N232" s="139">
        <f t="shared" si="111"/>
        <v>5.862756000000001</v>
      </c>
      <c r="O232" s="137"/>
      <c r="P232" s="140">
        <f t="shared" si="112"/>
        <v>4.8579199999999991</v>
      </c>
      <c r="Q232" s="135"/>
      <c r="R232" s="104">
        <f t="shared" si="113"/>
        <v>13.568923999999999</v>
      </c>
      <c r="S232" s="137"/>
      <c r="T232" s="141">
        <f t="shared" si="114"/>
        <v>10.720676000000001</v>
      </c>
      <c r="U232" s="199">
        <f t="shared" si="115"/>
        <v>0</v>
      </c>
      <c r="V232" s="37" t="str">
        <f t="shared" si="116"/>
        <v>ok</v>
      </c>
      <c r="W232" s="37" t="str">
        <f t="shared" si="117"/>
        <v>ok</v>
      </c>
    </row>
    <row r="233" spans="1:23" x14ac:dyDescent="0.25">
      <c r="A233" s="426"/>
      <c r="B233" s="178" t="s">
        <v>22</v>
      </c>
      <c r="C233" s="129">
        <v>15</v>
      </c>
      <c r="D233" s="130">
        <f>'2.4.5.1 Missions'!D299*DMM</f>
        <v>11.791421</v>
      </c>
      <c r="E233" s="131">
        <f>'2.4.5.1 Missions'!E299*DMM</f>
        <v>38.351999999999997</v>
      </c>
      <c r="F233" s="132">
        <f t="shared" si="96"/>
        <v>30.6816</v>
      </c>
      <c r="G233" s="133">
        <f t="shared" si="97"/>
        <v>7.6703999999999972</v>
      </c>
      <c r="H233" s="134">
        <f t="shared" si="108"/>
        <v>11.791421</v>
      </c>
      <c r="I233" s="135"/>
      <c r="J233" s="136">
        <f t="shared" si="109"/>
        <v>0</v>
      </c>
      <c r="K233" s="137"/>
      <c r="L233" s="138">
        <f t="shared" si="110"/>
        <v>0</v>
      </c>
      <c r="M233" s="137"/>
      <c r="N233" s="139">
        <f t="shared" si="111"/>
        <v>18.890179</v>
      </c>
      <c r="O233" s="137"/>
      <c r="P233" s="140">
        <f t="shared" si="112"/>
        <v>7.6703999999999972</v>
      </c>
      <c r="Q233" s="135"/>
      <c r="R233" s="104">
        <f t="shared" si="113"/>
        <v>11.791421</v>
      </c>
      <c r="S233" s="137"/>
      <c r="T233" s="141">
        <f t="shared" si="114"/>
        <v>26.560578999999997</v>
      </c>
      <c r="U233" s="199">
        <f t="shared" si="115"/>
        <v>0</v>
      </c>
      <c r="V233" s="37" t="str">
        <f t="shared" si="116"/>
        <v>ok</v>
      </c>
      <c r="W233" s="37" t="str">
        <f t="shared" si="117"/>
        <v>ok</v>
      </c>
    </row>
    <row r="234" spans="1:23" x14ac:dyDescent="0.25">
      <c r="A234" s="426"/>
      <c r="B234" s="178" t="s">
        <v>23</v>
      </c>
      <c r="C234" s="129">
        <v>16</v>
      </c>
      <c r="D234" s="130">
        <f>'2.4.5.1 Missions'!D300*DMM</f>
        <v>9.258642</v>
      </c>
      <c r="E234" s="131">
        <f>'2.4.5.1 Missions'!E300*DMM</f>
        <v>29.403199999999998</v>
      </c>
      <c r="F234" s="132">
        <f t="shared" si="96"/>
        <v>23.522559999999999</v>
      </c>
      <c r="G234" s="133">
        <f t="shared" si="97"/>
        <v>5.8806399999999988</v>
      </c>
      <c r="H234" s="134">
        <f t="shared" si="108"/>
        <v>9.258642</v>
      </c>
      <c r="I234" s="135"/>
      <c r="J234" s="136">
        <f t="shared" si="109"/>
        <v>0</v>
      </c>
      <c r="K234" s="137"/>
      <c r="L234" s="138">
        <f t="shared" si="110"/>
        <v>0</v>
      </c>
      <c r="M234" s="137"/>
      <c r="N234" s="139">
        <f t="shared" si="111"/>
        <v>14.263917999999999</v>
      </c>
      <c r="O234" s="137"/>
      <c r="P234" s="140">
        <f t="shared" si="112"/>
        <v>5.8806399999999988</v>
      </c>
      <c r="Q234" s="135"/>
      <c r="R234" s="104">
        <f t="shared" si="113"/>
        <v>9.258642</v>
      </c>
      <c r="S234" s="137"/>
      <c r="T234" s="141">
        <f t="shared" si="114"/>
        <v>20.144557999999996</v>
      </c>
      <c r="U234" s="199">
        <f t="shared" si="115"/>
        <v>0</v>
      </c>
      <c r="V234" s="37" t="str">
        <f t="shared" si="116"/>
        <v>ok</v>
      </c>
      <c r="W234" s="37" t="str">
        <f t="shared" si="117"/>
        <v>ok</v>
      </c>
    </row>
    <row r="235" spans="1:23" x14ac:dyDescent="0.25">
      <c r="A235" s="426"/>
      <c r="B235" s="178" t="s">
        <v>19</v>
      </c>
      <c r="C235" s="129">
        <v>19</v>
      </c>
      <c r="D235" s="130">
        <f>'2.4.5.1 Missions'!D301*DMM</f>
        <v>4.0498419999999999</v>
      </c>
      <c r="E235" s="131">
        <f>'2.4.5.1 Missions'!E301*DMM</f>
        <v>14.0624</v>
      </c>
      <c r="F235" s="132">
        <f t="shared" si="96"/>
        <v>11.249920000000001</v>
      </c>
      <c r="G235" s="133">
        <f t="shared" si="97"/>
        <v>2.8124799999999994</v>
      </c>
      <c r="H235" s="134">
        <f t="shared" si="108"/>
        <v>4.0498419999999999</v>
      </c>
      <c r="I235" s="135"/>
      <c r="J235" s="136">
        <f t="shared" si="109"/>
        <v>0</v>
      </c>
      <c r="K235" s="137"/>
      <c r="L235" s="138">
        <f t="shared" si="110"/>
        <v>0</v>
      </c>
      <c r="M235" s="137"/>
      <c r="N235" s="139">
        <f t="shared" si="111"/>
        <v>7.2000780000000013</v>
      </c>
      <c r="O235" s="137"/>
      <c r="P235" s="140">
        <f t="shared" si="112"/>
        <v>2.8124799999999994</v>
      </c>
      <c r="Q235" s="135"/>
      <c r="R235" s="104">
        <f t="shared" si="113"/>
        <v>4.0498419999999999</v>
      </c>
      <c r="S235" s="137"/>
      <c r="T235" s="141">
        <f t="shared" si="114"/>
        <v>10.012558</v>
      </c>
      <c r="U235" s="199">
        <f t="shared" si="115"/>
        <v>0</v>
      </c>
      <c r="V235" s="37" t="str">
        <f t="shared" si="116"/>
        <v>ok</v>
      </c>
      <c r="W235" s="37" t="str">
        <f t="shared" si="117"/>
        <v>ok</v>
      </c>
    </row>
    <row r="236" spans="1:23" x14ac:dyDescent="0.25">
      <c r="A236" s="426"/>
      <c r="B236" s="178" t="s">
        <v>20</v>
      </c>
      <c r="C236" s="129">
        <v>20</v>
      </c>
      <c r="D236" s="130">
        <f>'2.4.5.1 Missions'!D302*DMM</f>
        <v>2.825774</v>
      </c>
      <c r="E236" s="131">
        <f>'2.4.5.1 Missions'!E302*DMM</f>
        <v>23.650400000000001</v>
      </c>
      <c r="F236" s="132">
        <f t="shared" si="96"/>
        <v>18.92032</v>
      </c>
      <c r="G236" s="133">
        <f t="shared" si="97"/>
        <v>4.7300799999999992</v>
      </c>
      <c r="H236" s="134">
        <f t="shared" si="108"/>
        <v>2.825774</v>
      </c>
      <c r="I236" s="135"/>
      <c r="J236" s="136">
        <f t="shared" si="109"/>
        <v>0</v>
      </c>
      <c r="K236" s="137"/>
      <c r="L236" s="138">
        <f t="shared" si="110"/>
        <v>0</v>
      </c>
      <c r="M236" s="137"/>
      <c r="N236" s="139">
        <f t="shared" si="111"/>
        <v>16.094546000000001</v>
      </c>
      <c r="O236" s="137"/>
      <c r="P236" s="140">
        <f t="shared" si="112"/>
        <v>4.7300799999999992</v>
      </c>
      <c r="Q236" s="135"/>
      <c r="R236" s="104">
        <f t="shared" si="113"/>
        <v>2.825774</v>
      </c>
      <c r="S236" s="137"/>
      <c r="T236" s="141">
        <f t="shared" si="114"/>
        <v>20.824626000000002</v>
      </c>
      <c r="U236" s="199">
        <f t="shared" si="115"/>
        <v>0</v>
      </c>
      <c r="V236" s="37" t="str">
        <f t="shared" si="116"/>
        <v>ok</v>
      </c>
      <c r="W236" s="37" t="str">
        <f t="shared" si="117"/>
        <v>ok</v>
      </c>
    </row>
    <row r="237" spans="1:23" x14ac:dyDescent="0.25">
      <c r="A237" s="426"/>
      <c r="B237" s="178" t="s">
        <v>21</v>
      </c>
      <c r="C237" s="129">
        <v>21</v>
      </c>
      <c r="D237" s="130">
        <f>'2.4.5.1 Missions'!D303*DMM</f>
        <v>5.8598999999999997</v>
      </c>
      <c r="E237" s="131">
        <f>'2.4.5.1 Missions'!E303*DMM</f>
        <v>28.1248</v>
      </c>
      <c r="F237" s="132">
        <f t="shared" si="96"/>
        <v>22.499840000000003</v>
      </c>
      <c r="G237" s="133">
        <f t="shared" si="97"/>
        <v>5.6249599999999988</v>
      </c>
      <c r="H237" s="134">
        <f t="shared" si="108"/>
        <v>5.8598999999999997</v>
      </c>
      <c r="I237" s="135"/>
      <c r="J237" s="136">
        <f t="shared" si="109"/>
        <v>0</v>
      </c>
      <c r="K237" s="137"/>
      <c r="L237" s="138">
        <f t="shared" si="110"/>
        <v>0</v>
      </c>
      <c r="M237" s="137"/>
      <c r="N237" s="139">
        <f t="shared" si="111"/>
        <v>16.639940000000003</v>
      </c>
      <c r="O237" s="137"/>
      <c r="P237" s="140">
        <f t="shared" si="112"/>
        <v>5.6249599999999988</v>
      </c>
      <c r="Q237" s="135"/>
      <c r="R237" s="104">
        <f t="shared" si="113"/>
        <v>5.8598999999999997</v>
      </c>
      <c r="S237" s="137"/>
      <c r="T237" s="141">
        <f t="shared" si="114"/>
        <v>22.264900000000001</v>
      </c>
      <c r="U237" s="199">
        <f t="shared" si="115"/>
        <v>0</v>
      </c>
      <c r="V237" s="37" t="str">
        <f t="shared" si="116"/>
        <v>ok</v>
      </c>
      <c r="W237" s="37" t="str">
        <f t="shared" si="117"/>
        <v>ok</v>
      </c>
    </row>
    <row r="238" spans="1:23" x14ac:dyDescent="0.25">
      <c r="A238" s="426"/>
      <c r="B238" s="178" t="s">
        <v>22</v>
      </c>
      <c r="C238" s="129">
        <v>22</v>
      </c>
      <c r="D238" s="130">
        <f>'2.4.5.1 Missions'!D304*DMM</f>
        <v>23.517731999999999</v>
      </c>
      <c r="E238" s="131">
        <f>'2.4.5.1 Missions'!E304*DMM</f>
        <v>31.640399999999996</v>
      </c>
      <c r="F238" s="132">
        <f t="shared" si="96"/>
        <v>25.31232</v>
      </c>
      <c r="G238" s="133">
        <f t="shared" si="97"/>
        <v>6.3280799999999982</v>
      </c>
      <c r="H238" s="134">
        <f t="shared" si="108"/>
        <v>23.517731999999999</v>
      </c>
      <c r="I238" s="135"/>
      <c r="J238" s="136">
        <f t="shared" si="109"/>
        <v>0</v>
      </c>
      <c r="K238" s="137"/>
      <c r="L238" s="138">
        <f t="shared" si="110"/>
        <v>0</v>
      </c>
      <c r="M238" s="137"/>
      <c r="N238" s="139">
        <f t="shared" si="111"/>
        <v>1.794588000000001</v>
      </c>
      <c r="O238" s="137"/>
      <c r="P238" s="140">
        <f t="shared" si="112"/>
        <v>6.3280799999999982</v>
      </c>
      <c r="Q238" s="135"/>
      <c r="R238" s="104">
        <f t="shared" si="113"/>
        <v>23.517731999999999</v>
      </c>
      <c r="S238" s="137"/>
      <c r="T238" s="141">
        <f t="shared" si="114"/>
        <v>8.1226679999999991</v>
      </c>
      <c r="U238" s="199">
        <f t="shared" si="115"/>
        <v>0</v>
      </c>
      <c r="V238" s="37" t="str">
        <f t="shared" si="116"/>
        <v>ok</v>
      </c>
      <c r="W238" s="37" t="str">
        <f t="shared" si="117"/>
        <v>ok</v>
      </c>
    </row>
    <row r="239" spans="1:23" x14ac:dyDescent="0.25">
      <c r="A239" s="426"/>
      <c r="B239" s="178" t="s">
        <v>23</v>
      </c>
      <c r="C239" s="129">
        <v>23</v>
      </c>
      <c r="D239" s="130">
        <f>'2.4.5.1 Missions'!D305*DMM</f>
        <v>19.142339999999997</v>
      </c>
      <c r="E239" s="131">
        <f>'2.4.5.1 Missions'!E305*DMM</f>
        <v>20.045311999999999</v>
      </c>
      <c r="F239" s="132">
        <f t="shared" si="96"/>
        <v>16.036249600000001</v>
      </c>
      <c r="G239" s="133">
        <f t="shared" si="97"/>
        <v>4.0090623999999986</v>
      </c>
      <c r="H239" s="134">
        <f t="shared" si="108"/>
        <v>19.142339999999997</v>
      </c>
      <c r="I239" s="135"/>
      <c r="J239" s="136">
        <f t="shared" si="109"/>
        <v>0</v>
      </c>
      <c r="K239" s="137"/>
      <c r="L239" s="138">
        <f t="shared" si="110"/>
        <v>3.1060903999999958</v>
      </c>
      <c r="M239" s="137"/>
      <c r="N239" s="139">
        <f t="shared" si="111"/>
        <v>0</v>
      </c>
      <c r="O239" s="137"/>
      <c r="P239" s="140">
        <f t="shared" si="112"/>
        <v>0.90297200000000188</v>
      </c>
      <c r="Q239" s="135"/>
      <c r="R239" s="104">
        <f t="shared" si="113"/>
        <v>16.036249600000001</v>
      </c>
      <c r="S239" s="137"/>
      <c r="T239" s="141">
        <f t="shared" si="114"/>
        <v>4.0090623999999977</v>
      </c>
      <c r="U239" s="199">
        <f t="shared" si="115"/>
        <v>3.1060903999999958</v>
      </c>
      <c r="V239" s="37" t="str">
        <f t="shared" si="116"/>
        <v>ok</v>
      </c>
      <c r="W239" s="37" t="str">
        <f t="shared" si="117"/>
        <v>ok</v>
      </c>
    </row>
    <row r="240" spans="1:23" x14ac:dyDescent="0.25">
      <c r="A240" s="426"/>
      <c r="B240" s="178" t="s">
        <v>19</v>
      </c>
      <c r="C240" s="129">
        <v>26</v>
      </c>
      <c r="D240" s="130">
        <f>'2.4.5.1 Missions'!D306*DMM</f>
        <v>11.029634000000001</v>
      </c>
      <c r="E240" s="131">
        <f>'2.4.5.1 Missions'!E306*DMM</f>
        <v>9.4985119999999981</v>
      </c>
      <c r="F240" s="132">
        <f t="shared" si="96"/>
        <v>7.5988095999999992</v>
      </c>
      <c r="G240" s="133">
        <f t="shared" si="97"/>
        <v>1.8997023999999991</v>
      </c>
      <c r="H240" s="134">
        <f t="shared" si="108"/>
        <v>9.4985119999999981</v>
      </c>
      <c r="I240" s="135"/>
      <c r="J240" s="136">
        <f t="shared" si="109"/>
        <v>1.5311220000000034</v>
      </c>
      <c r="K240" s="137"/>
      <c r="L240" s="138">
        <f t="shared" si="110"/>
        <v>1.8997023999999991</v>
      </c>
      <c r="M240" s="137"/>
      <c r="N240" s="139">
        <f t="shared" si="111"/>
        <v>0</v>
      </c>
      <c r="O240" s="137"/>
      <c r="P240" s="140">
        <f t="shared" si="112"/>
        <v>0</v>
      </c>
      <c r="Q240" s="135"/>
      <c r="R240" s="104">
        <f t="shared" si="113"/>
        <v>7.5988095999999992</v>
      </c>
      <c r="S240" s="137"/>
      <c r="T240" s="141">
        <f t="shared" si="114"/>
        <v>1.8997023999999991</v>
      </c>
      <c r="U240" s="199">
        <f t="shared" si="115"/>
        <v>3.4308244000000023</v>
      </c>
      <c r="V240" s="37" t="str">
        <f t="shared" si="116"/>
        <v>ok</v>
      </c>
      <c r="W240" s="37" t="str">
        <f t="shared" si="117"/>
        <v>ok</v>
      </c>
    </row>
    <row r="241" spans="1:23" x14ac:dyDescent="0.25">
      <c r="A241" s="426"/>
      <c r="B241" s="178" t="s">
        <v>20</v>
      </c>
      <c r="C241" s="129">
        <v>27</v>
      </c>
      <c r="D241" s="130">
        <f>'2.4.5.1 Missions'!D307*DMM</f>
        <v>9.0307569999999995</v>
      </c>
      <c r="E241" s="131">
        <f>'2.4.5.1 Missions'!E307*DMM</f>
        <v>12.65616</v>
      </c>
      <c r="F241" s="132">
        <f t="shared" si="96"/>
        <v>10.124928000000001</v>
      </c>
      <c r="G241" s="133">
        <f t="shared" si="97"/>
        <v>2.5312319999999993</v>
      </c>
      <c r="H241" s="134">
        <f t="shared" si="108"/>
        <v>9.0307569999999995</v>
      </c>
      <c r="I241" s="135"/>
      <c r="J241" s="136">
        <f t="shared" si="109"/>
        <v>0</v>
      </c>
      <c r="K241" s="137"/>
      <c r="L241" s="138">
        <f t="shared" si="110"/>
        <v>0</v>
      </c>
      <c r="M241" s="137"/>
      <c r="N241" s="139">
        <f t="shared" si="111"/>
        <v>1.0941710000000011</v>
      </c>
      <c r="O241" s="137"/>
      <c r="P241" s="140">
        <f t="shared" si="112"/>
        <v>2.5312319999999993</v>
      </c>
      <c r="Q241" s="135"/>
      <c r="R241" s="104">
        <f t="shared" si="113"/>
        <v>9.0307569999999995</v>
      </c>
      <c r="S241" s="137"/>
      <c r="T241" s="141">
        <f t="shared" si="114"/>
        <v>3.6254030000000004</v>
      </c>
      <c r="U241" s="199">
        <f t="shared" si="115"/>
        <v>0</v>
      </c>
      <c r="V241" s="37" t="str">
        <f t="shared" si="116"/>
        <v>ok</v>
      </c>
      <c r="W241" s="37" t="str">
        <f t="shared" si="117"/>
        <v>ok</v>
      </c>
    </row>
    <row r="242" spans="1:23" x14ac:dyDescent="0.25">
      <c r="A242" s="426"/>
      <c r="B242" s="178" t="s">
        <v>21</v>
      </c>
      <c r="C242" s="129">
        <v>28</v>
      </c>
      <c r="D242" s="130">
        <f>'2.4.5.1 Missions'!D308*DMM</f>
        <v>16.961154999999998</v>
      </c>
      <c r="E242" s="131">
        <f>'2.4.5.1 Missions'!E308*DMM</f>
        <v>20.045311999999999</v>
      </c>
      <c r="F242" s="132">
        <f t="shared" si="96"/>
        <v>16.036249600000001</v>
      </c>
      <c r="G242" s="133">
        <f t="shared" si="97"/>
        <v>4.0090623999999986</v>
      </c>
      <c r="H242" s="134">
        <f t="shared" si="108"/>
        <v>16.961154999999998</v>
      </c>
      <c r="I242" s="135"/>
      <c r="J242" s="136">
        <f t="shared" si="109"/>
        <v>0</v>
      </c>
      <c r="K242" s="137"/>
      <c r="L242" s="138">
        <f t="shared" si="110"/>
        <v>0.92490539999999655</v>
      </c>
      <c r="M242" s="137"/>
      <c r="N242" s="139">
        <f t="shared" si="111"/>
        <v>0</v>
      </c>
      <c r="O242" s="137"/>
      <c r="P242" s="140">
        <f t="shared" si="112"/>
        <v>3.0841570000000011</v>
      </c>
      <c r="Q242" s="135"/>
      <c r="R242" s="104">
        <f t="shared" si="113"/>
        <v>16.036249600000001</v>
      </c>
      <c r="S242" s="137"/>
      <c r="T242" s="141">
        <f t="shared" si="114"/>
        <v>4.0090623999999977</v>
      </c>
      <c r="U242" s="199">
        <f t="shared" si="115"/>
        <v>0.92490539999999655</v>
      </c>
      <c r="V242" s="37" t="str">
        <f t="shared" si="116"/>
        <v>ok</v>
      </c>
      <c r="W242" s="37" t="str">
        <f t="shared" si="117"/>
        <v>ok</v>
      </c>
    </row>
    <row r="243" spans="1:23" x14ac:dyDescent="0.25">
      <c r="A243" s="426"/>
      <c r="B243" s="178" t="s">
        <v>22</v>
      </c>
      <c r="C243" s="129">
        <v>29</v>
      </c>
      <c r="D243" s="130">
        <f>'2.4.5.1 Missions'!D309*DMM</f>
        <v>28.218674000000004</v>
      </c>
      <c r="E243" s="131">
        <f>'2.4.5.1 Missions'!E309*DMM</f>
        <v>38.351999999999997</v>
      </c>
      <c r="F243" s="132">
        <f t="shared" si="96"/>
        <v>30.6816</v>
      </c>
      <c r="G243" s="133">
        <f t="shared" si="97"/>
        <v>7.6703999999999972</v>
      </c>
      <c r="H243" s="134">
        <f t="shared" si="108"/>
        <v>28.218674000000004</v>
      </c>
      <c r="I243" s="135"/>
      <c r="J243" s="136">
        <f t="shared" si="109"/>
        <v>0</v>
      </c>
      <c r="K243" s="137"/>
      <c r="L243" s="138">
        <f t="shared" si="110"/>
        <v>0</v>
      </c>
      <c r="M243" s="137"/>
      <c r="N243" s="139">
        <f t="shared" si="111"/>
        <v>2.462925999999996</v>
      </c>
      <c r="O243" s="137"/>
      <c r="P243" s="140">
        <f t="shared" si="112"/>
        <v>7.6703999999999972</v>
      </c>
      <c r="Q243" s="135"/>
      <c r="R243" s="104">
        <f t="shared" si="113"/>
        <v>28.218674000000004</v>
      </c>
      <c r="S243" s="137"/>
      <c r="T243" s="141">
        <f t="shared" si="114"/>
        <v>10.133325999999993</v>
      </c>
      <c r="U243" s="199">
        <f t="shared" si="115"/>
        <v>0</v>
      </c>
      <c r="V243" s="37" t="str">
        <f t="shared" si="116"/>
        <v>ok</v>
      </c>
      <c r="W243" s="37" t="str">
        <f t="shared" si="117"/>
        <v>ok</v>
      </c>
    </row>
    <row r="244" spans="1:23" ht="15.75" thickBot="1" x14ac:dyDescent="0.3">
      <c r="A244" s="427"/>
      <c r="B244" s="277" t="s">
        <v>23</v>
      </c>
      <c r="C244" s="165">
        <v>30</v>
      </c>
      <c r="D244" s="202">
        <f>'2.4.5.1 Missions'!D310*DMM</f>
        <v>22.892675999999998</v>
      </c>
      <c r="E244" s="203">
        <f>'2.4.5.1 Missions'!E310*DMM</f>
        <v>26.846399999999999</v>
      </c>
      <c r="F244" s="204">
        <f t="shared" si="96"/>
        <v>21.477119999999999</v>
      </c>
      <c r="G244" s="205">
        <f t="shared" si="97"/>
        <v>5.3692799999999989</v>
      </c>
      <c r="H244" s="206">
        <f t="shared" si="108"/>
        <v>22.892675999999998</v>
      </c>
      <c r="I244" s="207"/>
      <c r="J244" s="208">
        <f t="shared" si="109"/>
        <v>0</v>
      </c>
      <c r="K244" s="209"/>
      <c r="L244" s="210">
        <f t="shared" si="110"/>
        <v>1.4155559999999987</v>
      </c>
      <c r="M244" s="209"/>
      <c r="N244" s="211">
        <f t="shared" si="111"/>
        <v>0</v>
      </c>
      <c r="O244" s="209"/>
      <c r="P244" s="212">
        <f t="shared" si="112"/>
        <v>3.9537240000000011</v>
      </c>
      <c r="Q244" s="207"/>
      <c r="R244" s="213">
        <f t="shared" si="113"/>
        <v>21.477119999999999</v>
      </c>
      <c r="S244" s="209"/>
      <c r="T244" s="214">
        <f t="shared" si="114"/>
        <v>5.3692799999999998</v>
      </c>
      <c r="U244" s="215">
        <f t="shared" si="115"/>
        <v>1.4155559999999987</v>
      </c>
      <c r="V244" s="37" t="str">
        <f t="shared" si="116"/>
        <v>ok</v>
      </c>
      <c r="W244" s="37" t="str">
        <f t="shared" si="117"/>
        <v>ok</v>
      </c>
    </row>
    <row r="245" spans="1:23" x14ac:dyDescent="0.25">
      <c r="A245" s="425" t="s">
        <v>100</v>
      </c>
      <c r="B245" s="276" t="s">
        <v>19</v>
      </c>
      <c r="C245" s="247">
        <v>3</v>
      </c>
      <c r="D245" s="184">
        <f>'2.4.5.1 Missions'!D311*DMM</f>
        <v>8.8050819999999987</v>
      </c>
      <c r="E245" s="185">
        <f>'2.4.5.1 Missions'!E311*DMM</f>
        <v>66.631499999999988</v>
      </c>
      <c r="F245" s="186">
        <f t="shared" si="96"/>
        <v>53.305199999999992</v>
      </c>
      <c r="G245" s="187">
        <f t="shared" si="97"/>
        <v>13.326299999999994</v>
      </c>
      <c r="H245" s="188">
        <f>IF(E245&gt;D245,D245,E245)</f>
        <v>8.8050819999999987</v>
      </c>
      <c r="I245" s="189"/>
      <c r="J245" s="190">
        <f>IF(E245&gt;D245,0,D245-E245)</f>
        <v>0</v>
      </c>
      <c r="K245" s="191"/>
      <c r="L245" s="192">
        <f>IF(E245&gt;D245,IF(F245&gt;H245,0,H245-F245),G245)</f>
        <v>0</v>
      </c>
      <c r="M245" s="191"/>
      <c r="N245" s="193">
        <f>IF(E245&gt;D245,IF(F245&gt;H245,F245-H245,0),0)</f>
        <v>44.500117999999993</v>
      </c>
      <c r="O245" s="191"/>
      <c r="P245" s="194">
        <f>IF(E245&gt;D245,IF(F245&gt;H245,G245,E245-H245),0)</f>
        <v>13.326299999999994</v>
      </c>
      <c r="Q245" s="189"/>
      <c r="R245" s="195">
        <f>H245-L245</f>
        <v>8.8050819999999987</v>
      </c>
      <c r="S245" s="191"/>
      <c r="T245" s="196">
        <f>L245+N245+P245</f>
        <v>57.82641799999999</v>
      </c>
      <c r="U245" s="197">
        <f>J245+L245</f>
        <v>0</v>
      </c>
      <c r="V245" s="37" t="str">
        <f>IF(R245+T245=E245,"ok","bad")</f>
        <v>ok</v>
      </c>
      <c r="W245" s="37" t="str">
        <f>IF(U245+R245=D245,"ok","bad")</f>
        <v>ok</v>
      </c>
    </row>
    <row r="246" spans="1:23" x14ac:dyDescent="0.25">
      <c r="A246" s="426"/>
      <c r="B246" s="178" t="s">
        <v>20</v>
      </c>
      <c r="C246" s="129">
        <v>4</v>
      </c>
      <c r="D246" s="130">
        <f>'2.4.5.1 Missions'!D312*DMM</f>
        <v>6.9137639999999996</v>
      </c>
      <c r="E246" s="131">
        <f>'2.4.5.1 Missions'!E312*DMM</f>
        <v>48.863099999999996</v>
      </c>
      <c r="F246" s="132">
        <f t="shared" si="96"/>
        <v>39.090479999999999</v>
      </c>
      <c r="G246" s="133">
        <f t="shared" si="97"/>
        <v>9.7726199999999963</v>
      </c>
      <c r="H246" s="134">
        <f t="shared" ref="H246:H265" si="118">IF(E246&gt;D246,D246,E246)</f>
        <v>6.9137639999999996</v>
      </c>
      <c r="I246" s="135"/>
      <c r="J246" s="136">
        <f t="shared" ref="J246:J265" si="119">IF(E246&gt;D246,0,D246-E246)</f>
        <v>0</v>
      </c>
      <c r="K246" s="137"/>
      <c r="L246" s="138">
        <f t="shared" ref="L246:L265" si="120">IF(E246&gt;D246,IF(F246&gt;H246,0,H246-F246),G246)</f>
        <v>0</v>
      </c>
      <c r="M246" s="137"/>
      <c r="N246" s="139">
        <f t="shared" ref="N246:N265" si="121">IF(E246&gt;D246,IF(F246&gt;H246,F246-H246,0),0)</f>
        <v>32.176715999999999</v>
      </c>
      <c r="O246" s="137"/>
      <c r="P246" s="140">
        <f t="shared" ref="P246:P265" si="122">IF(E246&gt;D246,IF(F246&gt;H246,G246,E246-H246),0)</f>
        <v>9.7726199999999963</v>
      </c>
      <c r="Q246" s="135"/>
      <c r="R246" s="104">
        <f t="shared" ref="R246:R265" si="123">H246-L246</f>
        <v>6.9137639999999996</v>
      </c>
      <c r="S246" s="137"/>
      <c r="T246" s="141">
        <f t="shared" ref="T246:T265" si="124">L246+N246+P246</f>
        <v>41.949335999999995</v>
      </c>
      <c r="U246" s="199">
        <f t="shared" ref="U246:U265" si="125">J246+L246</f>
        <v>0</v>
      </c>
      <c r="V246" s="37" t="str">
        <f t="shared" ref="V246:V265" si="126">IF(R246+T246=E246,"ok","bad")</f>
        <v>ok</v>
      </c>
      <c r="W246" s="37" t="str">
        <f t="shared" ref="W246:W265" si="127">IF(U246+R246=D246,"ok","bad")</f>
        <v>ok</v>
      </c>
    </row>
    <row r="247" spans="1:23" x14ac:dyDescent="0.25">
      <c r="A247" s="426"/>
      <c r="B247" s="178" t="s">
        <v>21</v>
      </c>
      <c r="C247" s="129">
        <v>5</v>
      </c>
      <c r="D247" s="130">
        <f>'2.4.5.1 Missions'!D313*DMM</f>
        <v>3.0241639999999999</v>
      </c>
      <c r="E247" s="131">
        <f>'2.4.5.1 Missions'!E313*DMM</f>
        <v>19.989449999999994</v>
      </c>
      <c r="F247" s="132">
        <f t="shared" si="96"/>
        <v>15.991559999999996</v>
      </c>
      <c r="G247" s="133">
        <f t="shared" si="97"/>
        <v>3.9978899999999982</v>
      </c>
      <c r="H247" s="134">
        <f t="shared" si="118"/>
        <v>3.0241639999999999</v>
      </c>
      <c r="I247" s="135"/>
      <c r="J247" s="136">
        <f t="shared" si="119"/>
        <v>0</v>
      </c>
      <c r="K247" s="137"/>
      <c r="L247" s="138">
        <f t="shared" si="120"/>
        <v>0</v>
      </c>
      <c r="M247" s="137"/>
      <c r="N247" s="139">
        <f t="shared" si="121"/>
        <v>12.967395999999997</v>
      </c>
      <c r="O247" s="137"/>
      <c r="P247" s="140">
        <f t="shared" si="122"/>
        <v>3.9978899999999982</v>
      </c>
      <c r="Q247" s="135"/>
      <c r="R247" s="104">
        <f t="shared" si="123"/>
        <v>3.0241639999999999</v>
      </c>
      <c r="S247" s="137"/>
      <c r="T247" s="141">
        <f t="shared" si="124"/>
        <v>16.965285999999995</v>
      </c>
      <c r="U247" s="199">
        <f t="shared" si="125"/>
        <v>0</v>
      </c>
      <c r="V247" s="37" t="str">
        <f t="shared" si="126"/>
        <v>ok</v>
      </c>
      <c r="W247" s="37" t="str">
        <f t="shared" si="127"/>
        <v>ok</v>
      </c>
    </row>
    <row r="248" spans="1:23" x14ac:dyDescent="0.25">
      <c r="A248" s="426"/>
      <c r="B248" s="178" t="s">
        <v>22</v>
      </c>
      <c r="C248" s="129">
        <v>6</v>
      </c>
      <c r="D248" s="130">
        <f>'2.4.5.1 Missions'!D314*DMM</f>
        <v>2.1101079999999999</v>
      </c>
      <c r="E248" s="131">
        <f>'2.4.5.1 Missions'!E314*DMM</f>
        <v>29.984175</v>
      </c>
      <c r="F248" s="132">
        <f t="shared" si="96"/>
        <v>23.987340000000003</v>
      </c>
      <c r="G248" s="133">
        <f t="shared" si="97"/>
        <v>5.996834999999999</v>
      </c>
      <c r="H248" s="134">
        <f t="shared" si="118"/>
        <v>2.1101079999999999</v>
      </c>
      <c r="I248" s="135"/>
      <c r="J248" s="136">
        <f t="shared" si="119"/>
        <v>0</v>
      </c>
      <c r="K248" s="137"/>
      <c r="L248" s="138">
        <f t="shared" si="120"/>
        <v>0</v>
      </c>
      <c r="M248" s="137"/>
      <c r="N248" s="139">
        <f t="shared" si="121"/>
        <v>21.877232000000003</v>
      </c>
      <c r="O248" s="137"/>
      <c r="P248" s="140">
        <f t="shared" si="122"/>
        <v>5.996834999999999</v>
      </c>
      <c r="Q248" s="135"/>
      <c r="R248" s="104">
        <f t="shared" si="123"/>
        <v>2.1101079999999999</v>
      </c>
      <c r="S248" s="137"/>
      <c r="T248" s="141">
        <f t="shared" si="124"/>
        <v>27.874067000000004</v>
      </c>
      <c r="U248" s="199">
        <f t="shared" si="125"/>
        <v>0</v>
      </c>
      <c r="V248" s="37" t="str">
        <f t="shared" si="126"/>
        <v>ok</v>
      </c>
      <c r="W248" s="37" t="str">
        <f t="shared" si="127"/>
        <v>ok</v>
      </c>
    </row>
    <row r="249" spans="1:23" x14ac:dyDescent="0.25">
      <c r="A249" s="426"/>
      <c r="B249" s="178" t="s">
        <v>23</v>
      </c>
      <c r="C249" s="129">
        <v>7</v>
      </c>
      <c r="D249" s="130">
        <f>'2.4.5.1 Missions'!D315*DMM</f>
        <v>4.3757999999999999</v>
      </c>
      <c r="E249" s="131">
        <f>'2.4.5.1 Missions'!E315*DMM</f>
        <v>48.863099999999996</v>
      </c>
      <c r="F249" s="132">
        <f t="shared" si="96"/>
        <v>39.090479999999999</v>
      </c>
      <c r="G249" s="133">
        <f t="shared" si="97"/>
        <v>9.7726199999999963</v>
      </c>
      <c r="H249" s="134">
        <f t="shared" si="118"/>
        <v>4.3757999999999999</v>
      </c>
      <c r="I249" s="135"/>
      <c r="J249" s="136">
        <f t="shared" si="119"/>
        <v>0</v>
      </c>
      <c r="K249" s="137"/>
      <c r="L249" s="138">
        <f t="shared" si="120"/>
        <v>0</v>
      </c>
      <c r="M249" s="137"/>
      <c r="N249" s="139">
        <f t="shared" si="121"/>
        <v>34.714680000000001</v>
      </c>
      <c r="O249" s="137"/>
      <c r="P249" s="140">
        <f t="shared" si="122"/>
        <v>9.7726199999999963</v>
      </c>
      <c r="Q249" s="135"/>
      <c r="R249" s="104">
        <f t="shared" si="123"/>
        <v>4.3757999999999999</v>
      </c>
      <c r="S249" s="137"/>
      <c r="T249" s="141">
        <f t="shared" si="124"/>
        <v>44.487299999999998</v>
      </c>
      <c r="U249" s="199">
        <f t="shared" si="125"/>
        <v>0</v>
      </c>
      <c r="V249" s="37" t="str">
        <f t="shared" si="126"/>
        <v>ok</v>
      </c>
      <c r="W249" s="37" t="str">
        <f t="shared" si="127"/>
        <v>ok</v>
      </c>
    </row>
    <row r="250" spans="1:23" x14ac:dyDescent="0.25">
      <c r="A250" s="426"/>
      <c r="B250" s="178" t="s">
        <v>19</v>
      </c>
      <c r="C250" s="129">
        <v>10</v>
      </c>
      <c r="D250" s="130">
        <f>'2.4.5.1 Missions'!D316*DMM</f>
        <v>14.051179999999999</v>
      </c>
      <c r="E250" s="131">
        <f>'2.4.5.1 Missions'!E316*DMM</f>
        <v>34.169999999999995</v>
      </c>
      <c r="F250" s="132">
        <f t="shared" si="96"/>
        <v>27.335999999999999</v>
      </c>
      <c r="G250" s="133">
        <f t="shared" si="97"/>
        <v>6.833999999999997</v>
      </c>
      <c r="H250" s="134">
        <f t="shared" si="118"/>
        <v>14.051179999999999</v>
      </c>
      <c r="I250" s="135"/>
      <c r="J250" s="136">
        <f t="shared" si="119"/>
        <v>0</v>
      </c>
      <c r="K250" s="137"/>
      <c r="L250" s="138">
        <f t="shared" si="120"/>
        <v>0</v>
      </c>
      <c r="M250" s="137"/>
      <c r="N250" s="139">
        <f t="shared" si="121"/>
        <v>13.28482</v>
      </c>
      <c r="O250" s="137"/>
      <c r="P250" s="140">
        <f t="shared" si="122"/>
        <v>6.833999999999997</v>
      </c>
      <c r="Q250" s="135"/>
      <c r="R250" s="104">
        <f t="shared" si="123"/>
        <v>14.051179999999999</v>
      </c>
      <c r="S250" s="137"/>
      <c r="T250" s="141">
        <f t="shared" si="124"/>
        <v>20.118819999999996</v>
      </c>
      <c r="U250" s="199">
        <f t="shared" si="125"/>
        <v>0</v>
      </c>
      <c r="V250" s="37" t="str">
        <f t="shared" si="126"/>
        <v>ok</v>
      </c>
      <c r="W250" s="37" t="str">
        <f t="shared" si="127"/>
        <v>ok</v>
      </c>
    </row>
    <row r="251" spans="1:23" x14ac:dyDescent="0.25">
      <c r="A251" s="426"/>
      <c r="B251" s="178" t="s">
        <v>20</v>
      </c>
      <c r="C251" s="129">
        <v>11</v>
      </c>
      <c r="D251" s="130">
        <f>'2.4.5.1 Missions'!D317*DMM</f>
        <v>11.396527999999998</v>
      </c>
      <c r="E251" s="131">
        <f>'2.4.5.1 Missions'!E317*DMM</f>
        <v>35.024249999999995</v>
      </c>
      <c r="F251" s="132">
        <f t="shared" si="96"/>
        <v>28.019399999999997</v>
      </c>
      <c r="G251" s="133">
        <f t="shared" si="97"/>
        <v>7.0048499999999976</v>
      </c>
      <c r="H251" s="134">
        <f t="shared" si="118"/>
        <v>11.396527999999998</v>
      </c>
      <c r="I251" s="135"/>
      <c r="J251" s="136">
        <f t="shared" si="119"/>
        <v>0</v>
      </c>
      <c r="K251" s="137"/>
      <c r="L251" s="138">
        <f t="shared" si="120"/>
        <v>0</v>
      </c>
      <c r="M251" s="137"/>
      <c r="N251" s="139">
        <f t="shared" si="121"/>
        <v>16.622872000000001</v>
      </c>
      <c r="O251" s="137"/>
      <c r="P251" s="140">
        <f t="shared" si="122"/>
        <v>7.0048499999999976</v>
      </c>
      <c r="Q251" s="135"/>
      <c r="R251" s="104">
        <f t="shared" si="123"/>
        <v>11.396527999999998</v>
      </c>
      <c r="S251" s="137"/>
      <c r="T251" s="141">
        <f t="shared" si="124"/>
        <v>23.627721999999999</v>
      </c>
      <c r="U251" s="199">
        <f t="shared" si="125"/>
        <v>0</v>
      </c>
      <c r="V251" s="37" t="str">
        <f t="shared" si="126"/>
        <v>ok</v>
      </c>
      <c r="W251" s="37" t="str">
        <f t="shared" si="127"/>
        <v>ok</v>
      </c>
    </row>
    <row r="252" spans="1:23" x14ac:dyDescent="0.25">
      <c r="A252" s="426"/>
      <c r="B252" s="178" t="s">
        <v>21</v>
      </c>
      <c r="C252" s="129">
        <v>12</v>
      </c>
      <c r="D252" s="130">
        <f>'2.4.5.1 Missions'!D318*DMM</f>
        <v>6.5880099999999997</v>
      </c>
      <c r="E252" s="131">
        <f>'2.4.5.1 Missions'!E318*DMM</f>
        <v>18.793499999999998</v>
      </c>
      <c r="F252" s="132">
        <f t="shared" si="96"/>
        <v>15.034799999999999</v>
      </c>
      <c r="G252" s="133">
        <f t="shared" si="97"/>
        <v>3.7586999999999988</v>
      </c>
      <c r="H252" s="134">
        <f t="shared" si="118"/>
        <v>6.5880099999999997</v>
      </c>
      <c r="I252" s="135"/>
      <c r="J252" s="136">
        <f t="shared" si="119"/>
        <v>0</v>
      </c>
      <c r="K252" s="137"/>
      <c r="L252" s="138">
        <f t="shared" si="120"/>
        <v>0</v>
      </c>
      <c r="M252" s="137"/>
      <c r="N252" s="139">
        <f t="shared" si="121"/>
        <v>8.44679</v>
      </c>
      <c r="O252" s="137"/>
      <c r="P252" s="140">
        <f t="shared" si="122"/>
        <v>3.7586999999999988</v>
      </c>
      <c r="Q252" s="135"/>
      <c r="R252" s="104">
        <f t="shared" si="123"/>
        <v>6.5880099999999997</v>
      </c>
      <c r="S252" s="137"/>
      <c r="T252" s="141">
        <f t="shared" si="124"/>
        <v>12.205489999999999</v>
      </c>
      <c r="U252" s="199">
        <f t="shared" si="125"/>
        <v>0</v>
      </c>
      <c r="V252" s="37" t="str">
        <f t="shared" si="126"/>
        <v>ok</v>
      </c>
      <c r="W252" s="37" t="str">
        <f t="shared" si="127"/>
        <v>ok</v>
      </c>
    </row>
    <row r="253" spans="1:23" x14ac:dyDescent="0.25">
      <c r="A253" s="426"/>
      <c r="B253" s="178" t="s">
        <v>22</v>
      </c>
      <c r="C253" s="129">
        <v>13</v>
      </c>
      <c r="D253" s="130">
        <f>'2.4.5.1 Missions'!D319*DMM</f>
        <v>5.3190279999999985</v>
      </c>
      <c r="E253" s="131">
        <f>'2.4.5.1 Missions'!E319*DMM</f>
        <v>23.918999999999997</v>
      </c>
      <c r="F253" s="132">
        <f t="shared" si="96"/>
        <v>19.135199999999998</v>
      </c>
      <c r="G253" s="133">
        <f t="shared" si="97"/>
        <v>4.7837999999999985</v>
      </c>
      <c r="H253" s="134">
        <f t="shared" si="118"/>
        <v>5.3190279999999985</v>
      </c>
      <c r="I253" s="135"/>
      <c r="J253" s="136">
        <f t="shared" si="119"/>
        <v>0</v>
      </c>
      <c r="K253" s="137"/>
      <c r="L253" s="138">
        <f t="shared" si="120"/>
        <v>0</v>
      </c>
      <c r="M253" s="137"/>
      <c r="N253" s="139">
        <f t="shared" si="121"/>
        <v>13.816171999999998</v>
      </c>
      <c r="O253" s="137"/>
      <c r="P253" s="140">
        <f t="shared" si="122"/>
        <v>4.7837999999999985</v>
      </c>
      <c r="Q253" s="135"/>
      <c r="R253" s="104">
        <f t="shared" si="123"/>
        <v>5.3190279999999985</v>
      </c>
      <c r="S253" s="137"/>
      <c r="T253" s="141">
        <f t="shared" si="124"/>
        <v>18.599971999999998</v>
      </c>
      <c r="U253" s="199">
        <f t="shared" si="125"/>
        <v>0</v>
      </c>
      <c r="V253" s="37" t="str">
        <f t="shared" si="126"/>
        <v>ok</v>
      </c>
      <c r="W253" s="37" t="str">
        <f t="shared" si="127"/>
        <v>ok</v>
      </c>
    </row>
    <row r="254" spans="1:23" x14ac:dyDescent="0.25">
      <c r="A254" s="426"/>
      <c r="B254" s="178" t="s">
        <v>23</v>
      </c>
      <c r="C254" s="129">
        <v>14</v>
      </c>
      <c r="D254" s="130">
        <f>'2.4.5.1 Missions'!D320*DMM</f>
        <v>10.132408</v>
      </c>
      <c r="E254" s="131">
        <f>'2.4.5.1 Missions'!E320*DMM</f>
        <v>32.461499999999994</v>
      </c>
      <c r="F254" s="132">
        <f t="shared" si="96"/>
        <v>25.969199999999997</v>
      </c>
      <c r="G254" s="133">
        <f t="shared" si="97"/>
        <v>6.4922999999999975</v>
      </c>
      <c r="H254" s="134">
        <f t="shared" si="118"/>
        <v>10.132408</v>
      </c>
      <c r="I254" s="135"/>
      <c r="J254" s="136">
        <f t="shared" si="119"/>
        <v>0</v>
      </c>
      <c r="K254" s="137"/>
      <c r="L254" s="138">
        <f t="shared" si="120"/>
        <v>0</v>
      </c>
      <c r="M254" s="137"/>
      <c r="N254" s="139">
        <f t="shared" si="121"/>
        <v>15.836791999999997</v>
      </c>
      <c r="O254" s="137"/>
      <c r="P254" s="140">
        <f t="shared" si="122"/>
        <v>6.4922999999999975</v>
      </c>
      <c r="Q254" s="135"/>
      <c r="R254" s="104">
        <f t="shared" si="123"/>
        <v>10.132408</v>
      </c>
      <c r="S254" s="137"/>
      <c r="T254" s="141">
        <f t="shared" si="124"/>
        <v>22.329091999999996</v>
      </c>
      <c r="U254" s="199">
        <f t="shared" si="125"/>
        <v>0</v>
      </c>
      <c r="V254" s="37" t="str">
        <f t="shared" si="126"/>
        <v>ok</v>
      </c>
      <c r="W254" s="37" t="str">
        <f t="shared" si="127"/>
        <v>ok</v>
      </c>
    </row>
    <row r="255" spans="1:23" x14ac:dyDescent="0.25">
      <c r="A255" s="426"/>
      <c r="B255" s="178" t="s">
        <v>19</v>
      </c>
      <c r="C255" s="129">
        <v>17</v>
      </c>
      <c r="D255" s="130">
        <f>'2.4.5.1 Missions'!D321*DMM</f>
        <v>8.8050819999999987</v>
      </c>
      <c r="E255" s="131">
        <f>'2.4.5.1 Missions'!E321*DMM</f>
        <v>51.254999999999995</v>
      </c>
      <c r="F255" s="132">
        <f t="shared" si="96"/>
        <v>41.003999999999998</v>
      </c>
      <c r="G255" s="133">
        <f t="shared" si="97"/>
        <v>10.250999999999998</v>
      </c>
      <c r="H255" s="134">
        <f t="shared" si="118"/>
        <v>8.8050819999999987</v>
      </c>
      <c r="I255" s="135"/>
      <c r="J255" s="136">
        <f t="shared" si="119"/>
        <v>0</v>
      </c>
      <c r="K255" s="137"/>
      <c r="L255" s="138">
        <f t="shared" si="120"/>
        <v>0</v>
      </c>
      <c r="M255" s="137"/>
      <c r="N255" s="139">
        <f t="shared" si="121"/>
        <v>32.198917999999999</v>
      </c>
      <c r="O255" s="137"/>
      <c r="P255" s="140">
        <f t="shared" si="122"/>
        <v>10.250999999999998</v>
      </c>
      <c r="Q255" s="135"/>
      <c r="R255" s="104">
        <f t="shared" si="123"/>
        <v>8.8050819999999987</v>
      </c>
      <c r="S255" s="137"/>
      <c r="T255" s="141">
        <f t="shared" si="124"/>
        <v>42.449917999999997</v>
      </c>
      <c r="U255" s="199">
        <f t="shared" si="125"/>
        <v>0</v>
      </c>
      <c r="V255" s="37" t="str">
        <f t="shared" si="126"/>
        <v>ok</v>
      </c>
      <c r="W255" s="37" t="str">
        <f t="shared" si="127"/>
        <v>ok</v>
      </c>
    </row>
    <row r="256" spans="1:23" x14ac:dyDescent="0.25">
      <c r="A256" s="426"/>
      <c r="B256" s="178" t="s">
        <v>20</v>
      </c>
      <c r="C256" s="129">
        <v>18</v>
      </c>
      <c r="D256" s="130">
        <f>'2.4.5.1 Missions'!D322*DMM</f>
        <v>6.9137639999999996</v>
      </c>
      <c r="E256" s="131">
        <f>'2.4.5.1 Missions'!E322*DMM</f>
        <v>39.295499999999997</v>
      </c>
      <c r="F256" s="132">
        <f t="shared" si="96"/>
        <v>31.436399999999999</v>
      </c>
      <c r="G256" s="133">
        <f t="shared" si="97"/>
        <v>7.859099999999998</v>
      </c>
      <c r="H256" s="134">
        <f t="shared" si="118"/>
        <v>6.9137639999999996</v>
      </c>
      <c r="I256" s="135"/>
      <c r="J256" s="136">
        <f t="shared" si="119"/>
        <v>0</v>
      </c>
      <c r="K256" s="137"/>
      <c r="L256" s="138">
        <f t="shared" si="120"/>
        <v>0</v>
      </c>
      <c r="M256" s="137"/>
      <c r="N256" s="139">
        <f t="shared" si="121"/>
        <v>24.522635999999999</v>
      </c>
      <c r="O256" s="137"/>
      <c r="P256" s="140">
        <f t="shared" si="122"/>
        <v>7.859099999999998</v>
      </c>
      <c r="Q256" s="135"/>
      <c r="R256" s="104">
        <f t="shared" si="123"/>
        <v>6.9137639999999996</v>
      </c>
      <c r="S256" s="137"/>
      <c r="T256" s="141">
        <f t="shared" si="124"/>
        <v>32.381735999999997</v>
      </c>
      <c r="U256" s="199">
        <f t="shared" si="125"/>
        <v>0</v>
      </c>
      <c r="V256" s="37" t="str">
        <f t="shared" si="126"/>
        <v>ok</v>
      </c>
      <c r="W256" s="37" t="str">
        <f t="shared" si="127"/>
        <v>ok</v>
      </c>
    </row>
    <row r="257" spans="1:23" x14ac:dyDescent="0.25">
      <c r="A257" s="426"/>
      <c r="B257" s="178" t="s">
        <v>21</v>
      </c>
      <c r="C257" s="129">
        <v>19</v>
      </c>
      <c r="D257" s="130">
        <f>'2.4.5.1 Missions'!D323*DMM</f>
        <v>3.0241639999999999</v>
      </c>
      <c r="E257" s="131">
        <f>'2.4.5.1 Missions'!E323*DMM</f>
        <v>18.793499999999998</v>
      </c>
      <c r="F257" s="132">
        <f t="shared" si="96"/>
        <v>15.034799999999999</v>
      </c>
      <c r="G257" s="133">
        <f t="shared" si="97"/>
        <v>3.7586999999999988</v>
      </c>
      <c r="H257" s="134">
        <f t="shared" si="118"/>
        <v>3.0241639999999999</v>
      </c>
      <c r="I257" s="135"/>
      <c r="J257" s="136">
        <f t="shared" si="119"/>
        <v>0</v>
      </c>
      <c r="K257" s="137"/>
      <c r="L257" s="138">
        <f t="shared" si="120"/>
        <v>0</v>
      </c>
      <c r="M257" s="137"/>
      <c r="N257" s="139">
        <f t="shared" si="121"/>
        <v>12.010635999999998</v>
      </c>
      <c r="O257" s="137"/>
      <c r="P257" s="140">
        <f t="shared" si="122"/>
        <v>3.7586999999999988</v>
      </c>
      <c r="Q257" s="135"/>
      <c r="R257" s="104">
        <f t="shared" si="123"/>
        <v>3.0241639999999999</v>
      </c>
      <c r="S257" s="137"/>
      <c r="T257" s="141">
        <f t="shared" si="124"/>
        <v>15.769335999999997</v>
      </c>
      <c r="U257" s="199">
        <f t="shared" si="125"/>
        <v>0</v>
      </c>
      <c r="V257" s="37" t="str">
        <f t="shared" si="126"/>
        <v>ok</v>
      </c>
      <c r="W257" s="37" t="str">
        <f t="shared" si="127"/>
        <v>ok</v>
      </c>
    </row>
    <row r="258" spans="1:23" x14ac:dyDescent="0.25">
      <c r="A258" s="426"/>
      <c r="B258" s="178" t="s">
        <v>22</v>
      </c>
      <c r="C258" s="129">
        <v>20</v>
      </c>
      <c r="D258" s="130">
        <f>'2.4.5.1 Missions'!D324*DMM</f>
        <v>2.1101079999999999</v>
      </c>
      <c r="E258" s="131">
        <f>'2.4.5.1 Missions'!E324*DMM</f>
        <v>31.607249999999993</v>
      </c>
      <c r="F258" s="132">
        <f t="shared" si="96"/>
        <v>25.285799999999995</v>
      </c>
      <c r="G258" s="133">
        <f t="shared" si="97"/>
        <v>6.3214499999999969</v>
      </c>
      <c r="H258" s="134">
        <f t="shared" si="118"/>
        <v>2.1101079999999999</v>
      </c>
      <c r="I258" s="135"/>
      <c r="J258" s="136">
        <f t="shared" si="119"/>
        <v>0</v>
      </c>
      <c r="K258" s="137"/>
      <c r="L258" s="138">
        <f t="shared" si="120"/>
        <v>0</v>
      </c>
      <c r="M258" s="137"/>
      <c r="N258" s="139">
        <f t="shared" si="121"/>
        <v>23.175691999999994</v>
      </c>
      <c r="O258" s="137"/>
      <c r="P258" s="140">
        <f t="shared" si="122"/>
        <v>6.3214499999999969</v>
      </c>
      <c r="Q258" s="135"/>
      <c r="R258" s="104">
        <f t="shared" si="123"/>
        <v>2.1101079999999999</v>
      </c>
      <c r="S258" s="137"/>
      <c r="T258" s="141">
        <f t="shared" si="124"/>
        <v>29.49714199999999</v>
      </c>
      <c r="U258" s="199">
        <f t="shared" si="125"/>
        <v>0</v>
      </c>
      <c r="V258" s="37" t="str">
        <f t="shared" si="126"/>
        <v>ok</v>
      </c>
      <c r="W258" s="37" t="str">
        <f t="shared" si="127"/>
        <v>ok</v>
      </c>
    </row>
    <row r="259" spans="1:23" x14ac:dyDescent="0.25">
      <c r="A259" s="426"/>
      <c r="B259" s="178" t="s">
        <v>23</v>
      </c>
      <c r="C259" s="129">
        <v>21</v>
      </c>
      <c r="D259" s="130">
        <f>'2.4.5.1 Missions'!D325*DMM</f>
        <v>4.3757999999999999</v>
      </c>
      <c r="E259" s="131">
        <f>'2.4.5.1 Missions'!E325*DMM</f>
        <v>37.586999999999996</v>
      </c>
      <c r="F259" s="132">
        <f t="shared" si="96"/>
        <v>30.069599999999998</v>
      </c>
      <c r="G259" s="133">
        <f t="shared" si="97"/>
        <v>7.5173999999999976</v>
      </c>
      <c r="H259" s="134">
        <f t="shared" si="118"/>
        <v>4.3757999999999999</v>
      </c>
      <c r="I259" s="135"/>
      <c r="J259" s="136">
        <f t="shared" si="119"/>
        <v>0</v>
      </c>
      <c r="K259" s="137"/>
      <c r="L259" s="138">
        <f t="shared" si="120"/>
        <v>0</v>
      </c>
      <c r="M259" s="137"/>
      <c r="N259" s="139">
        <f t="shared" si="121"/>
        <v>25.693799999999996</v>
      </c>
      <c r="O259" s="137"/>
      <c r="P259" s="140">
        <f t="shared" si="122"/>
        <v>7.5173999999999976</v>
      </c>
      <c r="Q259" s="135"/>
      <c r="R259" s="104">
        <f t="shared" si="123"/>
        <v>4.3757999999999999</v>
      </c>
      <c r="S259" s="137"/>
      <c r="T259" s="141">
        <f t="shared" si="124"/>
        <v>33.211199999999991</v>
      </c>
      <c r="U259" s="199">
        <f t="shared" si="125"/>
        <v>0</v>
      </c>
      <c r="V259" s="37" t="str">
        <f t="shared" si="126"/>
        <v>ok</v>
      </c>
      <c r="W259" s="37" t="str">
        <f t="shared" si="127"/>
        <v>ok</v>
      </c>
    </row>
    <row r="260" spans="1:23" x14ac:dyDescent="0.25">
      <c r="A260" s="426"/>
      <c r="B260" s="178" t="s">
        <v>19</v>
      </c>
      <c r="C260" s="129">
        <v>24</v>
      </c>
      <c r="D260" s="130">
        <f>'2.4.5.1 Missions'!D326*DMM</f>
        <v>17.561543999999998</v>
      </c>
      <c r="E260" s="131">
        <f>'2.4.5.1 Missions'!E326*DMM</f>
        <v>42.285374999999995</v>
      </c>
      <c r="F260" s="132">
        <f t="shared" si="96"/>
        <v>33.828299999999999</v>
      </c>
      <c r="G260" s="133">
        <f t="shared" si="97"/>
        <v>8.4570749999999979</v>
      </c>
      <c r="H260" s="134">
        <f t="shared" si="118"/>
        <v>17.561543999999998</v>
      </c>
      <c r="I260" s="135"/>
      <c r="J260" s="136">
        <f t="shared" si="119"/>
        <v>0</v>
      </c>
      <c r="K260" s="137"/>
      <c r="L260" s="138">
        <f t="shared" si="120"/>
        <v>0</v>
      </c>
      <c r="M260" s="137"/>
      <c r="N260" s="139">
        <f t="shared" si="121"/>
        <v>16.266756000000001</v>
      </c>
      <c r="O260" s="137"/>
      <c r="P260" s="140">
        <f t="shared" si="122"/>
        <v>8.4570749999999979</v>
      </c>
      <c r="Q260" s="135"/>
      <c r="R260" s="104">
        <f t="shared" si="123"/>
        <v>17.561543999999998</v>
      </c>
      <c r="S260" s="137"/>
      <c r="T260" s="141">
        <f t="shared" si="124"/>
        <v>24.723830999999997</v>
      </c>
      <c r="U260" s="199">
        <f t="shared" si="125"/>
        <v>0</v>
      </c>
      <c r="V260" s="37" t="str">
        <f t="shared" si="126"/>
        <v>ok</v>
      </c>
      <c r="W260" s="37" t="str">
        <f t="shared" si="127"/>
        <v>ok</v>
      </c>
    </row>
    <row r="261" spans="1:23" x14ac:dyDescent="0.25">
      <c r="A261" s="426"/>
      <c r="B261" s="178" t="s">
        <v>20</v>
      </c>
      <c r="C261" s="129">
        <v>25</v>
      </c>
      <c r="D261" s="130">
        <f>'2.4.5.1 Missions'!D327*DMM</f>
        <v>14.294279999999997</v>
      </c>
      <c r="E261" s="131">
        <f>'2.4.5.1 Missions'!E327*DMM</f>
        <v>26.789279999999998</v>
      </c>
      <c r="F261" s="132">
        <f t="shared" ref="F261:F265" si="128">E261*TC</f>
        <v>21.431424</v>
      </c>
      <c r="G261" s="133">
        <f t="shared" ref="G261:G265" si="129">E261*(1-TC)</f>
        <v>5.3578559999999982</v>
      </c>
      <c r="H261" s="134">
        <f t="shared" si="118"/>
        <v>14.294279999999997</v>
      </c>
      <c r="I261" s="135"/>
      <c r="J261" s="136">
        <f t="shared" si="119"/>
        <v>0</v>
      </c>
      <c r="K261" s="137"/>
      <c r="L261" s="138">
        <f t="shared" si="120"/>
        <v>0</v>
      </c>
      <c r="M261" s="137"/>
      <c r="N261" s="139">
        <f t="shared" si="121"/>
        <v>7.1371440000000028</v>
      </c>
      <c r="O261" s="137"/>
      <c r="P261" s="140">
        <f t="shared" si="122"/>
        <v>5.3578559999999982</v>
      </c>
      <c r="Q261" s="135"/>
      <c r="R261" s="104">
        <f t="shared" si="123"/>
        <v>14.294279999999997</v>
      </c>
      <c r="S261" s="137"/>
      <c r="T261" s="141">
        <f t="shared" si="124"/>
        <v>12.495000000000001</v>
      </c>
      <c r="U261" s="199">
        <f t="shared" si="125"/>
        <v>0</v>
      </c>
      <c r="V261" s="37" t="str">
        <f t="shared" si="126"/>
        <v>ok</v>
      </c>
      <c r="W261" s="37" t="str">
        <f t="shared" si="127"/>
        <v>ok</v>
      </c>
    </row>
    <row r="262" spans="1:23" x14ac:dyDescent="0.25">
      <c r="A262" s="426"/>
      <c r="B262" s="178" t="s">
        <v>21</v>
      </c>
      <c r="C262" s="129">
        <v>26</v>
      </c>
      <c r="D262" s="130">
        <f>'2.4.5.1 Missions'!D328*DMM</f>
        <v>8.2362279999999988</v>
      </c>
      <c r="E262" s="131">
        <f>'2.4.5.1 Missions'!E328*DMM</f>
        <v>12.694154999999999</v>
      </c>
      <c r="F262" s="132">
        <f t="shared" si="128"/>
        <v>10.155324</v>
      </c>
      <c r="G262" s="133">
        <f t="shared" si="129"/>
        <v>2.5388309999999992</v>
      </c>
      <c r="H262" s="134">
        <f t="shared" si="118"/>
        <v>8.2362279999999988</v>
      </c>
      <c r="I262" s="135"/>
      <c r="J262" s="136">
        <f t="shared" si="119"/>
        <v>0</v>
      </c>
      <c r="K262" s="137"/>
      <c r="L262" s="138">
        <f t="shared" si="120"/>
        <v>0</v>
      </c>
      <c r="M262" s="137"/>
      <c r="N262" s="139">
        <f t="shared" si="121"/>
        <v>1.9190960000000015</v>
      </c>
      <c r="O262" s="137"/>
      <c r="P262" s="140">
        <f t="shared" si="122"/>
        <v>2.5388309999999992</v>
      </c>
      <c r="Q262" s="135"/>
      <c r="R262" s="104">
        <f t="shared" si="123"/>
        <v>8.2362279999999988</v>
      </c>
      <c r="S262" s="137"/>
      <c r="T262" s="141">
        <f t="shared" si="124"/>
        <v>4.4579270000000006</v>
      </c>
      <c r="U262" s="199">
        <f t="shared" si="125"/>
        <v>0</v>
      </c>
      <c r="V262" s="37" t="str">
        <f t="shared" si="126"/>
        <v>ok</v>
      </c>
      <c r="W262" s="37" t="str">
        <f t="shared" si="127"/>
        <v>ok</v>
      </c>
    </row>
    <row r="263" spans="1:23" x14ac:dyDescent="0.25">
      <c r="A263" s="426"/>
      <c r="B263" s="178" t="s">
        <v>22</v>
      </c>
      <c r="C263" s="129">
        <v>27</v>
      </c>
      <c r="D263" s="130">
        <f>'2.4.5.1 Missions'!D329*DMM</f>
        <v>6.743593999999999</v>
      </c>
      <c r="E263" s="131">
        <f>'2.4.5.1 Missions'!E329*DMM</f>
        <v>16.914149999999996</v>
      </c>
      <c r="F263" s="132">
        <f t="shared" si="128"/>
        <v>13.531319999999997</v>
      </c>
      <c r="G263" s="133">
        <f t="shared" si="129"/>
        <v>3.3828299999999984</v>
      </c>
      <c r="H263" s="134">
        <f t="shared" si="118"/>
        <v>6.743593999999999</v>
      </c>
      <c r="I263" s="135"/>
      <c r="J263" s="136">
        <f t="shared" si="119"/>
        <v>0</v>
      </c>
      <c r="K263" s="137"/>
      <c r="L263" s="138">
        <f t="shared" si="120"/>
        <v>0</v>
      </c>
      <c r="M263" s="137"/>
      <c r="N263" s="139">
        <f t="shared" si="121"/>
        <v>6.7877259999999984</v>
      </c>
      <c r="O263" s="137"/>
      <c r="P263" s="140">
        <f t="shared" si="122"/>
        <v>3.3828299999999984</v>
      </c>
      <c r="Q263" s="135"/>
      <c r="R263" s="104">
        <f t="shared" si="123"/>
        <v>6.743593999999999</v>
      </c>
      <c r="S263" s="137"/>
      <c r="T263" s="141">
        <f t="shared" si="124"/>
        <v>10.170555999999998</v>
      </c>
      <c r="U263" s="199">
        <f t="shared" si="125"/>
        <v>0</v>
      </c>
      <c r="V263" s="37" t="str">
        <f t="shared" si="126"/>
        <v>ok</v>
      </c>
      <c r="W263" s="37" t="str">
        <f t="shared" si="127"/>
        <v>ok</v>
      </c>
    </row>
    <row r="264" spans="1:23" x14ac:dyDescent="0.25">
      <c r="A264" s="426"/>
      <c r="B264" s="178" t="s">
        <v>23</v>
      </c>
      <c r="C264" s="129">
        <v>28</v>
      </c>
      <c r="D264" s="130">
        <f>'2.4.5.1 Missions'!D330*DMM</f>
        <v>12.665509999999999</v>
      </c>
      <c r="E264" s="131">
        <f>'2.4.5.1 Missions'!E330*DMM</f>
        <v>26.789279999999998</v>
      </c>
      <c r="F264" s="132">
        <f t="shared" si="128"/>
        <v>21.431424</v>
      </c>
      <c r="G264" s="133">
        <f t="shared" si="129"/>
        <v>5.3578559999999982</v>
      </c>
      <c r="H264" s="134">
        <f t="shared" si="118"/>
        <v>12.665509999999999</v>
      </c>
      <c r="I264" s="135"/>
      <c r="J264" s="136">
        <f t="shared" si="119"/>
        <v>0</v>
      </c>
      <c r="K264" s="137"/>
      <c r="L264" s="138">
        <f t="shared" si="120"/>
        <v>0</v>
      </c>
      <c r="M264" s="137"/>
      <c r="N264" s="139">
        <f t="shared" si="121"/>
        <v>8.7659140000000004</v>
      </c>
      <c r="O264" s="137"/>
      <c r="P264" s="140">
        <f t="shared" si="122"/>
        <v>5.3578559999999982</v>
      </c>
      <c r="Q264" s="135"/>
      <c r="R264" s="104">
        <f t="shared" si="123"/>
        <v>12.665509999999999</v>
      </c>
      <c r="S264" s="137"/>
      <c r="T264" s="141">
        <f t="shared" si="124"/>
        <v>14.123769999999999</v>
      </c>
      <c r="U264" s="199">
        <f t="shared" si="125"/>
        <v>0</v>
      </c>
      <c r="V264" s="37" t="str">
        <f t="shared" si="126"/>
        <v>ok</v>
      </c>
      <c r="W264" s="37" t="str">
        <f t="shared" si="127"/>
        <v>ok</v>
      </c>
    </row>
    <row r="265" spans="1:23" ht="15.75" thickBot="1" x14ac:dyDescent="0.3">
      <c r="A265" s="427"/>
      <c r="B265" s="277" t="s">
        <v>19</v>
      </c>
      <c r="C265" s="165">
        <v>31</v>
      </c>
      <c r="D265" s="202">
        <f>'2.4.5.1 Missions'!D331*DMM</f>
        <v>21.071907999999997</v>
      </c>
      <c r="E265" s="203">
        <f>'2.4.5.1 Missions'!E331*DMM</f>
        <v>51.254999999999995</v>
      </c>
      <c r="F265" s="204">
        <f t="shared" si="128"/>
        <v>41.003999999999998</v>
      </c>
      <c r="G265" s="205">
        <f t="shared" si="129"/>
        <v>10.250999999999998</v>
      </c>
      <c r="H265" s="206">
        <f t="shared" si="118"/>
        <v>21.071907999999997</v>
      </c>
      <c r="I265" s="207"/>
      <c r="J265" s="208">
        <f t="shared" si="119"/>
        <v>0</v>
      </c>
      <c r="K265" s="209"/>
      <c r="L265" s="210">
        <f t="shared" si="120"/>
        <v>0</v>
      </c>
      <c r="M265" s="209"/>
      <c r="N265" s="211">
        <f t="shared" si="121"/>
        <v>19.932092000000001</v>
      </c>
      <c r="O265" s="209"/>
      <c r="P265" s="212">
        <f t="shared" si="122"/>
        <v>10.250999999999998</v>
      </c>
      <c r="Q265" s="207"/>
      <c r="R265" s="213">
        <f t="shared" si="123"/>
        <v>21.071907999999997</v>
      </c>
      <c r="S265" s="209"/>
      <c r="T265" s="214">
        <f t="shared" si="124"/>
        <v>30.183091999999998</v>
      </c>
      <c r="U265" s="215">
        <f t="shared" si="125"/>
        <v>0</v>
      </c>
      <c r="V265" s="37" t="str">
        <f t="shared" si="126"/>
        <v>ok</v>
      </c>
      <c r="W265" s="37" t="str">
        <f t="shared" si="127"/>
        <v>ok</v>
      </c>
    </row>
    <row r="266" spans="1:23" x14ac:dyDescent="0.25"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</row>
    <row r="267" spans="1:23" ht="15.75" thickBot="1" x14ac:dyDescent="0.3"/>
    <row r="268" spans="1:23" ht="51.75" thickBot="1" x14ac:dyDescent="0.3">
      <c r="A268" s="175">
        <v>2018</v>
      </c>
      <c r="B268" s="216"/>
      <c r="C268" s="217"/>
      <c r="D268" s="218" t="s">
        <v>40</v>
      </c>
      <c r="E268" s="219" t="s">
        <v>41</v>
      </c>
      <c r="F268" s="220" t="s">
        <v>42</v>
      </c>
      <c r="G268" s="221" t="s">
        <v>43</v>
      </c>
      <c r="H268" s="222" t="s">
        <v>44</v>
      </c>
      <c r="I268" s="223"/>
      <c r="J268" s="224" t="s">
        <v>45</v>
      </c>
      <c r="K268" s="225"/>
      <c r="L268" s="226" t="s">
        <v>46</v>
      </c>
      <c r="M268" s="225"/>
      <c r="N268" s="227" t="s">
        <v>47</v>
      </c>
      <c r="O268" s="225"/>
      <c r="P268" s="228" t="s">
        <v>48</v>
      </c>
      <c r="Q268" s="223"/>
      <c r="R268" s="229" t="s">
        <v>49</v>
      </c>
      <c r="S268" s="225"/>
      <c r="T268" s="230" t="s">
        <v>50</v>
      </c>
      <c r="U268" s="231" t="s">
        <v>51</v>
      </c>
      <c r="V268" s="32" t="s">
        <v>52</v>
      </c>
    </row>
    <row r="269" spans="1:23" x14ac:dyDescent="0.25">
      <c r="B269" s="246" t="s">
        <v>74</v>
      </c>
      <c r="C269" s="247">
        <v>1</v>
      </c>
      <c r="D269" s="184">
        <f>SUM(D5:D27)</f>
        <v>195.437984</v>
      </c>
      <c r="E269" s="185">
        <f>SUM(E5:E27)</f>
        <v>782.19082500000002</v>
      </c>
      <c r="F269" s="186">
        <f>SUM(F5:F27)</f>
        <v>625.75265999999999</v>
      </c>
      <c r="G269" s="187">
        <f>SUM(G5:G27)</f>
        <v>156.43816499999997</v>
      </c>
      <c r="H269" s="188">
        <f>SUM(H5:H27)</f>
        <v>195.437984</v>
      </c>
      <c r="I269" s="189"/>
      <c r="J269" s="190">
        <f>SUM(J5:J27)</f>
        <v>0</v>
      </c>
      <c r="K269" s="191"/>
      <c r="L269" s="192">
        <f>SUM(L5:L27)</f>
        <v>0</v>
      </c>
      <c r="M269" s="191"/>
      <c r="N269" s="193">
        <f>SUM(N5:N27)</f>
        <v>430.31467599999985</v>
      </c>
      <c r="O269" s="191"/>
      <c r="P269" s="194">
        <f>SUM(P5:P27)</f>
        <v>156.43816499999997</v>
      </c>
      <c r="Q269" s="189"/>
      <c r="R269" s="195">
        <f>SUM(R5:R27)</f>
        <v>195.437984</v>
      </c>
      <c r="S269" s="191"/>
      <c r="T269" s="196">
        <f>SUM(T5:T27)</f>
        <v>586.75284099999988</v>
      </c>
      <c r="U269" s="197">
        <f>SUM(U5:U27)</f>
        <v>0</v>
      </c>
      <c r="V269" s="37" t="str">
        <f t="shared" ref="V269:V280" si="130">IF(R269+T269=E269,"ok","bad")</f>
        <v>ok</v>
      </c>
      <c r="W269" s="37" t="str">
        <f t="shared" ref="W269:W280" si="131">IF(U269+R269=D269,"ok","bad")</f>
        <v>ok</v>
      </c>
    </row>
    <row r="270" spans="1:23" x14ac:dyDescent="0.25">
      <c r="B270" s="163" t="s">
        <v>75</v>
      </c>
      <c r="C270" s="129">
        <v>2</v>
      </c>
      <c r="D270" s="130">
        <f>SUM(D28:D47)</f>
        <v>254.88659299999998</v>
      </c>
      <c r="E270" s="131">
        <f>SUM(E28:E47)</f>
        <v>476.09618599999993</v>
      </c>
      <c r="F270" s="132">
        <f>SUM(F28:F47)</f>
        <v>380.87694880000004</v>
      </c>
      <c r="G270" s="133">
        <f>SUM(G28:G47)</f>
        <v>95.219237199999981</v>
      </c>
      <c r="H270" s="134">
        <f>SUM(H28:H47)</f>
        <v>245.51927000000001</v>
      </c>
      <c r="I270" s="135"/>
      <c r="J270" s="136">
        <f>SUM(J28:J47)</f>
        <v>9.3673230000000078</v>
      </c>
      <c r="K270" s="137"/>
      <c r="L270" s="138">
        <f>SUM(L28:L47)</f>
        <v>17.954560199999985</v>
      </c>
      <c r="M270" s="137"/>
      <c r="N270" s="139">
        <f>SUM(N28:N47)</f>
        <v>153.31223900000001</v>
      </c>
      <c r="O270" s="137"/>
      <c r="P270" s="140">
        <f>SUM(P28:P47)</f>
        <v>77.264676999999978</v>
      </c>
      <c r="Q270" s="135"/>
      <c r="R270" s="104">
        <f>SUM(R28:R47)</f>
        <v>227.5647098</v>
      </c>
      <c r="S270" s="137"/>
      <c r="T270" s="141">
        <f>SUM(T28:T47)</f>
        <v>248.53147619999996</v>
      </c>
      <c r="U270" s="199">
        <f>SUM(U28:U47)</f>
        <v>27.321883199999995</v>
      </c>
      <c r="V270" s="37" t="str">
        <f t="shared" si="130"/>
        <v>ok</v>
      </c>
      <c r="W270" s="37" t="str">
        <f t="shared" si="131"/>
        <v>ok</v>
      </c>
    </row>
    <row r="271" spans="1:23" x14ac:dyDescent="0.25">
      <c r="B271" s="163" t="s">
        <v>76</v>
      </c>
      <c r="C271" s="129">
        <v>3</v>
      </c>
      <c r="D271" s="130">
        <f>SUM(D48:D69)</f>
        <v>374.12666700000005</v>
      </c>
      <c r="E271" s="131">
        <f>SUM(E48:E69)</f>
        <v>317.84413799999987</v>
      </c>
      <c r="F271" s="132">
        <f>SUM(F48:F69)</f>
        <v>254.27531040000005</v>
      </c>
      <c r="G271" s="133">
        <f>SUM(G48:G69)</f>
        <v>63.568827599999992</v>
      </c>
      <c r="H271" s="134">
        <f>SUM(H48:H69)</f>
        <v>247.81936999999999</v>
      </c>
      <c r="I271" s="135"/>
      <c r="J271" s="136">
        <f>SUM(J48:J69)</f>
        <v>126.30729700000003</v>
      </c>
      <c r="K271" s="137"/>
      <c r="L271" s="138">
        <f>SUM(L48:L69)</f>
        <v>30.262869599999995</v>
      </c>
      <c r="M271" s="137"/>
      <c r="N271" s="139">
        <f>SUM(N48:N69)</f>
        <v>36.718810000000005</v>
      </c>
      <c r="O271" s="137"/>
      <c r="P271" s="140">
        <f>SUM(P48:P69)</f>
        <v>33.30595799999999</v>
      </c>
      <c r="Q271" s="135"/>
      <c r="R271" s="104">
        <f>SUM(R48:R69)</f>
        <v>217.55650040000003</v>
      </c>
      <c r="S271" s="137"/>
      <c r="T271" s="141">
        <f>SUM(T48:T69)</f>
        <v>100.2876376</v>
      </c>
      <c r="U271" s="199">
        <f>SUM(U48:U69)</f>
        <v>156.57016660000005</v>
      </c>
      <c r="V271" s="37" t="str">
        <f t="shared" si="130"/>
        <v>ok</v>
      </c>
      <c r="W271" s="37" t="str">
        <f t="shared" si="131"/>
        <v>ok</v>
      </c>
    </row>
    <row r="272" spans="1:23" x14ac:dyDescent="0.25">
      <c r="B272" s="163" t="s">
        <v>77</v>
      </c>
      <c r="C272" s="129">
        <v>4</v>
      </c>
      <c r="D272" s="130">
        <f>SUM(D70:D90)</f>
        <v>535.55416200000002</v>
      </c>
      <c r="E272" s="131">
        <f>SUM(E70:E90)</f>
        <v>250.06537599999999</v>
      </c>
      <c r="F272" s="132">
        <f>SUM(F70:F90)</f>
        <v>200.05230079999998</v>
      </c>
      <c r="G272" s="133">
        <f>SUM(G70:G90)</f>
        <v>50.013075199999975</v>
      </c>
      <c r="H272" s="134">
        <f>SUM(H70:H90)</f>
        <v>237.12946399999998</v>
      </c>
      <c r="I272" s="135"/>
      <c r="J272" s="136">
        <f>SUM(J70:J90)</f>
        <v>298.42469800000003</v>
      </c>
      <c r="K272" s="137"/>
      <c r="L272" s="138">
        <f>SUM(L70:L90)</f>
        <v>42.238363199999981</v>
      </c>
      <c r="M272" s="137"/>
      <c r="N272" s="139">
        <f>SUM(N70:N90)</f>
        <v>5.1612000000000027</v>
      </c>
      <c r="O272" s="137"/>
      <c r="P272" s="140">
        <f>SUM(P70:P90)</f>
        <v>7.7747119999999974</v>
      </c>
      <c r="Q272" s="135"/>
      <c r="R272" s="104">
        <f>SUM(R70:R90)</f>
        <v>194.89110079999995</v>
      </c>
      <c r="S272" s="137"/>
      <c r="T272" s="141">
        <f>SUM(T70:T90)</f>
        <v>55.174275199999983</v>
      </c>
      <c r="U272" s="199">
        <f>SUM(U70:U90)</f>
        <v>340.66306120000002</v>
      </c>
      <c r="V272" s="37" t="str">
        <f t="shared" si="130"/>
        <v>ok</v>
      </c>
      <c r="W272" s="37" t="str">
        <f t="shared" si="131"/>
        <v>ok</v>
      </c>
    </row>
    <row r="273" spans="2:23" x14ac:dyDescent="0.25">
      <c r="B273" s="163" t="s">
        <v>78</v>
      </c>
      <c r="C273" s="129">
        <v>5</v>
      </c>
      <c r="D273" s="130">
        <f>SUM(D91:D113)</f>
        <v>782.11119700000006</v>
      </c>
      <c r="E273" s="131">
        <f>SUM(E91:E113)</f>
        <v>195.35692799999998</v>
      </c>
      <c r="F273" s="132">
        <f>SUM(F91:F113)</f>
        <v>156.2855424</v>
      </c>
      <c r="G273" s="133">
        <f>SUM(G91:G113)</f>
        <v>39.071385599999985</v>
      </c>
      <c r="H273" s="134">
        <f>SUM(H91:H113)</f>
        <v>195.33668099999997</v>
      </c>
      <c r="I273" s="135"/>
      <c r="J273" s="136">
        <f>SUM(J91:J113)</f>
        <v>586.77451599999995</v>
      </c>
      <c r="K273" s="137"/>
      <c r="L273" s="138">
        <f>SUM(L91:L113)</f>
        <v>39.051138599999987</v>
      </c>
      <c r="M273" s="137"/>
      <c r="N273" s="139">
        <f>SUM(N91:N113)</f>
        <v>0</v>
      </c>
      <c r="O273" s="137"/>
      <c r="P273" s="140">
        <f>SUM(P91:P113)</f>
        <v>2.024699999999946E-2</v>
      </c>
      <c r="Q273" s="135"/>
      <c r="R273" s="104">
        <f>SUM(R91:R113)</f>
        <v>156.2855424</v>
      </c>
      <c r="S273" s="137"/>
      <c r="T273" s="141">
        <f>SUM(T91:T113)</f>
        <v>39.071385599999985</v>
      </c>
      <c r="U273" s="199">
        <f>SUM(U91:U113)</f>
        <v>625.82565459999989</v>
      </c>
      <c r="V273" s="37" t="str">
        <f t="shared" si="130"/>
        <v>ok</v>
      </c>
      <c r="W273" s="37" t="str">
        <f t="shared" si="131"/>
        <v>ok</v>
      </c>
    </row>
    <row r="274" spans="2:23" x14ac:dyDescent="0.25">
      <c r="B274" s="163" t="s">
        <v>79</v>
      </c>
      <c r="C274" s="129">
        <v>6</v>
      </c>
      <c r="D274" s="130">
        <f>SUM(D114:D134)</f>
        <v>357.03610800000001</v>
      </c>
      <c r="E274" s="131">
        <f>SUM(E114:E134)</f>
        <v>321.4618825</v>
      </c>
      <c r="F274" s="132">
        <f>SUM(F114:F134)</f>
        <v>257.16950600000001</v>
      </c>
      <c r="G274" s="133">
        <f>SUM(G114:G134)</f>
        <v>64.292376499999975</v>
      </c>
      <c r="H274" s="134">
        <f>SUM(H114:H134)</f>
        <v>245.35707299999996</v>
      </c>
      <c r="I274" s="135"/>
      <c r="J274" s="136">
        <f>SUM(J114:J134)</f>
        <v>111.67903499999997</v>
      </c>
      <c r="K274" s="137"/>
      <c r="L274" s="138">
        <f>SUM(L114:L134)</f>
        <v>28.783124999999998</v>
      </c>
      <c r="M274" s="137"/>
      <c r="N274" s="139">
        <f>SUM(N114:N134)</f>
        <v>40.595558000000025</v>
      </c>
      <c r="O274" s="137"/>
      <c r="P274" s="140">
        <f>SUM(P114:P134)</f>
        <v>35.509251499999998</v>
      </c>
      <c r="Q274" s="135"/>
      <c r="R274" s="104">
        <f>SUM(R114:R134)</f>
        <v>216.57394799999997</v>
      </c>
      <c r="S274" s="137"/>
      <c r="T274" s="141">
        <f>SUM(T114:T134)</f>
        <v>104.88793450000001</v>
      </c>
      <c r="U274" s="199">
        <f>SUM(U114:U134)</f>
        <v>140.46215999999995</v>
      </c>
      <c r="V274" s="37" t="str">
        <f t="shared" si="130"/>
        <v>ok</v>
      </c>
      <c r="W274" s="37" t="str">
        <f t="shared" si="131"/>
        <v>ok</v>
      </c>
    </row>
    <row r="275" spans="2:23" x14ac:dyDescent="0.25">
      <c r="B275" s="163" t="s">
        <v>80</v>
      </c>
      <c r="C275" s="129">
        <v>7</v>
      </c>
      <c r="D275" s="130">
        <f>SUM(D135:D156)</f>
        <v>186.85814519999997</v>
      </c>
      <c r="E275" s="131">
        <f>SUM(E135:E156)</f>
        <v>374.17566949999997</v>
      </c>
      <c r="F275" s="132">
        <f>SUM(F135:F156)</f>
        <v>299.34053560000001</v>
      </c>
      <c r="G275" s="133">
        <f>SUM(G135:G156)</f>
        <v>74.835133899999974</v>
      </c>
      <c r="H275" s="134">
        <f>SUM(H135:H156)</f>
        <v>185.03842609999998</v>
      </c>
      <c r="I275" s="135"/>
      <c r="J275" s="136">
        <f>SUM(J135:J156)</f>
        <v>1.8197191000000004</v>
      </c>
      <c r="K275" s="137"/>
      <c r="L275" s="138">
        <f>SUM(L135:L156)</f>
        <v>7.3516312999999949</v>
      </c>
      <c r="M275" s="137"/>
      <c r="N275" s="139">
        <f>SUM(N135:N156)</f>
        <v>121.65374079999999</v>
      </c>
      <c r="O275" s="137"/>
      <c r="P275" s="140">
        <f>SUM(P135:P156)</f>
        <v>67.483502599999966</v>
      </c>
      <c r="Q275" s="135"/>
      <c r="R275" s="104">
        <f>SUM(R135:R156)</f>
        <v>177.68679479999997</v>
      </c>
      <c r="S275" s="137"/>
      <c r="T275" s="141">
        <f>SUM(T135:T156)</f>
        <v>196.4888747</v>
      </c>
      <c r="U275" s="199">
        <f>SUM(U135:U156)</f>
        <v>9.1713503999999944</v>
      </c>
      <c r="V275" s="37" t="str">
        <f t="shared" si="130"/>
        <v>ok</v>
      </c>
      <c r="W275" s="37" t="str">
        <f t="shared" si="131"/>
        <v>ok</v>
      </c>
    </row>
    <row r="276" spans="2:23" x14ac:dyDescent="0.25">
      <c r="B276" s="163" t="s">
        <v>81</v>
      </c>
      <c r="C276" s="129">
        <v>8</v>
      </c>
      <c r="D276" s="130">
        <f>SUM(D157:D179)</f>
        <v>195.437984</v>
      </c>
      <c r="E276" s="131">
        <f>SUM(E157:E179)</f>
        <v>527.69263949999993</v>
      </c>
      <c r="F276" s="132">
        <f>SUM(F157:F179)</f>
        <v>422.15411160000008</v>
      </c>
      <c r="G276" s="133">
        <f>SUM(G157:G179)</f>
        <v>105.53852790000001</v>
      </c>
      <c r="H276" s="134">
        <f>SUM(H157:H179)</f>
        <v>195.437984</v>
      </c>
      <c r="I276" s="135"/>
      <c r="J276" s="136">
        <f>SUM(J157:J179)</f>
        <v>0</v>
      </c>
      <c r="K276" s="137"/>
      <c r="L276" s="138">
        <f>SUM(L157:L179)</f>
        <v>0.84558680000000219</v>
      </c>
      <c r="M276" s="137"/>
      <c r="N276" s="139">
        <f>SUM(N157:N179)</f>
        <v>227.5617144</v>
      </c>
      <c r="O276" s="137"/>
      <c r="P276" s="140">
        <f>SUM(P157:P179)</f>
        <v>104.6929411</v>
      </c>
      <c r="Q276" s="135"/>
      <c r="R276" s="104">
        <f>SUM(R157:R179)</f>
        <v>194.59239719999999</v>
      </c>
      <c r="S276" s="137"/>
      <c r="T276" s="141">
        <f>SUM(T157:T179)</f>
        <v>333.10024229999999</v>
      </c>
      <c r="U276" s="199">
        <f>SUM(U157:U179)</f>
        <v>0.84558680000000219</v>
      </c>
      <c r="V276" s="37" t="str">
        <f t="shared" si="130"/>
        <v>ok</v>
      </c>
      <c r="W276" s="37" t="str">
        <f t="shared" si="131"/>
        <v>ok</v>
      </c>
    </row>
    <row r="277" spans="2:23" x14ac:dyDescent="0.25">
      <c r="B277" s="163" t="s">
        <v>82</v>
      </c>
      <c r="C277" s="129">
        <v>9</v>
      </c>
      <c r="D277" s="130">
        <f>SUM(D180:D199)</f>
        <v>339.94054249999999</v>
      </c>
      <c r="E277" s="131">
        <f>SUM(E180:E199)</f>
        <v>424.99167849999998</v>
      </c>
      <c r="F277" s="132">
        <f>SUM(F180:F199)</f>
        <v>339.99334279999994</v>
      </c>
      <c r="G277" s="133">
        <f>SUM(G180:G199)</f>
        <v>84.99833569999997</v>
      </c>
      <c r="H277" s="134">
        <f>SUM(H180:H199)</f>
        <v>278.13518100000005</v>
      </c>
      <c r="I277" s="135"/>
      <c r="J277" s="136">
        <f>SUM(J180:J199)</f>
        <v>61.805361500000032</v>
      </c>
      <c r="K277" s="137"/>
      <c r="L277" s="138">
        <f>SUM(L180:L199)</f>
        <v>31.541572199999994</v>
      </c>
      <c r="M277" s="137"/>
      <c r="N277" s="139">
        <f>SUM(N180:N199)</f>
        <v>93.399733999999981</v>
      </c>
      <c r="O277" s="137"/>
      <c r="P277" s="140">
        <f>SUM(P180:P199)</f>
        <v>53.456763499999973</v>
      </c>
      <c r="Q277" s="135"/>
      <c r="R277" s="104">
        <f>SUM(R180:R199)</f>
        <v>246.59360879999994</v>
      </c>
      <c r="S277" s="137"/>
      <c r="T277" s="141">
        <f>SUM(T180:T199)</f>
        <v>178.39806969999995</v>
      </c>
      <c r="U277" s="199">
        <f>SUM(U180:U199)</f>
        <v>93.346933700000008</v>
      </c>
      <c r="V277" s="37" t="str">
        <f t="shared" si="130"/>
        <v>ok</v>
      </c>
      <c r="W277" s="37" t="str">
        <f t="shared" si="131"/>
        <v>ok</v>
      </c>
    </row>
    <row r="278" spans="2:23" x14ac:dyDescent="0.25">
      <c r="B278" s="163" t="s">
        <v>83</v>
      </c>
      <c r="C278" s="129">
        <v>10</v>
      </c>
      <c r="D278" s="130">
        <f>SUM(D200:D222)</f>
        <v>332.31642499999998</v>
      </c>
      <c r="E278" s="131">
        <f>SUM(E200:E222)</f>
        <v>391.09541250000001</v>
      </c>
      <c r="F278" s="132">
        <f>SUM(F200:F222)</f>
        <v>312.87633</v>
      </c>
      <c r="G278" s="133">
        <f>SUM(G200:G222)</f>
        <v>78.219082499999985</v>
      </c>
      <c r="H278" s="134">
        <f>SUM(H200:H222)</f>
        <v>268.58427499999999</v>
      </c>
      <c r="I278" s="135"/>
      <c r="J278" s="136">
        <f>SUM(J200:J222)</f>
        <v>63.732150000000019</v>
      </c>
      <c r="K278" s="137"/>
      <c r="L278" s="138">
        <f>SUM(L200:L222)</f>
        <v>35.542494999999995</v>
      </c>
      <c r="M278" s="137"/>
      <c r="N278" s="139">
        <f>SUM(N200:N222)</f>
        <v>79.834549999999993</v>
      </c>
      <c r="O278" s="137"/>
      <c r="P278" s="140">
        <f>SUM(P200:P222)</f>
        <v>42.676587499999989</v>
      </c>
      <c r="Q278" s="135"/>
      <c r="R278" s="104">
        <f>SUM(R200:R222)</f>
        <v>233.04177999999996</v>
      </c>
      <c r="S278" s="137"/>
      <c r="T278" s="141">
        <f>SUM(T200:T222)</f>
        <v>158.05363249999994</v>
      </c>
      <c r="U278" s="199">
        <f>SUM(U200:U222)</f>
        <v>99.274644999999992</v>
      </c>
      <c r="V278" s="37" t="str">
        <f t="shared" si="130"/>
        <v>ok</v>
      </c>
      <c r="W278" s="37" t="str">
        <f t="shared" si="131"/>
        <v>ok</v>
      </c>
    </row>
    <row r="279" spans="2:23" x14ac:dyDescent="0.25">
      <c r="B279" s="163" t="s">
        <v>84</v>
      </c>
      <c r="C279" s="129">
        <v>11</v>
      </c>
      <c r="D279" s="130">
        <f>SUM(D223:D244)</f>
        <v>261.95706299999995</v>
      </c>
      <c r="E279" s="131">
        <f>SUM(E223:E244)</f>
        <v>561.07697600000006</v>
      </c>
      <c r="F279" s="132">
        <f>SUM(F223:F244)</f>
        <v>448.86158080000007</v>
      </c>
      <c r="G279" s="133">
        <f>SUM(G223:G244)</f>
        <v>112.2153952</v>
      </c>
      <c r="H279" s="134">
        <f>SUM(H223:H244)</f>
        <v>260.42594099999997</v>
      </c>
      <c r="I279" s="135"/>
      <c r="J279" s="136">
        <f>SUM(J223:J244)</f>
        <v>1.5311220000000034</v>
      </c>
      <c r="K279" s="137"/>
      <c r="L279" s="138">
        <f>SUM(L223:L244)</f>
        <v>7.34625419999999</v>
      </c>
      <c r="M279" s="137"/>
      <c r="N279" s="139">
        <f>SUM(N223:N244)</f>
        <v>195.78189400000002</v>
      </c>
      <c r="O279" s="137"/>
      <c r="P279" s="140">
        <f>SUM(P223:P244)</f>
        <v>104.86914100000001</v>
      </c>
      <c r="Q279" s="135"/>
      <c r="R279" s="104">
        <f>SUM(R223:R244)</f>
        <v>253.07968679999999</v>
      </c>
      <c r="S279" s="137"/>
      <c r="T279" s="141">
        <f>SUM(T223:T244)</f>
        <v>307.99728920000001</v>
      </c>
      <c r="U279" s="199">
        <f>SUM(U223:U244)</f>
        <v>8.8773761999999934</v>
      </c>
      <c r="V279" s="37" t="str">
        <f t="shared" si="130"/>
        <v>ok</v>
      </c>
      <c r="W279" s="37" t="str">
        <f t="shared" si="131"/>
        <v>ok</v>
      </c>
    </row>
    <row r="280" spans="2:23" ht="15.75" thickBot="1" x14ac:dyDescent="0.3">
      <c r="B280" s="164" t="s">
        <v>85</v>
      </c>
      <c r="C280" s="165">
        <v>12</v>
      </c>
      <c r="D280" s="202">
        <f>SUM(D245:D265)</f>
        <v>178.51805400000001</v>
      </c>
      <c r="E280" s="203">
        <f>SUM(E245:E265)</f>
        <v>713.96506499999987</v>
      </c>
      <c r="F280" s="204">
        <f>SUM(F245:F265)</f>
        <v>571.17205200000001</v>
      </c>
      <c r="G280" s="205">
        <f>SUM(G245:G265)</f>
        <v>142.79301299999997</v>
      </c>
      <c r="H280" s="206">
        <f>SUM(H245:H265)</f>
        <v>178.51805400000001</v>
      </c>
      <c r="I280" s="207"/>
      <c r="J280" s="208">
        <f>SUM(J245:J265)</f>
        <v>0</v>
      </c>
      <c r="K280" s="209"/>
      <c r="L280" s="210">
        <f>SUM(L245:L265)</f>
        <v>0</v>
      </c>
      <c r="M280" s="209"/>
      <c r="N280" s="211">
        <f>SUM(N245:N265)</f>
        <v>392.65399799999994</v>
      </c>
      <c r="O280" s="209"/>
      <c r="P280" s="212">
        <f>SUM(P245:P265)</f>
        <v>142.79301299999997</v>
      </c>
      <c r="Q280" s="207"/>
      <c r="R280" s="213">
        <f>SUM(R245:R265)</f>
        <v>178.51805400000001</v>
      </c>
      <c r="S280" s="209"/>
      <c r="T280" s="214">
        <f>SUM(T245:T265)</f>
        <v>535.44701099999997</v>
      </c>
      <c r="U280" s="215">
        <f>SUM(U245:U265)</f>
        <v>0</v>
      </c>
      <c r="V280" s="37" t="str">
        <f t="shared" si="130"/>
        <v>ok</v>
      </c>
      <c r="W280" s="37" t="str">
        <f t="shared" si="131"/>
        <v>ok</v>
      </c>
    </row>
    <row r="281" spans="2:23" ht="15.75" thickBot="1" x14ac:dyDescent="0.3">
      <c r="B281" s="248" t="s">
        <v>103</v>
      </c>
      <c r="C281" s="165"/>
      <c r="D281" s="257">
        <f>SUM(D269:D280)</f>
        <v>3994.1809247000006</v>
      </c>
      <c r="E281" s="258">
        <f>SUM(E269:E280)</f>
        <v>5336.0127764999997</v>
      </c>
      <c r="F281" s="259">
        <f>SUM(F269:F280)</f>
        <v>4268.8102211999994</v>
      </c>
      <c r="G281" s="260">
        <f>SUM(G269:G280)</f>
        <v>1067.2025552999999</v>
      </c>
      <c r="H281" s="261">
        <f>SUM(H269:H280)</f>
        <v>2732.7397031</v>
      </c>
      <c r="I281" s="262"/>
      <c r="J281" s="263">
        <f>SUM(J269:J280)</f>
        <v>1261.4412216000001</v>
      </c>
      <c r="K281" s="264"/>
      <c r="L281" s="265">
        <f>SUM(L269:L280)</f>
        <v>240.91759609999997</v>
      </c>
      <c r="M281" s="264"/>
      <c r="N281" s="266">
        <f>SUM(N269:N280)</f>
        <v>1776.9881141999999</v>
      </c>
      <c r="O281" s="264"/>
      <c r="P281" s="267">
        <f>SUM(P269:P280)</f>
        <v>826.28495919999989</v>
      </c>
      <c r="Q281" s="262"/>
      <c r="R281" s="268">
        <f>SUM(R269:R280)</f>
        <v>2491.822107</v>
      </c>
      <c r="S281" s="264"/>
      <c r="T281" s="269">
        <f>SUM(T269:T280)</f>
        <v>2844.1906694999998</v>
      </c>
      <c r="U281" s="270">
        <f>SUM(U269:U280)</f>
        <v>1502.3588176999999</v>
      </c>
      <c r="V281" s="37"/>
      <c r="W281" s="37"/>
    </row>
    <row r="282" spans="2:23" x14ac:dyDescent="0.25">
      <c r="B282" s="431" t="s">
        <v>104</v>
      </c>
      <c r="C282" s="432"/>
      <c r="D282" s="250">
        <f>AVERAGE(D269:D280)</f>
        <v>332.84841039166673</v>
      </c>
      <c r="E282" s="250">
        <f>AVERAGE(E269:E280)</f>
        <v>444.66773137499996</v>
      </c>
      <c r="F282" s="250"/>
      <c r="G282" s="250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  <c r="R282" s="250">
        <f>AVERAGE(R269:R280)</f>
        <v>207.65184224999999</v>
      </c>
      <c r="S282" s="251"/>
      <c r="T282" s="251"/>
      <c r="U282" s="252"/>
      <c r="V282" s="37"/>
      <c r="W282" s="37"/>
    </row>
    <row r="283" spans="2:23" ht="15.75" thickBot="1" x14ac:dyDescent="0.3">
      <c r="B283" s="433" t="s">
        <v>105</v>
      </c>
      <c r="C283" s="434"/>
      <c r="D283" s="253">
        <f>D281/COUNT(C5:C265)</f>
        <v>15.303375190421457</v>
      </c>
      <c r="E283" s="253">
        <f>E281/COUNT(C5:C265)</f>
        <v>20.444493396551724</v>
      </c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>
        <f>R281/COUNT(C5:C265)</f>
        <v>9.5472111379310345</v>
      </c>
      <c r="S283" s="254"/>
      <c r="T283" s="254"/>
      <c r="U283" s="255"/>
    </row>
    <row r="284" spans="2:23" x14ac:dyDescent="0.25"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</row>
    <row r="287" spans="2:23" x14ac:dyDescent="0.25">
      <c r="C287" s="75"/>
    </row>
    <row r="288" spans="2:23" x14ac:dyDescent="0.25">
      <c r="C288" s="75"/>
    </row>
    <row r="289" spans="3:3" x14ac:dyDescent="0.25">
      <c r="C289" s="75"/>
    </row>
  </sheetData>
  <mergeCells count="14">
    <mergeCell ref="B282:C282"/>
    <mergeCell ref="B283:C283"/>
    <mergeCell ref="A135:A156"/>
    <mergeCell ref="A157:A179"/>
    <mergeCell ref="A180:A199"/>
    <mergeCell ref="A200:A222"/>
    <mergeCell ref="A223:A244"/>
    <mergeCell ref="A245:A265"/>
    <mergeCell ref="A114:A134"/>
    <mergeCell ref="A5:A27"/>
    <mergeCell ref="A28:A47"/>
    <mergeCell ref="A48:A69"/>
    <mergeCell ref="A70:A90"/>
    <mergeCell ref="A91:A113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4"/>
  <sheetViews>
    <sheetView topLeftCell="A253" zoomScale="80" zoomScaleNormal="80" workbookViewId="0">
      <selection activeCell="H285" sqref="H285"/>
    </sheetView>
  </sheetViews>
  <sheetFormatPr baseColWidth="10" defaultRowHeight="15" x14ac:dyDescent="0.25"/>
  <cols>
    <col min="1" max="1" width="12.42578125" customWidth="1"/>
    <col min="2" max="2" width="13.5703125" customWidth="1"/>
    <col min="3" max="3" width="8.140625" bestFit="1" customWidth="1"/>
    <col min="4" max="4" width="11.7109375" customWidth="1"/>
    <col min="5" max="5" width="9.7109375" bestFit="1" customWidth="1"/>
    <col min="6" max="6" width="9.5703125" customWidth="1"/>
    <col min="7" max="7" width="9.7109375" customWidth="1"/>
    <col min="9" max="9" width="0.85546875" customWidth="1"/>
    <col min="11" max="11" width="0.85546875" customWidth="1"/>
    <col min="13" max="13" width="0.85546875" customWidth="1"/>
    <col min="15" max="15" width="0.85546875" customWidth="1"/>
    <col min="17" max="17" width="0.85546875" customWidth="1"/>
    <col min="19" max="19" width="0.85546875" customWidth="1"/>
    <col min="22" max="22" width="4.140625" bestFit="1" customWidth="1"/>
    <col min="23" max="23" width="3" bestFit="1" customWidth="1"/>
  </cols>
  <sheetData>
    <row r="1" spans="1:23" x14ac:dyDescent="0.25">
      <c r="A1" s="2" t="s">
        <v>106</v>
      </c>
      <c r="B1" s="3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thickBot="1" x14ac:dyDescent="0.3"/>
    <row r="3" spans="1:23" ht="51.75" thickBot="1" x14ac:dyDescent="0.3">
      <c r="A3" s="175">
        <v>2018</v>
      </c>
      <c r="B3" s="216"/>
      <c r="C3" s="217"/>
      <c r="D3" s="218" t="s">
        <v>40</v>
      </c>
      <c r="E3" s="219" t="s">
        <v>41</v>
      </c>
      <c r="F3" s="220" t="s">
        <v>42</v>
      </c>
      <c r="G3" s="221" t="s">
        <v>43</v>
      </c>
      <c r="H3" s="222" t="s">
        <v>44</v>
      </c>
      <c r="I3" s="223"/>
      <c r="J3" s="224" t="s">
        <v>45</v>
      </c>
      <c r="K3" s="225"/>
      <c r="L3" s="226" t="s">
        <v>46</v>
      </c>
      <c r="M3" s="225"/>
      <c r="N3" s="227" t="s">
        <v>47</v>
      </c>
      <c r="O3" s="225"/>
      <c r="P3" s="228" t="s">
        <v>48</v>
      </c>
      <c r="Q3" s="223"/>
      <c r="R3" s="229" t="s">
        <v>49</v>
      </c>
      <c r="S3" s="225"/>
      <c r="T3" s="230" t="s">
        <v>50</v>
      </c>
      <c r="U3" s="231" t="s">
        <v>51</v>
      </c>
      <c r="V3" s="32" t="s">
        <v>52</v>
      </c>
      <c r="W3" s="32"/>
    </row>
    <row r="4" spans="1:23" ht="3" customHeight="1" thickBot="1" x14ac:dyDescent="0.3">
      <c r="A4" s="37"/>
      <c r="B4" s="272"/>
      <c r="C4" s="273"/>
      <c r="D4" s="271"/>
      <c r="E4" s="271"/>
      <c r="F4" s="271"/>
      <c r="G4" s="271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4"/>
      <c r="S4" s="273"/>
      <c r="T4" s="273"/>
      <c r="U4" s="275"/>
      <c r="V4" s="37"/>
      <c r="W4" s="37"/>
    </row>
    <row r="5" spans="1:23" x14ac:dyDescent="0.25">
      <c r="A5" s="428" t="s">
        <v>89</v>
      </c>
      <c r="B5" s="182" t="s">
        <v>19</v>
      </c>
      <c r="C5" s="247">
        <v>1</v>
      </c>
      <c r="D5" s="184">
        <f>'2.4.5.2 Durée de missions'!D5/BDA</f>
        <v>0.16103969230769233</v>
      </c>
      <c r="E5" s="185">
        <f>'2.4.5.2 Durée de missions'!E5/BDA</f>
        <v>1.3068749999999996</v>
      </c>
      <c r="F5" s="186">
        <f t="shared" ref="F5:F68" si="0">E5*TC</f>
        <v>1.0454999999999997</v>
      </c>
      <c r="G5" s="187">
        <f t="shared" ref="G5:G68" si="1">E5*(1-TC)</f>
        <v>0.26137499999999986</v>
      </c>
      <c r="H5" s="188">
        <f>IF(E5&gt;D5,D5,E5)</f>
        <v>0.16103969230769233</v>
      </c>
      <c r="I5" s="189"/>
      <c r="J5" s="190">
        <f>IF(E5&gt;D5,0,D5-E5)</f>
        <v>0</v>
      </c>
      <c r="K5" s="191"/>
      <c r="L5" s="192">
        <f>IF(E5&gt;D5,IF(F5&gt;H5,0,H5-F5),G5)</f>
        <v>0</v>
      </c>
      <c r="M5" s="191"/>
      <c r="N5" s="193">
        <f>IF(E5&gt;D5,IF(F5&gt;H5,F5-H5,0),0)</f>
        <v>0.88446030769230732</v>
      </c>
      <c r="O5" s="191"/>
      <c r="P5" s="194">
        <f>IF(E5&gt;D5,IF(F5&gt;H5,G5,E5-H5),0)</f>
        <v>0.26137499999999986</v>
      </c>
      <c r="Q5" s="189"/>
      <c r="R5" s="195">
        <f>H5-L5</f>
        <v>0.16103969230769233</v>
      </c>
      <c r="S5" s="191"/>
      <c r="T5" s="196">
        <f>L5+N5+P5</f>
        <v>1.1458353076923071</v>
      </c>
      <c r="U5" s="197">
        <f>J5+L5</f>
        <v>0</v>
      </c>
      <c r="V5" s="37" t="str">
        <f>IF(R5+T5=E5,"ok","bad")</f>
        <v>ok</v>
      </c>
      <c r="W5" s="37" t="str">
        <f>IF(U5+R5=D5,"ok","bad")</f>
        <v>ok</v>
      </c>
    </row>
    <row r="6" spans="1:23" x14ac:dyDescent="0.25">
      <c r="A6" s="429"/>
      <c r="B6" s="198" t="s">
        <v>20</v>
      </c>
      <c r="C6" s="129">
        <v>2</v>
      </c>
      <c r="D6" s="130">
        <f>'2.4.5.2 Durée de missions'!D6/BDA</f>
        <v>0.12644861538461541</v>
      </c>
      <c r="E6" s="131">
        <f>'2.4.5.2 Durée de missions'!E6/BDA</f>
        <v>0.95837499999999998</v>
      </c>
      <c r="F6" s="132">
        <f t="shared" si="0"/>
        <v>0.76670000000000005</v>
      </c>
      <c r="G6" s="133">
        <f t="shared" si="1"/>
        <v>0.19167499999999996</v>
      </c>
      <c r="H6" s="134">
        <f t="shared" ref="H6:H27" si="2">IF(E6&gt;D6,D6,E6)</f>
        <v>0.12644861538461541</v>
      </c>
      <c r="I6" s="135"/>
      <c r="J6" s="136">
        <f t="shared" ref="J6:J27" si="3">IF(E6&gt;D6,0,D6-E6)</f>
        <v>0</v>
      </c>
      <c r="K6" s="137"/>
      <c r="L6" s="138">
        <f t="shared" ref="L6:L27" si="4">IF(E6&gt;D6,IF(F6&gt;H6,0,H6-F6),G6)</f>
        <v>0</v>
      </c>
      <c r="M6" s="137"/>
      <c r="N6" s="139">
        <f t="shared" ref="N6:N27" si="5">IF(E6&gt;D6,IF(F6&gt;H6,F6-H6,0),0)</f>
        <v>0.64025138461538467</v>
      </c>
      <c r="O6" s="137"/>
      <c r="P6" s="140">
        <f t="shared" ref="P6:P27" si="6">IF(E6&gt;D6,IF(F6&gt;H6,G6,E6-H6),0)</f>
        <v>0.19167499999999996</v>
      </c>
      <c r="Q6" s="135"/>
      <c r="R6" s="104">
        <f t="shared" ref="R6:R27" si="7">H6-L6</f>
        <v>0.12644861538461541</v>
      </c>
      <c r="S6" s="137"/>
      <c r="T6" s="141">
        <f t="shared" ref="T6:T27" si="8">L6+N6+P6</f>
        <v>0.8319263846153846</v>
      </c>
      <c r="U6" s="199">
        <f t="shared" ref="U6:U27" si="9">J6+L6</f>
        <v>0</v>
      </c>
      <c r="V6" s="37" t="str">
        <f t="shared" ref="V6:V27" si="10">IF(R6+T6=E6,"ok","bad")</f>
        <v>ok</v>
      </c>
      <c r="W6" s="37" t="str">
        <f t="shared" ref="W6:W27" si="11">IF(U6+R6=D6,"ok","bad")</f>
        <v>ok</v>
      </c>
    </row>
    <row r="7" spans="1:23" x14ac:dyDescent="0.25">
      <c r="A7" s="429"/>
      <c r="B7" s="198" t="s">
        <v>21</v>
      </c>
      <c r="C7" s="129">
        <v>3</v>
      </c>
      <c r="D7" s="130">
        <f>'2.4.5.2 Durée de missions'!D7/BDA</f>
        <v>5.5310153846153849E-2</v>
      </c>
      <c r="E7" s="131">
        <f>'2.4.5.2 Durée de missions'!E7/BDA</f>
        <v>0.39206249999999987</v>
      </c>
      <c r="F7" s="132">
        <f t="shared" si="0"/>
        <v>0.31364999999999993</v>
      </c>
      <c r="G7" s="133">
        <f t="shared" si="1"/>
        <v>7.8412499999999954E-2</v>
      </c>
      <c r="H7" s="134">
        <f t="shared" si="2"/>
        <v>5.5310153846153849E-2</v>
      </c>
      <c r="I7" s="135"/>
      <c r="J7" s="136">
        <f t="shared" si="3"/>
        <v>0</v>
      </c>
      <c r="K7" s="137"/>
      <c r="L7" s="138">
        <f t="shared" si="4"/>
        <v>0</v>
      </c>
      <c r="M7" s="137"/>
      <c r="N7" s="139">
        <f t="shared" si="5"/>
        <v>0.25833984615384609</v>
      </c>
      <c r="O7" s="137"/>
      <c r="P7" s="140">
        <f t="shared" si="6"/>
        <v>7.8412499999999954E-2</v>
      </c>
      <c r="Q7" s="135"/>
      <c r="R7" s="104">
        <f t="shared" si="7"/>
        <v>5.5310153846153849E-2</v>
      </c>
      <c r="S7" s="137"/>
      <c r="T7" s="141">
        <f t="shared" si="8"/>
        <v>0.33675234615384603</v>
      </c>
      <c r="U7" s="199">
        <f t="shared" si="9"/>
        <v>0</v>
      </c>
      <c r="V7" s="37" t="str">
        <f t="shared" si="10"/>
        <v>ok</v>
      </c>
      <c r="W7" s="37" t="str">
        <f t="shared" si="11"/>
        <v>ok</v>
      </c>
    </row>
    <row r="8" spans="1:23" x14ac:dyDescent="0.25">
      <c r="A8" s="429"/>
      <c r="B8" s="198" t="s">
        <v>22</v>
      </c>
      <c r="C8" s="129">
        <v>4</v>
      </c>
      <c r="D8" s="130">
        <f>'2.4.5.2 Durée de missions'!D8/BDA</f>
        <v>3.8592615384615378E-2</v>
      </c>
      <c r="E8" s="131">
        <f>'2.4.5.2 Durée de missions'!E8/BDA</f>
        <v>0.58809374999999997</v>
      </c>
      <c r="F8" s="132">
        <f t="shared" si="0"/>
        <v>0.47047499999999998</v>
      </c>
      <c r="G8" s="133">
        <f t="shared" si="1"/>
        <v>0.11761874999999997</v>
      </c>
      <c r="H8" s="134">
        <f t="shared" si="2"/>
        <v>3.8592615384615378E-2</v>
      </c>
      <c r="I8" s="135"/>
      <c r="J8" s="136">
        <f t="shared" si="3"/>
        <v>0</v>
      </c>
      <c r="K8" s="137"/>
      <c r="L8" s="138">
        <f t="shared" si="4"/>
        <v>0</v>
      </c>
      <c r="M8" s="137"/>
      <c r="N8" s="139">
        <f t="shared" si="5"/>
        <v>0.43188238461538458</v>
      </c>
      <c r="O8" s="137"/>
      <c r="P8" s="140">
        <f t="shared" si="6"/>
        <v>0.11761874999999997</v>
      </c>
      <c r="Q8" s="135"/>
      <c r="R8" s="104">
        <f t="shared" si="7"/>
        <v>3.8592615384615378E-2</v>
      </c>
      <c r="S8" s="137"/>
      <c r="T8" s="141">
        <f t="shared" si="8"/>
        <v>0.54950113461538452</v>
      </c>
      <c r="U8" s="199">
        <f t="shared" si="9"/>
        <v>0</v>
      </c>
      <c r="V8" s="37" t="str">
        <f t="shared" si="10"/>
        <v>ok</v>
      </c>
      <c r="W8" s="37" t="str">
        <f t="shared" si="11"/>
        <v>ok</v>
      </c>
    </row>
    <row r="9" spans="1:23" x14ac:dyDescent="0.25">
      <c r="A9" s="429"/>
      <c r="B9" s="198" t="s">
        <v>23</v>
      </c>
      <c r="C9" s="129">
        <v>5</v>
      </c>
      <c r="D9" s="130">
        <f>'2.4.5.2 Durée de missions'!D9/BDA</f>
        <v>8.0030769230769253E-2</v>
      </c>
      <c r="E9" s="131">
        <f>'2.4.5.2 Durée de missions'!E9/BDA</f>
        <v>0.95837499999999998</v>
      </c>
      <c r="F9" s="132">
        <f t="shared" si="0"/>
        <v>0.76670000000000005</v>
      </c>
      <c r="G9" s="133">
        <f t="shared" si="1"/>
        <v>0.19167499999999996</v>
      </c>
      <c r="H9" s="134">
        <f t="shared" si="2"/>
        <v>8.0030769230769253E-2</v>
      </c>
      <c r="I9" s="135"/>
      <c r="J9" s="136">
        <f t="shared" si="3"/>
        <v>0</v>
      </c>
      <c r="K9" s="137"/>
      <c r="L9" s="138">
        <f t="shared" si="4"/>
        <v>0</v>
      </c>
      <c r="M9" s="137"/>
      <c r="N9" s="139">
        <f t="shared" si="5"/>
        <v>0.68666923076923081</v>
      </c>
      <c r="O9" s="137"/>
      <c r="P9" s="140">
        <f t="shared" si="6"/>
        <v>0.19167499999999996</v>
      </c>
      <c r="Q9" s="135"/>
      <c r="R9" s="104">
        <f t="shared" si="7"/>
        <v>8.0030769230769253E-2</v>
      </c>
      <c r="S9" s="137"/>
      <c r="T9" s="141">
        <f t="shared" si="8"/>
        <v>0.87834423076923074</v>
      </c>
      <c r="U9" s="199">
        <f t="shared" si="9"/>
        <v>0</v>
      </c>
      <c r="V9" s="37" t="str">
        <f t="shared" si="10"/>
        <v>ok</v>
      </c>
      <c r="W9" s="37" t="str">
        <f t="shared" si="11"/>
        <v>ok</v>
      </c>
    </row>
    <row r="10" spans="1:23" x14ac:dyDescent="0.25">
      <c r="A10" s="429"/>
      <c r="B10" s="198" t="s">
        <v>19</v>
      </c>
      <c r="C10" s="129">
        <v>8</v>
      </c>
      <c r="D10" s="130">
        <f>'2.4.5.2 Durée de missions'!D10/BDA</f>
        <v>0.25698769230769231</v>
      </c>
      <c r="E10" s="131">
        <f>'2.4.5.2 Durée de missions'!E10/BDA</f>
        <v>0.67019230769230775</v>
      </c>
      <c r="F10" s="132">
        <f t="shared" si="0"/>
        <v>0.5361538461538462</v>
      </c>
      <c r="G10" s="133">
        <f t="shared" si="1"/>
        <v>0.13403846153846152</v>
      </c>
      <c r="H10" s="134">
        <f t="shared" si="2"/>
        <v>0.25698769230769231</v>
      </c>
      <c r="I10" s="135"/>
      <c r="J10" s="136">
        <f t="shared" si="3"/>
        <v>0</v>
      </c>
      <c r="K10" s="137"/>
      <c r="L10" s="138">
        <f t="shared" si="4"/>
        <v>0</v>
      </c>
      <c r="M10" s="137"/>
      <c r="N10" s="139">
        <f t="shared" si="5"/>
        <v>0.2791661538461539</v>
      </c>
      <c r="O10" s="137"/>
      <c r="P10" s="140">
        <f t="shared" si="6"/>
        <v>0.13403846153846152</v>
      </c>
      <c r="Q10" s="135"/>
      <c r="R10" s="104">
        <f t="shared" si="7"/>
        <v>0.25698769230769231</v>
      </c>
      <c r="S10" s="137"/>
      <c r="T10" s="141">
        <f t="shared" si="8"/>
        <v>0.41320461538461539</v>
      </c>
      <c r="U10" s="199">
        <f t="shared" si="9"/>
        <v>0</v>
      </c>
      <c r="V10" s="37" t="str">
        <f t="shared" si="10"/>
        <v>ok</v>
      </c>
      <c r="W10" s="37" t="str">
        <f t="shared" si="11"/>
        <v>ok</v>
      </c>
    </row>
    <row r="11" spans="1:23" x14ac:dyDescent="0.25">
      <c r="A11" s="429"/>
      <c r="B11" s="198" t="s">
        <v>20</v>
      </c>
      <c r="C11" s="129">
        <v>9</v>
      </c>
      <c r="D11" s="130">
        <f>'2.4.5.2 Durée de missions'!D11/BDA</f>
        <v>0.20843569230769235</v>
      </c>
      <c r="E11" s="131">
        <f>'2.4.5.2 Durée de missions'!E11/BDA</f>
        <v>0.68694711538461539</v>
      </c>
      <c r="F11" s="132">
        <f t="shared" si="0"/>
        <v>0.54955769230769236</v>
      </c>
      <c r="G11" s="133">
        <f t="shared" si="1"/>
        <v>0.13738942307692306</v>
      </c>
      <c r="H11" s="134">
        <f t="shared" si="2"/>
        <v>0.20843569230769235</v>
      </c>
      <c r="I11" s="135"/>
      <c r="J11" s="136">
        <f t="shared" si="3"/>
        <v>0</v>
      </c>
      <c r="K11" s="137"/>
      <c r="L11" s="138">
        <f t="shared" si="4"/>
        <v>0</v>
      </c>
      <c r="M11" s="137"/>
      <c r="N11" s="139">
        <f t="shared" si="5"/>
        <v>0.34112200000000004</v>
      </c>
      <c r="O11" s="137"/>
      <c r="P11" s="140">
        <f t="shared" si="6"/>
        <v>0.13738942307692306</v>
      </c>
      <c r="Q11" s="135"/>
      <c r="R11" s="104">
        <f t="shared" si="7"/>
        <v>0.20843569230769235</v>
      </c>
      <c r="S11" s="137"/>
      <c r="T11" s="141">
        <f t="shared" si="8"/>
        <v>0.47851142307692307</v>
      </c>
      <c r="U11" s="199">
        <f t="shared" si="9"/>
        <v>0</v>
      </c>
      <c r="V11" s="37" t="str">
        <f t="shared" si="10"/>
        <v>ok</v>
      </c>
      <c r="W11" s="37" t="str">
        <f t="shared" si="11"/>
        <v>ok</v>
      </c>
    </row>
    <row r="12" spans="1:23" x14ac:dyDescent="0.25">
      <c r="A12" s="429"/>
      <c r="B12" s="198" t="s">
        <v>21</v>
      </c>
      <c r="C12" s="129">
        <v>10</v>
      </c>
      <c r="D12" s="130">
        <f>'2.4.5.2 Durée de missions'!D12/BDA</f>
        <v>0.12049076923076923</v>
      </c>
      <c r="E12" s="131">
        <f>'2.4.5.2 Durée de missions'!E12/BDA</f>
        <v>0.36860576923076915</v>
      </c>
      <c r="F12" s="132">
        <f t="shared" si="0"/>
        <v>0.29488461538461536</v>
      </c>
      <c r="G12" s="133">
        <f t="shared" si="1"/>
        <v>7.3721153846153811E-2</v>
      </c>
      <c r="H12" s="134">
        <f t="shared" si="2"/>
        <v>0.12049076923076923</v>
      </c>
      <c r="I12" s="135"/>
      <c r="J12" s="136">
        <f t="shared" si="3"/>
        <v>0</v>
      </c>
      <c r="K12" s="137"/>
      <c r="L12" s="138">
        <f t="shared" si="4"/>
        <v>0</v>
      </c>
      <c r="M12" s="137"/>
      <c r="N12" s="139">
        <f t="shared" si="5"/>
        <v>0.17439384615384612</v>
      </c>
      <c r="O12" s="137"/>
      <c r="P12" s="140">
        <f t="shared" si="6"/>
        <v>7.3721153846153811E-2</v>
      </c>
      <c r="Q12" s="135"/>
      <c r="R12" s="104">
        <f t="shared" si="7"/>
        <v>0.12049076923076923</v>
      </c>
      <c r="S12" s="137"/>
      <c r="T12" s="141">
        <f t="shared" si="8"/>
        <v>0.24811499999999992</v>
      </c>
      <c r="U12" s="199">
        <f t="shared" si="9"/>
        <v>0</v>
      </c>
      <c r="V12" s="37" t="str">
        <f t="shared" si="10"/>
        <v>ok</v>
      </c>
      <c r="W12" s="37" t="str">
        <f t="shared" si="11"/>
        <v>ok</v>
      </c>
    </row>
    <row r="13" spans="1:23" x14ac:dyDescent="0.25">
      <c r="A13" s="429"/>
      <c r="B13" s="198" t="s">
        <v>22</v>
      </c>
      <c r="C13" s="129">
        <v>11</v>
      </c>
      <c r="D13" s="130">
        <f>'2.4.5.2 Durée de missions'!D13/BDA</f>
        <v>9.7281846153846149E-2</v>
      </c>
      <c r="E13" s="131">
        <f>'2.4.5.2 Durée de missions'!E13/BDA</f>
        <v>0.46913461538461532</v>
      </c>
      <c r="F13" s="132">
        <f t="shared" si="0"/>
        <v>0.37530769230769229</v>
      </c>
      <c r="G13" s="133">
        <f t="shared" si="1"/>
        <v>9.3826923076923044E-2</v>
      </c>
      <c r="H13" s="134">
        <f t="shared" si="2"/>
        <v>9.7281846153846149E-2</v>
      </c>
      <c r="I13" s="135"/>
      <c r="J13" s="136">
        <f t="shared" si="3"/>
        <v>0</v>
      </c>
      <c r="K13" s="137"/>
      <c r="L13" s="138">
        <f t="shared" si="4"/>
        <v>0</v>
      </c>
      <c r="M13" s="137"/>
      <c r="N13" s="139">
        <f t="shared" si="5"/>
        <v>0.27802584615384612</v>
      </c>
      <c r="O13" s="137"/>
      <c r="P13" s="140">
        <f t="shared" si="6"/>
        <v>9.3826923076923044E-2</v>
      </c>
      <c r="Q13" s="135"/>
      <c r="R13" s="104">
        <f t="shared" si="7"/>
        <v>9.7281846153846149E-2</v>
      </c>
      <c r="S13" s="137"/>
      <c r="T13" s="141">
        <f t="shared" si="8"/>
        <v>0.37185276923076915</v>
      </c>
      <c r="U13" s="199">
        <f t="shared" si="9"/>
        <v>0</v>
      </c>
      <c r="V13" s="37" t="str">
        <f t="shared" si="10"/>
        <v>ok</v>
      </c>
      <c r="W13" s="37" t="str">
        <f t="shared" si="11"/>
        <v>ok</v>
      </c>
    </row>
    <row r="14" spans="1:23" x14ac:dyDescent="0.25">
      <c r="A14" s="429"/>
      <c r="B14" s="198" t="s">
        <v>23</v>
      </c>
      <c r="C14" s="129">
        <v>12</v>
      </c>
      <c r="D14" s="130">
        <f>'2.4.5.2 Durée de missions'!D14/BDA</f>
        <v>0.18531569230769232</v>
      </c>
      <c r="E14" s="131">
        <f>'2.4.5.2 Durée de missions'!E14/BDA</f>
        <v>0.63668269230769226</v>
      </c>
      <c r="F14" s="132">
        <f t="shared" si="0"/>
        <v>0.50934615384615378</v>
      </c>
      <c r="G14" s="133">
        <f t="shared" si="1"/>
        <v>0.12733653846153842</v>
      </c>
      <c r="H14" s="134">
        <f t="shared" si="2"/>
        <v>0.18531569230769232</v>
      </c>
      <c r="I14" s="135"/>
      <c r="J14" s="136">
        <f t="shared" si="3"/>
        <v>0</v>
      </c>
      <c r="K14" s="137"/>
      <c r="L14" s="138">
        <f t="shared" si="4"/>
        <v>0</v>
      </c>
      <c r="M14" s="137"/>
      <c r="N14" s="139">
        <f t="shared" si="5"/>
        <v>0.32403046153846149</v>
      </c>
      <c r="O14" s="137"/>
      <c r="P14" s="140">
        <f t="shared" si="6"/>
        <v>0.12733653846153842</v>
      </c>
      <c r="Q14" s="135"/>
      <c r="R14" s="104">
        <f t="shared" si="7"/>
        <v>0.18531569230769232</v>
      </c>
      <c r="S14" s="137"/>
      <c r="T14" s="141">
        <f t="shared" si="8"/>
        <v>0.45136699999999991</v>
      </c>
      <c r="U14" s="199">
        <f t="shared" si="9"/>
        <v>0</v>
      </c>
      <c r="V14" s="37" t="str">
        <f t="shared" si="10"/>
        <v>ok</v>
      </c>
      <c r="W14" s="37" t="str">
        <f t="shared" si="11"/>
        <v>ok</v>
      </c>
    </row>
    <row r="15" spans="1:23" x14ac:dyDescent="0.25">
      <c r="A15" s="429"/>
      <c r="B15" s="198" t="s">
        <v>19</v>
      </c>
      <c r="C15" s="129">
        <v>15</v>
      </c>
      <c r="D15" s="130">
        <f>'2.4.5.2 Durée de missions'!D15/BDA</f>
        <v>0.16103969230769233</v>
      </c>
      <c r="E15" s="131">
        <f>'2.4.5.2 Durée de missions'!E15/BDA</f>
        <v>1.0052884615384614</v>
      </c>
      <c r="F15" s="132">
        <f t="shared" si="0"/>
        <v>0.80423076923076919</v>
      </c>
      <c r="G15" s="133">
        <f t="shared" si="1"/>
        <v>0.20105769230769224</v>
      </c>
      <c r="H15" s="134">
        <f t="shared" si="2"/>
        <v>0.16103969230769233</v>
      </c>
      <c r="I15" s="135"/>
      <c r="J15" s="136">
        <f t="shared" si="3"/>
        <v>0</v>
      </c>
      <c r="K15" s="137"/>
      <c r="L15" s="138">
        <f t="shared" si="4"/>
        <v>0</v>
      </c>
      <c r="M15" s="137"/>
      <c r="N15" s="139">
        <f t="shared" si="5"/>
        <v>0.64319107692307687</v>
      </c>
      <c r="O15" s="137"/>
      <c r="P15" s="140">
        <f t="shared" si="6"/>
        <v>0.20105769230769224</v>
      </c>
      <c r="Q15" s="135"/>
      <c r="R15" s="104">
        <f t="shared" si="7"/>
        <v>0.16103969230769233</v>
      </c>
      <c r="S15" s="137"/>
      <c r="T15" s="141">
        <f t="shared" si="8"/>
        <v>0.84424876923076908</v>
      </c>
      <c r="U15" s="199">
        <f t="shared" si="9"/>
        <v>0</v>
      </c>
      <c r="V15" s="37" t="str">
        <f t="shared" si="10"/>
        <v>ok</v>
      </c>
      <c r="W15" s="37" t="str">
        <f t="shared" si="11"/>
        <v>ok</v>
      </c>
    </row>
    <row r="16" spans="1:23" x14ac:dyDescent="0.25">
      <c r="A16" s="429"/>
      <c r="B16" s="198" t="s">
        <v>20</v>
      </c>
      <c r="C16" s="129">
        <v>16</v>
      </c>
      <c r="D16" s="130">
        <f>'2.4.5.2 Durée de missions'!D16/BDA</f>
        <v>0.12644861538461541</v>
      </c>
      <c r="E16" s="131">
        <f>'2.4.5.2 Durée de missions'!E16/BDA</f>
        <v>0.77072115384615381</v>
      </c>
      <c r="F16" s="132">
        <f t="shared" si="0"/>
        <v>0.61657692307692313</v>
      </c>
      <c r="G16" s="133">
        <f t="shared" si="1"/>
        <v>0.15414423076923073</v>
      </c>
      <c r="H16" s="134">
        <f t="shared" si="2"/>
        <v>0.12644861538461541</v>
      </c>
      <c r="I16" s="135"/>
      <c r="J16" s="136">
        <f t="shared" si="3"/>
        <v>0</v>
      </c>
      <c r="K16" s="137"/>
      <c r="L16" s="138">
        <f t="shared" si="4"/>
        <v>0</v>
      </c>
      <c r="M16" s="137"/>
      <c r="N16" s="139">
        <f t="shared" si="5"/>
        <v>0.49012830769230775</v>
      </c>
      <c r="O16" s="137"/>
      <c r="P16" s="140">
        <f t="shared" si="6"/>
        <v>0.15414423076923073</v>
      </c>
      <c r="Q16" s="135"/>
      <c r="R16" s="104">
        <f t="shared" si="7"/>
        <v>0.12644861538461541</v>
      </c>
      <c r="S16" s="137"/>
      <c r="T16" s="141">
        <f t="shared" si="8"/>
        <v>0.64427253846153842</v>
      </c>
      <c r="U16" s="199">
        <f t="shared" si="9"/>
        <v>0</v>
      </c>
      <c r="V16" s="37" t="str">
        <f t="shared" si="10"/>
        <v>ok</v>
      </c>
      <c r="W16" s="37" t="str">
        <f t="shared" si="11"/>
        <v>ok</v>
      </c>
    </row>
    <row r="17" spans="1:23" x14ac:dyDescent="0.25">
      <c r="A17" s="429"/>
      <c r="B17" s="198" t="s">
        <v>21</v>
      </c>
      <c r="C17" s="129">
        <v>17</v>
      </c>
      <c r="D17" s="130">
        <f>'2.4.5.2 Durée de missions'!D17/BDA</f>
        <v>5.5310153846153849E-2</v>
      </c>
      <c r="E17" s="131">
        <f>'2.4.5.2 Durée de missions'!E17/BDA</f>
        <v>0.36860576923076915</v>
      </c>
      <c r="F17" s="132">
        <f t="shared" si="0"/>
        <v>0.29488461538461536</v>
      </c>
      <c r="G17" s="133">
        <f t="shared" si="1"/>
        <v>7.3721153846153811E-2</v>
      </c>
      <c r="H17" s="134">
        <f t="shared" si="2"/>
        <v>5.5310153846153849E-2</v>
      </c>
      <c r="I17" s="135"/>
      <c r="J17" s="136">
        <f t="shared" si="3"/>
        <v>0</v>
      </c>
      <c r="K17" s="137"/>
      <c r="L17" s="138">
        <f t="shared" si="4"/>
        <v>0</v>
      </c>
      <c r="M17" s="137"/>
      <c r="N17" s="139">
        <f t="shared" si="5"/>
        <v>0.23957446153846151</v>
      </c>
      <c r="O17" s="137"/>
      <c r="P17" s="140">
        <f t="shared" si="6"/>
        <v>7.3721153846153811E-2</v>
      </c>
      <c r="Q17" s="135"/>
      <c r="R17" s="104">
        <f t="shared" si="7"/>
        <v>5.5310153846153849E-2</v>
      </c>
      <c r="S17" s="137"/>
      <c r="T17" s="141">
        <f t="shared" si="8"/>
        <v>0.31329561538461531</v>
      </c>
      <c r="U17" s="199">
        <f t="shared" si="9"/>
        <v>0</v>
      </c>
      <c r="V17" s="37" t="str">
        <f t="shared" si="10"/>
        <v>ok</v>
      </c>
      <c r="W17" s="37" t="str">
        <f t="shared" si="11"/>
        <v>ok</v>
      </c>
    </row>
    <row r="18" spans="1:23" x14ac:dyDescent="0.25">
      <c r="A18" s="429"/>
      <c r="B18" s="198" t="s">
        <v>22</v>
      </c>
      <c r="C18" s="129">
        <v>18</v>
      </c>
      <c r="D18" s="130">
        <f>'2.4.5.2 Durée de missions'!D18/BDA</f>
        <v>3.8592615384615378E-2</v>
      </c>
      <c r="E18" s="131">
        <f>'2.4.5.2 Durée de missions'!E18/BDA</f>
        <v>0.61992788461538462</v>
      </c>
      <c r="F18" s="132">
        <f t="shared" si="0"/>
        <v>0.49594230769230774</v>
      </c>
      <c r="G18" s="133">
        <f t="shared" si="1"/>
        <v>0.12398557692307689</v>
      </c>
      <c r="H18" s="134">
        <f t="shared" si="2"/>
        <v>3.8592615384615378E-2</v>
      </c>
      <c r="I18" s="135"/>
      <c r="J18" s="136">
        <f t="shared" si="3"/>
        <v>0</v>
      </c>
      <c r="K18" s="137"/>
      <c r="L18" s="138">
        <f t="shared" si="4"/>
        <v>0</v>
      </c>
      <c r="M18" s="137"/>
      <c r="N18" s="139">
        <f t="shared" si="5"/>
        <v>0.45734969230769235</v>
      </c>
      <c r="O18" s="137"/>
      <c r="P18" s="140">
        <f t="shared" si="6"/>
        <v>0.12398557692307689</v>
      </c>
      <c r="Q18" s="135"/>
      <c r="R18" s="104">
        <f t="shared" si="7"/>
        <v>3.8592615384615378E-2</v>
      </c>
      <c r="S18" s="137"/>
      <c r="T18" s="141">
        <f t="shared" si="8"/>
        <v>0.58133526923076928</v>
      </c>
      <c r="U18" s="199">
        <f t="shared" si="9"/>
        <v>0</v>
      </c>
      <c r="V18" s="37" t="str">
        <f t="shared" si="10"/>
        <v>ok</v>
      </c>
      <c r="W18" s="37" t="str">
        <f t="shared" si="11"/>
        <v>ok</v>
      </c>
    </row>
    <row r="19" spans="1:23" x14ac:dyDescent="0.25">
      <c r="A19" s="429"/>
      <c r="B19" s="198" t="s">
        <v>23</v>
      </c>
      <c r="C19" s="129">
        <v>19</v>
      </c>
      <c r="D19" s="130">
        <f>'2.4.5.2 Durée de missions'!D19/BDA</f>
        <v>8.0030769230769253E-2</v>
      </c>
      <c r="E19" s="131">
        <f>'2.4.5.2 Durée de missions'!E19/BDA</f>
        <v>0.73721153846153831</v>
      </c>
      <c r="F19" s="132">
        <f t="shared" si="0"/>
        <v>0.58976923076923071</v>
      </c>
      <c r="G19" s="133">
        <f t="shared" si="1"/>
        <v>0.14744230769230762</v>
      </c>
      <c r="H19" s="134">
        <f t="shared" si="2"/>
        <v>8.0030769230769253E-2</v>
      </c>
      <c r="I19" s="135"/>
      <c r="J19" s="136">
        <f t="shared" si="3"/>
        <v>0</v>
      </c>
      <c r="K19" s="137"/>
      <c r="L19" s="138">
        <f t="shared" si="4"/>
        <v>0</v>
      </c>
      <c r="M19" s="137"/>
      <c r="N19" s="139">
        <f t="shared" si="5"/>
        <v>0.50973846153846147</v>
      </c>
      <c r="O19" s="137"/>
      <c r="P19" s="140">
        <f t="shared" si="6"/>
        <v>0.14744230769230762</v>
      </c>
      <c r="Q19" s="135"/>
      <c r="R19" s="104">
        <f t="shared" si="7"/>
        <v>8.0030769230769253E-2</v>
      </c>
      <c r="S19" s="137"/>
      <c r="T19" s="141">
        <f t="shared" si="8"/>
        <v>0.65718076923076907</v>
      </c>
      <c r="U19" s="199">
        <f t="shared" si="9"/>
        <v>0</v>
      </c>
      <c r="V19" s="37" t="str">
        <f t="shared" si="10"/>
        <v>ok</v>
      </c>
      <c r="W19" s="37" t="str">
        <f t="shared" si="11"/>
        <v>ok</v>
      </c>
    </row>
    <row r="20" spans="1:23" x14ac:dyDescent="0.25">
      <c r="A20" s="429"/>
      <c r="B20" s="198" t="s">
        <v>19</v>
      </c>
      <c r="C20" s="129">
        <v>22</v>
      </c>
      <c r="D20" s="130">
        <f>'2.4.5.2 Durée de missions'!D20/BDA</f>
        <v>0.32119015384615385</v>
      </c>
      <c r="E20" s="131">
        <f>'2.4.5.2 Durée de missions'!E20/BDA</f>
        <v>0.82936298076923076</v>
      </c>
      <c r="F20" s="132">
        <f t="shared" si="0"/>
        <v>0.66349038461538468</v>
      </c>
      <c r="G20" s="133">
        <f t="shared" si="1"/>
        <v>0.16587259615384611</v>
      </c>
      <c r="H20" s="134">
        <f t="shared" si="2"/>
        <v>0.32119015384615385</v>
      </c>
      <c r="I20" s="135"/>
      <c r="J20" s="136">
        <f t="shared" si="3"/>
        <v>0</v>
      </c>
      <c r="K20" s="137"/>
      <c r="L20" s="138">
        <f t="shared" si="4"/>
        <v>0</v>
      </c>
      <c r="M20" s="137"/>
      <c r="N20" s="139">
        <f t="shared" si="5"/>
        <v>0.34230023076923083</v>
      </c>
      <c r="O20" s="137"/>
      <c r="P20" s="140">
        <f t="shared" si="6"/>
        <v>0.16587259615384611</v>
      </c>
      <c r="Q20" s="135"/>
      <c r="R20" s="104">
        <f t="shared" si="7"/>
        <v>0.32119015384615385</v>
      </c>
      <c r="S20" s="137"/>
      <c r="T20" s="141">
        <f t="shared" si="8"/>
        <v>0.50817282692307697</v>
      </c>
      <c r="U20" s="199">
        <f t="shared" si="9"/>
        <v>0</v>
      </c>
      <c r="V20" s="37" t="str">
        <f t="shared" si="10"/>
        <v>ok</v>
      </c>
      <c r="W20" s="37" t="str">
        <f t="shared" si="11"/>
        <v>ok</v>
      </c>
    </row>
    <row r="21" spans="1:23" x14ac:dyDescent="0.25">
      <c r="A21" s="429"/>
      <c r="B21" s="198" t="s">
        <v>20</v>
      </c>
      <c r="C21" s="129">
        <v>23</v>
      </c>
      <c r="D21" s="130">
        <f>'2.4.5.2 Durée de missions'!D21/BDA</f>
        <v>0.26143384615384613</v>
      </c>
      <c r="E21" s="131">
        <f>'2.4.5.2 Durée de missions'!E21/BDA</f>
        <v>0.52543076923076915</v>
      </c>
      <c r="F21" s="132">
        <f t="shared" si="0"/>
        <v>0.42034461538461532</v>
      </c>
      <c r="G21" s="133">
        <f t="shared" si="1"/>
        <v>0.1050861538461538</v>
      </c>
      <c r="H21" s="134">
        <f t="shared" si="2"/>
        <v>0.26143384615384613</v>
      </c>
      <c r="I21" s="135"/>
      <c r="J21" s="136">
        <f t="shared" si="3"/>
        <v>0</v>
      </c>
      <c r="K21" s="137"/>
      <c r="L21" s="138">
        <f t="shared" si="4"/>
        <v>0</v>
      </c>
      <c r="M21" s="137"/>
      <c r="N21" s="139">
        <f t="shared" si="5"/>
        <v>0.15891076923076919</v>
      </c>
      <c r="O21" s="137"/>
      <c r="P21" s="140">
        <f t="shared" si="6"/>
        <v>0.1050861538461538</v>
      </c>
      <c r="Q21" s="135"/>
      <c r="R21" s="104">
        <f t="shared" si="7"/>
        <v>0.26143384615384613</v>
      </c>
      <c r="S21" s="137"/>
      <c r="T21" s="141">
        <f t="shared" si="8"/>
        <v>0.26399692307692302</v>
      </c>
      <c r="U21" s="199">
        <f t="shared" si="9"/>
        <v>0</v>
      </c>
      <c r="V21" s="37" t="str">
        <f t="shared" si="10"/>
        <v>ok</v>
      </c>
      <c r="W21" s="37" t="str">
        <f t="shared" si="11"/>
        <v>ok</v>
      </c>
    </row>
    <row r="22" spans="1:23" x14ac:dyDescent="0.25">
      <c r="A22" s="429"/>
      <c r="B22" s="198" t="s">
        <v>21</v>
      </c>
      <c r="C22" s="129">
        <v>24</v>
      </c>
      <c r="D22" s="130">
        <f>'2.4.5.2 Durée de missions'!D22/BDA</f>
        <v>0.15063569230769233</v>
      </c>
      <c r="E22" s="131">
        <f>'2.4.5.2 Durée de missions'!E22/BDA</f>
        <v>0.24897644230769228</v>
      </c>
      <c r="F22" s="132">
        <f t="shared" si="0"/>
        <v>0.19918115384615384</v>
      </c>
      <c r="G22" s="133">
        <f t="shared" si="1"/>
        <v>4.9795288461538446E-2</v>
      </c>
      <c r="H22" s="134">
        <f t="shared" si="2"/>
        <v>0.15063569230769233</v>
      </c>
      <c r="I22" s="135"/>
      <c r="J22" s="136">
        <f t="shared" si="3"/>
        <v>0</v>
      </c>
      <c r="K22" s="137"/>
      <c r="L22" s="138">
        <f t="shared" si="4"/>
        <v>0</v>
      </c>
      <c r="M22" s="137"/>
      <c r="N22" s="139">
        <f t="shared" si="5"/>
        <v>4.854546153846151E-2</v>
      </c>
      <c r="O22" s="137"/>
      <c r="P22" s="140">
        <f t="shared" si="6"/>
        <v>4.9795288461538446E-2</v>
      </c>
      <c r="Q22" s="135"/>
      <c r="R22" s="104">
        <f t="shared" si="7"/>
        <v>0.15063569230769233</v>
      </c>
      <c r="S22" s="137"/>
      <c r="T22" s="141">
        <f t="shared" si="8"/>
        <v>9.8340749999999949E-2</v>
      </c>
      <c r="U22" s="199">
        <f t="shared" si="9"/>
        <v>0</v>
      </c>
      <c r="V22" s="37" t="str">
        <f t="shared" si="10"/>
        <v>ok</v>
      </c>
      <c r="W22" s="37" t="str">
        <f t="shared" si="11"/>
        <v>ok</v>
      </c>
    </row>
    <row r="23" spans="1:23" x14ac:dyDescent="0.25">
      <c r="A23" s="429"/>
      <c r="B23" s="198" t="s">
        <v>22</v>
      </c>
      <c r="C23" s="129">
        <v>25</v>
      </c>
      <c r="D23" s="130">
        <f>'2.4.5.2 Durée de missions'!D23/BDA</f>
        <v>0.12333630769230769</v>
      </c>
      <c r="E23" s="131">
        <f>'2.4.5.2 Durée de missions'!E23/BDA</f>
        <v>0.33174519230769223</v>
      </c>
      <c r="F23" s="132">
        <f t="shared" si="0"/>
        <v>0.26539615384615378</v>
      </c>
      <c r="G23" s="133">
        <f t="shared" si="1"/>
        <v>6.6349038461538432E-2</v>
      </c>
      <c r="H23" s="134">
        <f t="shared" si="2"/>
        <v>0.12333630769230769</v>
      </c>
      <c r="I23" s="135"/>
      <c r="J23" s="136">
        <f t="shared" si="3"/>
        <v>0</v>
      </c>
      <c r="K23" s="137"/>
      <c r="L23" s="138">
        <f t="shared" si="4"/>
        <v>0</v>
      </c>
      <c r="M23" s="137"/>
      <c r="N23" s="139">
        <f t="shared" si="5"/>
        <v>0.14205984615384609</v>
      </c>
      <c r="O23" s="137"/>
      <c r="P23" s="140">
        <f t="shared" si="6"/>
        <v>6.6349038461538432E-2</v>
      </c>
      <c r="Q23" s="135"/>
      <c r="R23" s="104">
        <f t="shared" si="7"/>
        <v>0.12333630769230769</v>
      </c>
      <c r="S23" s="137"/>
      <c r="T23" s="141">
        <f t="shared" si="8"/>
        <v>0.20840888461538454</v>
      </c>
      <c r="U23" s="199">
        <f t="shared" si="9"/>
        <v>0</v>
      </c>
      <c r="V23" s="37" t="str">
        <f t="shared" si="10"/>
        <v>ok</v>
      </c>
      <c r="W23" s="37" t="str">
        <f t="shared" si="11"/>
        <v>ok</v>
      </c>
    </row>
    <row r="24" spans="1:23" x14ac:dyDescent="0.25">
      <c r="A24" s="429"/>
      <c r="B24" s="198" t="s">
        <v>23</v>
      </c>
      <c r="C24" s="129">
        <v>26</v>
      </c>
      <c r="D24" s="130">
        <f>'2.4.5.2 Durée de missions'!D24/BDA</f>
        <v>0.23164461538461539</v>
      </c>
      <c r="E24" s="131">
        <f>'2.4.5.2 Durée de missions'!E24/BDA</f>
        <v>0.52543076923076915</v>
      </c>
      <c r="F24" s="132">
        <f t="shared" si="0"/>
        <v>0.42034461538461532</v>
      </c>
      <c r="G24" s="133">
        <f t="shared" si="1"/>
        <v>0.1050861538461538</v>
      </c>
      <c r="H24" s="134">
        <f t="shared" si="2"/>
        <v>0.23164461538461539</v>
      </c>
      <c r="I24" s="135"/>
      <c r="J24" s="136">
        <f t="shared" si="3"/>
        <v>0</v>
      </c>
      <c r="K24" s="137"/>
      <c r="L24" s="138">
        <f t="shared" si="4"/>
        <v>0</v>
      </c>
      <c r="M24" s="137"/>
      <c r="N24" s="139">
        <f t="shared" si="5"/>
        <v>0.18869999999999992</v>
      </c>
      <c r="O24" s="137"/>
      <c r="P24" s="140">
        <f t="shared" si="6"/>
        <v>0.1050861538461538</v>
      </c>
      <c r="Q24" s="135"/>
      <c r="R24" s="104">
        <f t="shared" si="7"/>
        <v>0.23164461538461539</v>
      </c>
      <c r="S24" s="137"/>
      <c r="T24" s="141">
        <f t="shared" si="8"/>
        <v>0.2937861538461537</v>
      </c>
      <c r="U24" s="199">
        <f t="shared" si="9"/>
        <v>0</v>
      </c>
      <c r="V24" s="37" t="str">
        <f t="shared" si="10"/>
        <v>ok</v>
      </c>
      <c r="W24" s="37" t="str">
        <f t="shared" si="11"/>
        <v>ok</v>
      </c>
    </row>
    <row r="25" spans="1:23" x14ac:dyDescent="0.25">
      <c r="A25" s="429"/>
      <c r="B25" s="198" t="s">
        <v>19</v>
      </c>
      <c r="C25" s="129">
        <v>29</v>
      </c>
      <c r="D25" s="130">
        <f>'2.4.5.2 Durée de missions'!D25/BDA</f>
        <v>0.38539261538461544</v>
      </c>
      <c r="E25" s="131">
        <f>'2.4.5.2 Durée de missions'!E25/BDA</f>
        <v>1.0052884615384614</v>
      </c>
      <c r="F25" s="132">
        <f t="shared" si="0"/>
        <v>0.80423076923076919</v>
      </c>
      <c r="G25" s="133">
        <f t="shared" si="1"/>
        <v>0.20105769230769224</v>
      </c>
      <c r="H25" s="134">
        <f t="shared" si="2"/>
        <v>0.38539261538461544</v>
      </c>
      <c r="I25" s="135"/>
      <c r="J25" s="136">
        <f t="shared" si="3"/>
        <v>0</v>
      </c>
      <c r="K25" s="137"/>
      <c r="L25" s="138">
        <f t="shared" si="4"/>
        <v>0</v>
      </c>
      <c r="M25" s="137"/>
      <c r="N25" s="139">
        <f t="shared" si="5"/>
        <v>0.41883815384615375</v>
      </c>
      <c r="O25" s="137"/>
      <c r="P25" s="140">
        <f t="shared" si="6"/>
        <v>0.20105769230769224</v>
      </c>
      <c r="Q25" s="135"/>
      <c r="R25" s="104">
        <f t="shared" si="7"/>
        <v>0.38539261538461544</v>
      </c>
      <c r="S25" s="137"/>
      <c r="T25" s="141">
        <f t="shared" si="8"/>
        <v>0.61989584615384596</v>
      </c>
      <c r="U25" s="199">
        <f t="shared" si="9"/>
        <v>0</v>
      </c>
      <c r="V25" s="37" t="str">
        <f t="shared" si="10"/>
        <v>ok</v>
      </c>
      <c r="W25" s="37" t="str">
        <f t="shared" si="11"/>
        <v>ok</v>
      </c>
    </row>
    <row r="26" spans="1:23" x14ac:dyDescent="0.25">
      <c r="A26" s="429"/>
      <c r="B26" s="198" t="s">
        <v>20</v>
      </c>
      <c r="C26" s="129">
        <v>30</v>
      </c>
      <c r="D26" s="130">
        <f>'2.4.5.2 Durée de missions'!D26/BDA</f>
        <v>0.31265353846153848</v>
      </c>
      <c r="E26" s="131">
        <f>'2.4.5.2 Durée de missions'!E26/BDA</f>
        <v>0.70370192307692292</v>
      </c>
      <c r="F26" s="132">
        <f t="shared" si="0"/>
        <v>0.5629615384615384</v>
      </c>
      <c r="G26" s="133">
        <f t="shared" si="1"/>
        <v>0.14074038461538455</v>
      </c>
      <c r="H26" s="134">
        <f t="shared" si="2"/>
        <v>0.31265353846153848</v>
      </c>
      <c r="I26" s="135"/>
      <c r="J26" s="136">
        <f t="shared" si="3"/>
        <v>0</v>
      </c>
      <c r="K26" s="137"/>
      <c r="L26" s="138">
        <f t="shared" si="4"/>
        <v>0</v>
      </c>
      <c r="M26" s="137"/>
      <c r="N26" s="139">
        <f t="shared" si="5"/>
        <v>0.25030799999999992</v>
      </c>
      <c r="O26" s="137"/>
      <c r="P26" s="140">
        <f t="shared" si="6"/>
        <v>0.14074038461538455</v>
      </c>
      <c r="Q26" s="135"/>
      <c r="R26" s="104">
        <f t="shared" si="7"/>
        <v>0.31265353846153848</v>
      </c>
      <c r="S26" s="137"/>
      <c r="T26" s="141">
        <f t="shared" si="8"/>
        <v>0.39104838461538449</v>
      </c>
      <c r="U26" s="199">
        <f t="shared" si="9"/>
        <v>0</v>
      </c>
      <c r="V26" s="37" t="str">
        <f t="shared" si="10"/>
        <v>ok</v>
      </c>
      <c r="W26" s="37" t="str">
        <f t="shared" si="11"/>
        <v>ok</v>
      </c>
    </row>
    <row r="27" spans="1:23" ht="15.75" thickBot="1" x14ac:dyDescent="0.3">
      <c r="A27" s="430"/>
      <c r="B27" s="200" t="s">
        <v>21</v>
      </c>
      <c r="C27" s="165">
        <v>31</v>
      </c>
      <c r="D27" s="202">
        <f>'2.4.5.2 Durée de missions'!D27/BDA</f>
        <v>0.18078061538461537</v>
      </c>
      <c r="E27" s="203">
        <f>'2.4.5.2 Durée de missions'!E27/BDA</f>
        <v>0.33509615384615388</v>
      </c>
      <c r="F27" s="204">
        <f t="shared" si="0"/>
        <v>0.2680769230769231</v>
      </c>
      <c r="G27" s="205">
        <f t="shared" si="1"/>
        <v>6.7019230769230762E-2</v>
      </c>
      <c r="H27" s="206">
        <f t="shared" si="2"/>
        <v>0.18078061538461537</v>
      </c>
      <c r="I27" s="207"/>
      <c r="J27" s="208">
        <f t="shared" si="3"/>
        <v>0</v>
      </c>
      <c r="K27" s="209"/>
      <c r="L27" s="210">
        <f t="shared" si="4"/>
        <v>0</v>
      </c>
      <c r="M27" s="209"/>
      <c r="N27" s="211">
        <f t="shared" si="5"/>
        <v>8.7296307692307729E-2</v>
      </c>
      <c r="O27" s="209"/>
      <c r="P27" s="212">
        <f t="shared" si="6"/>
        <v>6.7019230769230762E-2</v>
      </c>
      <c r="Q27" s="207"/>
      <c r="R27" s="213">
        <f t="shared" si="7"/>
        <v>0.18078061538461537</v>
      </c>
      <c r="S27" s="209"/>
      <c r="T27" s="214">
        <f t="shared" si="8"/>
        <v>0.1543155384615385</v>
      </c>
      <c r="U27" s="215">
        <f t="shared" si="9"/>
        <v>0</v>
      </c>
      <c r="V27" s="37" t="str">
        <f t="shared" si="10"/>
        <v>ok</v>
      </c>
      <c r="W27" s="37" t="str">
        <f t="shared" si="11"/>
        <v>ok</v>
      </c>
    </row>
    <row r="28" spans="1:23" x14ac:dyDescent="0.25">
      <c r="A28" s="425" t="s">
        <v>90</v>
      </c>
      <c r="B28" s="276" t="s">
        <v>22</v>
      </c>
      <c r="C28" s="247">
        <v>1</v>
      </c>
      <c r="D28" s="184">
        <f>'2.4.5.2 Durée de missions'!D28/BDA</f>
        <v>0.27412271153846157</v>
      </c>
      <c r="E28" s="185">
        <f>'2.4.5.2 Durée de missions'!E28/BDA</f>
        <v>0.92054999999999987</v>
      </c>
      <c r="F28" s="186">
        <f t="shared" si="0"/>
        <v>0.73643999999999998</v>
      </c>
      <c r="G28" s="187">
        <f t="shared" si="1"/>
        <v>0.18410999999999994</v>
      </c>
      <c r="H28" s="188">
        <f>IF(E28&gt;D28,D28,E28)</f>
        <v>0.27412271153846157</v>
      </c>
      <c r="I28" s="189"/>
      <c r="J28" s="190">
        <f>IF(E28&gt;D28,0,D28-E28)</f>
        <v>0</v>
      </c>
      <c r="K28" s="191"/>
      <c r="L28" s="192">
        <f>IF(E28&gt;D28,IF(F28&gt;H28,0,H28-F28),G28)</f>
        <v>0</v>
      </c>
      <c r="M28" s="191"/>
      <c r="N28" s="193">
        <f>IF(E28&gt;D28,IF(F28&gt;H28,F28-H28,0),0)</f>
        <v>0.46231728846153841</v>
      </c>
      <c r="O28" s="191"/>
      <c r="P28" s="194">
        <f>IF(E28&gt;D28,IF(F28&gt;H28,G28,E28-H28),0)</f>
        <v>0.18410999999999994</v>
      </c>
      <c r="Q28" s="189"/>
      <c r="R28" s="195">
        <f>H28-L28</f>
        <v>0.27412271153846157</v>
      </c>
      <c r="S28" s="191"/>
      <c r="T28" s="196">
        <f>L28+N28+P28</f>
        <v>0.6464272884615383</v>
      </c>
      <c r="U28" s="197">
        <f>J28+L28</f>
        <v>0</v>
      </c>
      <c r="V28" s="37" t="str">
        <f>IF(R28+T28=E28,"ok","bad")</f>
        <v>ok</v>
      </c>
      <c r="W28" s="37" t="str">
        <f>IF(U28+R28=D28,"ok","bad")</f>
        <v>ok</v>
      </c>
    </row>
    <row r="29" spans="1:23" x14ac:dyDescent="0.25">
      <c r="A29" s="426"/>
      <c r="B29" s="178" t="s">
        <v>23</v>
      </c>
      <c r="C29" s="129">
        <v>2</v>
      </c>
      <c r="D29" s="130">
        <f>'2.4.5.2 Durée de missions'!D29/BDA</f>
        <v>0.21524157692307694</v>
      </c>
      <c r="E29" s="131">
        <f>'2.4.5.2 Durée de missions'!E29/BDA</f>
        <v>0.67506999999999995</v>
      </c>
      <c r="F29" s="132">
        <f t="shared" si="0"/>
        <v>0.54005599999999998</v>
      </c>
      <c r="G29" s="133">
        <f t="shared" si="1"/>
        <v>0.13501399999999997</v>
      </c>
      <c r="H29" s="134">
        <f t="shared" ref="H29:H47" si="12">IF(E29&gt;D29,D29,E29)</f>
        <v>0.21524157692307694</v>
      </c>
      <c r="I29" s="135"/>
      <c r="J29" s="136">
        <f t="shared" ref="J29:J47" si="13">IF(E29&gt;D29,0,D29-E29)</f>
        <v>0</v>
      </c>
      <c r="K29" s="137"/>
      <c r="L29" s="138">
        <f t="shared" ref="L29:L47" si="14">IF(E29&gt;D29,IF(F29&gt;H29,0,H29-F29),G29)</f>
        <v>0</v>
      </c>
      <c r="M29" s="137"/>
      <c r="N29" s="139">
        <f t="shared" ref="N29:N47" si="15">IF(E29&gt;D29,IF(F29&gt;H29,F29-H29,0),0)</f>
        <v>0.32481442307692304</v>
      </c>
      <c r="O29" s="137"/>
      <c r="P29" s="140">
        <f t="shared" ref="P29:P47" si="16">IF(E29&gt;D29,IF(F29&gt;H29,G29,E29-H29),0)</f>
        <v>0.13501399999999997</v>
      </c>
      <c r="Q29" s="135"/>
      <c r="R29" s="104">
        <f t="shared" ref="R29:R47" si="17">H29-L29</f>
        <v>0.21524157692307694</v>
      </c>
      <c r="S29" s="137"/>
      <c r="T29" s="141">
        <f t="shared" ref="T29:T47" si="18">L29+N29+P29</f>
        <v>0.45982842307692301</v>
      </c>
      <c r="U29" s="199">
        <f t="shared" ref="U29:U47" si="19">J29+L29</f>
        <v>0</v>
      </c>
      <c r="V29" s="37" t="str">
        <f t="shared" ref="V29:V47" si="20">IF(R29+T29=E29,"ok","bad")</f>
        <v>ok</v>
      </c>
      <c r="W29" s="37" t="str">
        <f t="shared" ref="W29:W47" si="21">IF(U29+R29=D29,"ok","bad")</f>
        <v>ok</v>
      </c>
    </row>
    <row r="30" spans="1:23" x14ac:dyDescent="0.25">
      <c r="A30" s="426"/>
      <c r="B30" s="178" t="s">
        <v>19</v>
      </c>
      <c r="C30" s="129">
        <v>5</v>
      </c>
      <c r="D30" s="130">
        <f>'2.4.5.2 Durée de missions'!D30/BDA</f>
        <v>9.4149269230769217E-2</v>
      </c>
      <c r="E30" s="131">
        <f>'2.4.5.2 Durée de missions'!E30/BDA</f>
        <v>0.27616499999999999</v>
      </c>
      <c r="F30" s="132">
        <f t="shared" si="0"/>
        <v>0.22093200000000002</v>
      </c>
      <c r="G30" s="133">
        <f t="shared" si="1"/>
        <v>5.5232999999999983E-2</v>
      </c>
      <c r="H30" s="134">
        <f t="shared" si="12"/>
        <v>9.4149269230769217E-2</v>
      </c>
      <c r="I30" s="135"/>
      <c r="J30" s="136">
        <f t="shared" si="13"/>
        <v>0</v>
      </c>
      <c r="K30" s="137"/>
      <c r="L30" s="138">
        <f t="shared" si="14"/>
        <v>0</v>
      </c>
      <c r="M30" s="137"/>
      <c r="N30" s="139">
        <f t="shared" si="15"/>
        <v>0.1267827307692308</v>
      </c>
      <c r="O30" s="137"/>
      <c r="P30" s="140">
        <f t="shared" si="16"/>
        <v>5.5232999999999983E-2</v>
      </c>
      <c r="Q30" s="135"/>
      <c r="R30" s="104">
        <f t="shared" si="17"/>
        <v>9.4149269230769217E-2</v>
      </c>
      <c r="S30" s="137"/>
      <c r="T30" s="141">
        <f t="shared" si="18"/>
        <v>0.18201573076923078</v>
      </c>
      <c r="U30" s="199">
        <f t="shared" si="19"/>
        <v>0</v>
      </c>
      <c r="V30" s="37" t="str">
        <f t="shared" si="20"/>
        <v>ok</v>
      </c>
      <c r="W30" s="37" t="str">
        <f t="shared" si="21"/>
        <v>ok</v>
      </c>
    </row>
    <row r="31" spans="1:23" x14ac:dyDescent="0.25">
      <c r="A31" s="426"/>
      <c r="B31" s="178" t="s">
        <v>20</v>
      </c>
      <c r="C31" s="129">
        <v>6</v>
      </c>
      <c r="D31" s="130">
        <f>'2.4.5.2 Durée de missions'!D31/BDA</f>
        <v>6.5692576923076923E-2</v>
      </c>
      <c r="E31" s="131">
        <f>'2.4.5.2 Durée de missions'!E31/BDA</f>
        <v>0.41424750000000005</v>
      </c>
      <c r="F31" s="132">
        <f t="shared" si="0"/>
        <v>0.33139800000000008</v>
      </c>
      <c r="G31" s="133">
        <f t="shared" si="1"/>
        <v>8.2849499999999993E-2</v>
      </c>
      <c r="H31" s="134">
        <f t="shared" si="12"/>
        <v>6.5692576923076923E-2</v>
      </c>
      <c r="I31" s="135"/>
      <c r="J31" s="136">
        <f t="shared" si="13"/>
        <v>0</v>
      </c>
      <c r="K31" s="137"/>
      <c r="L31" s="138">
        <f t="shared" si="14"/>
        <v>0</v>
      </c>
      <c r="M31" s="137"/>
      <c r="N31" s="139">
        <f t="shared" si="15"/>
        <v>0.26570542307692313</v>
      </c>
      <c r="O31" s="137"/>
      <c r="P31" s="140">
        <f t="shared" si="16"/>
        <v>8.2849499999999993E-2</v>
      </c>
      <c r="Q31" s="135"/>
      <c r="R31" s="104">
        <f t="shared" si="17"/>
        <v>6.5692576923076923E-2</v>
      </c>
      <c r="S31" s="137"/>
      <c r="T31" s="141">
        <f t="shared" si="18"/>
        <v>0.34855492307692315</v>
      </c>
      <c r="U31" s="199">
        <f t="shared" si="19"/>
        <v>0</v>
      </c>
      <c r="V31" s="37" t="str">
        <f t="shared" si="20"/>
        <v>ok</v>
      </c>
      <c r="W31" s="37" t="str">
        <f t="shared" si="21"/>
        <v>ok</v>
      </c>
    </row>
    <row r="32" spans="1:23" x14ac:dyDescent="0.25">
      <c r="A32" s="426"/>
      <c r="B32" s="178" t="s">
        <v>21</v>
      </c>
      <c r="C32" s="129">
        <v>7</v>
      </c>
      <c r="D32" s="130">
        <f>'2.4.5.2 Durée de missions'!D32/BDA</f>
        <v>0.13622884615384614</v>
      </c>
      <c r="E32" s="131">
        <f>'2.4.5.2 Durée de missions'!E32/BDA</f>
        <v>0.67506999999999995</v>
      </c>
      <c r="F32" s="132">
        <f t="shared" si="0"/>
        <v>0.54005599999999998</v>
      </c>
      <c r="G32" s="133">
        <f t="shared" si="1"/>
        <v>0.13501399999999997</v>
      </c>
      <c r="H32" s="134">
        <f t="shared" si="12"/>
        <v>0.13622884615384614</v>
      </c>
      <c r="I32" s="135"/>
      <c r="J32" s="136">
        <f t="shared" si="13"/>
        <v>0</v>
      </c>
      <c r="K32" s="137"/>
      <c r="L32" s="138">
        <f t="shared" si="14"/>
        <v>0</v>
      </c>
      <c r="M32" s="137"/>
      <c r="N32" s="139">
        <f t="shared" si="15"/>
        <v>0.40382715384615386</v>
      </c>
      <c r="O32" s="137"/>
      <c r="P32" s="140">
        <f t="shared" si="16"/>
        <v>0.13501399999999997</v>
      </c>
      <c r="Q32" s="135"/>
      <c r="R32" s="104">
        <f t="shared" si="17"/>
        <v>0.13622884615384614</v>
      </c>
      <c r="S32" s="137"/>
      <c r="T32" s="141">
        <f t="shared" si="18"/>
        <v>0.53884115384615383</v>
      </c>
      <c r="U32" s="199">
        <f t="shared" si="19"/>
        <v>0</v>
      </c>
      <c r="V32" s="37" t="str">
        <f t="shared" si="20"/>
        <v>ok</v>
      </c>
      <c r="W32" s="37" t="str">
        <f t="shared" si="21"/>
        <v>ok</v>
      </c>
    </row>
    <row r="33" spans="1:23" x14ac:dyDescent="0.25">
      <c r="A33" s="426"/>
      <c r="B33" s="178" t="s">
        <v>22</v>
      </c>
      <c r="C33" s="129">
        <v>8</v>
      </c>
      <c r="D33" s="130">
        <f>'2.4.5.2 Durée de missions'!D33/BDA</f>
        <v>0.43744596153846149</v>
      </c>
      <c r="E33" s="131">
        <f>'2.4.5.2 Durée de missions'!E33/BDA</f>
        <v>0.47207692307692306</v>
      </c>
      <c r="F33" s="132">
        <f t="shared" si="0"/>
        <v>0.37766153846153849</v>
      </c>
      <c r="G33" s="133">
        <f t="shared" si="1"/>
        <v>9.4415384615384595E-2</v>
      </c>
      <c r="H33" s="134">
        <f t="shared" si="12"/>
        <v>0.43744596153846149</v>
      </c>
      <c r="I33" s="135"/>
      <c r="J33" s="136">
        <f t="shared" si="13"/>
        <v>0</v>
      </c>
      <c r="K33" s="137"/>
      <c r="L33" s="138">
        <f t="shared" si="14"/>
        <v>5.9784423076922999E-2</v>
      </c>
      <c r="M33" s="137"/>
      <c r="N33" s="139">
        <f t="shared" si="15"/>
        <v>0</v>
      </c>
      <c r="O33" s="137"/>
      <c r="P33" s="140">
        <f t="shared" si="16"/>
        <v>3.4630961538461569E-2</v>
      </c>
      <c r="Q33" s="135"/>
      <c r="R33" s="104">
        <f t="shared" si="17"/>
        <v>0.37766153846153849</v>
      </c>
      <c r="S33" s="137"/>
      <c r="T33" s="141">
        <f t="shared" si="18"/>
        <v>9.4415384615384568E-2</v>
      </c>
      <c r="U33" s="199">
        <f t="shared" si="19"/>
        <v>5.9784423076922999E-2</v>
      </c>
      <c r="V33" s="37" t="str">
        <f t="shared" si="20"/>
        <v>ok</v>
      </c>
      <c r="W33" s="37" t="str">
        <f t="shared" si="21"/>
        <v>ok</v>
      </c>
    </row>
    <row r="34" spans="1:23" x14ac:dyDescent="0.25">
      <c r="A34" s="426"/>
      <c r="B34" s="178" t="s">
        <v>23</v>
      </c>
      <c r="C34" s="129">
        <v>9</v>
      </c>
      <c r="D34" s="130">
        <f>'2.4.5.2 Durée de missions'!D34/BDA</f>
        <v>0.35480046153846162</v>
      </c>
      <c r="E34" s="131">
        <f>'2.4.5.2 Durée de missions'!E34/BDA</f>
        <v>0.48387884615384613</v>
      </c>
      <c r="F34" s="132">
        <f t="shared" si="0"/>
        <v>0.38710307692307694</v>
      </c>
      <c r="G34" s="133">
        <f t="shared" si="1"/>
        <v>9.6775769230769207E-2</v>
      </c>
      <c r="H34" s="134">
        <f t="shared" si="12"/>
        <v>0.35480046153846162</v>
      </c>
      <c r="I34" s="135"/>
      <c r="J34" s="136">
        <f t="shared" si="13"/>
        <v>0</v>
      </c>
      <c r="K34" s="137"/>
      <c r="L34" s="138">
        <f t="shared" si="14"/>
        <v>0</v>
      </c>
      <c r="M34" s="137"/>
      <c r="N34" s="139">
        <f t="shared" si="15"/>
        <v>3.2302615384615319E-2</v>
      </c>
      <c r="O34" s="137"/>
      <c r="P34" s="140">
        <f t="shared" si="16"/>
        <v>9.6775769230769207E-2</v>
      </c>
      <c r="Q34" s="135"/>
      <c r="R34" s="104">
        <f t="shared" si="17"/>
        <v>0.35480046153846162</v>
      </c>
      <c r="S34" s="137"/>
      <c r="T34" s="141">
        <f t="shared" si="18"/>
        <v>0.12907838461538451</v>
      </c>
      <c r="U34" s="199">
        <f t="shared" si="19"/>
        <v>0</v>
      </c>
      <c r="V34" s="37" t="str">
        <f t="shared" si="20"/>
        <v>ok</v>
      </c>
      <c r="W34" s="37" t="str">
        <f t="shared" si="21"/>
        <v>ok</v>
      </c>
    </row>
    <row r="35" spans="1:23" x14ac:dyDescent="0.25">
      <c r="A35" s="426"/>
      <c r="B35" s="178" t="s">
        <v>19</v>
      </c>
      <c r="C35" s="129">
        <v>12</v>
      </c>
      <c r="D35" s="130">
        <f>'2.4.5.2 Durée de missions'!D35/BDA</f>
        <v>0.20510009615384617</v>
      </c>
      <c r="E35" s="131">
        <f>'2.4.5.2 Durée de missions'!E35/BDA</f>
        <v>0.25964230769230767</v>
      </c>
      <c r="F35" s="132">
        <f t="shared" si="0"/>
        <v>0.20771384615384614</v>
      </c>
      <c r="G35" s="133">
        <f t="shared" si="1"/>
        <v>5.1928461538461521E-2</v>
      </c>
      <c r="H35" s="134">
        <f t="shared" si="12"/>
        <v>0.20510009615384617</v>
      </c>
      <c r="I35" s="135"/>
      <c r="J35" s="136">
        <f t="shared" si="13"/>
        <v>0</v>
      </c>
      <c r="K35" s="137"/>
      <c r="L35" s="138">
        <f t="shared" si="14"/>
        <v>0</v>
      </c>
      <c r="M35" s="137"/>
      <c r="N35" s="139">
        <f t="shared" si="15"/>
        <v>2.6137499999999703E-3</v>
      </c>
      <c r="O35" s="137"/>
      <c r="P35" s="140">
        <f t="shared" si="16"/>
        <v>5.1928461538461521E-2</v>
      </c>
      <c r="Q35" s="135"/>
      <c r="R35" s="104">
        <f t="shared" si="17"/>
        <v>0.20510009615384617</v>
      </c>
      <c r="S35" s="137"/>
      <c r="T35" s="141">
        <f t="shared" si="18"/>
        <v>5.4542211538461491E-2</v>
      </c>
      <c r="U35" s="199">
        <f t="shared" si="19"/>
        <v>0</v>
      </c>
      <c r="V35" s="37" t="str">
        <f t="shared" si="20"/>
        <v>ok</v>
      </c>
      <c r="W35" s="37" t="str">
        <f t="shared" si="21"/>
        <v>ok</v>
      </c>
    </row>
    <row r="36" spans="1:23" x14ac:dyDescent="0.25">
      <c r="A36" s="426"/>
      <c r="B36" s="178" t="s">
        <v>20</v>
      </c>
      <c r="C36" s="129">
        <v>13</v>
      </c>
      <c r="D36" s="130">
        <f>'2.4.5.2 Durée de missions'!D36/BDA</f>
        <v>0.16559373076923076</v>
      </c>
      <c r="E36" s="131">
        <f>'2.4.5.2 Durée de missions'!E36/BDA</f>
        <v>0.33045384615384621</v>
      </c>
      <c r="F36" s="132">
        <f t="shared" si="0"/>
        <v>0.26436307692307698</v>
      </c>
      <c r="G36" s="133">
        <f t="shared" si="1"/>
        <v>6.6090769230769231E-2</v>
      </c>
      <c r="H36" s="134">
        <f t="shared" si="12"/>
        <v>0.16559373076923076</v>
      </c>
      <c r="I36" s="135"/>
      <c r="J36" s="136">
        <f t="shared" si="13"/>
        <v>0</v>
      </c>
      <c r="K36" s="137"/>
      <c r="L36" s="138">
        <f t="shared" si="14"/>
        <v>0</v>
      </c>
      <c r="M36" s="137"/>
      <c r="N36" s="139">
        <f t="shared" si="15"/>
        <v>9.8769346153846221E-2</v>
      </c>
      <c r="O36" s="137"/>
      <c r="P36" s="140">
        <f t="shared" si="16"/>
        <v>6.6090769230769231E-2</v>
      </c>
      <c r="Q36" s="135"/>
      <c r="R36" s="104">
        <f t="shared" si="17"/>
        <v>0.16559373076923076</v>
      </c>
      <c r="S36" s="137"/>
      <c r="T36" s="141">
        <f t="shared" si="18"/>
        <v>0.16486011538461545</v>
      </c>
      <c r="U36" s="199">
        <f t="shared" si="19"/>
        <v>0</v>
      </c>
      <c r="V36" s="37" t="str">
        <f t="shared" si="20"/>
        <v>ok</v>
      </c>
      <c r="W36" s="37" t="str">
        <f t="shared" si="21"/>
        <v>ok</v>
      </c>
    </row>
    <row r="37" spans="1:23" x14ac:dyDescent="0.25">
      <c r="A37" s="426"/>
      <c r="B37" s="178" t="s">
        <v>21</v>
      </c>
      <c r="C37" s="129">
        <v>14</v>
      </c>
      <c r="D37" s="130">
        <f>'2.4.5.2 Durée de missions'!D37/BDA</f>
        <v>0.31544546153846154</v>
      </c>
      <c r="E37" s="131">
        <f>'2.4.5.2 Durée de missions'!E37/BDA</f>
        <v>0.44847307692307692</v>
      </c>
      <c r="F37" s="132">
        <f t="shared" si="0"/>
        <v>0.35877846153846155</v>
      </c>
      <c r="G37" s="133">
        <f t="shared" si="1"/>
        <v>8.9694615384615359E-2</v>
      </c>
      <c r="H37" s="134">
        <f t="shared" si="12"/>
        <v>0.31544546153846154</v>
      </c>
      <c r="I37" s="135"/>
      <c r="J37" s="136">
        <f t="shared" si="13"/>
        <v>0</v>
      </c>
      <c r="K37" s="137"/>
      <c r="L37" s="138">
        <f t="shared" si="14"/>
        <v>0</v>
      </c>
      <c r="M37" s="137"/>
      <c r="N37" s="139">
        <f t="shared" si="15"/>
        <v>4.333300000000001E-2</v>
      </c>
      <c r="O37" s="137"/>
      <c r="P37" s="140">
        <f t="shared" si="16"/>
        <v>8.9694615384615359E-2</v>
      </c>
      <c r="Q37" s="135"/>
      <c r="R37" s="104">
        <f t="shared" si="17"/>
        <v>0.31544546153846154</v>
      </c>
      <c r="S37" s="137"/>
      <c r="T37" s="141">
        <f t="shared" si="18"/>
        <v>0.13302761538461538</v>
      </c>
      <c r="U37" s="199">
        <f t="shared" si="19"/>
        <v>0</v>
      </c>
      <c r="V37" s="37" t="str">
        <f t="shared" si="20"/>
        <v>ok</v>
      </c>
      <c r="W37" s="37" t="str">
        <f t="shared" si="21"/>
        <v>ok</v>
      </c>
    </row>
    <row r="38" spans="1:23" x14ac:dyDescent="0.25">
      <c r="A38" s="426"/>
      <c r="B38" s="178" t="s">
        <v>22</v>
      </c>
      <c r="C38" s="129">
        <v>15</v>
      </c>
      <c r="D38" s="130">
        <f>'2.4.5.2 Durée de missions'!D38/BDA</f>
        <v>0.27412271153846157</v>
      </c>
      <c r="E38" s="131">
        <f>'2.4.5.2 Durée de missions'!E38/BDA</f>
        <v>0.7081153846153847</v>
      </c>
      <c r="F38" s="132">
        <f t="shared" si="0"/>
        <v>0.56649230769230774</v>
      </c>
      <c r="G38" s="133">
        <f t="shared" si="1"/>
        <v>0.14162307692307691</v>
      </c>
      <c r="H38" s="134">
        <f t="shared" si="12"/>
        <v>0.27412271153846157</v>
      </c>
      <c r="I38" s="135"/>
      <c r="J38" s="136">
        <f t="shared" si="13"/>
        <v>0</v>
      </c>
      <c r="K38" s="137"/>
      <c r="L38" s="138">
        <f t="shared" si="14"/>
        <v>0</v>
      </c>
      <c r="M38" s="137"/>
      <c r="N38" s="139">
        <f t="shared" si="15"/>
        <v>0.29236959615384617</v>
      </c>
      <c r="O38" s="137"/>
      <c r="P38" s="140">
        <f t="shared" si="16"/>
        <v>0.14162307692307691</v>
      </c>
      <c r="Q38" s="135"/>
      <c r="R38" s="104">
        <f t="shared" si="17"/>
        <v>0.27412271153846157</v>
      </c>
      <c r="S38" s="137"/>
      <c r="T38" s="141">
        <f t="shared" si="18"/>
        <v>0.43399267307692307</v>
      </c>
      <c r="U38" s="199">
        <f t="shared" si="19"/>
        <v>0</v>
      </c>
      <c r="V38" s="37" t="str">
        <f t="shared" si="20"/>
        <v>ok</v>
      </c>
      <c r="W38" s="37" t="str">
        <f t="shared" si="21"/>
        <v>ok</v>
      </c>
    </row>
    <row r="39" spans="1:23" x14ac:dyDescent="0.25">
      <c r="A39" s="426"/>
      <c r="B39" s="178" t="s">
        <v>23</v>
      </c>
      <c r="C39" s="129">
        <v>16</v>
      </c>
      <c r="D39" s="130">
        <f>'2.4.5.2 Durée de missions'!D39/BDA</f>
        <v>0.21524157692307694</v>
      </c>
      <c r="E39" s="131">
        <f>'2.4.5.2 Durée de missions'!E39/BDA</f>
        <v>0.54288846153846149</v>
      </c>
      <c r="F39" s="132">
        <f t="shared" si="0"/>
        <v>0.43431076923076922</v>
      </c>
      <c r="G39" s="133">
        <f t="shared" si="1"/>
        <v>0.10857769230769228</v>
      </c>
      <c r="H39" s="134">
        <f t="shared" si="12"/>
        <v>0.21524157692307694</v>
      </c>
      <c r="I39" s="135"/>
      <c r="J39" s="136">
        <f t="shared" si="13"/>
        <v>0</v>
      </c>
      <c r="K39" s="137"/>
      <c r="L39" s="138">
        <f t="shared" si="14"/>
        <v>0</v>
      </c>
      <c r="M39" s="137"/>
      <c r="N39" s="139">
        <f t="shared" si="15"/>
        <v>0.21906919230769228</v>
      </c>
      <c r="O39" s="137"/>
      <c r="P39" s="140">
        <f t="shared" si="16"/>
        <v>0.10857769230769228</v>
      </c>
      <c r="Q39" s="135"/>
      <c r="R39" s="104">
        <f t="shared" si="17"/>
        <v>0.21524157692307694</v>
      </c>
      <c r="S39" s="137"/>
      <c r="T39" s="141">
        <f t="shared" si="18"/>
        <v>0.32764688461538455</v>
      </c>
      <c r="U39" s="199">
        <f t="shared" si="19"/>
        <v>0</v>
      </c>
      <c r="V39" s="37" t="str">
        <f t="shared" si="20"/>
        <v>ok</v>
      </c>
      <c r="W39" s="37" t="str">
        <f t="shared" si="21"/>
        <v>ok</v>
      </c>
    </row>
    <row r="40" spans="1:23" x14ac:dyDescent="0.25">
      <c r="A40" s="426"/>
      <c r="B40" s="178" t="s">
        <v>19</v>
      </c>
      <c r="C40" s="129">
        <v>19</v>
      </c>
      <c r="D40" s="130">
        <f>'2.4.5.2 Durée de missions'!D40/BDA</f>
        <v>9.4149269230769217E-2</v>
      </c>
      <c r="E40" s="131">
        <f>'2.4.5.2 Durée de missions'!E40/BDA</f>
        <v>0.25964230769230767</v>
      </c>
      <c r="F40" s="132">
        <f t="shared" si="0"/>
        <v>0.20771384615384614</v>
      </c>
      <c r="G40" s="133">
        <f t="shared" si="1"/>
        <v>5.1928461538461521E-2</v>
      </c>
      <c r="H40" s="134">
        <f t="shared" si="12"/>
        <v>9.4149269230769217E-2</v>
      </c>
      <c r="I40" s="135"/>
      <c r="J40" s="136">
        <f t="shared" si="13"/>
        <v>0</v>
      </c>
      <c r="K40" s="137"/>
      <c r="L40" s="138">
        <f t="shared" si="14"/>
        <v>0</v>
      </c>
      <c r="M40" s="137"/>
      <c r="N40" s="139">
        <f t="shared" si="15"/>
        <v>0.11356457692307692</v>
      </c>
      <c r="O40" s="137"/>
      <c r="P40" s="140">
        <f t="shared" si="16"/>
        <v>5.1928461538461521E-2</v>
      </c>
      <c r="Q40" s="135"/>
      <c r="R40" s="104">
        <f t="shared" si="17"/>
        <v>9.4149269230769217E-2</v>
      </c>
      <c r="S40" s="137"/>
      <c r="T40" s="141">
        <f t="shared" si="18"/>
        <v>0.16549303846153846</v>
      </c>
      <c r="U40" s="199">
        <f t="shared" si="19"/>
        <v>0</v>
      </c>
      <c r="V40" s="37" t="str">
        <f t="shared" si="20"/>
        <v>ok</v>
      </c>
      <c r="W40" s="37" t="str">
        <f t="shared" si="21"/>
        <v>ok</v>
      </c>
    </row>
    <row r="41" spans="1:23" x14ac:dyDescent="0.25">
      <c r="A41" s="426"/>
      <c r="B41" s="178" t="s">
        <v>20</v>
      </c>
      <c r="C41" s="129">
        <v>20</v>
      </c>
      <c r="D41" s="130">
        <f>'2.4.5.2 Durée de missions'!D41/BDA</f>
        <v>6.5692576923076923E-2</v>
      </c>
      <c r="E41" s="131">
        <f>'2.4.5.2 Durée de missions'!E41/BDA</f>
        <v>0.43667115384615379</v>
      </c>
      <c r="F41" s="132">
        <f t="shared" si="0"/>
        <v>0.34933692307692304</v>
      </c>
      <c r="G41" s="133">
        <f t="shared" si="1"/>
        <v>8.7334230769230733E-2</v>
      </c>
      <c r="H41" s="134">
        <f t="shared" si="12"/>
        <v>6.5692576923076923E-2</v>
      </c>
      <c r="I41" s="135"/>
      <c r="J41" s="136">
        <f t="shared" si="13"/>
        <v>0</v>
      </c>
      <c r="K41" s="137"/>
      <c r="L41" s="138">
        <f t="shared" si="14"/>
        <v>0</v>
      </c>
      <c r="M41" s="137"/>
      <c r="N41" s="139">
        <f t="shared" si="15"/>
        <v>0.28364434615384615</v>
      </c>
      <c r="O41" s="137"/>
      <c r="P41" s="140">
        <f t="shared" si="16"/>
        <v>8.7334230769230733E-2</v>
      </c>
      <c r="Q41" s="135"/>
      <c r="R41" s="104">
        <f t="shared" si="17"/>
        <v>6.5692576923076923E-2</v>
      </c>
      <c r="S41" s="137"/>
      <c r="T41" s="141">
        <f t="shared" si="18"/>
        <v>0.3709785769230769</v>
      </c>
      <c r="U41" s="199">
        <f t="shared" si="19"/>
        <v>0</v>
      </c>
      <c r="V41" s="37" t="str">
        <f t="shared" si="20"/>
        <v>ok</v>
      </c>
      <c r="W41" s="37" t="str">
        <f t="shared" si="21"/>
        <v>ok</v>
      </c>
    </row>
    <row r="42" spans="1:23" x14ac:dyDescent="0.25">
      <c r="A42" s="426"/>
      <c r="B42" s="178" t="s">
        <v>21</v>
      </c>
      <c r="C42" s="129">
        <v>21</v>
      </c>
      <c r="D42" s="130">
        <f>'2.4.5.2 Durée de missions'!D42/BDA</f>
        <v>0.13622884615384614</v>
      </c>
      <c r="E42" s="131">
        <f>'2.4.5.2 Durée de missions'!E42/BDA</f>
        <v>0.51928461538461534</v>
      </c>
      <c r="F42" s="132">
        <f t="shared" si="0"/>
        <v>0.41542769230769228</v>
      </c>
      <c r="G42" s="133">
        <f t="shared" si="1"/>
        <v>0.10385692307692304</v>
      </c>
      <c r="H42" s="134">
        <f t="shared" si="12"/>
        <v>0.13622884615384614</v>
      </c>
      <c r="I42" s="135"/>
      <c r="J42" s="136">
        <f t="shared" si="13"/>
        <v>0</v>
      </c>
      <c r="K42" s="137"/>
      <c r="L42" s="138">
        <f t="shared" si="14"/>
        <v>0</v>
      </c>
      <c r="M42" s="137"/>
      <c r="N42" s="139">
        <f t="shared" si="15"/>
        <v>0.27919884615384616</v>
      </c>
      <c r="O42" s="137"/>
      <c r="P42" s="140">
        <f t="shared" si="16"/>
        <v>0.10385692307692304</v>
      </c>
      <c r="Q42" s="135"/>
      <c r="R42" s="104">
        <f t="shared" si="17"/>
        <v>0.13622884615384614</v>
      </c>
      <c r="S42" s="137"/>
      <c r="T42" s="141">
        <f t="shared" si="18"/>
        <v>0.38305576923076923</v>
      </c>
      <c r="U42" s="199">
        <f t="shared" si="19"/>
        <v>0</v>
      </c>
      <c r="V42" s="37" t="str">
        <f t="shared" si="20"/>
        <v>ok</v>
      </c>
      <c r="W42" s="37" t="str">
        <f t="shared" si="21"/>
        <v>ok</v>
      </c>
    </row>
    <row r="43" spans="1:23" x14ac:dyDescent="0.25">
      <c r="A43" s="426"/>
      <c r="B43" s="178" t="s">
        <v>22</v>
      </c>
      <c r="C43" s="129">
        <v>22</v>
      </c>
      <c r="D43" s="130">
        <f>'2.4.5.2 Durée de missions'!D43/BDA</f>
        <v>0.54673176923076916</v>
      </c>
      <c r="E43" s="131">
        <f>'2.4.5.2 Durée de missions'!E43/BDA</f>
        <v>0.58419519230769223</v>
      </c>
      <c r="F43" s="132">
        <f t="shared" si="0"/>
        <v>0.46735615384615381</v>
      </c>
      <c r="G43" s="133">
        <f t="shared" si="1"/>
        <v>0.11683903846153842</v>
      </c>
      <c r="H43" s="134">
        <f t="shared" si="12"/>
        <v>0.54673176923076916</v>
      </c>
      <c r="I43" s="135"/>
      <c r="J43" s="136">
        <f t="shared" si="13"/>
        <v>0</v>
      </c>
      <c r="K43" s="137"/>
      <c r="L43" s="138">
        <f t="shared" si="14"/>
        <v>7.937561538461535E-2</v>
      </c>
      <c r="M43" s="137"/>
      <c r="N43" s="139">
        <f t="shared" si="15"/>
        <v>0</v>
      </c>
      <c r="O43" s="137"/>
      <c r="P43" s="140">
        <f t="shared" si="16"/>
        <v>3.7463423076923075E-2</v>
      </c>
      <c r="Q43" s="135"/>
      <c r="R43" s="104">
        <f t="shared" si="17"/>
        <v>0.46735615384615381</v>
      </c>
      <c r="S43" s="137"/>
      <c r="T43" s="141">
        <f t="shared" si="18"/>
        <v>0.11683903846153842</v>
      </c>
      <c r="U43" s="199">
        <f t="shared" si="19"/>
        <v>7.937561538461535E-2</v>
      </c>
      <c r="V43" s="37" t="str">
        <f t="shared" si="20"/>
        <v>ok</v>
      </c>
      <c r="W43" s="37" t="str">
        <f t="shared" si="21"/>
        <v>ok</v>
      </c>
    </row>
    <row r="44" spans="1:23" x14ac:dyDescent="0.25">
      <c r="A44" s="426"/>
      <c r="B44" s="178" t="s">
        <v>23</v>
      </c>
      <c r="C44" s="129">
        <v>23</v>
      </c>
      <c r="D44" s="130">
        <f>'2.4.5.2 Durée de missions'!D44/BDA</f>
        <v>0.44501423076923075</v>
      </c>
      <c r="E44" s="131">
        <f>'2.4.5.2 Durée de missions'!E44/BDA</f>
        <v>0.37010830769230763</v>
      </c>
      <c r="F44" s="132">
        <f t="shared" si="0"/>
        <v>0.29608664615384611</v>
      </c>
      <c r="G44" s="133">
        <f t="shared" si="1"/>
        <v>7.4021661538461514E-2</v>
      </c>
      <c r="H44" s="134">
        <f t="shared" si="12"/>
        <v>0.37010830769230763</v>
      </c>
      <c r="I44" s="135"/>
      <c r="J44" s="136">
        <f t="shared" si="13"/>
        <v>7.490592307692312E-2</v>
      </c>
      <c r="K44" s="137"/>
      <c r="L44" s="138">
        <f t="shared" si="14"/>
        <v>7.4021661538461514E-2</v>
      </c>
      <c r="M44" s="137"/>
      <c r="N44" s="139">
        <f t="shared" si="15"/>
        <v>0</v>
      </c>
      <c r="O44" s="137"/>
      <c r="P44" s="140">
        <f t="shared" si="16"/>
        <v>0</v>
      </c>
      <c r="Q44" s="135"/>
      <c r="R44" s="104">
        <f t="shared" si="17"/>
        <v>0.29608664615384611</v>
      </c>
      <c r="S44" s="137"/>
      <c r="T44" s="141">
        <f t="shared" si="18"/>
        <v>7.4021661538461514E-2</v>
      </c>
      <c r="U44" s="199">
        <f t="shared" si="19"/>
        <v>0.14892758461538463</v>
      </c>
      <c r="V44" s="37" t="str">
        <f t="shared" si="20"/>
        <v>ok</v>
      </c>
      <c r="W44" s="37" t="str">
        <f t="shared" si="21"/>
        <v>ok</v>
      </c>
    </row>
    <row r="45" spans="1:23" x14ac:dyDescent="0.25">
      <c r="A45" s="426"/>
      <c r="B45" s="178" t="s">
        <v>19</v>
      </c>
      <c r="C45" s="129">
        <v>26</v>
      </c>
      <c r="D45" s="130">
        <f>'2.4.5.2 Durée de missions'!D45/BDA</f>
        <v>0.2564129615384616</v>
      </c>
      <c r="E45" s="131">
        <f>'2.4.5.2 Durée de missions'!E45/BDA</f>
        <v>0.1753765769230769</v>
      </c>
      <c r="F45" s="132">
        <f t="shared" si="0"/>
        <v>0.14030126153846154</v>
      </c>
      <c r="G45" s="133">
        <f t="shared" si="1"/>
        <v>3.507531538461537E-2</v>
      </c>
      <c r="H45" s="134">
        <f t="shared" si="12"/>
        <v>0.1753765769230769</v>
      </c>
      <c r="I45" s="135"/>
      <c r="J45" s="136">
        <f t="shared" si="13"/>
        <v>8.1036384615384704E-2</v>
      </c>
      <c r="K45" s="137"/>
      <c r="L45" s="138">
        <f t="shared" si="14"/>
        <v>3.507531538461537E-2</v>
      </c>
      <c r="M45" s="137"/>
      <c r="N45" s="139">
        <f t="shared" si="15"/>
        <v>0</v>
      </c>
      <c r="O45" s="137"/>
      <c r="P45" s="140">
        <f t="shared" si="16"/>
        <v>0</v>
      </c>
      <c r="Q45" s="135"/>
      <c r="R45" s="104">
        <f t="shared" si="17"/>
        <v>0.14030126153846154</v>
      </c>
      <c r="S45" s="137"/>
      <c r="T45" s="141">
        <f t="shared" si="18"/>
        <v>3.507531538461537E-2</v>
      </c>
      <c r="U45" s="199">
        <f t="shared" si="19"/>
        <v>0.11611170000000007</v>
      </c>
      <c r="V45" s="37" t="str">
        <f t="shared" si="20"/>
        <v>ok</v>
      </c>
      <c r="W45" s="37" t="str">
        <f t="shared" si="21"/>
        <v>ok</v>
      </c>
    </row>
    <row r="46" spans="1:23" x14ac:dyDescent="0.25">
      <c r="A46" s="426"/>
      <c r="B46" s="178" t="s">
        <v>20</v>
      </c>
      <c r="C46" s="129">
        <v>27</v>
      </c>
      <c r="D46" s="130">
        <f>'2.4.5.2 Durée de missions'!D46/BDA</f>
        <v>0.20994378846153844</v>
      </c>
      <c r="E46" s="131">
        <f>'2.4.5.2 Durée de missions'!E46/BDA</f>
        <v>0.23367807692307693</v>
      </c>
      <c r="F46" s="132">
        <f t="shared" si="0"/>
        <v>0.18694246153846156</v>
      </c>
      <c r="G46" s="133">
        <f t="shared" si="1"/>
        <v>4.6735615384615375E-2</v>
      </c>
      <c r="H46" s="134">
        <f t="shared" si="12"/>
        <v>0.20994378846153844</v>
      </c>
      <c r="I46" s="135"/>
      <c r="J46" s="136">
        <f t="shared" si="13"/>
        <v>0</v>
      </c>
      <c r="K46" s="137"/>
      <c r="L46" s="138">
        <f t="shared" si="14"/>
        <v>2.3001326923076881E-2</v>
      </c>
      <c r="M46" s="137"/>
      <c r="N46" s="139">
        <f t="shared" si="15"/>
        <v>0</v>
      </c>
      <c r="O46" s="137"/>
      <c r="P46" s="140">
        <f t="shared" si="16"/>
        <v>2.3734288461538494E-2</v>
      </c>
      <c r="Q46" s="135"/>
      <c r="R46" s="104">
        <f t="shared" si="17"/>
        <v>0.18694246153846156</v>
      </c>
      <c r="S46" s="137"/>
      <c r="T46" s="141">
        <f t="shared" si="18"/>
        <v>4.6735615384615375E-2</v>
      </c>
      <c r="U46" s="199">
        <f t="shared" si="19"/>
        <v>2.3001326923076881E-2</v>
      </c>
      <c r="V46" s="37" t="str">
        <f t="shared" si="20"/>
        <v>ok</v>
      </c>
      <c r="W46" s="37" t="str">
        <f t="shared" si="21"/>
        <v>ok</v>
      </c>
    </row>
    <row r="47" spans="1:23" ht="15.75" thickBot="1" x14ac:dyDescent="0.3">
      <c r="A47" s="427"/>
      <c r="B47" s="277" t="s">
        <v>21</v>
      </c>
      <c r="C47" s="165">
        <v>28</v>
      </c>
      <c r="D47" s="202">
        <f>'2.4.5.2 Durée de missions'!D47/BDA</f>
        <v>0.39430682692307695</v>
      </c>
      <c r="E47" s="203">
        <f>'2.4.5.2 Durée de missions'!E47/BDA</f>
        <v>0.37010830769230763</v>
      </c>
      <c r="F47" s="204">
        <f t="shared" si="0"/>
        <v>0.29608664615384611</v>
      </c>
      <c r="G47" s="205">
        <f t="shared" si="1"/>
        <v>7.4021661538461514E-2</v>
      </c>
      <c r="H47" s="206">
        <f t="shared" si="12"/>
        <v>0.37010830769230763</v>
      </c>
      <c r="I47" s="207"/>
      <c r="J47" s="208">
        <f t="shared" si="13"/>
        <v>2.4198519230769322E-2</v>
      </c>
      <c r="K47" s="209"/>
      <c r="L47" s="210">
        <f t="shared" si="14"/>
        <v>7.4021661538461514E-2</v>
      </c>
      <c r="M47" s="209"/>
      <c r="N47" s="211">
        <f t="shared" si="15"/>
        <v>0</v>
      </c>
      <c r="O47" s="209"/>
      <c r="P47" s="212">
        <f t="shared" si="16"/>
        <v>0</v>
      </c>
      <c r="Q47" s="207"/>
      <c r="R47" s="213">
        <f t="shared" si="17"/>
        <v>0.29608664615384611</v>
      </c>
      <c r="S47" s="209"/>
      <c r="T47" s="214">
        <f t="shared" si="18"/>
        <v>7.4021661538461514E-2</v>
      </c>
      <c r="U47" s="215">
        <f t="shared" si="19"/>
        <v>9.8220180769230836E-2</v>
      </c>
      <c r="V47" s="37" t="str">
        <f t="shared" si="20"/>
        <v>ok</v>
      </c>
      <c r="W47" s="37" t="str">
        <f t="shared" si="21"/>
        <v>ok</v>
      </c>
    </row>
    <row r="48" spans="1:23" x14ac:dyDescent="0.25">
      <c r="A48" s="425" t="s">
        <v>91</v>
      </c>
      <c r="B48" s="276" t="s">
        <v>22</v>
      </c>
      <c r="C48" s="247">
        <v>1</v>
      </c>
      <c r="D48" s="184">
        <f>'2.4.5.2 Durée de missions'!D48/BDA</f>
        <v>0.32385555769230773</v>
      </c>
      <c r="E48" s="185">
        <f>'2.4.5.2 Durée de missions'!E48/BDA</f>
        <v>0.54315000000000002</v>
      </c>
      <c r="F48" s="186">
        <f t="shared" si="0"/>
        <v>0.43452000000000002</v>
      </c>
      <c r="G48" s="187">
        <f t="shared" si="1"/>
        <v>0.10862999999999998</v>
      </c>
      <c r="H48" s="188">
        <f>IF(E48&gt;D48,D48,E48)</f>
        <v>0.32385555769230773</v>
      </c>
      <c r="I48" s="189"/>
      <c r="J48" s="190">
        <f>IF(E48&gt;D48,0,D48-E48)</f>
        <v>0</v>
      </c>
      <c r="K48" s="191"/>
      <c r="L48" s="192">
        <f>IF(E48&gt;D48,IF(F48&gt;H48,0,H48-F48),G48)</f>
        <v>0</v>
      </c>
      <c r="M48" s="191"/>
      <c r="N48" s="193">
        <f>IF(E48&gt;D48,IF(F48&gt;H48,F48-H48,0),0)</f>
        <v>0.11066444230769229</v>
      </c>
      <c r="O48" s="191"/>
      <c r="P48" s="194">
        <f>IF(E48&gt;D48,IF(F48&gt;H48,G48,E48-H48),0)</f>
        <v>0.10862999999999998</v>
      </c>
      <c r="Q48" s="189"/>
      <c r="R48" s="195">
        <f>H48-L48</f>
        <v>0.32385555769230773</v>
      </c>
      <c r="S48" s="191"/>
      <c r="T48" s="196">
        <f>L48+N48+P48</f>
        <v>0.21929444230769227</v>
      </c>
      <c r="U48" s="197">
        <f>J48+L48</f>
        <v>0</v>
      </c>
      <c r="V48" s="37" t="str">
        <f>IF(R48+T48=E48,"ok","bad")</f>
        <v>ok</v>
      </c>
      <c r="W48" s="37" t="str">
        <f>IF(U48+R48=D48,"ok","bad")</f>
        <v>ok</v>
      </c>
    </row>
    <row r="49" spans="1:23" x14ac:dyDescent="0.25">
      <c r="A49" s="426"/>
      <c r="B49" s="178" t="s">
        <v>23</v>
      </c>
      <c r="C49" s="129">
        <v>2</v>
      </c>
      <c r="D49" s="130">
        <f>'2.4.5.2 Durée de missions'!D49/BDA</f>
        <v>0.25429188461538466</v>
      </c>
      <c r="E49" s="131">
        <f>'2.4.5.2 Durée de missions'!E49/BDA</f>
        <v>0.39831</v>
      </c>
      <c r="F49" s="132">
        <f t="shared" si="0"/>
        <v>0.31864800000000004</v>
      </c>
      <c r="G49" s="133">
        <f t="shared" si="1"/>
        <v>7.9661999999999983E-2</v>
      </c>
      <c r="H49" s="134">
        <f t="shared" ref="H49:H69" si="22">IF(E49&gt;D49,D49,E49)</f>
        <v>0.25429188461538466</v>
      </c>
      <c r="I49" s="135"/>
      <c r="J49" s="136">
        <f t="shared" ref="J49:J69" si="23">IF(E49&gt;D49,0,D49-E49)</f>
        <v>0</v>
      </c>
      <c r="K49" s="137"/>
      <c r="L49" s="138">
        <f t="shared" ref="L49:L69" si="24">IF(E49&gt;D49,IF(F49&gt;H49,0,H49-F49),G49)</f>
        <v>0</v>
      </c>
      <c r="M49" s="137"/>
      <c r="N49" s="139">
        <f t="shared" ref="N49:N69" si="25">IF(E49&gt;D49,IF(F49&gt;H49,F49-H49,0),0)</f>
        <v>6.4356115384615387E-2</v>
      </c>
      <c r="O49" s="137"/>
      <c r="P49" s="140">
        <f t="shared" ref="P49:P69" si="26">IF(E49&gt;D49,IF(F49&gt;H49,G49,E49-H49),0)</f>
        <v>7.9661999999999983E-2</v>
      </c>
      <c r="Q49" s="135"/>
      <c r="R49" s="104">
        <f t="shared" ref="R49:R69" si="27">H49-L49</f>
        <v>0.25429188461538466</v>
      </c>
      <c r="S49" s="137"/>
      <c r="T49" s="141">
        <f t="shared" ref="T49:T69" si="28">L49+N49+P49</f>
        <v>0.14401811538461537</v>
      </c>
      <c r="U49" s="199">
        <f t="shared" ref="U49:U69" si="29">J49+L49</f>
        <v>0</v>
      </c>
      <c r="V49" s="37" t="str">
        <f t="shared" ref="V49:V69" si="30">IF(R49+T49=E49,"ok","bad")</f>
        <v>ok</v>
      </c>
      <c r="W49" s="37" t="str">
        <f t="shared" ref="W49:W69" si="31">IF(U49+R49=D49,"ok","bad")</f>
        <v>ok</v>
      </c>
    </row>
    <row r="50" spans="1:23" x14ac:dyDescent="0.25">
      <c r="A50" s="426"/>
      <c r="B50" s="178" t="s">
        <v>19</v>
      </c>
      <c r="C50" s="129">
        <v>5</v>
      </c>
      <c r="D50" s="130">
        <f>'2.4.5.2 Durée de missions'!D50/BDA</f>
        <v>0.11123034615384617</v>
      </c>
      <c r="E50" s="131">
        <f>'2.4.5.2 Durée de missions'!E50/BDA</f>
        <v>0.16294499999999998</v>
      </c>
      <c r="F50" s="132">
        <f t="shared" si="0"/>
        <v>0.130356</v>
      </c>
      <c r="G50" s="133">
        <f t="shared" si="1"/>
        <v>3.2588999999999986E-2</v>
      </c>
      <c r="H50" s="134">
        <f t="shared" si="22"/>
        <v>0.11123034615384617</v>
      </c>
      <c r="I50" s="135"/>
      <c r="J50" s="136">
        <f t="shared" si="23"/>
        <v>0</v>
      </c>
      <c r="K50" s="137"/>
      <c r="L50" s="138">
        <f t="shared" si="24"/>
        <v>0</v>
      </c>
      <c r="M50" s="137"/>
      <c r="N50" s="139">
        <f t="shared" si="25"/>
        <v>1.9125653846153834E-2</v>
      </c>
      <c r="O50" s="137"/>
      <c r="P50" s="140">
        <f t="shared" si="26"/>
        <v>3.2588999999999986E-2</v>
      </c>
      <c r="Q50" s="135"/>
      <c r="R50" s="104">
        <f t="shared" si="27"/>
        <v>0.11123034615384617</v>
      </c>
      <c r="S50" s="137"/>
      <c r="T50" s="141">
        <f t="shared" si="28"/>
        <v>5.171465384615382E-2</v>
      </c>
      <c r="U50" s="199">
        <f t="shared" si="29"/>
        <v>0</v>
      </c>
      <c r="V50" s="37" t="str">
        <f t="shared" si="30"/>
        <v>ok</v>
      </c>
      <c r="W50" s="37" t="str">
        <f t="shared" si="31"/>
        <v>ok</v>
      </c>
    </row>
    <row r="51" spans="1:23" x14ac:dyDescent="0.25">
      <c r="A51" s="426"/>
      <c r="B51" s="178" t="s">
        <v>20</v>
      </c>
      <c r="C51" s="129">
        <v>6</v>
      </c>
      <c r="D51" s="130">
        <f>'2.4.5.2 Durée de missions'!D51/BDA</f>
        <v>7.7610884615384609E-2</v>
      </c>
      <c r="E51" s="131">
        <f>'2.4.5.2 Durée de missions'!E51/BDA</f>
        <v>0.24441749999999998</v>
      </c>
      <c r="F51" s="132">
        <f t="shared" si="0"/>
        <v>0.19553399999999999</v>
      </c>
      <c r="G51" s="133">
        <f t="shared" si="1"/>
        <v>4.8883499999999983E-2</v>
      </c>
      <c r="H51" s="134">
        <f t="shared" si="22"/>
        <v>7.7610884615384609E-2</v>
      </c>
      <c r="I51" s="135"/>
      <c r="J51" s="136">
        <f t="shared" si="23"/>
        <v>0</v>
      </c>
      <c r="K51" s="137"/>
      <c r="L51" s="138">
        <f t="shared" si="24"/>
        <v>0</v>
      </c>
      <c r="M51" s="137"/>
      <c r="N51" s="139">
        <f t="shared" si="25"/>
        <v>0.11792311538461538</v>
      </c>
      <c r="O51" s="137"/>
      <c r="P51" s="140">
        <f t="shared" si="26"/>
        <v>4.8883499999999983E-2</v>
      </c>
      <c r="Q51" s="135"/>
      <c r="R51" s="104">
        <f t="shared" si="27"/>
        <v>7.7610884615384609E-2</v>
      </c>
      <c r="S51" s="137"/>
      <c r="T51" s="141">
        <f t="shared" si="28"/>
        <v>0.16680661538461536</v>
      </c>
      <c r="U51" s="199">
        <f t="shared" si="29"/>
        <v>0</v>
      </c>
      <c r="V51" s="37" t="str">
        <f t="shared" si="30"/>
        <v>ok</v>
      </c>
      <c r="W51" s="37" t="str">
        <f t="shared" si="31"/>
        <v>ok</v>
      </c>
    </row>
    <row r="52" spans="1:23" x14ac:dyDescent="0.25">
      <c r="A52" s="426"/>
      <c r="B52" s="178" t="s">
        <v>21</v>
      </c>
      <c r="C52" s="129">
        <v>7</v>
      </c>
      <c r="D52" s="130">
        <f>'2.4.5.2 Durée de missions'!D52/BDA</f>
        <v>0.16094423076923076</v>
      </c>
      <c r="E52" s="131">
        <f>'2.4.5.2 Durée de missions'!E52/BDA</f>
        <v>0.39831</v>
      </c>
      <c r="F52" s="132">
        <f t="shared" si="0"/>
        <v>0.31864800000000004</v>
      </c>
      <c r="G52" s="133">
        <f t="shared" si="1"/>
        <v>7.9661999999999983E-2</v>
      </c>
      <c r="H52" s="134">
        <f t="shared" si="22"/>
        <v>0.16094423076923076</v>
      </c>
      <c r="I52" s="135"/>
      <c r="J52" s="136">
        <f t="shared" si="23"/>
        <v>0</v>
      </c>
      <c r="K52" s="137"/>
      <c r="L52" s="138">
        <f t="shared" si="24"/>
        <v>0</v>
      </c>
      <c r="M52" s="137"/>
      <c r="N52" s="139">
        <f t="shared" si="25"/>
        <v>0.15770376923076929</v>
      </c>
      <c r="O52" s="137"/>
      <c r="P52" s="140">
        <f t="shared" si="26"/>
        <v>7.9661999999999983E-2</v>
      </c>
      <c r="Q52" s="135"/>
      <c r="R52" s="104">
        <f t="shared" si="27"/>
        <v>0.16094423076923076</v>
      </c>
      <c r="S52" s="137"/>
      <c r="T52" s="141">
        <f t="shared" si="28"/>
        <v>0.23736576923076927</v>
      </c>
      <c r="U52" s="199">
        <f t="shared" si="29"/>
        <v>0</v>
      </c>
      <c r="V52" s="37" t="str">
        <f t="shared" si="30"/>
        <v>ok</v>
      </c>
      <c r="W52" s="37" t="str">
        <f t="shared" si="31"/>
        <v>ok</v>
      </c>
    </row>
    <row r="53" spans="1:23" x14ac:dyDescent="0.25">
      <c r="A53" s="426"/>
      <c r="B53" s="178" t="s">
        <v>22</v>
      </c>
      <c r="C53" s="129">
        <v>8</v>
      </c>
      <c r="D53" s="130">
        <f>'2.4.5.2 Durée de missions'!D53/BDA</f>
        <v>0.51680980769230778</v>
      </c>
      <c r="E53" s="131">
        <f>'2.4.5.2 Durée de missions'!E53/BDA</f>
        <v>0.27853846153846151</v>
      </c>
      <c r="F53" s="132">
        <f t="shared" si="0"/>
        <v>0.22283076923076922</v>
      </c>
      <c r="G53" s="133">
        <f t="shared" si="1"/>
        <v>5.5707692307692291E-2</v>
      </c>
      <c r="H53" s="134">
        <f t="shared" si="22"/>
        <v>0.27853846153846151</v>
      </c>
      <c r="I53" s="135"/>
      <c r="J53" s="136">
        <f t="shared" si="23"/>
        <v>0.23827134615384626</v>
      </c>
      <c r="K53" s="137"/>
      <c r="L53" s="138">
        <f t="shared" si="24"/>
        <v>5.5707692307692291E-2</v>
      </c>
      <c r="M53" s="137"/>
      <c r="N53" s="139">
        <f t="shared" si="25"/>
        <v>0</v>
      </c>
      <c r="O53" s="137"/>
      <c r="P53" s="140">
        <f t="shared" si="26"/>
        <v>0</v>
      </c>
      <c r="Q53" s="135"/>
      <c r="R53" s="104">
        <f t="shared" si="27"/>
        <v>0.22283076923076922</v>
      </c>
      <c r="S53" s="137"/>
      <c r="T53" s="141">
        <f t="shared" si="28"/>
        <v>5.5707692307692291E-2</v>
      </c>
      <c r="U53" s="199">
        <f t="shared" si="29"/>
        <v>0.29397903846153856</v>
      </c>
      <c r="V53" s="37" t="str">
        <f t="shared" si="30"/>
        <v>ok</v>
      </c>
      <c r="W53" s="37" t="str">
        <f t="shared" si="31"/>
        <v>ok</v>
      </c>
    </row>
    <row r="54" spans="1:23" x14ac:dyDescent="0.25">
      <c r="A54" s="426"/>
      <c r="B54" s="178" t="s">
        <v>23</v>
      </c>
      <c r="C54" s="129">
        <v>9</v>
      </c>
      <c r="D54" s="130">
        <f>'2.4.5.2 Durée de missions'!D54/BDA</f>
        <v>0.41917030769230773</v>
      </c>
      <c r="E54" s="131">
        <f>'2.4.5.2 Durée de missions'!E54/BDA</f>
        <v>0.28550192307692307</v>
      </c>
      <c r="F54" s="132">
        <f t="shared" si="0"/>
        <v>0.22840153846153846</v>
      </c>
      <c r="G54" s="133">
        <f t="shared" si="1"/>
        <v>5.7100384615384601E-2</v>
      </c>
      <c r="H54" s="134">
        <f t="shared" si="22"/>
        <v>0.28550192307692307</v>
      </c>
      <c r="I54" s="135"/>
      <c r="J54" s="136">
        <f t="shared" si="23"/>
        <v>0.13366838461538466</v>
      </c>
      <c r="K54" s="137"/>
      <c r="L54" s="138">
        <f t="shared" si="24"/>
        <v>5.7100384615384601E-2</v>
      </c>
      <c r="M54" s="137"/>
      <c r="N54" s="139">
        <f t="shared" si="25"/>
        <v>0</v>
      </c>
      <c r="O54" s="137"/>
      <c r="P54" s="140">
        <f t="shared" si="26"/>
        <v>0</v>
      </c>
      <c r="Q54" s="135"/>
      <c r="R54" s="104">
        <f t="shared" si="27"/>
        <v>0.22840153846153846</v>
      </c>
      <c r="S54" s="137"/>
      <c r="T54" s="141">
        <f t="shared" si="28"/>
        <v>5.7100384615384601E-2</v>
      </c>
      <c r="U54" s="199">
        <f t="shared" si="29"/>
        <v>0.19076876923076927</v>
      </c>
      <c r="V54" s="37" t="str">
        <f t="shared" si="30"/>
        <v>ok</v>
      </c>
      <c r="W54" s="37" t="str">
        <f t="shared" si="31"/>
        <v>ok</v>
      </c>
    </row>
    <row r="55" spans="1:23" x14ac:dyDescent="0.25">
      <c r="A55" s="426"/>
      <c r="B55" s="178" t="s">
        <v>19</v>
      </c>
      <c r="C55" s="129">
        <v>12</v>
      </c>
      <c r="D55" s="130">
        <f>'2.4.5.2 Durée de missions'!D55/BDA</f>
        <v>0.24231048076923078</v>
      </c>
      <c r="E55" s="131">
        <f>'2.4.5.2 Durée de missions'!E55/BDA</f>
        <v>0.15319615384615384</v>
      </c>
      <c r="F55" s="132">
        <f t="shared" si="0"/>
        <v>0.12255692307692308</v>
      </c>
      <c r="G55" s="133">
        <f t="shared" si="1"/>
        <v>3.0639230769230762E-2</v>
      </c>
      <c r="H55" s="134">
        <f t="shared" si="22"/>
        <v>0.15319615384615384</v>
      </c>
      <c r="I55" s="135"/>
      <c r="J55" s="136">
        <f t="shared" si="23"/>
        <v>8.9114326923076942E-2</v>
      </c>
      <c r="K55" s="137"/>
      <c r="L55" s="138">
        <f t="shared" si="24"/>
        <v>3.0639230769230762E-2</v>
      </c>
      <c r="M55" s="137"/>
      <c r="N55" s="139">
        <f t="shared" si="25"/>
        <v>0</v>
      </c>
      <c r="O55" s="137"/>
      <c r="P55" s="140">
        <f t="shared" si="26"/>
        <v>0</v>
      </c>
      <c r="Q55" s="135"/>
      <c r="R55" s="104">
        <f t="shared" si="27"/>
        <v>0.12255692307692308</v>
      </c>
      <c r="S55" s="137"/>
      <c r="T55" s="141">
        <f t="shared" si="28"/>
        <v>3.0639230769230762E-2</v>
      </c>
      <c r="U55" s="199">
        <f t="shared" si="29"/>
        <v>0.11975355769230771</v>
      </c>
      <c r="V55" s="37" t="str">
        <f t="shared" si="30"/>
        <v>ok</v>
      </c>
      <c r="W55" s="37" t="str">
        <f t="shared" si="31"/>
        <v>ok</v>
      </c>
    </row>
    <row r="56" spans="1:23" x14ac:dyDescent="0.25">
      <c r="A56" s="426"/>
      <c r="B56" s="178" t="s">
        <v>20</v>
      </c>
      <c r="C56" s="129">
        <v>13</v>
      </c>
      <c r="D56" s="130">
        <f>'2.4.5.2 Durée de missions'!D56/BDA</f>
        <v>0.19563665384615386</v>
      </c>
      <c r="E56" s="131">
        <f>'2.4.5.2 Durée de missions'!E56/BDA</f>
        <v>0.19497692307692308</v>
      </c>
      <c r="F56" s="132">
        <f t="shared" si="0"/>
        <v>0.15598153846153848</v>
      </c>
      <c r="G56" s="133">
        <f t="shared" si="1"/>
        <v>3.8995384615384605E-2</v>
      </c>
      <c r="H56" s="134">
        <f t="shared" si="22"/>
        <v>0.19497692307692308</v>
      </c>
      <c r="I56" s="135"/>
      <c r="J56" s="136">
        <f t="shared" si="23"/>
        <v>6.5973076923078744E-4</v>
      </c>
      <c r="K56" s="137"/>
      <c r="L56" s="138">
        <f t="shared" si="24"/>
        <v>3.8995384615384605E-2</v>
      </c>
      <c r="M56" s="137"/>
      <c r="N56" s="139">
        <f t="shared" si="25"/>
        <v>0</v>
      </c>
      <c r="O56" s="137"/>
      <c r="P56" s="140">
        <f t="shared" si="26"/>
        <v>0</v>
      </c>
      <c r="Q56" s="135"/>
      <c r="R56" s="104">
        <f t="shared" si="27"/>
        <v>0.15598153846153848</v>
      </c>
      <c r="S56" s="137"/>
      <c r="T56" s="141">
        <f t="shared" si="28"/>
        <v>3.8995384615384605E-2</v>
      </c>
      <c r="U56" s="199">
        <f t="shared" si="29"/>
        <v>3.9655115384615393E-2</v>
      </c>
      <c r="V56" s="37" t="str">
        <f t="shared" si="30"/>
        <v>ok</v>
      </c>
      <c r="W56" s="37" t="str">
        <f t="shared" si="31"/>
        <v>ok</v>
      </c>
    </row>
    <row r="57" spans="1:23" x14ac:dyDescent="0.25">
      <c r="A57" s="426"/>
      <c r="B57" s="178" t="s">
        <v>21</v>
      </c>
      <c r="C57" s="129">
        <v>14</v>
      </c>
      <c r="D57" s="130">
        <f>'2.4.5.2 Durée de missions'!D57/BDA</f>
        <v>0.37267530769230767</v>
      </c>
      <c r="E57" s="131">
        <f>'2.4.5.2 Durée de missions'!E57/BDA</f>
        <v>0.26461153846153845</v>
      </c>
      <c r="F57" s="132">
        <f t="shared" si="0"/>
        <v>0.21168923076923077</v>
      </c>
      <c r="G57" s="133">
        <f t="shared" si="1"/>
        <v>5.2922307692307678E-2</v>
      </c>
      <c r="H57" s="134">
        <f t="shared" si="22"/>
        <v>0.26461153846153845</v>
      </c>
      <c r="I57" s="135"/>
      <c r="J57" s="136">
        <f t="shared" si="23"/>
        <v>0.10806376923076921</v>
      </c>
      <c r="K57" s="137"/>
      <c r="L57" s="138">
        <f t="shared" si="24"/>
        <v>5.2922307692307678E-2</v>
      </c>
      <c r="M57" s="137"/>
      <c r="N57" s="139">
        <f t="shared" si="25"/>
        <v>0</v>
      </c>
      <c r="O57" s="137"/>
      <c r="P57" s="140">
        <f t="shared" si="26"/>
        <v>0</v>
      </c>
      <c r="Q57" s="135"/>
      <c r="R57" s="104">
        <f t="shared" si="27"/>
        <v>0.21168923076923077</v>
      </c>
      <c r="S57" s="137"/>
      <c r="T57" s="141">
        <f t="shared" si="28"/>
        <v>5.2922307692307678E-2</v>
      </c>
      <c r="U57" s="199">
        <f t="shared" si="29"/>
        <v>0.1609860769230769</v>
      </c>
      <c r="V57" s="37" t="str">
        <f t="shared" si="30"/>
        <v>ok</v>
      </c>
      <c r="W57" s="37" t="str">
        <f t="shared" si="31"/>
        <v>ok</v>
      </c>
    </row>
    <row r="58" spans="1:23" x14ac:dyDescent="0.25">
      <c r="A58" s="426"/>
      <c r="B58" s="178" t="s">
        <v>22</v>
      </c>
      <c r="C58" s="129">
        <v>15</v>
      </c>
      <c r="D58" s="130">
        <f>'2.4.5.2 Durée de missions'!D58/BDA</f>
        <v>0.32385555769230773</v>
      </c>
      <c r="E58" s="131">
        <f>'2.4.5.2 Durée de missions'!E58/BDA</f>
        <v>0.41780769230769227</v>
      </c>
      <c r="F58" s="132">
        <f t="shared" si="0"/>
        <v>0.33424615384615386</v>
      </c>
      <c r="G58" s="133">
        <f t="shared" si="1"/>
        <v>8.3561538461538437E-2</v>
      </c>
      <c r="H58" s="134">
        <f t="shared" si="22"/>
        <v>0.32385555769230773</v>
      </c>
      <c r="I58" s="135"/>
      <c r="J58" s="136">
        <f t="shared" si="23"/>
        <v>0</v>
      </c>
      <c r="K58" s="137"/>
      <c r="L58" s="138">
        <f t="shared" si="24"/>
        <v>0</v>
      </c>
      <c r="M58" s="137"/>
      <c r="N58" s="139">
        <f t="shared" si="25"/>
        <v>1.0390596153846132E-2</v>
      </c>
      <c r="O58" s="137"/>
      <c r="P58" s="140">
        <f t="shared" si="26"/>
        <v>8.3561538461538437E-2</v>
      </c>
      <c r="Q58" s="135"/>
      <c r="R58" s="104">
        <f t="shared" si="27"/>
        <v>0.32385555769230773</v>
      </c>
      <c r="S58" s="137"/>
      <c r="T58" s="141">
        <f t="shared" si="28"/>
        <v>9.3952134615384569E-2</v>
      </c>
      <c r="U58" s="199">
        <f t="shared" si="29"/>
        <v>0</v>
      </c>
      <c r="V58" s="37" t="str">
        <f t="shared" si="30"/>
        <v>ok</v>
      </c>
      <c r="W58" s="37" t="str">
        <f t="shared" si="31"/>
        <v>ok</v>
      </c>
    </row>
    <row r="59" spans="1:23" x14ac:dyDescent="0.25">
      <c r="A59" s="426"/>
      <c r="B59" s="178" t="s">
        <v>23</v>
      </c>
      <c r="C59" s="129">
        <v>16</v>
      </c>
      <c r="D59" s="130">
        <f>'2.4.5.2 Durée de missions'!D59/BDA</f>
        <v>0.25429188461538466</v>
      </c>
      <c r="E59" s="131">
        <f>'2.4.5.2 Durée de missions'!E59/BDA</f>
        <v>0.3203192307692308</v>
      </c>
      <c r="F59" s="132">
        <f t="shared" si="0"/>
        <v>0.25625538461538466</v>
      </c>
      <c r="G59" s="133">
        <f t="shared" si="1"/>
        <v>6.4063846153846152E-2</v>
      </c>
      <c r="H59" s="134">
        <f t="shared" si="22"/>
        <v>0.25429188461538466</v>
      </c>
      <c r="I59" s="135"/>
      <c r="J59" s="136">
        <f t="shared" si="23"/>
        <v>0</v>
      </c>
      <c r="K59" s="137"/>
      <c r="L59" s="138">
        <f t="shared" si="24"/>
        <v>0</v>
      </c>
      <c r="M59" s="137"/>
      <c r="N59" s="139">
        <f t="shared" si="25"/>
        <v>1.9635000000000069E-3</v>
      </c>
      <c r="O59" s="137"/>
      <c r="P59" s="140">
        <f t="shared" si="26"/>
        <v>6.4063846153846152E-2</v>
      </c>
      <c r="Q59" s="135"/>
      <c r="R59" s="104">
        <f t="shared" si="27"/>
        <v>0.25429188461538466</v>
      </c>
      <c r="S59" s="137"/>
      <c r="T59" s="141">
        <f t="shared" si="28"/>
        <v>6.6027346153846159E-2</v>
      </c>
      <c r="U59" s="199">
        <f t="shared" si="29"/>
        <v>0</v>
      </c>
      <c r="V59" s="37" t="str">
        <f t="shared" si="30"/>
        <v>ok</v>
      </c>
      <c r="W59" s="37" t="str">
        <f t="shared" si="31"/>
        <v>ok</v>
      </c>
    </row>
    <row r="60" spans="1:23" x14ac:dyDescent="0.25">
      <c r="A60" s="426"/>
      <c r="B60" s="178" t="s">
        <v>19</v>
      </c>
      <c r="C60" s="129">
        <v>19</v>
      </c>
      <c r="D60" s="130">
        <f>'2.4.5.2 Durée de missions'!D60/BDA</f>
        <v>0.11123034615384617</v>
      </c>
      <c r="E60" s="131">
        <f>'2.4.5.2 Durée de missions'!E60/BDA</f>
        <v>0.15319615384615384</v>
      </c>
      <c r="F60" s="132">
        <f t="shared" si="0"/>
        <v>0.12255692307692308</v>
      </c>
      <c r="G60" s="133">
        <f t="shared" si="1"/>
        <v>3.0639230769230762E-2</v>
      </c>
      <c r="H60" s="134">
        <f t="shared" si="22"/>
        <v>0.11123034615384617</v>
      </c>
      <c r="I60" s="135"/>
      <c r="J60" s="136">
        <f t="shared" si="23"/>
        <v>0</v>
      </c>
      <c r="K60" s="137"/>
      <c r="L60" s="138">
        <f t="shared" si="24"/>
        <v>0</v>
      </c>
      <c r="M60" s="137"/>
      <c r="N60" s="139">
        <f t="shared" si="25"/>
        <v>1.1326576923076911E-2</v>
      </c>
      <c r="O60" s="137"/>
      <c r="P60" s="140">
        <f t="shared" si="26"/>
        <v>3.0639230769230762E-2</v>
      </c>
      <c r="Q60" s="135"/>
      <c r="R60" s="104">
        <f t="shared" si="27"/>
        <v>0.11123034615384617</v>
      </c>
      <c r="S60" s="137"/>
      <c r="T60" s="141">
        <f t="shared" si="28"/>
        <v>4.1965807692307677E-2</v>
      </c>
      <c r="U60" s="199">
        <f t="shared" si="29"/>
        <v>0</v>
      </c>
      <c r="V60" s="37" t="str">
        <f t="shared" si="30"/>
        <v>ok</v>
      </c>
      <c r="W60" s="37" t="str">
        <f t="shared" si="31"/>
        <v>ok</v>
      </c>
    </row>
    <row r="61" spans="1:23" x14ac:dyDescent="0.25">
      <c r="A61" s="426"/>
      <c r="B61" s="178" t="s">
        <v>20</v>
      </c>
      <c r="C61" s="129">
        <v>20</v>
      </c>
      <c r="D61" s="130">
        <f>'2.4.5.2 Durée de missions'!D61/BDA</f>
        <v>7.7610884615384609E-2</v>
      </c>
      <c r="E61" s="131">
        <f>'2.4.5.2 Durée de missions'!E61/BDA</f>
        <v>0.25764807692307695</v>
      </c>
      <c r="F61" s="132">
        <f t="shared" si="0"/>
        <v>0.20611846153846158</v>
      </c>
      <c r="G61" s="133">
        <f t="shared" si="1"/>
        <v>5.1529615384615382E-2</v>
      </c>
      <c r="H61" s="134">
        <f t="shared" si="22"/>
        <v>7.7610884615384609E-2</v>
      </c>
      <c r="I61" s="135"/>
      <c r="J61" s="136">
        <f t="shared" si="23"/>
        <v>0</v>
      </c>
      <c r="K61" s="137"/>
      <c r="L61" s="138">
        <f t="shared" si="24"/>
        <v>0</v>
      </c>
      <c r="M61" s="137"/>
      <c r="N61" s="139">
        <f t="shared" si="25"/>
        <v>0.12850757692307696</v>
      </c>
      <c r="O61" s="137"/>
      <c r="P61" s="140">
        <f t="shared" si="26"/>
        <v>5.1529615384615382E-2</v>
      </c>
      <c r="Q61" s="135"/>
      <c r="R61" s="104">
        <f t="shared" si="27"/>
        <v>7.7610884615384609E-2</v>
      </c>
      <c r="S61" s="137"/>
      <c r="T61" s="141">
        <f t="shared" si="28"/>
        <v>0.18003719230769233</v>
      </c>
      <c r="U61" s="199">
        <f t="shared" si="29"/>
        <v>0</v>
      </c>
      <c r="V61" s="37" t="str">
        <f t="shared" si="30"/>
        <v>ok</v>
      </c>
      <c r="W61" s="37" t="str">
        <f t="shared" si="31"/>
        <v>ok</v>
      </c>
    </row>
    <row r="62" spans="1:23" x14ac:dyDescent="0.25">
      <c r="A62" s="426"/>
      <c r="B62" s="178" t="s">
        <v>21</v>
      </c>
      <c r="C62" s="129">
        <v>21</v>
      </c>
      <c r="D62" s="130">
        <f>'2.4.5.2 Durée de missions'!D62/BDA</f>
        <v>0.16094423076923076</v>
      </c>
      <c r="E62" s="131">
        <f>'2.4.5.2 Durée de missions'!E62/BDA</f>
        <v>0.30639230769230769</v>
      </c>
      <c r="F62" s="132">
        <f t="shared" si="0"/>
        <v>0.24511384615384615</v>
      </c>
      <c r="G62" s="133">
        <f t="shared" si="1"/>
        <v>6.1278461538461525E-2</v>
      </c>
      <c r="H62" s="134">
        <f t="shared" si="22"/>
        <v>0.16094423076923076</v>
      </c>
      <c r="I62" s="135"/>
      <c r="J62" s="136">
        <f t="shared" si="23"/>
        <v>0</v>
      </c>
      <c r="K62" s="137"/>
      <c r="L62" s="138">
        <f t="shared" si="24"/>
        <v>0</v>
      </c>
      <c r="M62" s="137"/>
      <c r="N62" s="139">
        <f t="shared" si="25"/>
        <v>8.4169615384615398E-2</v>
      </c>
      <c r="O62" s="137"/>
      <c r="P62" s="140">
        <f t="shared" si="26"/>
        <v>6.1278461538461525E-2</v>
      </c>
      <c r="Q62" s="135"/>
      <c r="R62" s="104">
        <f t="shared" si="27"/>
        <v>0.16094423076923076</v>
      </c>
      <c r="S62" s="137"/>
      <c r="T62" s="141">
        <f t="shared" si="28"/>
        <v>0.14544807692307693</v>
      </c>
      <c r="U62" s="199">
        <f t="shared" si="29"/>
        <v>0</v>
      </c>
      <c r="V62" s="37" t="str">
        <f t="shared" si="30"/>
        <v>ok</v>
      </c>
      <c r="W62" s="37" t="str">
        <f t="shared" si="31"/>
        <v>ok</v>
      </c>
    </row>
    <row r="63" spans="1:23" x14ac:dyDescent="0.25">
      <c r="A63" s="426"/>
      <c r="B63" s="178" t="s">
        <v>22</v>
      </c>
      <c r="C63" s="129">
        <v>22</v>
      </c>
      <c r="D63" s="130">
        <f>'2.4.5.2 Durée de missions'!D63/BDA</f>
        <v>0.6459228461538461</v>
      </c>
      <c r="E63" s="131">
        <f>'2.4.5.2 Durée de missions'!E63/BDA</f>
        <v>0.34469134615384611</v>
      </c>
      <c r="F63" s="132">
        <f t="shared" si="0"/>
        <v>0.27575307692307688</v>
      </c>
      <c r="G63" s="133">
        <f t="shared" si="1"/>
        <v>6.8938269230769206E-2</v>
      </c>
      <c r="H63" s="134">
        <f t="shared" si="22"/>
        <v>0.34469134615384611</v>
      </c>
      <c r="I63" s="135"/>
      <c r="J63" s="136">
        <f t="shared" si="23"/>
        <v>0.30123149999999999</v>
      </c>
      <c r="K63" s="137"/>
      <c r="L63" s="138">
        <f t="shared" si="24"/>
        <v>6.8938269230769206E-2</v>
      </c>
      <c r="M63" s="137"/>
      <c r="N63" s="139">
        <f t="shared" si="25"/>
        <v>0</v>
      </c>
      <c r="O63" s="137"/>
      <c r="P63" s="140">
        <f t="shared" si="26"/>
        <v>0</v>
      </c>
      <c r="Q63" s="135"/>
      <c r="R63" s="104">
        <f t="shared" si="27"/>
        <v>0.27575307692307693</v>
      </c>
      <c r="S63" s="137"/>
      <c r="T63" s="141">
        <f t="shared" si="28"/>
        <v>6.8938269230769206E-2</v>
      </c>
      <c r="U63" s="199">
        <f t="shared" si="29"/>
        <v>0.37016976923076916</v>
      </c>
      <c r="V63" s="37" t="str">
        <f t="shared" si="30"/>
        <v>ok</v>
      </c>
      <c r="W63" s="37" t="str">
        <f t="shared" si="31"/>
        <v>ok</v>
      </c>
    </row>
    <row r="64" spans="1:23" x14ac:dyDescent="0.25">
      <c r="A64" s="426"/>
      <c r="B64" s="178" t="s">
        <v>23</v>
      </c>
      <c r="C64" s="129">
        <v>23</v>
      </c>
      <c r="D64" s="130">
        <f>'2.4.5.2 Durée de missions'!D64/BDA</f>
        <v>0.5257511538461539</v>
      </c>
      <c r="E64" s="131">
        <f>'2.4.5.2 Durée de missions'!E64/BDA</f>
        <v>0.21837415384615383</v>
      </c>
      <c r="F64" s="132">
        <f t="shared" si="0"/>
        <v>0.17469932307692307</v>
      </c>
      <c r="G64" s="133">
        <f t="shared" si="1"/>
        <v>4.3674830769230753E-2</v>
      </c>
      <c r="H64" s="134">
        <f t="shared" si="22"/>
        <v>0.21837415384615383</v>
      </c>
      <c r="I64" s="135"/>
      <c r="J64" s="136">
        <f t="shared" si="23"/>
        <v>0.30737700000000007</v>
      </c>
      <c r="K64" s="137"/>
      <c r="L64" s="138">
        <f t="shared" si="24"/>
        <v>4.3674830769230753E-2</v>
      </c>
      <c r="M64" s="137"/>
      <c r="N64" s="139">
        <f t="shared" si="25"/>
        <v>0</v>
      </c>
      <c r="O64" s="137"/>
      <c r="P64" s="140">
        <f t="shared" si="26"/>
        <v>0</v>
      </c>
      <c r="Q64" s="135"/>
      <c r="R64" s="104">
        <f t="shared" si="27"/>
        <v>0.17469932307692307</v>
      </c>
      <c r="S64" s="137"/>
      <c r="T64" s="141">
        <f t="shared" si="28"/>
        <v>4.3674830769230753E-2</v>
      </c>
      <c r="U64" s="199">
        <f t="shared" si="29"/>
        <v>0.3510518307692308</v>
      </c>
      <c r="V64" s="37" t="str">
        <f t="shared" si="30"/>
        <v>ok</v>
      </c>
      <c r="W64" s="37" t="str">
        <f t="shared" si="31"/>
        <v>ok</v>
      </c>
    </row>
    <row r="65" spans="1:23" x14ac:dyDescent="0.25">
      <c r="A65" s="426"/>
      <c r="B65" s="178" t="s">
        <v>19</v>
      </c>
      <c r="C65" s="129">
        <v>26</v>
      </c>
      <c r="D65" s="130">
        <f>'2.4.5.2 Durée de missions'!D65/BDA</f>
        <v>0.30293280769230779</v>
      </c>
      <c r="E65" s="131">
        <f>'2.4.5.2 Durée de missions'!E65/BDA</f>
        <v>0.10347703846153845</v>
      </c>
      <c r="F65" s="132">
        <f t="shared" si="0"/>
        <v>8.2781630769230771E-2</v>
      </c>
      <c r="G65" s="133">
        <f t="shared" si="1"/>
        <v>2.0695407692307686E-2</v>
      </c>
      <c r="H65" s="134">
        <f t="shared" si="22"/>
        <v>0.10347703846153845</v>
      </c>
      <c r="I65" s="135"/>
      <c r="J65" s="136">
        <f t="shared" si="23"/>
        <v>0.19945576923076935</v>
      </c>
      <c r="K65" s="137"/>
      <c r="L65" s="138">
        <f t="shared" si="24"/>
        <v>2.0695407692307686E-2</v>
      </c>
      <c r="M65" s="137"/>
      <c r="N65" s="139">
        <f t="shared" si="25"/>
        <v>0</v>
      </c>
      <c r="O65" s="137"/>
      <c r="P65" s="140">
        <f t="shared" si="26"/>
        <v>0</v>
      </c>
      <c r="Q65" s="135"/>
      <c r="R65" s="104">
        <f t="shared" si="27"/>
        <v>8.2781630769230771E-2</v>
      </c>
      <c r="S65" s="137"/>
      <c r="T65" s="141">
        <f t="shared" si="28"/>
        <v>2.0695407692307686E-2</v>
      </c>
      <c r="U65" s="199">
        <f t="shared" si="29"/>
        <v>0.22015117692307704</v>
      </c>
      <c r="V65" s="37" t="str">
        <f t="shared" si="30"/>
        <v>ok</v>
      </c>
      <c r="W65" s="37" t="str">
        <f t="shared" si="31"/>
        <v>ok</v>
      </c>
    </row>
    <row r="66" spans="1:23" x14ac:dyDescent="0.25">
      <c r="A66" s="426"/>
      <c r="B66" s="178" t="s">
        <v>20</v>
      </c>
      <c r="C66" s="129">
        <v>27</v>
      </c>
      <c r="D66" s="130">
        <f>'2.4.5.2 Durée de missions'!D66/BDA</f>
        <v>0.24803294230769229</v>
      </c>
      <c r="E66" s="131">
        <f>'2.4.5.2 Durée de missions'!E66/BDA</f>
        <v>0.13787653846153847</v>
      </c>
      <c r="F66" s="132">
        <f t="shared" si="0"/>
        <v>0.11030123076923078</v>
      </c>
      <c r="G66" s="133">
        <f t="shared" si="1"/>
        <v>2.7575307692307687E-2</v>
      </c>
      <c r="H66" s="134">
        <f t="shared" si="22"/>
        <v>0.13787653846153847</v>
      </c>
      <c r="I66" s="135"/>
      <c r="J66" s="136">
        <f t="shared" si="23"/>
        <v>0.11015640384615383</v>
      </c>
      <c r="K66" s="137"/>
      <c r="L66" s="138">
        <f t="shared" si="24"/>
        <v>2.7575307692307687E-2</v>
      </c>
      <c r="M66" s="137"/>
      <c r="N66" s="139">
        <f t="shared" si="25"/>
        <v>0</v>
      </c>
      <c r="O66" s="137"/>
      <c r="P66" s="140">
        <f t="shared" si="26"/>
        <v>0</v>
      </c>
      <c r="Q66" s="135"/>
      <c r="R66" s="104">
        <f t="shared" si="27"/>
        <v>0.11030123076923078</v>
      </c>
      <c r="S66" s="137"/>
      <c r="T66" s="141">
        <f t="shared" si="28"/>
        <v>2.7575307692307687E-2</v>
      </c>
      <c r="U66" s="199">
        <f t="shared" si="29"/>
        <v>0.1377317115384615</v>
      </c>
      <c r="V66" s="37" t="str">
        <f t="shared" si="30"/>
        <v>ok</v>
      </c>
      <c r="W66" s="37" t="str">
        <f t="shared" si="31"/>
        <v>ok</v>
      </c>
    </row>
    <row r="67" spans="1:23" x14ac:dyDescent="0.25">
      <c r="A67" s="426"/>
      <c r="B67" s="178" t="s">
        <v>21</v>
      </c>
      <c r="C67" s="129">
        <v>28</v>
      </c>
      <c r="D67" s="130">
        <f>'2.4.5.2 Durée de missions'!D67/BDA</f>
        <v>0.46584413461538465</v>
      </c>
      <c r="E67" s="131">
        <f>'2.4.5.2 Durée de missions'!E67/BDA</f>
        <v>0.21837415384615383</v>
      </c>
      <c r="F67" s="132">
        <f t="shared" si="0"/>
        <v>0.17469932307692307</v>
      </c>
      <c r="G67" s="133">
        <f t="shared" si="1"/>
        <v>4.3674830769230753E-2</v>
      </c>
      <c r="H67" s="134">
        <f t="shared" si="22"/>
        <v>0.21837415384615383</v>
      </c>
      <c r="I67" s="135"/>
      <c r="J67" s="136">
        <f t="shared" si="23"/>
        <v>0.24746998076923082</v>
      </c>
      <c r="K67" s="137"/>
      <c r="L67" s="138">
        <f t="shared" si="24"/>
        <v>4.3674830769230753E-2</v>
      </c>
      <c r="M67" s="137"/>
      <c r="N67" s="139">
        <f t="shared" si="25"/>
        <v>0</v>
      </c>
      <c r="O67" s="137"/>
      <c r="P67" s="140">
        <f t="shared" si="26"/>
        <v>0</v>
      </c>
      <c r="Q67" s="135"/>
      <c r="R67" s="104">
        <f t="shared" si="27"/>
        <v>0.17469932307692307</v>
      </c>
      <c r="S67" s="137"/>
      <c r="T67" s="141">
        <f t="shared" si="28"/>
        <v>4.3674830769230753E-2</v>
      </c>
      <c r="U67" s="199">
        <f t="shared" si="29"/>
        <v>0.29114481153846156</v>
      </c>
      <c r="V67" s="37" t="str">
        <f t="shared" si="30"/>
        <v>ok</v>
      </c>
      <c r="W67" s="37" t="str">
        <f t="shared" si="31"/>
        <v>ok</v>
      </c>
    </row>
    <row r="68" spans="1:23" x14ac:dyDescent="0.25">
      <c r="A68" s="426"/>
      <c r="B68" s="178" t="s">
        <v>22</v>
      </c>
      <c r="C68" s="129">
        <v>29</v>
      </c>
      <c r="D68" s="130">
        <f>'2.4.5.2 Durée de missions'!D68/BDA</f>
        <v>0.77503588461538486</v>
      </c>
      <c r="E68" s="131">
        <f>'2.4.5.2 Durée de missions'!E68/BDA</f>
        <v>0.41780769230769227</v>
      </c>
      <c r="F68" s="132">
        <f t="shared" si="0"/>
        <v>0.33424615384615386</v>
      </c>
      <c r="G68" s="133">
        <f t="shared" si="1"/>
        <v>8.3561538461538437E-2</v>
      </c>
      <c r="H68" s="134">
        <f t="shared" si="22"/>
        <v>0.41780769230769227</v>
      </c>
      <c r="I68" s="135"/>
      <c r="J68" s="136">
        <f t="shared" si="23"/>
        <v>0.35722819230769259</v>
      </c>
      <c r="K68" s="137"/>
      <c r="L68" s="138">
        <f t="shared" si="24"/>
        <v>8.3561538461538437E-2</v>
      </c>
      <c r="M68" s="137"/>
      <c r="N68" s="139">
        <f t="shared" si="25"/>
        <v>0</v>
      </c>
      <c r="O68" s="137"/>
      <c r="P68" s="140">
        <f t="shared" si="26"/>
        <v>0</v>
      </c>
      <c r="Q68" s="135"/>
      <c r="R68" s="104">
        <f t="shared" si="27"/>
        <v>0.33424615384615386</v>
      </c>
      <c r="S68" s="137"/>
      <c r="T68" s="141">
        <f t="shared" si="28"/>
        <v>8.3561538461538437E-2</v>
      </c>
      <c r="U68" s="199">
        <f t="shared" si="29"/>
        <v>0.440789730769231</v>
      </c>
      <c r="V68" s="37" t="str">
        <f t="shared" si="30"/>
        <v>ok</v>
      </c>
      <c r="W68" s="37" t="str">
        <f t="shared" si="31"/>
        <v>ok</v>
      </c>
    </row>
    <row r="69" spans="1:23" ht="15.75" thickBot="1" x14ac:dyDescent="0.3">
      <c r="A69" s="427"/>
      <c r="B69" s="277" t="s">
        <v>23</v>
      </c>
      <c r="C69" s="165">
        <v>30</v>
      </c>
      <c r="D69" s="202">
        <f>'2.4.5.2 Durée de missions'!D69/BDA</f>
        <v>0.62875546153846151</v>
      </c>
      <c r="E69" s="203">
        <f>'2.4.5.2 Durée de missions'!E69/BDA</f>
        <v>0.29246538461538463</v>
      </c>
      <c r="F69" s="204">
        <f t="shared" ref="F69:F132" si="32">E69*TC</f>
        <v>0.2339723076923077</v>
      </c>
      <c r="G69" s="205">
        <f t="shared" ref="G69:G132" si="33">E69*(1-TC)</f>
        <v>5.8493076923076912E-2</v>
      </c>
      <c r="H69" s="206">
        <f t="shared" si="22"/>
        <v>0.29246538461538463</v>
      </c>
      <c r="I69" s="207"/>
      <c r="J69" s="208">
        <f t="shared" si="23"/>
        <v>0.33629007692307689</v>
      </c>
      <c r="K69" s="209"/>
      <c r="L69" s="210">
        <f t="shared" si="24"/>
        <v>5.8493076923076912E-2</v>
      </c>
      <c r="M69" s="209"/>
      <c r="N69" s="211">
        <f t="shared" si="25"/>
        <v>0</v>
      </c>
      <c r="O69" s="209"/>
      <c r="P69" s="212">
        <f t="shared" si="26"/>
        <v>0</v>
      </c>
      <c r="Q69" s="207"/>
      <c r="R69" s="213">
        <f t="shared" si="27"/>
        <v>0.2339723076923077</v>
      </c>
      <c r="S69" s="209"/>
      <c r="T69" s="214">
        <f t="shared" si="28"/>
        <v>5.8493076923076912E-2</v>
      </c>
      <c r="U69" s="215">
        <f t="shared" si="29"/>
        <v>0.39478315384615381</v>
      </c>
      <c r="V69" s="37" t="str">
        <f t="shared" si="30"/>
        <v>ok</v>
      </c>
      <c r="W69" s="37" t="str">
        <f t="shared" si="31"/>
        <v>ok</v>
      </c>
    </row>
    <row r="70" spans="1:23" x14ac:dyDescent="0.25">
      <c r="A70" s="425" t="s">
        <v>92</v>
      </c>
      <c r="B70" s="276" t="s">
        <v>19</v>
      </c>
      <c r="C70" s="247">
        <v>2</v>
      </c>
      <c r="D70" s="184">
        <f>'2.4.5.2 Durée de missions'!D70/BDA</f>
        <v>0.50798549999999998</v>
      </c>
      <c r="E70" s="185">
        <f>'2.4.5.2 Durée de missions'!E70/BDA</f>
        <v>0.44879999999999998</v>
      </c>
      <c r="F70" s="186">
        <f t="shared" si="32"/>
        <v>0.35904000000000003</v>
      </c>
      <c r="G70" s="187">
        <f t="shared" si="33"/>
        <v>8.9759999999999979E-2</v>
      </c>
      <c r="H70" s="188">
        <f>IF(E70&gt;D70,D70,E70)</f>
        <v>0.44879999999999998</v>
      </c>
      <c r="I70" s="189"/>
      <c r="J70" s="190">
        <f>IF(E70&gt;D70,0,D70-E70)</f>
        <v>5.9185500000000002E-2</v>
      </c>
      <c r="K70" s="191"/>
      <c r="L70" s="192">
        <f>IF(E70&gt;D70,IF(F70&gt;H70,0,H70-F70),G70)</f>
        <v>8.9759999999999979E-2</v>
      </c>
      <c r="M70" s="191"/>
      <c r="N70" s="193">
        <f>IF(E70&gt;D70,IF(F70&gt;H70,F70-H70,0),0)</f>
        <v>0</v>
      </c>
      <c r="O70" s="191"/>
      <c r="P70" s="194">
        <f>IF(E70&gt;D70,IF(F70&gt;H70,G70,E70-H70),0)</f>
        <v>0</v>
      </c>
      <c r="Q70" s="189"/>
      <c r="R70" s="195">
        <f>H70-L70</f>
        <v>0.35904000000000003</v>
      </c>
      <c r="S70" s="191"/>
      <c r="T70" s="196">
        <f>L70+N70+P70</f>
        <v>8.9759999999999979E-2</v>
      </c>
      <c r="U70" s="197">
        <f>J70+L70</f>
        <v>0.14894549999999998</v>
      </c>
      <c r="V70" s="37" t="str">
        <f>IF(R70+T70=E70,"ok","bad")</f>
        <v>ok</v>
      </c>
      <c r="W70" s="37" t="str">
        <f>IF(U70+R70=D70,"ok","bad")</f>
        <v>ok</v>
      </c>
    </row>
    <row r="71" spans="1:23" x14ac:dyDescent="0.25">
      <c r="A71" s="426"/>
      <c r="B71" s="178" t="s">
        <v>20</v>
      </c>
      <c r="C71" s="129">
        <v>3</v>
      </c>
      <c r="D71" s="130">
        <f>'2.4.5.2 Durée de missions'!D71/BDA</f>
        <v>0.39887100000000003</v>
      </c>
      <c r="E71" s="131">
        <f>'2.4.5.2 Durée de missions'!E71/BDA</f>
        <v>0.32911999999999997</v>
      </c>
      <c r="F71" s="132">
        <f t="shared" si="32"/>
        <v>0.26329599999999997</v>
      </c>
      <c r="G71" s="133">
        <f t="shared" si="33"/>
        <v>6.582399999999998E-2</v>
      </c>
      <c r="H71" s="134">
        <f t="shared" ref="H71:H90" si="34">IF(E71&gt;D71,D71,E71)</f>
        <v>0.32911999999999997</v>
      </c>
      <c r="I71" s="135"/>
      <c r="J71" s="136">
        <f t="shared" ref="J71:J90" si="35">IF(E71&gt;D71,0,D71-E71)</f>
        <v>6.9751000000000063E-2</v>
      </c>
      <c r="K71" s="137"/>
      <c r="L71" s="138">
        <f t="shared" ref="L71:L90" si="36">IF(E71&gt;D71,IF(F71&gt;H71,0,H71-F71),G71)</f>
        <v>6.582399999999998E-2</v>
      </c>
      <c r="M71" s="137"/>
      <c r="N71" s="139">
        <f t="shared" ref="N71:N90" si="37">IF(E71&gt;D71,IF(F71&gt;H71,F71-H71,0),0)</f>
        <v>0</v>
      </c>
      <c r="O71" s="137"/>
      <c r="P71" s="140">
        <f t="shared" ref="P71:P90" si="38">IF(E71&gt;D71,IF(F71&gt;H71,G71,E71-H71),0)</f>
        <v>0</v>
      </c>
      <c r="Q71" s="135"/>
      <c r="R71" s="104">
        <f t="shared" ref="R71:R90" si="39">H71-L71</f>
        <v>0.26329599999999997</v>
      </c>
      <c r="S71" s="137"/>
      <c r="T71" s="141">
        <f t="shared" ref="T71:T90" si="40">L71+N71+P71</f>
        <v>6.582399999999998E-2</v>
      </c>
      <c r="U71" s="199">
        <f t="shared" ref="U71:U90" si="41">J71+L71</f>
        <v>0.13557500000000006</v>
      </c>
      <c r="V71" s="37" t="str">
        <f t="shared" ref="V71:V90" si="42">IF(R71+T71=E71,"ok","bad")</f>
        <v>ok</v>
      </c>
      <c r="W71" s="37" t="str">
        <f t="shared" ref="W71:W90" si="43">IF(U71+R71=D71,"ok","bad")</f>
        <v>ok</v>
      </c>
    </row>
    <row r="72" spans="1:23" x14ac:dyDescent="0.25">
      <c r="A72" s="426"/>
      <c r="B72" s="178" t="s">
        <v>21</v>
      </c>
      <c r="C72" s="129">
        <v>4</v>
      </c>
      <c r="D72" s="130">
        <f>'2.4.5.2 Durée de missions'!D72/BDA</f>
        <v>0.17447100000000001</v>
      </c>
      <c r="E72" s="131">
        <f>'2.4.5.2 Durée de missions'!E72/BDA</f>
        <v>0.13463999999999998</v>
      </c>
      <c r="F72" s="132">
        <f t="shared" si="32"/>
        <v>0.10771199999999999</v>
      </c>
      <c r="G72" s="133">
        <f t="shared" si="33"/>
        <v>2.692799999999999E-2</v>
      </c>
      <c r="H72" s="134">
        <f t="shared" si="34"/>
        <v>0.13463999999999998</v>
      </c>
      <c r="I72" s="135"/>
      <c r="J72" s="136">
        <f t="shared" si="35"/>
        <v>3.9831000000000033E-2</v>
      </c>
      <c r="K72" s="137"/>
      <c r="L72" s="138">
        <f t="shared" si="36"/>
        <v>2.692799999999999E-2</v>
      </c>
      <c r="M72" s="137"/>
      <c r="N72" s="139">
        <f t="shared" si="37"/>
        <v>0</v>
      </c>
      <c r="O72" s="137"/>
      <c r="P72" s="140">
        <f t="shared" si="38"/>
        <v>0</v>
      </c>
      <c r="Q72" s="135"/>
      <c r="R72" s="104">
        <f t="shared" si="39"/>
        <v>0.10771199999999999</v>
      </c>
      <c r="S72" s="137"/>
      <c r="T72" s="141">
        <f t="shared" si="40"/>
        <v>2.692799999999999E-2</v>
      </c>
      <c r="U72" s="199">
        <f t="shared" si="41"/>
        <v>6.6759000000000027E-2</v>
      </c>
      <c r="V72" s="37" t="str">
        <f t="shared" si="42"/>
        <v>ok</v>
      </c>
      <c r="W72" s="37" t="str">
        <f t="shared" si="43"/>
        <v>ok</v>
      </c>
    </row>
    <row r="73" spans="1:23" x14ac:dyDescent="0.25">
      <c r="A73" s="426"/>
      <c r="B73" s="178" t="s">
        <v>22</v>
      </c>
      <c r="C73" s="129">
        <v>5</v>
      </c>
      <c r="D73" s="130">
        <f>'2.4.5.2 Durée de missions'!D73/BDA</f>
        <v>0.12173699999999998</v>
      </c>
      <c r="E73" s="131">
        <f>'2.4.5.2 Durée de missions'!E73/BDA</f>
        <v>0.20196</v>
      </c>
      <c r="F73" s="132">
        <f t="shared" si="32"/>
        <v>0.16156800000000002</v>
      </c>
      <c r="G73" s="133">
        <f t="shared" si="33"/>
        <v>4.039199999999999E-2</v>
      </c>
      <c r="H73" s="134">
        <f t="shared" si="34"/>
        <v>0.12173699999999998</v>
      </c>
      <c r="I73" s="135"/>
      <c r="J73" s="136">
        <f t="shared" si="35"/>
        <v>0</v>
      </c>
      <c r="K73" s="137"/>
      <c r="L73" s="138">
        <f t="shared" si="36"/>
        <v>0</v>
      </c>
      <c r="M73" s="137"/>
      <c r="N73" s="139">
        <f t="shared" si="37"/>
        <v>3.9831000000000033E-2</v>
      </c>
      <c r="O73" s="137"/>
      <c r="P73" s="140">
        <f t="shared" si="38"/>
        <v>4.039199999999999E-2</v>
      </c>
      <c r="Q73" s="135"/>
      <c r="R73" s="104">
        <f t="shared" si="39"/>
        <v>0.12173699999999998</v>
      </c>
      <c r="S73" s="137"/>
      <c r="T73" s="141">
        <f t="shared" si="40"/>
        <v>8.0223000000000017E-2</v>
      </c>
      <c r="U73" s="199">
        <f t="shared" si="41"/>
        <v>0</v>
      </c>
      <c r="V73" s="37" t="str">
        <f t="shared" si="42"/>
        <v>ok</v>
      </c>
      <c r="W73" s="37" t="str">
        <f t="shared" si="43"/>
        <v>ok</v>
      </c>
    </row>
    <row r="74" spans="1:23" x14ac:dyDescent="0.25">
      <c r="A74" s="426"/>
      <c r="B74" s="178" t="s">
        <v>23</v>
      </c>
      <c r="C74" s="129">
        <v>6</v>
      </c>
      <c r="D74" s="130">
        <f>'2.4.5.2 Durée de missions'!D74/BDA</f>
        <v>0.25245000000000001</v>
      </c>
      <c r="E74" s="131">
        <f>'2.4.5.2 Durée de missions'!E74/BDA</f>
        <v>0.32911999999999997</v>
      </c>
      <c r="F74" s="132">
        <f t="shared" si="32"/>
        <v>0.26329599999999997</v>
      </c>
      <c r="G74" s="133">
        <f t="shared" si="33"/>
        <v>6.582399999999998E-2</v>
      </c>
      <c r="H74" s="134">
        <f t="shared" si="34"/>
        <v>0.25245000000000001</v>
      </c>
      <c r="I74" s="135"/>
      <c r="J74" s="136">
        <f t="shared" si="35"/>
        <v>0</v>
      </c>
      <c r="K74" s="137"/>
      <c r="L74" s="138">
        <f t="shared" si="36"/>
        <v>0</v>
      </c>
      <c r="M74" s="137"/>
      <c r="N74" s="139">
        <f t="shared" si="37"/>
        <v>1.0845999999999967E-2</v>
      </c>
      <c r="O74" s="137"/>
      <c r="P74" s="140">
        <f t="shared" si="38"/>
        <v>6.582399999999998E-2</v>
      </c>
      <c r="Q74" s="135"/>
      <c r="R74" s="104">
        <f t="shared" si="39"/>
        <v>0.25245000000000001</v>
      </c>
      <c r="S74" s="137"/>
      <c r="T74" s="141">
        <f t="shared" si="40"/>
        <v>7.6669999999999947E-2</v>
      </c>
      <c r="U74" s="199">
        <f t="shared" si="41"/>
        <v>0</v>
      </c>
      <c r="V74" s="37" t="str">
        <f t="shared" si="42"/>
        <v>ok</v>
      </c>
      <c r="W74" s="37" t="str">
        <f t="shared" si="43"/>
        <v>ok</v>
      </c>
    </row>
    <row r="75" spans="1:23" x14ac:dyDescent="0.25">
      <c r="A75" s="426"/>
      <c r="B75" s="178" t="s">
        <v>19</v>
      </c>
      <c r="C75" s="129">
        <v>9</v>
      </c>
      <c r="D75" s="130">
        <f>'2.4.5.2 Durée de missions'!D75/BDA</f>
        <v>0.81064499999999995</v>
      </c>
      <c r="E75" s="131">
        <f>'2.4.5.2 Durée de missions'!E75/BDA</f>
        <v>0.23015384615384613</v>
      </c>
      <c r="F75" s="132">
        <f t="shared" si="32"/>
        <v>0.18412307692307692</v>
      </c>
      <c r="G75" s="133">
        <f t="shared" si="33"/>
        <v>4.6030769230769215E-2</v>
      </c>
      <c r="H75" s="134">
        <f t="shared" si="34"/>
        <v>0.23015384615384613</v>
      </c>
      <c r="I75" s="135"/>
      <c r="J75" s="136">
        <f t="shared" si="35"/>
        <v>0.5804911538461538</v>
      </c>
      <c r="K75" s="137"/>
      <c r="L75" s="138">
        <f t="shared" si="36"/>
        <v>4.6030769230769215E-2</v>
      </c>
      <c r="M75" s="137"/>
      <c r="N75" s="139">
        <f t="shared" si="37"/>
        <v>0</v>
      </c>
      <c r="O75" s="137"/>
      <c r="P75" s="140">
        <f t="shared" si="38"/>
        <v>0</v>
      </c>
      <c r="Q75" s="135"/>
      <c r="R75" s="104">
        <f t="shared" si="39"/>
        <v>0.18412307692307692</v>
      </c>
      <c r="S75" s="137"/>
      <c r="T75" s="141">
        <f t="shared" si="40"/>
        <v>4.6030769230769215E-2</v>
      </c>
      <c r="U75" s="199">
        <f t="shared" si="41"/>
        <v>0.626521923076923</v>
      </c>
      <c r="V75" s="37" t="str">
        <f t="shared" si="42"/>
        <v>ok</v>
      </c>
      <c r="W75" s="37" t="str">
        <f t="shared" si="43"/>
        <v>ok</v>
      </c>
    </row>
    <row r="76" spans="1:23" x14ac:dyDescent="0.25">
      <c r="A76" s="426"/>
      <c r="B76" s="178" t="s">
        <v>20</v>
      </c>
      <c r="C76" s="129">
        <v>10</v>
      </c>
      <c r="D76" s="130">
        <f>'2.4.5.2 Durée de missions'!D76/BDA</f>
        <v>0.65749200000000008</v>
      </c>
      <c r="E76" s="131">
        <f>'2.4.5.2 Durée de missions'!E76/BDA</f>
        <v>0.23590769230769229</v>
      </c>
      <c r="F76" s="132">
        <f t="shared" si="32"/>
        <v>0.18872615384615385</v>
      </c>
      <c r="G76" s="133">
        <f t="shared" si="33"/>
        <v>4.7181538461538448E-2</v>
      </c>
      <c r="H76" s="134">
        <f t="shared" si="34"/>
        <v>0.23590769230769229</v>
      </c>
      <c r="I76" s="135"/>
      <c r="J76" s="136">
        <f t="shared" si="35"/>
        <v>0.42158430769230781</v>
      </c>
      <c r="K76" s="137"/>
      <c r="L76" s="138">
        <f t="shared" si="36"/>
        <v>4.7181538461538448E-2</v>
      </c>
      <c r="M76" s="137"/>
      <c r="N76" s="139">
        <f t="shared" si="37"/>
        <v>0</v>
      </c>
      <c r="O76" s="137"/>
      <c r="P76" s="140">
        <f t="shared" si="38"/>
        <v>0</v>
      </c>
      <c r="Q76" s="135"/>
      <c r="R76" s="104">
        <f t="shared" si="39"/>
        <v>0.18872615384615385</v>
      </c>
      <c r="S76" s="137"/>
      <c r="T76" s="141">
        <f t="shared" si="40"/>
        <v>4.7181538461538448E-2</v>
      </c>
      <c r="U76" s="199">
        <f t="shared" si="41"/>
        <v>0.46876584615384626</v>
      </c>
      <c r="V76" s="37" t="str">
        <f t="shared" si="42"/>
        <v>ok</v>
      </c>
      <c r="W76" s="37" t="str">
        <f t="shared" si="43"/>
        <v>ok</v>
      </c>
    </row>
    <row r="77" spans="1:23" x14ac:dyDescent="0.25">
      <c r="A77" s="426"/>
      <c r="B77" s="178" t="s">
        <v>21</v>
      </c>
      <c r="C77" s="129">
        <v>11</v>
      </c>
      <c r="D77" s="130">
        <f>'2.4.5.2 Durée de missions'!D77/BDA</f>
        <v>0.38007749999999996</v>
      </c>
      <c r="E77" s="131">
        <f>'2.4.5.2 Durée de missions'!E77/BDA</f>
        <v>0.12658461538461538</v>
      </c>
      <c r="F77" s="132">
        <f t="shared" si="32"/>
        <v>0.10126769230769231</v>
      </c>
      <c r="G77" s="133">
        <f t="shared" si="33"/>
        <v>2.531692307692307E-2</v>
      </c>
      <c r="H77" s="134">
        <f t="shared" si="34"/>
        <v>0.12658461538461538</v>
      </c>
      <c r="I77" s="135"/>
      <c r="J77" s="136">
        <f t="shared" si="35"/>
        <v>0.25349288461538455</v>
      </c>
      <c r="K77" s="137"/>
      <c r="L77" s="138">
        <f t="shared" si="36"/>
        <v>2.531692307692307E-2</v>
      </c>
      <c r="M77" s="137"/>
      <c r="N77" s="139">
        <f t="shared" si="37"/>
        <v>0</v>
      </c>
      <c r="O77" s="137"/>
      <c r="P77" s="140">
        <f t="shared" si="38"/>
        <v>0</v>
      </c>
      <c r="Q77" s="135"/>
      <c r="R77" s="104">
        <f t="shared" si="39"/>
        <v>0.10126769230769231</v>
      </c>
      <c r="S77" s="137"/>
      <c r="T77" s="141">
        <f t="shared" si="40"/>
        <v>2.531692307692307E-2</v>
      </c>
      <c r="U77" s="199">
        <f t="shared" si="41"/>
        <v>0.27880980769230762</v>
      </c>
      <c r="V77" s="37" t="str">
        <f t="shared" si="42"/>
        <v>ok</v>
      </c>
      <c r="W77" s="37" t="str">
        <f t="shared" si="43"/>
        <v>ok</v>
      </c>
    </row>
    <row r="78" spans="1:23" x14ac:dyDescent="0.25">
      <c r="A78" s="426"/>
      <c r="B78" s="178" t="s">
        <v>22</v>
      </c>
      <c r="C78" s="129">
        <v>12</v>
      </c>
      <c r="D78" s="130">
        <f>'2.4.5.2 Durée de missions'!D78/BDA</f>
        <v>0.30686699999999995</v>
      </c>
      <c r="E78" s="131">
        <f>'2.4.5.2 Durée de missions'!E78/BDA</f>
        <v>0.16110769230769229</v>
      </c>
      <c r="F78" s="132">
        <f t="shared" si="32"/>
        <v>0.12888615384615384</v>
      </c>
      <c r="G78" s="133">
        <f t="shared" si="33"/>
        <v>3.2221538461538447E-2</v>
      </c>
      <c r="H78" s="134">
        <f t="shared" si="34"/>
        <v>0.16110769230769229</v>
      </c>
      <c r="I78" s="135"/>
      <c r="J78" s="136">
        <f t="shared" si="35"/>
        <v>0.14575930769230766</v>
      </c>
      <c r="K78" s="137"/>
      <c r="L78" s="138">
        <f t="shared" si="36"/>
        <v>3.2221538461538447E-2</v>
      </c>
      <c r="M78" s="137"/>
      <c r="N78" s="139">
        <f t="shared" si="37"/>
        <v>0</v>
      </c>
      <c r="O78" s="137"/>
      <c r="P78" s="140">
        <f t="shared" si="38"/>
        <v>0</v>
      </c>
      <c r="Q78" s="135"/>
      <c r="R78" s="104">
        <f t="shared" si="39"/>
        <v>0.12888615384615384</v>
      </c>
      <c r="S78" s="137"/>
      <c r="T78" s="141">
        <f t="shared" si="40"/>
        <v>3.2221538461538447E-2</v>
      </c>
      <c r="U78" s="199">
        <f t="shared" si="41"/>
        <v>0.1779808461538461</v>
      </c>
      <c r="V78" s="37" t="str">
        <f t="shared" si="42"/>
        <v>ok</v>
      </c>
      <c r="W78" s="37" t="str">
        <f t="shared" si="43"/>
        <v>ok</v>
      </c>
    </row>
    <row r="79" spans="1:23" x14ac:dyDescent="0.25">
      <c r="A79" s="426"/>
      <c r="B79" s="178" t="s">
        <v>23</v>
      </c>
      <c r="C79" s="129">
        <v>13</v>
      </c>
      <c r="D79" s="130">
        <f>'2.4.5.2 Durée de missions'!D79/BDA</f>
        <v>0.58456199999999992</v>
      </c>
      <c r="E79" s="131">
        <f>'2.4.5.2 Durée de missions'!E79/BDA</f>
        <v>0.21864615384615382</v>
      </c>
      <c r="F79" s="132">
        <f t="shared" si="32"/>
        <v>0.17491692307692308</v>
      </c>
      <c r="G79" s="133">
        <f t="shared" si="33"/>
        <v>4.3729230769230756E-2</v>
      </c>
      <c r="H79" s="134">
        <f t="shared" si="34"/>
        <v>0.21864615384615382</v>
      </c>
      <c r="I79" s="135"/>
      <c r="J79" s="136">
        <f t="shared" si="35"/>
        <v>0.36591584615384609</v>
      </c>
      <c r="K79" s="137"/>
      <c r="L79" s="138">
        <f t="shared" si="36"/>
        <v>4.3729230769230756E-2</v>
      </c>
      <c r="M79" s="137"/>
      <c r="N79" s="139">
        <f t="shared" si="37"/>
        <v>0</v>
      </c>
      <c r="O79" s="137"/>
      <c r="P79" s="140">
        <f t="shared" si="38"/>
        <v>0</v>
      </c>
      <c r="Q79" s="135"/>
      <c r="R79" s="104">
        <f t="shared" si="39"/>
        <v>0.17491692307692308</v>
      </c>
      <c r="S79" s="137"/>
      <c r="T79" s="141">
        <f t="shared" si="40"/>
        <v>4.3729230769230756E-2</v>
      </c>
      <c r="U79" s="199">
        <f t="shared" si="41"/>
        <v>0.40964507692307683</v>
      </c>
      <c r="V79" s="37" t="str">
        <f t="shared" si="42"/>
        <v>ok</v>
      </c>
      <c r="W79" s="37" t="str">
        <f t="shared" si="43"/>
        <v>ok</v>
      </c>
    </row>
    <row r="80" spans="1:23" x14ac:dyDescent="0.25">
      <c r="A80" s="426"/>
      <c r="B80" s="178" t="s">
        <v>19</v>
      </c>
      <c r="C80" s="129">
        <v>16</v>
      </c>
      <c r="D80" s="130">
        <f>'2.4.5.2 Durée de missions'!D80/BDA</f>
        <v>0.50798549999999998</v>
      </c>
      <c r="E80" s="131">
        <f>'2.4.5.2 Durée de missions'!E80/BDA</f>
        <v>0.34523076923076917</v>
      </c>
      <c r="F80" s="132">
        <f t="shared" si="32"/>
        <v>0.27618461538461536</v>
      </c>
      <c r="G80" s="133">
        <f t="shared" si="33"/>
        <v>6.9046153846153813E-2</v>
      </c>
      <c r="H80" s="134">
        <f t="shared" si="34"/>
        <v>0.34523076923076917</v>
      </c>
      <c r="I80" s="135"/>
      <c r="J80" s="136">
        <f t="shared" si="35"/>
        <v>0.1627547307692308</v>
      </c>
      <c r="K80" s="137"/>
      <c r="L80" s="138">
        <f t="shared" si="36"/>
        <v>6.9046153846153813E-2</v>
      </c>
      <c r="M80" s="137"/>
      <c r="N80" s="139">
        <f t="shared" si="37"/>
        <v>0</v>
      </c>
      <c r="O80" s="137"/>
      <c r="P80" s="140">
        <f t="shared" si="38"/>
        <v>0</v>
      </c>
      <c r="Q80" s="135"/>
      <c r="R80" s="104">
        <f t="shared" si="39"/>
        <v>0.27618461538461536</v>
      </c>
      <c r="S80" s="137"/>
      <c r="T80" s="141">
        <f t="shared" si="40"/>
        <v>6.9046153846153813E-2</v>
      </c>
      <c r="U80" s="199">
        <f t="shared" si="41"/>
        <v>0.23180088461538462</v>
      </c>
      <c r="V80" s="37" t="str">
        <f t="shared" si="42"/>
        <v>ok</v>
      </c>
      <c r="W80" s="37" t="str">
        <f t="shared" si="43"/>
        <v>ok</v>
      </c>
    </row>
    <row r="81" spans="1:23" x14ac:dyDescent="0.25">
      <c r="A81" s="426"/>
      <c r="B81" s="178" t="s">
        <v>20</v>
      </c>
      <c r="C81" s="129">
        <v>17</v>
      </c>
      <c r="D81" s="130">
        <f>'2.4.5.2 Durée de missions'!D81/BDA</f>
        <v>0.39887100000000003</v>
      </c>
      <c r="E81" s="131">
        <f>'2.4.5.2 Durée de missions'!E81/BDA</f>
        <v>0.26467692307692309</v>
      </c>
      <c r="F81" s="132">
        <f t="shared" si="32"/>
        <v>0.21174153846153848</v>
      </c>
      <c r="G81" s="133">
        <f t="shared" si="33"/>
        <v>5.2935384615384606E-2</v>
      </c>
      <c r="H81" s="134">
        <f t="shared" si="34"/>
        <v>0.26467692307692309</v>
      </c>
      <c r="I81" s="135"/>
      <c r="J81" s="136">
        <f t="shared" si="35"/>
        <v>0.13419407692307694</v>
      </c>
      <c r="K81" s="137"/>
      <c r="L81" s="138">
        <f t="shared" si="36"/>
        <v>5.2935384615384606E-2</v>
      </c>
      <c r="M81" s="137"/>
      <c r="N81" s="139">
        <f t="shared" si="37"/>
        <v>0</v>
      </c>
      <c r="O81" s="137"/>
      <c r="P81" s="140">
        <f t="shared" si="38"/>
        <v>0</v>
      </c>
      <c r="Q81" s="135"/>
      <c r="R81" s="104">
        <f t="shared" si="39"/>
        <v>0.21174153846153848</v>
      </c>
      <c r="S81" s="137"/>
      <c r="T81" s="141">
        <f t="shared" si="40"/>
        <v>5.2935384615384606E-2</v>
      </c>
      <c r="U81" s="199">
        <f t="shared" si="41"/>
        <v>0.18712946153846155</v>
      </c>
      <c r="V81" s="37" t="str">
        <f t="shared" si="42"/>
        <v>ok</v>
      </c>
      <c r="W81" s="37" t="str">
        <f t="shared" si="43"/>
        <v>ok</v>
      </c>
    </row>
    <row r="82" spans="1:23" x14ac:dyDescent="0.25">
      <c r="A82" s="426"/>
      <c r="B82" s="178" t="s">
        <v>21</v>
      </c>
      <c r="C82" s="129">
        <v>18</v>
      </c>
      <c r="D82" s="130">
        <f>'2.4.5.2 Durée de missions'!D82/BDA</f>
        <v>0.17447100000000001</v>
      </c>
      <c r="E82" s="131">
        <f>'2.4.5.2 Durée de missions'!E82/BDA</f>
        <v>0.12658461538461538</v>
      </c>
      <c r="F82" s="132">
        <f t="shared" si="32"/>
        <v>0.10126769230769231</v>
      </c>
      <c r="G82" s="133">
        <f t="shared" si="33"/>
        <v>2.531692307692307E-2</v>
      </c>
      <c r="H82" s="134">
        <f t="shared" si="34"/>
        <v>0.12658461538461538</v>
      </c>
      <c r="I82" s="135"/>
      <c r="J82" s="136">
        <f t="shared" si="35"/>
        <v>4.7886384615384636E-2</v>
      </c>
      <c r="K82" s="137"/>
      <c r="L82" s="138">
        <f t="shared" si="36"/>
        <v>2.531692307692307E-2</v>
      </c>
      <c r="M82" s="137"/>
      <c r="N82" s="139">
        <f t="shared" si="37"/>
        <v>0</v>
      </c>
      <c r="O82" s="137"/>
      <c r="P82" s="140">
        <f t="shared" si="38"/>
        <v>0</v>
      </c>
      <c r="Q82" s="135"/>
      <c r="R82" s="104">
        <f t="shared" si="39"/>
        <v>0.10126769230769231</v>
      </c>
      <c r="S82" s="137"/>
      <c r="T82" s="141">
        <f t="shared" si="40"/>
        <v>2.531692307692307E-2</v>
      </c>
      <c r="U82" s="199">
        <f t="shared" si="41"/>
        <v>7.3203307692307706E-2</v>
      </c>
      <c r="V82" s="37" t="str">
        <f t="shared" si="42"/>
        <v>ok</v>
      </c>
      <c r="W82" s="37" t="str">
        <f t="shared" si="43"/>
        <v>ok</v>
      </c>
    </row>
    <row r="83" spans="1:23" x14ac:dyDescent="0.25">
      <c r="A83" s="426"/>
      <c r="B83" s="178" t="s">
        <v>22</v>
      </c>
      <c r="C83" s="129">
        <v>19</v>
      </c>
      <c r="D83" s="130">
        <f>'2.4.5.2 Durée de missions'!D83/BDA</f>
        <v>0.12173699999999998</v>
      </c>
      <c r="E83" s="131">
        <f>'2.4.5.2 Durée de missions'!E83/BDA</f>
        <v>0.21289230769230769</v>
      </c>
      <c r="F83" s="132">
        <f t="shared" si="32"/>
        <v>0.17031384615384615</v>
      </c>
      <c r="G83" s="133">
        <f t="shared" si="33"/>
        <v>4.257846153846153E-2</v>
      </c>
      <c r="H83" s="134">
        <f t="shared" si="34"/>
        <v>0.12173699999999998</v>
      </c>
      <c r="I83" s="135"/>
      <c r="J83" s="136">
        <f t="shared" si="35"/>
        <v>0</v>
      </c>
      <c r="K83" s="137"/>
      <c r="L83" s="138">
        <f t="shared" si="36"/>
        <v>0</v>
      </c>
      <c r="M83" s="137"/>
      <c r="N83" s="139">
        <f t="shared" si="37"/>
        <v>4.8576846153846165E-2</v>
      </c>
      <c r="O83" s="137"/>
      <c r="P83" s="140">
        <f t="shared" si="38"/>
        <v>4.257846153846153E-2</v>
      </c>
      <c r="Q83" s="135"/>
      <c r="R83" s="104">
        <f t="shared" si="39"/>
        <v>0.12173699999999998</v>
      </c>
      <c r="S83" s="137"/>
      <c r="T83" s="141">
        <f t="shared" si="40"/>
        <v>9.1155307692307702E-2</v>
      </c>
      <c r="U83" s="199">
        <f t="shared" si="41"/>
        <v>0</v>
      </c>
      <c r="V83" s="37" t="str">
        <f t="shared" si="42"/>
        <v>ok</v>
      </c>
      <c r="W83" s="37" t="str">
        <f t="shared" si="43"/>
        <v>ok</v>
      </c>
    </row>
    <row r="84" spans="1:23" x14ac:dyDescent="0.25">
      <c r="A84" s="426"/>
      <c r="B84" s="178" t="s">
        <v>23</v>
      </c>
      <c r="C84" s="129">
        <v>20</v>
      </c>
      <c r="D84" s="130">
        <f>'2.4.5.2 Durée de missions'!D84/BDA</f>
        <v>0.25245000000000001</v>
      </c>
      <c r="E84" s="131">
        <f>'2.4.5.2 Durée de missions'!E84/BDA</f>
        <v>0.25316923076923076</v>
      </c>
      <c r="F84" s="132">
        <f t="shared" si="32"/>
        <v>0.20253538461538462</v>
      </c>
      <c r="G84" s="133">
        <f t="shared" si="33"/>
        <v>5.063384615384614E-2</v>
      </c>
      <c r="H84" s="134">
        <f t="shared" si="34"/>
        <v>0.25245000000000001</v>
      </c>
      <c r="I84" s="135"/>
      <c r="J84" s="136">
        <f t="shared" si="35"/>
        <v>0</v>
      </c>
      <c r="K84" s="137"/>
      <c r="L84" s="138">
        <f t="shared" si="36"/>
        <v>4.9914615384615391E-2</v>
      </c>
      <c r="M84" s="137"/>
      <c r="N84" s="139">
        <f t="shared" si="37"/>
        <v>0</v>
      </c>
      <c r="O84" s="137"/>
      <c r="P84" s="140">
        <f t="shared" si="38"/>
        <v>7.192307692307498E-4</v>
      </c>
      <c r="Q84" s="135"/>
      <c r="R84" s="104">
        <f t="shared" si="39"/>
        <v>0.20253538461538462</v>
      </c>
      <c r="S84" s="137"/>
      <c r="T84" s="141">
        <f t="shared" si="40"/>
        <v>5.063384615384614E-2</v>
      </c>
      <c r="U84" s="199">
        <f t="shared" si="41"/>
        <v>4.9914615384615391E-2</v>
      </c>
      <c r="V84" s="37" t="str">
        <f t="shared" si="42"/>
        <v>ok</v>
      </c>
      <c r="W84" s="37" t="str">
        <f t="shared" si="43"/>
        <v>ok</v>
      </c>
    </row>
    <row r="85" spans="1:23" x14ac:dyDescent="0.25">
      <c r="A85" s="426"/>
      <c r="B85" s="178" t="s">
        <v>19</v>
      </c>
      <c r="C85" s="129">
        <v>23</v>
      </c>
      <c r="D85" s="130">
        <f>'2.4.5.2 Durée de missions'!D85/BDA</f>
        <v>1.0131659999999998</v>
      </c>
      <c r="E85" s="131">
        <f>'2.4.5.2 Durée de missions'!E85/BDA</f>
        <v>0.28481538461538458</v>
      </c>
      <c r="F85" s="132">
        <f t="shared" si="32"/>
        <v>0.22785230769230769</v>
      </c>
      <c r="G85" s="133">
        <f t="shared" si="33"/>
        <v>5.6963076923076901E-2</v>
      </c>
      <c r="H85" s="134">
        <f t="shared" si="34"/>
        <v>0.28481538461538458</v>
      </c>
      <c r="I85" s="135"/>
      <c r="J85" s="136">
        <f t="shared" si="35"/>
        <v>0.72835061538461521</v>
      </c>
      <c r="K85" s="137"/>
      <c r="L85" s="138">
        <f t="shared" si="36"/>
        <v>5.6963076923076901E-2</v>
      </c>
      <c r="M85" s="137"/>
      <c r="N85" s="139">
        <f t="shared" si="37"/>
        <v>0</v>
      </c>
      <c r="O85" s="137"/>
      <c r="P85" s="140">
        <f t="shared" si="38"/>
        <v>0</v>
      </c>
      <c r="Q85" s="135"/>
      <c r="R85" s="104">
        <f t="shared" si="39"/>
        <v>0.22785230769230769</v>
      </c>
      <c r="S85" s="137"/>
      <c r="T85" s="141">
        <f t="shared" si="40"/>
        <v>5.6963076923076901E-2</v>
      </c>
      <c r="U85" s="199">
        <f t="shared" si="41"/>
        <v>0.7853136923076921</v>
      </c>
      <c r="V85" s="37" t="str">
        <f t="shared" si="42"/>
        <v>ok</v>
      </c>
      <c r="W85" s="37" t="str">
        <f t="shared" si="43"/>
        <v>ok</v>
      </c>
    </row>
    <row r="86" spans="1:23" x14ac:dyDescent="0.25">
      <c r="A86" s="426"/>
      <c r="B86" s="178" t="s">
        <v>20</v>
      </c>
      <c r="C86" s="129">
        <v>24</v>
      </c>
      <c r="D86" s="130">
        <f>'2.4.5.2 Durée de missions'!D86/BDA</f>
        <v>0.8246699999999999</v>
      </c>
      <c r="E86" s="131">
        <f>'2.4.5.2 Durée de missions'!E86/BDA</f>
        <v>0.18044061538461537</v>
      </c>
      <c r="F86" s="132">
        <f t="shared" si="32"/>
        <v>0.14435249230769229</v>
      </c>
      <c r="G86" s="133">
        <f t="shared" si="33"/>
        <v>3.6088123076923065E-2</v>
      </c>
      <c r="H86" s="134">
        <f t="shared" si="34"/>
        <v>0.18044061538461537</v>
      </c>
      <c r="I86" s="135"/>
      <c r="J86" s="136">
        <f t="shared" si="35"/>
        <v>0.64422938461538459</v>
      </c>
      <c r="K86" s="137"/>
      <c r="L86" s="138">
        <f t="shared" si="36"/>
        <v>3.6088123076923065E-2</v>
      </c>
      <c r="M86" s="137"/>
      <c r="N86" s="139">
        <f t="shared" si="37"/>
        <v>0</v>
      </c>
      <c r="O86" s="137"/>
      <c r="P86" s="140">
        <f t="shared" si="38"/>
        <v>0</v>
      </c>
      <c r="Q86" s="135"/>
      <c r="R86" s="104">
        <f t="shared" si="39"/>
        <v>0.14435249230769231</v>
      </c>
      <c r="S86" s="137"/>
      <c r="T86" s="141">
        <f t="shared" si="40"/>
        <v>3.6088123076923065E-2</v>
      </c>
      <c r="U86" s="199">
        <f t="shared" si="41"/>
        <v>0.6803175076923077</v>
      </c>
      <c r="V86" s="37" t="str">
        <f t="shared" si="42"/>
        <v>ok</v>
      </c>
      <c r="W86" s="37" t="str">
        <f t="shared" si="43"/>
        <v>ok</v>
      </c>
    </row>
    <row r="87" spans="1:23" x14ac:dyDescent="0.25">
      <c r="A87" s="426"/>
      <c r="B87" s="178" t="s">
        <v>21</v>
      </c>
      <c r="C87" s="129">
        <v>25</v>
      </c>
      <c r="D87" s="130">
        <f>'2.4.5.2 Durée de missions'!D87/BDA</f>
        <v>0.47516700000000001</v>
      </c>
      <c r="E87" s="131">
        <f>'2.4.5.2 Durée de missions'!E87/BDA</f>
        <v>8.5502153846153839E-2</v>
      </c>
      <c r="F87" s="132">
        <f t="shared" si="32"/>
        <v>6.8401723076923077E-2</v>
      </c>
      <c r="G87" s="133">
        <f t="shared" si="33"/>
        <v>1.7100430769230766E-2</v>
      </c>
      <c r="H87" s="134">
        <f t="shared" si="34"/>
        <v>8.5502153846153839E-2</v>
      </c>
      <c r="I87" s="135"/>
      <c r="J87" s="136">
        <f t="shared" si="35"/>
        <v>0.38966484615384617</v>
      </c>
      <c r="K87" s="137"/>
      <c r="L87" s="138">
        <f t="shared" si="36"/>
        <v>1.7100430769230766E-2</v>
      </c>
      <c r="M87" s="137"/>
      <c r="N87" s="139">
        <f t="shared" si="37"/>
        <v>0</v>
      </c>
      <c r="O87" s="137"/>
      <c r="P87" s="140">
        <f t="shared" si="38"/>
        <v>0</v>
      </c>
      <c r="Q87" s="135"/>
      <c r="R87" s="104">
        <f t="shared" si="39"/>
        <v>6.8401723076923077E-2</v>
      </c>
      <c r="S87" s="137"/>
      <c r="T87" s="141">
        <f t="shared" si="40"/>
        <v>1.7100430769230766E-2</v>
      </c>
      <c r="U87" s="199">
        <f t="shared" si="41"/>
        <v>0.40676527692307696</v>
      </c>
      <c r="V87" s="37" t="str">
        <f t="shared" si="42"/>
        <v>ok</v>
      </c>
      <c r="W87" s="37" t="str">
        <f t="shared" si="43"/>
        <v>ok</v>
      </c>
    </row>
    <row r="88" spans="1:23" x14ac:dyDescent="0.25">
      <c r="A88" s="426"/>
      <c r="B88" s="178" t="s">
        <v>22</v>
      </c>
      <c r="C88" s="129">
        <v>26</v>
      </c>
      <c r="D88" s="130">
        <f>'2.4.5.2 Durée de missions'!D88/BDA</f>
        <v>0.38905349999999994</v>
      </c>
      <c r="E88" s="131">
        <f>'2.4.5.2 Durée de missions'!E88/BDA</f>
        <v>0.11392615384615384</v>
      </c>
      <c r="F88" s="132">
        <f t="shared" si="32"/>
        <v>9.1140923076923078E-2</v>
      </c>
      <c r="G88" s="133">
        <f t="shared" si="33"/>
        <v>2.2785230769230762E-2</v>
      </c>
      <c r="H88" s="134">
        <f t="shared" si="34"/>
        <v>0.11392615384615384</v>
      </c>
      <c r="I88" s="135"/>
      <c r="J88" s="136">
        <f t="shared" si="35"/>
        <v>0.2751273461538461</v>
      </c>
      <c r="K88" s="137"/>
      <c r="L88" s="138">
        <f t="shared" si="36"/>
        <v>2.2785230769230762E-2</v>
      </c>
      <c r="M88" s="137"/>
      <c r="N88" s="139">
        <f t="shared" si="37"/>
        <v>0</v>
      </c>
      <c r="O88" s="137"/>
      <c r="P88" s="140">
        <f t="shared" si="38"/>
        <v>0</v>
      </c>
      <c r="Q88" s="135"/>
      <c r="R88" s="104">
        <f t="shared" si="39"/>
        <v>9.1140923076923078E-2</v>
      </c>
      <c r="S88" s="137"/>
      <c r="T88" s="141">
        <f t="shared" si="40"/>
        <v>2.2785230769230762E-2</v>
      </c>
      <c r="U88" s="199">
        <f t="shared" si="41"/>
        <v>0.29791257692307688</v>
      </c>
      <c r="V88" s="37" t="str">
        <f t="shared" si="42"/>
        <v>ok</v>
      </c>
      <c r="W88" s="37" t="str">
        <f t="shared" si="43"/>
        <v>ok</v>
      </c>
    </row>
    <row r="89" spans="1:23" x14ac:dyDescent="0.25">
      <c r="A89" s="426"/>
      <c r="B89" s="178" t="s">
        <v>23</v>
      </c>
      <c r="C89" s="129">
        <v>27</v>
      </c>
      <c r="D89" s="130">
        <f>'2.4.5.2 Durée de missions'!D89/BDA</f>
        <v>0.73070250000000003</v>
      </c>
      <c r="E89" s="131">
        <f>'2.4.5.2 Durée de missions'!E89/BDA</f>
        <v>0.18044061538461537</v>
      </c>
      <c r="F89" s="132">
        <f t="shared" si="32"/>
        <v>0.14435249230769229</v>
      </c>
      <c r="G89" s="133">
        <f t="shared" si="33"/>
        <v>3.6088123076923065E-2</v>
      </c>
      <c r="H89" s="134">
        <f t="shared" si="34"/>
        <v>0.18044061538461537</v>
      </c>
      <c r="I89" s="135"/>
      <c r="J89" s="136">
        <f t="shared" si="35"/>
        <v>0.55026188461538461</v>
      </c>
      <c r="K89" s="137"/>
      <c r="L89" s="138">
        <f t="shared" si="36"/>
        <v>3.6088123076923065E-2</v>
      </c>
      <c r="M89" s="137"/>
      <c r="N89" s="139">
        <f t="shared" si="37"/>
        <v>0</v>
      </c>
      <c r="O89" s="137"/>
      <c r="P89" s="140">
        <f t="shared" si="38"/>
        <v>0</v>
      </c>
      <c r="Q89" s="135"/>
      <c r="R89" s="104">
        <f t="shared" si="39"/>
        <v>0.14435249230769231</v>
      </c>
      <c r="S89" s="137"/>
      <c r="T89" s="141">
        <f t="shared" si="40"/>
        <v>3.6088123076923065E-2</v>
      </c>
      <c r="U89" s="199">
        <f t="shared" si="41"/>
        <v>0.58635000769230772</v>
      </c>
      <c r="V89" s="37" t="str">
        <f t="shared" si="42"/>
        <v>ok</v>
      </c>
      <c r="W89" s="37" t="str">
        <f t="shared" si="43"/>
        <v>ok</v>
      </c>
    </row>
    <row r="90" spans="1:23" ht="15.75" thickBot="1" x14ac:dyDescent="0.3">
      <c r="A90" s="427"/>
      <c r="B90" s="277" t="s">
        <v>19</v>
      </c>
      <c r="C90" s="165">
        <v>30</v>
      </c>
      <c r="D90" s="202">
        <f>'2.4.5.2 Durée de missions'!D90/BDA</f>
        <v>1.215687</v>
      </c>
      <c r="E90" s="203">
        <f>'2.4.5.2 Durée de missions'!E90/BDA</f>
        <v>0.34523076923076917</v>
      </c>
      <c r="F90" s="204">
        <f t="shared" si="32"/>
        <v>0.27618461538461536</v>
      </c>
      <c r="G90" s="205">
        <f t="shared" si="33"/>
        <v>6.9046153846153813E-2</v>
      </c>
      <c r="H90" s="206">
        <f t="shared" si="34"/>
        <v>0.34523076923076917</v>
      </c>
      <c r="I90" s="207"/>
      <c r="J90" s="208">
        <f t="shared" si="35"/>
        <v>0.87045623076923073</v>
      </c>
      <c r="K90" s="209"/>
      <c r="L90" s="210">
        <f t="shared" si="36"/>
        <v>6.9046153846153813E-2</v>
      </c>
      <c r="M90" s="209"/>
      <c r="N90" s="211">
        <f t="shared" si="37"/>
        <v>0</v>
      </c>
      <c r="O90" s="209"/>
      <c r="P90" s="212">
        <f t="shared" si="38"/>
        <v>0</v>
      </c>
      <c r="Q90" s="207"/>
      <c r="R90" s="213">
        <f t="shared" si="39"/>
        <v>0.27618461538461536</v>
      </c>
      <c r="S90" s="209"/>
      <c r="T90" s="214">
        <f t="shared" si="40"/>
        <v>6.9046153846153813E-2</v>
      </c>
      <c r="U90" s="215">
        <f t="shared" si="41"/>
        <v>0.93950238461538449</v>
      </c>
      <c r="V90" s="37" t="str">
        <f t="shared" si="42"/>
        <v>ok</v>
      </c>
      <c r="W90" s="37" t="str">
        <f t="shared" si="43"/>
        <v>ok</v>
      </c>
    </row>
    <row r="91" spans="1:23" x14ac:dyDescent="0.25">
      <c r="A91" s="425" t="s">
        <v>93</v>
      </c>
      <c r="B91" s="276" t="s">
        <v>20</v>
      </c>
      <c r="C91" s="247">
        <v>1</v>
      </c>
      <c r="D91" s="184">
        <f>'2.4.5.2 Durée de missions'!D91/BDA</f>
        <v>0.64445479807692307</v>
      </c>
      <c r="E91" s="185">
        <f>'2.4.5.2 Durée de missions'!E91/BDA</f>
        <v>0.32639999999999997</v>
      </c>
      <c r="F91" s="186">
        <f t="shared" si="32"/>
        <v>0.26111999999999996</v>
      </c>
      <c r="G91" s="187">
        <f t="shared" si="33"/>
        <v>6.5279999999999977E-2</v>
      </c>
      <c r="H91" s="188">
        <f>IF(E91&gt;D91,D91,E91)</f>
        <v>0.32639999999999997</v>
      </c>
      <c r="I91" s="189"/>
      <c r="J91" s="190">
        <f>IF(E91&gt;D91,0,D91-E91)</f>
        <v>0.31805479807692311</v>
      </c>
      <c r="K91" s="191"/>
      <c r="L91" s="192">
        <f>IF(E91&gt;D91,IF(F91&gt;H91,0,H91-F91),G91)</f>
        <v>6.5279999999999977E-2</v>
      </c>
      <c r="M91" s="191"/>
      <c r="N91" s="193">
        <f>IF(E91&gt;D91,IF(F91&gt;H91,F91-H91,0),0)</f>
        <v>0</v>
      </c>
      <c r="O91" s="191"/>
      <c r="P91" s="194">
        <f>IF(E91&gt;D91,IF(F91&gt;H91,G91,E91-H91),0)</f>
        <v>0</v>
      </c>
      <c r="Q91" s="189"/>
      <c r="R91" s="195">
        <f>H91-L91</f>
        <v>0.26112000000000002</v>
      </c>
      <c r="S91" s="191"/>
      <c r="T91" s="196">
        <f>L91+N91+P91</f>
        <v>6.5279999999999977E-2</v>
      </c>
      <c r="U91" s="197">
        <f>J91+L91</f>
        <v>0.38333479807692306</v>
      </c>
      <c r="V91" s="37" t="str">
        <f>IF(R91+T91=E91,"ok","bad")</f>
        <v>ok</v>
      </c>
      <c r="W91" s="37" t="str">
        <f>IF(U91+R91=D91,"ok","bad")</f>
        <v>ok</v>
      </c>
    </row>
    <row r="92" spans="1:23" x14ac:dyDescent="0.25">
      <c r="A92" s="426"/>
      <c r="B92" s="178" t="s">
        <v>21</v>
      </c>
      <c r="C92" s="129">
        <v>2</v>
      </c>
      <c r="D92" s="130">
        <f>'2.4.5.2 Durée de missions'!D92/BDA</f>
        <v>0.5060269038461539</v>
      </c>
      <c r="E92" s="131">
        <f>'2.4.5.2 Durée de missions'!E92/BDA</f>
        <v>0.23935999999999999</v>
      </c>
      <c r="F92" s="132">
        <f t="shared" si="32"/>
        <v>0.19148799999999999</v>
      </c>
      <c r="G92" s="133">
        <f t="shared" si="33"/>
        <v>4.7871999999999984E-2</v>
      </c>
      <c r="H92" s="134">
        <f t="shared" ref="H92:H113" si="44">IF(E92&gt;D92,D92,E92)</f>
        <v>0.23935999999999999</v>
      </c>
      <c r="I92" s="135"/>
      <c r="J92" s="136">
        <f t="shared" ref="J92:J113" si="45">IF(E92&gt;D92,0,D92-E92)</f>
        <v>0.26666690384615388</v>
      </c>
      <c r="K92" s="137"/>
      <c r="L92" s="138">
        <f t="shared" ref="L92:L113" si="46">IF(E92&gt;D92,IF(F92&gt;H92,0,H92-F92),G92)</f>
        <v>4.7871999999999984E-2</v>
      </c>
      <c r="M92" s="137"/>
      <c r="N92" s="139">
        <f t="shared" ref="N92:N113" si="47">IF(E92&gt;D92,IF(F92&gt;H92,F92-H92,0),0)</f>
        <v>0</v>
      </c>
      <c r="O92" s="137"/>
      <c r="P92" s="140">
        <f t="shared" ref="P92:P113" si="48">IF(E92&gt;D92,IF(F92&gt;H92,G92,E92-H92),0)</f>
        <v>0</v>
      </c>
      <c r="Q92" s="135"/>
      <c r="R92" s="104">
        <f t="shared" ref="R92:R113" si="49">H92-L92</f>
        <v>0.19148799999999999</v>
      </c>
      <c r="S92" s="137"/>
      <c r="T92" s="141">
        <f t="shared" ref="T92:T113" si="50">L92+N92+P92</f>
        <v>4.7871999999999984E-2</v>
      </c>
      <c r="U92" s="199">
        <f t="shared" ref="U92:U113" si="51">J92+L92</f>
        <v>0.31453890384615385</v>
      </c>
      <c r="V92" s="37" t="str">
        <f t="shared" ref="V92:V113" si="52">IF(R92+T92=E92,"ok","bad")</f>
        <v>ok</v>
      </c>
      <c r="W92" s="37" t="str">
        <f t="shared" ref="W92:W113" si="53">IF(U92+R92=D92,"ok","bad")</f>
        <v>ok</v>
      </c>
    </row>
    <row r="93" spans="1:23" x14ac:dyDescent="0.25">
      <c r="A93" s="426"/>
      <c r="B93" s="178" t="s">
        <v>22</v>
      </c>
      <c r="C93" s="129">
        <v>3</v>
      </c>
      <c r="D93" s="130">
        <f>'2.4.5.2 Durée de missions'!D93/BDA</f>
        <v>0.22134228846153844</v>
      </c>
      <c r="E93" s="131">
        <f>'2.4.5.2 Durée de missions'!E93/BDA</f>
        <v>9.7920000000000007E-2</v>
      </c>
      <c r="F93" s="132">
        <f t="shared" si="32"/>
        <v>7.8336000000000017E-2</v>
      </c>
      <c r="G93" s="133">
        <f t="shared" si="33"/>
        <v>1.9583999999999997E-2</v>
      </c>
      <c r="H93" s="134">
        <f t="shared" si="44"/>
        <v>9.7920000000000007E-2</v>
      </c>
      <c r="I93" s="135"/>
      <c r="J93" s="136">
        <f t="shared" si="45"/>
        <v>0.12342228846153844</v>
      </c>
      <c r="K93" s="137"/>
      <c r="L93" s="138">
        <f t="shared" si="46"/>
        <v>1.9583999999999997E-2</v>
      </c>
      <c r="M93" s="137"/>
      <c r="N93" s="139">
        <f t="shared" si="47"/>
        <v>0</v>
      </c>
      <c r="O93" s="137"/>
      <c r="P93" s="140">
        <f t="shared" si="48"/>
        <v>0</v>
      </c>
      <c r="Q93" s="135"/>
      <c r="R93" s="104">
        <f t="shared" si="49"/>
        <v>7.8336000000000017E-2</v>
      </c>
      <c r="S93" s="137"/>
      <c r="T93" s="141">
        <f t="shared" si="50"/>
        <v>1.9583999999999997E-2</v>
      </c>
      <c r="U93" s="199">
        <f t="shared" si="51"/>
        <v>0.14300628846153843</v>
      </c>
      <c r="V93" s="37" t="str">
        <f t="shared" si="52"/>
        <v>ok</v>
      </c>
      <c r="W93" s="37" t="str">
        <f t="shared" si="53"/>
        <v>ok</v>
      </c>
    </row>
    <row r="94" spans="1:23" x14ac:dyDescent="0.25">
      <c r="A94" s="426"/>
      <c r="B94" s="178" t="s">
        <v>23</v>
      </c>
      <c r="C94" s="129">
        <v>4</v>
      </c>
      <c r="D94" s="130">
        <f>'2.4.5.2 Durée de missions'!D94/BDA</f>
        <v>0.15444140384615385</v>
      </c>
      <c r="E94" s="131">
        <f>'2.4.5.2 Durée de missions'!E94/BDA</f>
        <v>0.14687999999999998</v>
      </c>
      <c r="F94" s="132">
        <f t="shared" si="32"/>
        <v>0.117504</v>
      </c>
      <c r="G94" s="133">
        <f t="shared" si="33"/>
        <v>2.9375999999999989E-2</v>
      </c>
      <c r="H94" s="134">
        <f t="shared" si="44"/>
        <v>0.14687999999999998</v>
      </c>
      <c r="I94" s="135"/>
      <c r="J94" s="136">
        <f t="shared" si="45"/>
        <v>7.5614038461538635E-3</v>
      </c>
      <c r="K94" s="137"/>
      <c r="L94" s="138">
        <f t="shared" si="46"/>
        <v>2.9375999999999989E-2</v>
      </c>
      <c r="M94" s="137"/>
      <c r="N94" s="139">
        <f t="shared" si="47"/>
        <v>0</v>
      </c>
      <c r="O94" s="137"/>
      <c r="P94" s="140">
        <f t="shared" si="48"/>
        <v>0</v>
      </c>
      <c r="Q94" s="135"/>
      <c r="R94" s="104">
        <f t="shared" si="49"/>
        <v>0.117504</v>
      </c>
      <c r="S94" s="137"/>
      <c r="T94" s="141">
        <f t="shared" si="50"/>
        <v>2.9375999999999989E-2</v>
      </c>
      <c r="U94" s="199">
        <f t="shared" si="51"/>
        <v>3.6937403846153849E-2</v>
      </c>
      <c r="V94" s="37" t="str">
        <f t="shared" si="52"/>
        <v>ok</v>
      </c>
      <c r="W94" s="37" t="str">
        <f t="shared" si="53"/>
        <v>ok</v>
      </c>
    </row>
    <row r="95" spans="1:23" x14ac:dyDescent="0.25">
      <c r="A95" s="426"/>
      <c r="B95" s="178" t="s">
        <v>19</v>
      </c>
      <c r="C95" s="129">
        <v>7</v>
      </c>
      <c r="D95" s="130">
        <f>'2.4.5.2 Durée de missions'!D95/BDA</f>
        <v>0.32027019230769227</v>
      </c>
      <c r="E95" s="131">
        <f>'2.4.5.2 Durée de missions'!E95/BDA</f>
        <v>0.23935999999999999</v>
      </c>
      <c r="F95" s="132">
        <f t="shared" si="32"/>
        <v>0.19148799999999999</v>
      </c>
      <c r="G95" s="133">
        <f t="shared" si="33"/>
        <v>4.7871999999999984E-2</v>
      </c>
      <c r="H95" s="134">
        <f t="shared" si="44"/>
        <v>0.23935999999999999</v>
      </c>
      <c r="I95" s="135"/>
      <c r="J95" s="136">
        <f t="shared" si="45"/>
        <v>8.091019230769228E-2</v>
      </c>
      <c r="K95" s="137"/>
      <c r="L95" s="138">
        <f t="shared" si="46"/>
        <v>4.7871999999999984E-2</v>
      </c>
      <c r="M95" s="137"/>
      <c r="N95" s="139">
        <f t="shared" si="47"/>
        <v>0</v>
      </c>
      <c r="O95" s="137"/>
      <c r="P95" s="140">
        <f t="shared" si="48"/>
        <v>0</v>
      </c>
      <c r="Q95" s="135"/>
      <c r="R95" s="104">
        <f t="shared" si="49"/>
        <v>0.19148799999999999</v>
      </c>
      <c r="S95" s="137"/>
      <c r="T95" s="141">
        <f t="shared" si="50"/>
        <v>4.7871999999999984E-2</v>
      </c>
      <c r="U95" s="199">
        <f t="shared" si="51"/>
        <v>0.12878219230769228</v>
      </c>
      <c r="V95" s="37" t="str">
        <f t="shared" si="52"/>
        <v>ok</v>
      </c>
      <c r="W95" s="37" t="str">
        <f t="shared" si="53"/>
        <v>ok</v>
      </c>
    </row>
    <row r="96" spans="1:23" x14ac:dyDescent="0.25">
      <c r="A96" s="426"/>
      <c r="B96" s="178" t="s">
        <v>20</v>
      </c>
      <c r="C96" s="129">
        <v>8</v>
      </c>
      <c r="D96" s="130">
        <f>'2.4.5.2 Durée de missions'!D96/BDA</f>
        <v>1.0284231730769231</v>
      </c>
      <c r="E96" s="131">
        <f>'2.4.5.2 Durée de missions'!E96/BDA</f>
        <v>0.16738461538461541</v>
      </c>
      <c r="F96" s="132">
        <f t="shared" si="32"/>
        <v>0.13390769230769234</v>
      </c>
      <c r="G96" s="133">
        <f t="shared" si="33"/>
        <v>3.3476923076923078E-2</v>
      </c>
      <c r="H96" s="134">
        <f t="shared" si="44"/>
        <v>0.16738461538461541</v>
      </c>
      <c r="I96" s="135"/>
      <c r="J96" s="136">
        <f t="shared" si="45"/>
        <v>0.86103855769230764</v>
      </c>
      <c r="K96" s="137"/>
      <c r="L96" s="138">
        <f t="shared" si="46"/>
        <v>3.3476923076923078E-2</v>
      </c>
      <c r="M96" s="137"/>
      <c r="N96" s="139">
        <f t="shared" si="47"/>
        <v>0</v>
      </c>
      <c r="O96" s="137"/>
      <c r="P96" s="140">
        <f t="shared" si="48"/>
        <v>0</v>
      </c>
      <c r="Q96" s="135"/>
      <c r="R96" s="104">
        <f t="shared" si="49"/>
        <v>0.13390769230769234</v>
      </c>
      <c r="S96" s="137"/>
      <c r="T96" s="141">
        <f t="shared" si="50"/>
        <v>3.3476923076923078E-2</v>
      </c>
      <c r="U96" s="199">
        <f t="shared" si="51"/>
        <v>0.89451548076923071</v>
      </c>
      <c r="V96" s="37" t="str">
        <f t="shared" si="52"/>
        <v>ok</v>
      </c>
      <c r="W96" s="37" t="str">
        <f t="shared" si="53"/>
        <v>ok</v>
      </c>
    </row>
    <row r="97" spans="1:23" x14ac:dyDescent="0.25">
      <c r="A97" s="426"/>
      <c r="B97" s="178" t="s">
        <v>21</v>
      </c>
      <c r="C97" s="129">
        <v>9</v>
      </c>
      <c r="D97" s="130">
        <f>'2.4.5.2 Durée de missions'!D97/BDA</f>
        <v>0.83412592307692301</v>
      </c>
      <c r="E97" s="131">
        <f>'2.4.5.2 Durée de missions'!E97/BDA</f>
        <v>0.17156923076923075</v>
      </c>
      <c r="F97" s="132">
        <f t="shared" si="32"/>
        <v>0.13725538461538461</v>
      </c>
      <c r="G97" s="133">
        <f t="shared" si="33"/>
        <v>3.4313846153846146E-2</v>
      </c>
      <c r="H97" s="134">
        <f t="shared" si="44"/>
        <v>0.17156923076923075</v>
      </c>
      <c r="I97" s="135"/>
      <c r="J97" s="136">
        <f t="shared" si="45"/>
        <v>0.66255669230769221</v>
      </c>
      <c r="K97" s="137"/>
      <c r="L97" s="138">
        <f t="shared" si="46"/>
        <v>3.4313846153846146E-2</v>
      </c>
      <c r="M97" s="137"/>
      <c r="N97" s="139">
        <f t="shared" si="47"/>
        <v>0</v>
      </c>
      <c r="O97" s="137"/>
      <c r="P97" s="140">
        <f t="shared" si="48"/>
        <v>0</v>
      </c>
      <c r="Q97" s="135"/>
      <c r="R97" s="104">
        <f t="shared" si="49"/>
        <v>0.13725538461538461</v>
      </c>
      <c r="S97" s="137"/>
      <c r="T97" s="141">
        <f t="shared" si="50"/>
        <v>3.4313846153846146E-2</v>
      </c>
      <c r="U97" s="199">
        <f t="shared" si="51"/>
        <v>0.69687053846153835</v>
      </c>
      <c r="V97" s="37" t="str">
        <f t="shared" si="52"/>
        <v>ok</v>
      </c>
      <c r="W97" s="37" t="str">
        <f t="shared" si="53"/>
        <v>ok</v>
      </c>
    </row>
    <row r="98" spans="1:23" x14ac:dyDescent="0.25">
      <c r="A98" s="426"/>
      <c r="B98" s="178" t="s">
        <v>22</v>
      </c>
      <c r="C98" s="129">
        <v>10</v>
      </c>
      <c r="D98" s="130">
        <f>'2.4.5.2 Durée de missions'!D98/BDA</f>
        <v>0.48218456730769232</v>
      </c>
      <c r="E98" s="131">
        <f>'2.4.5.2 Durée de missions'!E98/BDA</f>
        <v>9.2061538461538445E-2</v>
      </c>
      <c r="F98" s="132">
        <f t="shared" si="32"/>
        <v>7.3649230769230759E-2</v>
      </c>
      <c r="G98" s="133">
        <f t="shared" si="33"/>
        <v>1.8412307692307686E-2</v>
      </c>
      <c r="H98" s="134">
        <f t="shared" si="44"/>
        <v>9.2061538461538445E-2</v>
      </c>
      <c r="I98" s="135"/>
      <c r="J98" s="136">
        <f t="shared" si="45"/>
        <v>0.39012302884615391</v>
      </c>
      <c r="K98" s="137"/>
      <c r="L98" s="138">
        <f t="shared" si="46"/>
        <v>1.8412307692307686E-2</v>
      </c>
      <c r="M98" s="137"/>
      <c r="N98" s="139">
        <f t="shared" si="47"/>
        <v>0</v>
      </c>
      <c r="O98" s="137"/>
      <c r="P98" s="140">
        <f t="shared" si="48"/>
        <v>0</v>
      </c>
      <c r="Q98" s="135"/>
      <c r="R98" s="104">
        <f t="shared" si="49"/>
        <v>7.3649230769230759E-2</v>
      </c>
      <c r="S98" s="137"/>
      <c r="T98" s="141">
        <f t="shared" si="50"/>
        <v>1.8412307692307686E-2</v>
      </c>
      <c r="U98" s="199">
        <f t="shared" si="51"/>
        <v>0.40853533653846158</v>
      </c>
      <c r="V98" s="37" t="str">
        <f t="shared" si="52"/>
        <v>ok</v>
      </c>
      <c r="W98" s="37" t="str">
        <f t="shared" si="53"/>
        <v>ok</v>
      </c>
    </row>
    <row r="99" spans="1:23" x14ac:dyDescent="0.25">
      <c r="A99" s="426"/>
      <c r="B99" s="178" t="s">
        <v>23</v>
      </c>
      <c r="C99" s="129">
        <v>11</v>
      </c>
      <c r="D99" s="130">
        <f>'2.4.5.2 Durée de missions'!D99/BDA</f>
        <v>0.38930621153846151</v>
      </c>
      <c r="E99" s="131">
        <f>'2.4.5.2 Durée de missions'!E99/BDA</f>
        <v>0.11716923076923076</v>
      </c>
      <c r="F99" s="132">
        <f t="shared" si="32"/>
        <v>9.3735384615384609E-2</v>
      </c>
      <c r="G99" s="133">
        <f t="shared" si="33"/>
        <v>2.3433846153846145E-2</v>
      </c>
      <c r="H99" s="134">
        <f t="shared" si="44"/>
        <v>0.11716923076923076</v>
      </c>
      <c r="I99" s="135"/>
      <c r="J99" s="136">
        <f t="shared" si="45"/>
        <v>0.27213698076923076</v>
      </c>
      <c r="K99" s="137"/>
      <c r="L99" s="138">
        <f t="shared" si="46"/>
        <v>2.3433846153846145E-2</v>
      </c>
      <c r="M99" s="137"/>
      <c r="N99" s="139">
        <f t="shared" si="47"/>
        <v>0</v>
      </c>
      <c r="O99" s="137"/>
      <c r="P99" s="140">
        <f t="shared" si="48"/>
        <v>0</v>
      </c>
      <c r="Q99" s="135"/>
      <c r="R99" s="104">
        <f t="shared" si="49"/>
        <v>9.3735384615384609E-2</v>
      </c>
      <c r="S99" s="137"/>
      <c r="T99" s="141">
        <f t="shared" si="50"/>
        <v>2.3433846153846145E-2</v>
      </c>
      <c r="U99" s="199">
        <f t="shared" si="51"/>
        <v>0.2955708269230769</v>
      </c>
      <c r="V99" s="37" t="str">
        <f t="shared" si="52"/>
        <v>ok</v>
      </c>
      <c r="W99" s="37" t="str">
        <f t="shared" si="53"/>
        <v>ok</v>
      </c>
    </row>
    <row r="100" spans="1:23" x14ac:dyDescent="0.25">
      <c r="A100" s="426"/>
      <c r="B100" s="178" t="s">
        <v>19</v>
      </c>
      <c r="C100" s="129">
        <v>14</v>
      </c>
      <c r="D100" s="130">
        <f>'2.4.5.2 Durée de missions'!D100/BDA</f>
        <v>0.74160342307692306</v>
      </c>
      <c r="E100" s="131">
        <f>'2.4.5.2 Durée de missions'!E100/BDA</f>
        <v>0.15901538461538459</v>
      </c>
      <c r="F100" s="132">
        <f t="shared" si="32"/>
        <v>0.12721230769230768</v>
      </c>
      <c r="G100" s="133">
        <f t="shared" si="33"/>
        <v>3.1803076923076913E-2</v>
      </c>
      <c r="H100" s="134">
        <f t="shared" si="44"/>
        <v>0.15901538461538459</v>
      </c>
      <c r="I100" s="135"/>
      <c r="J100" s="136">
        <f t="shared" si="45"/>
        <v>0.5825880384615385</v>
      </c>
      <c r="K100" s="137"/>
      <c r="L100" s="138">
        <f t="shared" si="46"/>
        <v>3.1803076923076913E-2</v>
      </c>
      <c r="M100" s="137"/>
      <c r="N100" s="139">
        <f t="shared" si="47"/>
        <v>0</v>
      </c>
      <c r="O100" s="137"/>
      <c r="P100" s="140">
        <f t="shared" si="48"/>
        <v>0</v>
      </c>
      <c r="Q100" s="135"/>
      <c r="R100" s="104">
        <f t="shared" si="49"/>
        <v>0.12721230769230768</v>
      </c>
      <c r="S100" s="137"/>
      <c r="T100" s="141">
        <f t="shared" si="50"/>
        <v>3.1803076923076913E-2</v>
      </c>
      <c r="U100" s="199">
        <f t="shared" si="51"/>
        <v>0.61439111538461544</v>
      </c>
      <c r="V100" s="37" t="str">
        <f t="shared" si="52"/>
        <v>ok</v>
      </c>
      <c r="W100" s="37" t="str">
        <f t="shared" si="53"/>
        <v>ok</v>
      </c>
    </row>
    <row r="101" spans="1:23" x14ac:dyDescent="0.25">
      <c r="A101" s="426"/>
      <c r="B101" s="178" t="s">
        <v>20</v>
      </c>
      <c r="C101" s="129">
        <v>15</v>
      </c>
      <c r="D101" s="130">
        <f>'2.4.5.2 Durée de missions'!D101/BDA</f>
        <v>0.64445479807692307</v>
      </c>
      <c r="E101" s="131">
        <f>'2.4.5.2 Durée de missions'!E101/BDA</f>
        <v>0.25107692307692309</v>
      </c>
      <c r="F101" s="132">
        <f t="shared" si="32"/>
        <v>0.20086153846153848</v>
      </c>
      <c r="G101" s="133">
        <f t="shared" si="33"/>
        <v>5.0215384615384606E-2</v>
      </c>
      <c r="H101" s="134">
        <f t="shared" si="44"/>
        <v>0.25107692307692309</v>
      </c>
      <c r="I101" s="135"/>
      <c r="J101" s="136">
        <f t="shared" si="45"/>
        <v>0.39337787499999999</v>
      </c>
      <c r="K101" s="137"/>
      <c r="L101" s="138">
        <f t="shared" si="46"/>
        <v>5.0215384615384606E-2</v>
      </c>
      <c r="M101" s="137"/>
      <c r="N101" s="139">
        <f t="shared" si="47"/>
        <v>0</v>
      </c>
      <c r="O101" s="137"/>
      <c r="P101" s="140">
        <f t="shared" si="48"/>
        <v>0</v>
      </c>
      <c r="Q101" s="135"/>
      <c r="R101" s="104">
        <f t="shared" si="49"/>
        <v>0.20086153846153848</v>
      </c>
      <c r="S101" s="137"/>
      <c r="T101" s="141">
        <f t="shared" si="50"/>
        <v>5.0215384615384606E-2</v>
      </c>
      <c r="U101" s="199">
        <f t="shared" si="51"/>
        <v>0.44359325961538459</v>
      </c>
      <c r="V101" s="37" t="str">
        <f t="shared" si="52"/>
        <v>ok</v>
      </c>
      <c r="W101" s="37" t="str">
        <f t="shared" si="53"/>
        <v>ok</v>
      </c>
    </row>
    <row r="102" spans="1:23" x14ac:dyDescent="0.25">
      <c r="A102" s="426"/>
      <c r="B102" s="178" t="s">
        <v>21</v>
      </c>
      <c r="C102" s="129">
        <v>16</v>
      </c>
      <c r="D102" s="130">
        <f>'2.4.5.2 Durée de missions'!D102/BDA</f>
        <v>0.5060269038461539</v>
      </c>
      <c r="E102" s="131">
        <f>'2.4.5.2 Durée de missions'!E102/BDA</f>
        <v>0.19249230769230768</v>
      </c>
      <c r="F102" s="132">
        <f t="shared" si="32"/>
        <v>0.15399384615384615</v>
      </c>
      <c r="G102" s="133">
        <f t="shared" si="33"/>
        <v>3.849846153846153E-2</v>
      </c>
      <c r="H102" s="134">
        <f t="shared" si="44"/>
        <v>0.19249230769230768</v>
      </c>
      <c r="I102" s="135"/>
      <c r="J102" s="136">
        <f t="shared" si="45"/>
        <v>0.31353459615384621</v>
      </c>
      <c r="K102" s="137"/>
      <c r="L102" s="138">
        <f t="shared" si="46"/>
        <v>3.849846153846153E-2</v>
      </c>
      <c r="M102" s="137"/>
      <c r="N102" s="139">
        <f t="shared" si="47"/>
        <v>0</v>
      </c>
      <c r="O102" s="137"/>
      <c r="P102" s="140">
        <f t="shared" si="48"/>
        <v>0</v>
      </c>
      <c r="Q102" s="135"/>
      <c r="R102" s="104">
        <f t="shared" si="49"/>
        <v>0.15399384615384615</v>
      </c>
      <c r="S102" s="137"/>
      <c r="T102" s="141">
        <f t="shared" si="50"/>
        <v>3.849846153846153E-2</v>
      </c>
      <c r="U102" s="199">
        <f t="shared" si="51"/>
        <v>0.35203305769230775</v>
      </c>
      <c r="V102" s="37" t="str">
        <f t="shared" si="52"/>
        <v>ok</v>
      </c>
      <c r="W102" s="37" t="str">
        <f t="shared" si="53"/>
        <v>ok</v>
      </c>
    </row>
    <row r="103" spans="1:23" x14ac:dyDescent="0.25">
      <c r="A103" s="426"/>
      <c r="B103" s="178" t="s">
        <v>22</v>
      </c>
      <c r="C103" s="129">
        <v>17</v>
      </c>
      <c r="D103" s="130">
        <f>'2.4.5.2 Durée de missions'!D103/BDA</f>
        <v>0.22134228846153844</v>
      </c>
      <c r="E103" s="131">
        <f>'2.4.5.2 Durée de missions'!E103/BDA</f>
        <v>9.2061538461538445E-2</v>
      </c>
      <c r="F103" s="132">
        <f t="shared" si="32"/>
        <v>7.3649230769230759E-2</v>
      </c>
      <c r="G103" s="133">
        <f t="shared" si="33"/>
        <v>1.8412307692307686E-2</v>
      </c>
      <c r="H103" s="134">
        <f t="shared" si="44"/>
        <v>9.2061538461538445E-2</v>
      </c>
      <c r="I103" s="135"/>
      <c r="J103" s="136">
        <f t="shared" si="45"/>
        <v>0.12928075</v>
      </c>
      <c r="K103" s="137"/>
      <c r="L103" s="138">
        <f t="shared" si="46"/>
        <v>1.8412307692307686E-2</v>
      </c>
      <c r="M103" s="137"/>
      <c r="N103" s="139">
        <f t="shared" si="47"/>
        <v>0</v>
      </c>
      <c r="O103" s="137"/>
      <c r="P103" s="140">
        <f t="shared" si="48"/>
        <v>0</v>
      </c>
      <c r="Q103" s="135"/>
      <c r="R103" s="104">
        <f t="shared" si="49"/>
        <v>7.3649230769230759E-2</v>
      </c>
      <c r="S103" s="137"/>
      <c r="T103" s="141">
        <f t="shared" si="50"/>
        <v>1.8412307692307686E-2</v>
      </c>
      <c r="U103" s="199">
        <f t="shared" si="51"/>
        <v>0.14769305769230767</v>
      </c>
      <c r="V103" s="37" t="str">
        <f t="shared" si="52"/>
        <v>ok</v>
      </c>
      <c r="W103" s="37" t="str">
        <f t="shared" si="53"/>
        <v>ok</v>
      </c>
    </row>
    <row r="104" spans="1:23" x14ac:dyDescent="0.25">
      <c r="A104" s="426"/>
      <c r="B104" s="178" t="s">
        <v>23</v>
      </c>
      <c r="C104" s="129">
        <v>18</v>
      </c>
      <c r="D104" s="130">
        <f>'2.4.5.2 Durée de missions'!D104/BDA</f>
        <v>0.15444140384615385</v>
      </c>
      <c r="E104" s="131">
        <f>'2.4.5.2 Durée de missions'!E104/BDA</f>
        <v>0.15483076923076922</v>
      </c>
      <c r="F104" s="132">
        <f t="shared" si="32"/>
        <v>0.12386461538461538</v>
      </c>
      <c r="G104" s="133">
        <f t="shared" si="33"/>
        <v>3.0966153846153838E-2</v>
      </c>
      <c r="H104" s="134">
        <f t="shared" si="44"/>
        <v>0.15444140384615385</v>
      </c>
      <c r="I104" s="135"/>
      <c r="J104" s="136">
        <f t="shared" si="45"/>
        <v>0</v>
      </c>
      <c r="K104" s="137"/>
      <c r="L104" s="138">
        <f t="shared" si="46"/>
        <v>3.0576788461538468E-2</v>
      </c>
      <c r="M104" s="137"/>
      <c r="N104" s="139">
        <f t="shared" si="47"/>
        <v>0</v>
      </c>
      <c r="O104" s="137"/>
      <c r="P104" s="140">
        <f t="shared" si="48"/>
        <v>3.8936538461536996E-4</v>
      </c>
      <c r="Q104" s="135"/>
      <c r="R104" s="104">
        <f t="shared" si="49"/>
        <v>0.12386461538461538</v>
      </c>
      <c r="S104" s="137"/>
      <c r="T104" s="141">
        <f t="shared" si="50"/>
        <v>3.0966153846153838E-2</v>
      </c>
      <c r="U104" s="199">
        <f t="shared" si="51"/>
        <v>3.0576788461538468E-2</v>
      </c>
      <c r="V104" s="37" t="str">
        <f t="shared" si="52"/>
        <v>ok</v>
      </c>
      <c r="W104" s="37" t="str">
        <f t="shared" si="53"/>
        <v>ok</v>
      </c>
    </row>
    <row r="105" spans="1:23" x14ac:dyDescent="0.25">
      <c r="A105" s="426"/>
      <c r="B105" s="178" t="s">
        <v>19</v>
      </c>
      <c r="C105" s="129">
        <v>21</v>
      </c>
      <c r="D105" s="130">
        <f>'2.4.5.2 Durée de missions'!D105/BDA</f>
        <v>0.32027019230769227</v>
      </c>
      <c r="E105" s="131">
        <f>'2.4.5.2 Durée de missions'!E105/BDA</f>
        <v>0.18412307692307689</v>
      </c>
      <c r="F105" s="132">
        <f t="shared" si="32"/>
        <v>0.14729846153846152</v>
      </c>
      <c r="G105" s="133">
        <f t="shared" si="33"/>
        <v>3.6824615384615372E-2</v>
      </c>
      <c r="H105" s="134">
        <f t="shared" si="44"/>
        <v>0.18412307692307689</v>
      </c>
      <c r="I105" s="135"/>
      <c r="J105" s="136">
        <f t="shared" si="45"/>
        <v>0.13614711538461538</v>
      </c>
      <c r="K105" s="137"/>
      <c r="L105" s="138">
        <f t="shared" si="46"/>
        <v>3.6824615384615372E-2</v>
      </c>
      <c r="M105" s="137"/>
      <c r="N105" s="139">
        <f t="shared" si="47"/>
        <v>0</v>
      </c>
      <c r="O105" s="137"/>
      <c r="P105" s="140">
        <f t="shared" si="48"/>
        <v>0</v>
      </c>
      <c r="Q105" s="135"/>
      <c r="R105" s="104">
        <f t="shared" si="49"/>
        <v>0.14729846153846152</v>
      </c>
      <c r="S105" s="137"/>
      <c r="T105" s="141">
        <f t="shared" si="50"/>
        <v>3.6824615384615372E-2</v>
      </c>
      <c r="U105" s="199">
        <f t="shared" si="51"/>
        <v>0.17297173076923075</v>
      </c>
      <c r="V105" s="37" t="str">
        <f t="shared" si="52"/>
        <v>ok</v>
      </c>
      <c r="W105" s="37" t="str">
        <f t="shared" si="53"/>
        <v>ok</v>
      </c>
    </row>
    <row r="106" spans="1:23" x14ac:dyDescent="0.25">
      <c r="A106" s="426"/>
      <c r="B106" s="178" t="s">
        <v>20</v>
      </c>
      <c r="C106" s="129">
        <v>22</v>
      </c>
      <c r="D106" s="130">
        <f>'2.4.5.2 Durée de missions'!D106/BDA</f>
        <v>1.2853510384615383</v>
      </c>
      <c r="E106" s="131">
        <f>'2.4.5.2 Durée de missions'!E106/BDA</f>
        <v>0.20713846153846155</v>
      </c>
      <c r="F106" s="132">
        <f t="shared" si="32"/>
        <v>0.16571076923076924</v>
      </c>
      <c r="G106" s="133">
        <f t="shared" si="33"/>
        <v>4.1427692307692297E-2</v>
      </c>
      <c r="H106" s="134">
        <f t="shared" si="44"/>
        <v>0.20713846153846155</v>
      </c>
      <c r="I106" s="135"/>
      <c r="J106" s="136">
        <f t="shared" si="45"/>
        <v>1.0782125769230768</v>
      </c>
      <c r="K106" s="137"/>
      <c r="L106" s="138">
        <f t="shared" si="46"/>
        <v>4.1427692307692297E-2</v>
      </c>
      <c r="M106" s="137"/>
      <c r="N106" s="139">
        <f t="shared" si="47"/>
        <v>0</v>
      </c>
      <c r="O106" s="137"/>
      <c r="P106" s="140">
        <f t="shared" si="48"/>
        <v>0</v>
      </c>
      <c r="Q106" s="135"/>
      <c r="R106" s="104">
        <f t="shared" si="49"/>
        <v>0.16571076923076924</v>
      </c>
      <c r="S106" s="137"/>
      <c r="T106" s="141">
        <f t="shared" si="50"/>
        <v>4.1427692307692297E-2</v>
      </c>
      <c r="U106" s="199">
        <f t="shared" si="51"/>
        <v>1.1196402692307692</v>
      </c>
      <c r="V106" s="37" t="str">
        <f t="shared" si="52"/>
        <v>ok</v>
      </c>
      <c r="W106" s="37" t="str">
        <f t="shared" si="53"/>
        <v>ok</v>
      </c>
    </row>
    <row r="107" spans="1:23" x14ac:dyDescent="0.25">
      <c r="A107" s="426"/>
      <c r="B107" s="178" t="s">
        <v>21</v>
      </c>
      <c r="C107" s="129">
        <v>23</v>
      </c>
      <c r="D107" s="130">
        <f>'2.4.5.2 Durée de missions'!D107/BDA</f>
        <v>1.0462159615384614</v>
      </c>
      <c r="E107" s="131">
        <f>'2.4.5.2 Durée de missions'!E107/BDA</f>
        <v>0.13122953846153845</v>
      </c>
      <c r="F107" s="132">
        <f t="shared" si="32"/>
        <v>0.10498363076923077</v>
      </c>
      <c r="G107" s="133">
        <f t="shared" si="33"/>
        <v>2.6245907692307686E-2</v>
      </c>
      <c r="H107" s="134">
        <f t="shared" si="44"/>
        <v>0.13122953846153845</v>
      </c>
      <c r="I107" s="135"/>
      <c r="J107" s="136">
        <f t="shared" si="45"/>
        <v>0.91498642307692291</v>
      </c>
      <c r="K107" s="137"/>
      <c r="L107" s="138">
        <f t="shared" si="46"/>
        <v>2.6245907692307686E-2</v>
      </c>
      <c r="M107" s="137"/>
      <c r="N107" s="139">
        <f t="shared" si="47"/>
        <v>0</v>
      </c>
      <c r="O107" s="137"/>
      <c r="P107" s="140">
        <f t="shared" si="48"/>
        <v>0</v>
      </c>
      <c r="Q107" s="135"/>
      <c r="R107" s="104">
        <f t="shared" si="49"/>
        <v>0.10498363076923077</v>
      </c>
      <c r="S107" s="137"/>
      <c r="T107" s="141">
        <f t="shared" si="50"/>
        <v>2.6245907692307686E-2</v>
      </c>
      <c r="U107" s="199">
        <f t="shared" si="51"/>
        <v>0.94123233076923063</v>
      </c>
      <c r="V107" s="37" t="str">
        <f t="shared" si="52"/>
        <v>ok</v>
      </c>
      <c r="W107" s="37" t="str">
        <f t="shared" si="53"/>
        <v>ok</v>
      </c>
    </row>
    <row r="108" spans="1:23" x14ac:dyDescent="0.25">
      <c r="A108" s="426"/>
      <c r="B108" s="178" t="s">
        <v>22</v>
      </c>
      <c r="C108" s="129">
        <v>24</v>
      </c>
      <c r="D108" s="130">
        <f>'2.4.5.2 Durée de missions'!D108/BDA</f>
        <v>0.60281967307692319</v>
      </c>
      <c r="E108" s="131">
        <f>'2.4.5.2 Durée de missions'!E108/BDA</f>
        <v>6.2183384615384613E-2</v>
      </c>
      <c r="F108" s="132">
        <f t="shared" si="32"/>
        <v>4.9746707692307691E-2</v>
      </c>
      <c r="G108" s="133">
        <f t="shared" si="33"/>
        <v>1.2436676923076919E-2</v>
      </c>
      <c r="H108" s="134">
        <f t="shared" si="44"/>
        <v>6.2183384615384613E-2</v>
      </c>
      <c r="I108" s="135"/>
      <c r="J108" s="136">
        <f t="shared" si="45"/>
        <v>0.54063628846153855</v>
      </c>
      <c r="K108" s="137"/>
      <c r="L108" s="138">
        <f t="shared" si="46"/>
        <v>1.2436676923076919E-2</v>
      </c>
      <c r="M108" s="137"/>
      <c r="N108" s="139">
        <f t="shared" si="47"/>
        <v>0</v>
      </c>
      <c r="O108" s="137"/>
      <c r="P108" s="140">
        <f t="shared" si="48"/>
        <v>0</v>
      </c>
      <c r="Q108" s="135"/>
      <c r="R108" s="104">
        <f t="shared" si="49"/>
        <v>4.9746707692307691E-2</v>
      </c>
      <c r="S108" s="137"/>
      <c r="T108" s="141">
        <f t="shared" si="50"/>
        <v>1.2436676923076919E-2</v>
      </c>
      <c r="U108" s="199">
        <f t="shared" si="51"/>
        <v>0.55307296538461548</v>
      </c>
      <c r="V108" s="37" t="str">
        <f t="shared" si="52"/>
        <v>ok</v>
      </c>
      <c r="W108" s="37" t="str">
        <f t="shared" si="53"/>
        <v>ok</v>
      </c>
    </row>
    <row r="109" spans="1:23" x14ac:dyDescent="0.25">
      <c r="A109" s="426"/>
      <c r="B109" s="178" t="s">
        <v>23</v>
      </c>
      <c r="C109" s="129">
        <v>25</v>
      </c>
      <c r="D109" s="130">
        <f>'2.4.5.2 Durée de missions'!D109/BDA</f>
        <v>0.4935719519230769</v>
      </c>
      <c r="E109" s="131">
        <f>'2.4.5.2 Durée de missions'!E109/BDA</f>
        <v>8.2855384615384622E-2</v>
      </c>
      <c r="F109" s="132">
        <f t="shared" si="32"/>
        <v>6.6284307692307698E-2</v>
      </c>
      <c r="G109" s="133">
        <f t="shared" si="33"/>
        <v>1.6571076923076921E-2</v>
      </c>
      <c r="H109" s="134">
        <f t="shared" si="44"/>
        <v>8.2855384615384622E-2</v>
      </c>
      <c r="I109" s="135"/>
      <c r="J109" s="136">
        <f t="shared" si="45"/>
        <v>0.41071656730769229</v>
      </c>
      <c r="K109" s="137"/>
      <c r="L109" s="138">
        <f t="shared" si="46"/>
        <v>1.6571076923076921E-2</v>
      </c>
      <c r="M109" s="137"/>
      <c r="N109" s="139">
        <f t="shared" si="47"/>
        <v>0</v>
      </c>
      <c r="O109" s="137"/>
      <c r="P109" s="140">
        <f t="shared" si="48"/>
        <v>0</v>
      </c>
      <c r="Q109" s="135"/>
      <c r="R109" s="104">
        <f t="shared" si="49"/>
        <v>6.6284307692307698E-2</v>
      </c>
      <c r="S109" s="137"/>
      <c r="T109" s="141">
        <f t="shared" si="50"/>
        <v>1.6571076923076921E-2</v>
      </c>
      <c r="U109" s="199">
        <f t="shared" si="51"/>
        <v>0.4272876442307692</v>
      </c>
      <c r="V109" s="37" t="str">
        <f t="shared" si="52"/>
        <v>ok</v>
      </c>
      <c r="W109" s="37" t="str">
        <f t="shared" si="53"/>
        <v>ok</v>
      </c>
    </row>
    <row r="110" spans="1:23" x14ac:dyDescent="0.25">
      <c r="A110" s="426"/>
      <c r="B110" s="178" t="s">
        <v>19</v>
      </c>
      <c r="C110" s="129">
        <v>28</v>
      </c>
      <c r="D110" s="130">
        <f>'2.4.5.2 Durée de missions'!D110/BDA</f>
        <v>0.92700427884615388</v>
      </c>
      <c r="E110" s="131">
        <f>'2.4.5.2 Durée de missions'!E110/BDA</f>
        <v>0.13122953846153845</v>
      </c>
      <c r="F110" s="132">
        <f t="shared" si="32"/>
        <v>0.10498363076923077</v>
      </c>
      <c r="G110" s="133">
        <f t="shared" si="33"/>
        <v>2.6245907692307686E-2</v>
      </c>
      <c r="H110" s="134">
        <f t="shared" si="44"/>
        <v>0.13122953846153845</v>
      </c>
      <c r="I110" s="135"/>
      <c r="J110" s="136">
        <f t="shared" si="45"/>
        <v>0.79577474038461538</v>
      </c>
      <c r="K110" s="137"/>
      <c r="L110" s="138">
        <f t="shared" si="46"/>
        <v>2.6245907692307686E-2</v>
      </c>
      <c r="M110" s="137"/>
      <c r="N110" s="139">
        <f t="shared" si="47"/>
        <v>0</v>
      </c>
      <c r="O110" s="137"/>
      <c r="P110" s="140">
        <f t="shared" si="48"/>
        <v>0</v>
      </c>
      <c r="Q110" s="135"/>
      <c r="R110" s="104">
        <f t="shared" si="49"/>
        <v>0.10498363076923077</v>
      </c>
      <c r="S110" s="137"/>
      <c r="T110" s="141">
        <f t="shared" si="50"/>
        <v>2.6245907692307686E-2</v>
      </c>
      <c r="U110" s="199">
        <f t="shared" si="51"/>
        <v>0.8220206480769231</v>
      </c>
      <c r="V110" s="37" t="str">
        <f t="shared" si="52"/>
        <v>ok</v>
      </c>
      <c r="W110" s="37" t="str">
        <f t="shared" si="53"/>
        <v>ok</v>
      </c>
    </row>
    <row r="111" spans="1:23" x14ac:dyDescent="0.25">
      <c r="A111" s="426"/>
      <c r="B111" s="178" t="s">
        <v>20</v>
      </c>
      <c r="C111" s="129">
        <v>29</v>
      </c>
      <c r="D111" s="130">
        <f>'2.4.5.2 Durée de missions'!D111/BDA</f>
        <v>1.5422789038461542</v>
      </c>
      <c r="E111" s="131">
        <f>'2.4.5.2 Durée de missions'!E111/BDA</f>
        <v>0.25107692307692309</v>
      </c>
      <c r="F111" s="132">
        <f t="shared" si="32"/>
        <v>0.20086153846153848</v>
      </c>
      <c r="G111" s="133">
        <f t="shared" si="33"/>
        <v>5.0215384615384606E-2</v>
      </c>
      <c r="H111" s="134">
        <f t="shared" si="44"/>
        <v>0.25107692307692309</v>
      </c>
      <c r="I111" s="135"/>
      <c r="J111" s="136">
        <f t="shared" si="45"/>
        <v>1.2912019807692312</v>
      </c>
      <c r="K111" s="137"/>
      <c r="L111" s="138">
        <f t="shared" si="46"/>
        <v>5.0215384615384606E-2</v>
      </c>
      <c r="M111" s="137"/>
      <c r="N111" s="139">
        <f t="shared" si="47"/>
        <v>0</v>
      </c>
      <c r="O111" s="137"/>
      <c r="P111" s="140">
        <f t="shared" si="48"/>
        <v>0</v>
      </c>
      <c r="Q111" s="135"/>
      <c r="R111" s="104">
        <f t="shared" si="49"/>
        <v>0.20086153846153848</v>
      </c>
      <c r="S111" s="137"/>
      <c r="T111" s="141">
        <f t="shared" si="50"/>
        <v>5.0215384615384606E-2</v>
      </c>
      <c r="U111" s="199">
        <f t="shared" si="51"/>
        <v>1.3414173653846158</v>
      </c>
      <c r="V111" s="37" t="str">
        <f t="shared" si="52"/>
        <v>ok</v>
      </c>
      <c r="W111" s="37" t="str">
        <f t="shared" si="53"/>
        <v>ok</v>
      </c>
    </row>
    <row r="112" spans="1:23" x14ac:dyDescent="0.25">
      <c r="A112" s="426"/>
      <c r="B112" s="178" t="s">
        <v>21</v>
      </c>
      <c r="C112" s="129">
        <v>30</v>
      </c>
      <c r="D112" s="130">
        <f>'2.4.5.2 Durée de missions'!D112/BDA</f>
        <v>1.2511888846153845</v>
      </c>
      <c r="E112" s="131">
        <f>'2.4.5.2 Durée de missions'!E112/BDA</f>
        <v>0.17575384615384618</v>
      </c>
      <c r="F112" s="132">
        <f t="shared" si="32"/>
        <v>0.14060307692307694</v>
      </c>
      <c r="G112" s="133">
        <f t="shared" si="33"/>
        <v>3.5150769230769228E-2</v>
      </c>
      <c r="H112" s="134">
        <f t="shared" si="44"/>
        <v>0.17575384615384618</v>
      </c>
      <c r="I112" s="135"/>
      <c r="J112" s="136">
        <f t="shared" si="45"/>
        <v>1.0754350384615383</v>
      </c>
      <c r="K112" s="137"/>
      <c r="L112" s="138">
        <f t="shared" si="46"/>
        <v>3.5150769230769228E-2</v>
      </c>
      <c r="M112" s="137"/>
      <c r="N112" s="139">
        <f t="shared" si="47"/>
        <v>0</v>
      </c>
      <c r="O112" s="137"/>
      <c r="P112" s="140">
        <f t="shared" si="48"/>
        <v>0</v>
      </c>
      <c r="Q112" s="135"/>
      <c r="R112" s="104">
        <f t="shared" si="49"/>
        <v>0.14060307692307694</v>
      </c>
      <c r="S112" s="137"/>
      <c r="T112" s="141">
        <f t="shared" si="50"/>
        <v>3.5150769230769228E-2</v>
      </c>
      <c r="U112" s="199">
        <f t="shared" si="51"/>
        <v>1.1105858076923076</v>
      </c>
      <c r="V112" s="37" t="str">
        <f t="shared" si="52"/>
        <v>ok</v>
      </c>
      <c r="W112" s="37" t="str">
        <f t="shared" si="53"/>
        <v>ok</v>
      </c>
    </row>
    <row r="113" spans="1:23" ht="15.75" thickBot="1" x14ac:dyDescent="0.3">
      <c r="A113" s="427"/>
      <c r="B113" s="277" t="s">
        <v>22</v>
      </c>
      <c r="C113" s="165">
        <v>31</v>
      </c>
      <c r="D113" s="202">
        <f>'2.4.5.2 Durée de missions'!D113/BDA</f>
        <v>0.72345477884615383</v>
      </c>
      <c r="E113" s="203">
        <f>'2.4.5.2 Durée de missions'!E113/BDA</f>
        <v>8.3692307692307705E-2</v>
      </c>
      <c r="F113" s="204">
        <f t="shared" si="32"/>
        <v>6.6953846153846169E-2</v>
      </c>
      <c r="G113" s="205">
        <f t="shared" si="33"/>
        <v>1.6738461538461539E-2</v>
      </c>
      <c r="H113" s="206">
        <f t="shared" si="44"/>
        <v>8.3692307692307705E-2</v>
      </c>
      <c r="I113" s="207"/>
      <c r="J113" s="208">
        <f t="shared" si="45"/>
        <v>0.6397624711538461</v>
      </c>
      <c r="K113" s="209"/>
      <c r="L113" s="210">
        <f t="shared" si="46"/>
        <v>1.6738461538461539E-2</v>
      </c>
      <c r="M113" s="209"/>
      <c r="N113" s="211">
        <f t="shared" si="47"/>
        <v>0</v>
      </c>
      <c r="O113" s="209"/>
      <c r="P113" s="212">
        <f t="shared" si="48"/>
        <v>0</v>
      </c>
      <c r="Q113" s="207"/>
      <c r="R113" s="213">
        <f t="shared" si="49"/>
        <v>6.6953846153846169E-2</v>
      </c>
      <c r="S113" s="209"/>
      <c r="T113" s="214">
        <f t="shared" si="50"/>
        <v>1.6738461538461539E-2</v>
      </c>
      <c r="U113" s="215">
        <f t="shared" si="51"/>
        <v>0.65650093269230769</v>
      </c>
      <c r="V113" s="37" t="str">
        <f t="shared" si="52"/>
        <v>ok</v>
      </c>
      <c r="W113" s="37" t="str">
        <f t="shared" si="53"/>
        <v>ok</v>
      </c>
    </row>
    <row r="114" spans="1:23" x14ac:dyDescent="0.25">
      <c r="A114" s="425" t="s">
        <v>94</v>
      </c>
      <c r="B114" s="276" t="s">
        <v>23</v>
      </c>
      <c r="C114" s="247">
        <v>1</v>
      </c>
      <c r="D114" s="184">
        <f>'2.4.5.2 Durée de missions'!D114/BDA</f>
        <v>0.33865699999999993</v>
      </c>
      <c r="E114" s="185">
        <f>'2.4.5.2 Durée de missions'!E114/BDA</f>
        <v>0.57693749999999999</v>
      </c>
      <c r="F114" s="186">
        <f t="shared" si="32"/>
        <v>0.46155000000000002</v>
      </c>
      <c r="G114" s="187">
        <f t="shared" si="33"/>
        <v>0.11538749999999998</v>
      </c>
      <c r="H114" s="188">
        <f>IF(E114&gt;D114,D114,E114)</f>
        <v>0.33865699999999993</v>
      </c>
      <c r="I114" s="189"/>
      <c r="J114" s="190">
        <f>IF(E114&gt;D114,0,D114-E114)</f>
        <v>0</v>
      </c>
      <c r="K114" s="191"/>
      <c r="L114" s="192">
        <f>IF(E114&gt;D114,IF(F114&gt;H114,0,H114-F114),G114)</f>
        <v>0</v>
      </c>
      <c r="M114" s="191"/>
      <c r="N114" s="193">
        <f>IF(E114&gt;D114,IF(F114&gt;H114,F114-H114,0),0)</f>
        <v>0.12289300000000009</v>
      </c>
      <c r="O114" s="191"/>
      <c r="P114" s="194">
        <f>IF(E114&gt;D114,IF(F114&gt;H114,G114,E114-H114),0)</f>
        <v>0.11538749999999998</v>
      </c>
      <c r="Q114" s="189"/>
      <c r="R114" s="195">
        <f>H114-L114</f>
        <v>0.33865699999999993</v>
      </c>
      <c r="S114" s="191"/>
      <c r="T114" s="196">
        <f>L114+N114+P114</f>
        <v>0.23828050000000006</v>
      </c>
      <c r="U114" s="197">
        <f>J114+L114</f>
        <v>0</v>
      </c>
      <c r="V114" s="37" t="str">
        <f>IF(R114+T114=E114,"ok","bad")</f>
        <v>ok</v>
      </c>
      <c r="W114" s="37" t="str">
        <f>IF(U114+R114=D114,"ok","bad")</f>
        <v>ok</v>
      </c>
    </row>
    <row r="115" spans="1:23" x14ac:dyDescent="0.25">
      <c r="A115" s="426"/>
      <c r="B115" s="178" t="s">
        <v>19</v>
      </c>
      <c r="C115" s="129">
        <v>4</v>
      </c>
      <c r="D115" s="130">
        <f>'2.4.5.2 Durée de missions'!D115/BDA</f>
        <v>0.26591399999999998</v>
      </c>
      <c r="E115" s="131">
        <f>'2.4.5.2 Durée de missions'!E115/BDA</f>
        <v>0.42308750000000001</v>
      </c>
      <c r="F115" s="132">
        <f t="shared" si="32"/>
        <v>0.33847000000000005</v>
      </c>
      <c r="G115" s="133">
        <f t="shared" si="33"/>
        <v>8.4617499999999984E-2</v>
      </c>
      <c r="H115" s="134">
        <f t="shared" ref="H115:H134" si="54">IF(E115&gt;D115,D115,E115)</f>
        <v>0.26591399999999998</v>
      </c>
      <c r="I115" s="135"/>
      <c r="J115" s="136">
        <f t="shared" ref="J115:J134" si="55">IF(E115&gt;D115,0,D115-E115)</f>
        <v>0</v>
      </c>
      <c r="K115" s="137"/>
      <c r="L115" s="138">
        <f t="shared" ref="L115:L134" si="56">IF(E115&gt;D115,IF(F115&gt;H115,0,H115-F115),G115)</f>
        <v>0</v>
      </c>
      <c r="M115" s="137"/>
      <c r="N115" s="139">
        <f t="shared" ref="N115:N134" si="57">IF(E115&gt;D115,IF(F115&gt;H115,F115-H115,0),0)</f>
        <v>7.2556000000000065E-2</v>
      </c>
      <c r="O115" s="137"/>
      <c r="P115" s="140">
        <f t="shared" ref="P115:P134" si="58">IF(E115&gt;D115,IF(F115&gt;H115,G115,E115-H115),0)</f>
        <v>8.4617499999999984E-2</v>
      </c>
      <c r="Q115" s="135"/>
      <c r="R115" s="104">
        <f t="shared" ref="R115:R134" si="59">H115-L115</f>
        <v>0.26591399999999998</v>
      </c>
      <c r="S115" s="137"/>
      <c r="T115" s="141">
        <f t="shared" ref="T115:T134" si="60">L115+N115+P115</f>
        <v>0.15717350000000005</v>
      </c>
      <c r="U115" s="199">
        <f t="shared" ref="U115:U134" si="61">J115+L115</f>
        <v>0</v>
      </c>
      <c r="V115" s="37" t="str">
        <f t="shared" ref="V115:V134" si="62">IF(R115+T115=E115,"ok","bad")</f>
        <v>ok</v>
      </c>
      <c r="W115" s="37" t="str">
        <f t="shared" ref="W115:W134" si="63">IF(U115+R115=D115,"ok","bad")</f>
        <v>ok</v>
      </c>
    </row>
    <row r="116" spans="1:23" x14ac:dyDescent="0.25">
      <c r="A116" s="426"/>
      <c r="B116" s="178" t="s">
        <v>20</v>
      </c>
      <c r="C116" s="129">
        <v>5</v>
      </c>
      <c r="D116" s="130">
        <f>'2.4.5.2 Durée de missions'!D116/BDA</f>
        <v>0.116314</v>
      </c>
      <c r="E116" s="131">
        <f>'2.4.5.2 Durée de missions'!E116/BDA</f>
        <v>0.17308125000000002</v>
      </c>
      <c r="F116" s="132">
        <f t="shared" si="32"/>
        <v>0.13846500000000003</v>
      </c>
      <c r="G116" s="133">
        <f t="shared" si="33"/>
        <v>3.4616249999999994E-2</v>
      </c>
      <c r="H116" s="134">
        <f t="shared" si="54"/>
        <v>0.116314</v>
      </c>
      <c r="I116" s="135"/>
      <c r="J116" s="136">
        <f t="shared" si="55"/>
        <v>0</v>
      </c>
      <c r="K116" s="137"/>
      <c r="L116" s="138">
        <f t="shared" si="56"/>
        <v>0</v>
      </c>
      <c r="M116" s="137"/>
      <c r="N116" s="139">
        <f t="shared" si="57"/>
        <v>2.2151000000000032E-2</v>
      </c>
      <c r="O116" s="137"/>
      <c r="P116" s="140">
        <f t="shared" si="58"/>
        <v>3.4616249999999994E-2</v>
      </c>
      <c r="Q116" s="135"/>
      <c r="R116" s="104">
        <f t="shared" si="59"/>
        <v>0.116314</v>
      </c>
      <c r="S116" s="137"/>
      <c r="T116" s="141">
        <f t="shared" si="60"/>
        <v>5.6767250000000026E-2</v>
      </c>
      <c r="U116" s="199">
        <f t="shared" si="61"/>
        <v>0</v>
      </c>
      <c r="V116" s="37" t="str">
        <f t="shared" si="62"/>
        <v>ok</v>
      </c>
      <c r="W116" s="37" t="str">
        <f t="shared" si="63"/>
        <v>ok</v>
      </c>
    </row>
    <row r="117" spans="1:23" x14ac:dyDescent="0.25">
      <c r="A117" s="426"/>
      <c r="B117" s="178" t="s">
        <v>21</v>
      </c>
      <c r="C117" s="129">
        <v>6</v>
      </c>
      <c r="D117" s="130">
        <f>'2.4.5.2 Durée de missions'!D117/BDA</f>
        <v>8.1157999999999994E-2</v>
      </c>
      <c r="E117" s="131">
        <f>'2.4.5.2 Durée de missions'!E117/BDA</f>
        <v>0.259621875</v>
      </c>
      <c r="F117" s="132">
        <f t="shared" si="32"/>
        <v>0.20769750000000001</v>
      </c>
      <c r="G117" s="133">
        <f t="shared" si="33"/>
        <v>5.1924374999999988E-2</v>
      </c>
      <c r="H117" s="134">
        <f t="shared" si="54"/>
        <v>8.1157999999999994E-2</v>
      </c>
      <c r="I117" s="135"/>
      <c r="J117" s="136">
        <f t="shared" si="55"/>
        <v>0</v>
      </c>
      <c r="K117" s="137"/>
      <c r="L117" s="138">
        <f t="shared" si="56"/>
        <v>0</v>
      </c>
      <c r="M117" s="137"/>
      <c r="N117" s="139">
        <f t="shared" si="57"/>
        <v>0.12653950000000003</v>
      </c>
      <c r="O117" s="137"/>
      <c r="P117" s="140">
        <f t="shared" si="58"/>
        <v>5.1924374999999988E-2</v>
      </c>
      <c r="Q117" s="135"/>
      <c r="R117" s="104">
        <f t="shared" si="59"/>
        <v>8.1157999999999994E-2</v>
      </c>
      <c r="S117" s="137"/>
      <c r="T117" s="141">
        <f t="shared" si="60"/>
        <v>0.17846387500000002</v>
      </c>
      <c r="U117" s="199">
        <f t="shared" si="61"/>
        <v>0</v>
      </c>
      <c r="V117" s="37" t="str">
        <f t="shared" si="62"/>
        <v>ok</v>
      </c>
      <c r="W117" s="37" t="str">
        <f t="shared" si="63"/>
        <v>ok</v>
      </c>
    </row>
    <row r="118" spans="1:23" x14ac:dyDescent="0.25">
      <c r="A118" s="426"/>
      <c r="B118" s="178" t="s">
        <v>22</v>
      </c>
      <c r="C118" s="129">
        <v>7</v>
      </c>
      <c r="D118" s="130">
        <f>'2.4.5.2 Durée de missions'!D118/BDA</f>
        <v>0.16830000000000001</v>
      </c>
      <c r="E118" s="131">
        <f>'2.4.5.2 Durée de missions'!E118/BDA</f>
        <v>0.42308750000000001</v>
      </c>
      <c r="F118" s="132">
        <f t="shared" si="32"/>
        <v>0.33847000000000005</v>
      </c>
      <c r="G118" s="133">
        <f t="shared" si="33"/>
        <v>8.4617499999999984E-2</v>
      </c>
      <c r="H118" s="134">
        <f t="shared" si="54"/>
        <v>0.16830000000000001</v>
      </c>
      <c r="I118" s="135"/>
      <c r="J118" s="136">
        <f t="shared" si="55"/>
        <v>0</v>
      </c>
      <c r="K118" s="137"/>
      <c r="L118" s="138">
        <f t="shared" si="56"/>
        <v>0</v>
      </c>
      <c r="M118" s="137"/>
      <c r="N118" s="139">
        <f t="shared" si="57"/>
        <v>0.17017000000000004</v>
      </c>
      <c r="O118" s="137"/>
      <c r="P118" s="140">
        <f t="shared" si="58"/>
        <v>8.4617499999999984E-2</v>
      </c>
      <c r="Q118" s="135"/>
      <c r="R118" s="104">
        <f t="shared" si="59"/>
        <v>0.16830000000000001</v>
      </c>
      <c r="S118" s="137"/>
      <c r="T118" s="141">
        <f t="shared" si="60"/>
        <v>0.25478750000000006</v>
      </c>
      <c r="U118" s="199">
        <f t="shared" si="61"/>
        <v>0</v>
      </c>
      <c r="V118" s="37" t="str">
        <f t="shared" si="62"/>
        <v>ok</v>
      </c>
      <c r="W118" s="37" t="str">
        <f t="shared" si="63"/>
        <v>ok</v>
      </c>
    </row>
    <row r="119" spans="1:23" x14ac:dyDescent="0.25">
      <c r="A119" s="426"/>
      <c r="B119" s="178" t="s">
        <v>23</v>
      </c>
      <c r="C119" s="129">
        <v>8</v>
      </c>
      <c r="D119" s="130">
        <f>'2.4.5.2 Durée de missions'!D119/BDA</f>
        <v>0.54042999999999997</v>
      </c>
      <c r="E119" s="131">
        <f>'2.4.5.2 Durée de missions'!E119/BDA</f>
        <v>0.29586538461538464</v>
      </c>
      <c r="F119" s="132">
        <f t="shared" si="32"/>
        <v>0.23669230769230773</v>
      </c>
      <c r="G119" s="133">
        <f t="shared" si="33"/>
        <v>5.9173076923076919E-2</v>
      </c>
      <c r="H119" s="134">
        <f t="shared" si="54"/>
        <v>0.29586538461538464</v>
      </c>
      <c r="I119" s="135"/>
      <c r="J119" s="136">
        <f t="shared" si="55"/>
        <v>0.24456461538461532</v>
      </c>
      <c r="K119" s="137"/>
      <c r="L119" s="138">
        <f t="shared" si="56"/>
        <v>5.9173076923076919E-2</v>
      </c>
      <c r="M119" s="137"/>
      <c r="N119" s="139">
        <f t="shared" si="57"/>
        <v>0</v>
      </c>
      <c r="O119" s="137"/>
      <c r="P119" s="140">
        <f t="shared" si="58"/>
        <v>0</v>
      </c>
      <c r="Q119" s="135"/>
      <c r="R119" s="104">
        <f t="shared" si="59"/>
        <v>0.23669230769230773</v>
      </c>
      <c r="S119" s="137"/>
      <c r="T119" s="141">
        <f t="shared" si="60"/>
        <v>5.9173076923076919E-2</v>
      </c>
      <c r="U119" s="199">
        <f t="shared" si="61"/>
        <v>0.30373769230769226</v>
      </c>
      <c r="V119" s="37" t="str">
        <f t="shared" si="62"/>
        <v>ok</v>
      </c>
      <c r="W119" s="37" t="str">
        <f t="shared" si="63"/>
        <v>ok</v>
      </c>
    </row>
    <row r="120" spans="1:23" x14ac:dyDescent="0.25">
      <c r="A120" s="426"/>
      <c r="B120" s="178" t="s">
        <v>19</v>
      </c>
      <c r="C120" s="129">
        <v>11</v>
      </c>
      <c r="D120" s="130">
        <f>'2.4.5.2 Durée de missions'!D120/BDA</f>
        <v>0.43832799999999994</v>
      </c>
      <c r="E120" s="131">
        <f>'2.4.5.2 Durée de missions'!E120/BDA</f>
        <v>0.30326201923076923</v>
      </c>
      <c r="F120" s="132">
        <f t="shared" si="32"/>
        <v>0.2426096153846154</v>
      </c>
      <c r="G120" s="133">
        <f t="shared" si="33"/>
        <v>6.0652403846153835E-2</v>
      </c>
      <c r="H120" s="134">
        <f t="shared" si="54"/>
        <v>0.30326201923076923</v>
      </c>
      <c r="I120" s="135"/>
      <c r="J120" s="136">
        <f t="shared" si="55"/>
        <v>0.13506598076923071</v>
      </c>
      <c r="K120" s="137"/>
      <c r="L120" s="138">
        <f t="shared" si="56"/>
        <v>6.0652403846153835E-2</v>
      </c>
      <c r="M120" s="137"/>
      <c r="N120" s="139">
        <f t="shared" si="57"/>
        <v>0</v>
      </c>
      <c r="O120" s="137"/>
      <c r="P120" s="140">
        <f t="shared" si="58"/>
        <v>0</v>
      </c>
      <c r="Q120" s="135"/>
      <c r="R120" s="104">
        <f t="shared" si="59"/>
        <v>0.2426096153846154</v>
      </c>
      <c r="S120" s="137"/>
      <c r="T120" s="141">
        <f t="shared" si="60"/>
        <v>6.0652403846153835E-2</v>
      </c>
      <c r="U120" s="199">
        <f t="shared" si="61"/>
        <v>0.19571838461538454</v>
      </c>
      <c r="V120" s="37" t="str">
        <f t="shared" si="62"/>
        <v>ok</v>
      </c>
      <c r="W120" s="37" t="str">
        <f t="shared" si="63"/>
        <v>ok</v>
      </c>
    </row>
    <row r="121" spans="1:23" x14ac:dyDescent="0.25">
      <c r="A121" s="426"/>
      <c r="B121" s="178" t="s">
        <v>20</v>
      </c>
      <c r="C121" s="129">
        <v>12</v>
      </c>
      <c r="D121" s="130">
        <f>'2.4.5.2 Durée de missions'!D121/BDA</f>
        <v>0.25338499999999997</v>
      </c>
      <c r="E121" s="131">
        <f>'2.4.5.2 Durée de missions'!E121/BDA</f>
        <v>0.16272596153846156</v>
      </c>
      <c r="F121" s="132">
        <f t="shared" si="32"/>
        <v>0.13018076923076924</v>
      </c>
      <c r="G121" s="133">
        <f t="shared" si="33"/>
        <v>3.2545192307692303E-2</v>
      </c>
      <c r="H121" s="134">
        <f t="shared" si="54"/>
        <v>0.16272596153846156</v>
      </c>
      <c r="I121" s="135"/>
      <c r="J121" s="136">
        <f t="shared" si="55"/>
        <v>9.0659038461538416E-2</v>
      </c>
      <c r="K121" s="137"/>
      <c r="L121" s="138">
        <f t="shared" si="56"/>
        <v>3.2545192307692303E-2</v>
      </c>
      <c r="M121" s="137"/>
      <c r="N121" s="139">
        <f t="shared" si="57"/>
        <v>0</v>
      </c>
      <c r="O121" s="137"/>
      <c r="P121" s="140">
        <f t="shared" si="58"/>
        <v>0</v>
      </c>
      <c r="Q121" s="135"/>
      <c r="R121" s="104">
        <f t="shared" si="59"/>
        <v>0.13018076923076927</v>
      </c>
      <c r="S121" s="137"/>
      <c r="T121" s="141">
        <f t="shared" si="60"/>
        <v>3.2545192307692303E-2</v>
      </c>
      <c r="U121" s="199">
        <f t="shared" si="61"/>
        <v>0.12320423076923072</v>
      </c>
      <c r="V121" s="37" t="str">
        <f t="shared" si="62"/>
        <v>ok</v>
      </c>
      <c r="W121" s="37" t="str">
        <f t="shared" si="63"/>
        <v>ok</v>
      </c>
    </row>
    <row r="122" spans="1:23" x14ac:dyDescent="0.25">
      <c r="A122" s="426"/>
      <c r="B122" s="178" t="s">
        <v>21</v>
      </c>
      <c r="C122" s="129">
        <v>13</v>
      </c>
      <c r="D122" s="130">
        <f>'2.4.5.2 Durée de missions'!D122/BDA</f>
        <v>0.20457799999999995</v>
      </c>
      <c r="E122" s="131">
        <f>'2.4.5.2 Durée de missions'!E122/BDA</f>
        <v>0.2071057692307692</v>
      </c>
      <c r="F122" s="132">
        <f t="shared" si="32"/>
        <v>0.16568461538461537</v>
      </c>
      <c r="G122" s="133">
        <f t="shared" si="33"/>
        <v>4.142115384615383E-2</v>
      </c>
      <c r="H122" s="134">
        <f t="shared" si="54"/>
        <v>0.20457799999999995</v>
      </c>
      <c r="I122" s="135"/>
      <c r="J122" s="136">
        <f t="shared" si="55"/>
        <v>0</v>
      </c>
      <c r="K122" s="137"/>
      <c r="L122" s="138">
        <f t="shared" si="56"/>
        <v>3.889338461538458E-2</v>
      </c>
      <c r="M122" s="137"/>
      <c r="N122" s="139">
        <f t="shared" si="57"/>
        <v>0</v>
      </c>
      <c r="O122" s="137"/>
      <c r="P122" s="140">
        <f t="shared" si="58"/>
        <v>2.5277692307692501E-3</v>
      </c>
      <c r="Q122" s="135"/>
      <c r="R122" s="104">
        <f t="shared" si="59"/>
        <v>0.16568461538461537</v>
      </c>
      <c r="S122" s="137"/>
      <c r="T122" s="141">
        <f t="shared" si="60"/>
        <v>4.142115384615383E-2</v>
      </c>
      <c r="U122" s="199">
        <f t="shared" si="61"/>
        <v>3.889338461538458E-2</v>
      </c>
      <c r="V122" s="37" t="str">
        <f t="shared" si="62"/>
        <v>ok</v>
      </c>
      <c r="W122" s="37" t="str">
        <f t="shared" si="63"/>
        <v>ok</v>
      </c>
    </row>
    <row r="123" spans="1:23" x14ac:dyDescent="0.25">
      <c r="A123" s="426"/>
      <c r="B123" s="178" t="s">
        <v>22</v>
      </c>
      <c r="C123" s="129">
        <v>14</v>
      </c>
      <c r="D123" s="130">
        <f>'2.4.5.2 Durée de missions'!D123/BDA</f>
        <v>0.389708</v>
      </c>
      <c r="E123" s="131">
        <f>'2.4.5.2 Durée de missions'!E123/BDA</f>
        <v>0.28107211538461541</v>
      </c>
      <c r="F123" s="132">
        <f t="shared" si="32"/>
        <v>0.22485769230769234</v>
      </c>
      <c r="G123" s="133">
        <f t="shared" si="33"/>
        <v>5.6214423076923072E-2</v>
      </c>
      <c r="H123" s="134">
        <f t="shared" si="54"/>
        <v>0.28107211538461541</v>
      </c>
      <c r="I123" s="135"/>
      <c r="J123" s="136">
        <f t="shared" si="55"/>
        <v>0.10863588461538459</v>
      </c>
      <c r="K123" s="137"/>
      <c r="L123" s="138">
        <f t="shared" si="56"/>
        <v>5.6214423076923072E-2</v>
      </c>
      <c r="M123" s="137"/>
      <c r="N123" s="139">
        <f t="shared" si="57"/>
        <v>0</v>
      </c>
      <c r="O123" s="137"/>
      <c r="P123" s="140">
        <f t="shared" si="58"/>
        <v>0</v>
      </c>
      <c r="Q123" s="135"/>
      <c r="R123" s="104">
        <f t="shared" si="59"/>
        <v>0.22485769230769234</v>
      </c>
      <c r="S123" s="137"/>
      <c r="T123" s="141">
        <f t="shared" si="60"/>
        <v>5.6214423076923072E-2</v>
      </c>
      <c r="U123" s="199">
        <f t="shared" si="61"/>
        <v>0.16485030769230766</v>
      </c>
      <c r="V123" s="37" t="str">
        <f t="shared" si="62"/>
        <v>ok</v>
      </c>
      <c r="W123" s="37" t="str">
        <f t="shared" si="63"/>
        <v>ok</v>
      </c>
    </row>
    <row r="124" spans="1:23" x14ac:dyDescent="0.25">
      <c r="A124" s="426"/>
      <c r="B124" s="178" t="s">
        <v>23</v>
      </c>
      <c r="C124" s="129">
        <v>15</v>
      </c>
      <c r="D124" s="130">
        <f>'2.4.5.2 Durée de missions'!D124/BDA</f>
        <v>0.33865699999999993</v>
      </c>
      <c r="E124" s="131">
        <f>'2.4.5.2 Durée de missions'!E124/BDA</f>
        <v>0.44379807692307693</v>
      </c>
      <c r="F124" s="132">
        <f t="shared" si="32"/>
        <v>0.35503846153846158</v>
      </c>
      <c r="G124" s="133">
        <f t="shared" si="33"/>
        <v>8.8759615384615367E-2</v>
      </c>
      <c r="H124" s="134">
        <f t="shared" si="54"/>
        <v>0.33865699999999993</v>
      </c>
      <c r="I124" s="135"/>
      <c r="J124" s="136">
        <f t="shared" si="55"/>
        <v>0</v>
      </c>
      <c r="K124" s="137"/>
      <c r="L124" s="138">
        <f t="shared" si="56"/>
        <v>0</v>
      </c>
      <c r="M124" s="137"/>
      <c r="N124" s="139">
        <f t="shared" si="57"/>
        <v>1.638146153846165E-2</v>
      </c>
      <c r="O124" s="137"/>
      <c r="P124" s="140">
        <f t="shared" si="58"/>
        <v>8.8759615384615367E-2</v>
      </c>
      <c r="Q124" s="135"/>
      <c r="R124" s="104">
        <f t="shared" si="59"/>
        <v>0.33865699999999993</v>
      </c>
      <c r="S124" s="137"/>
      <c r="T124" s="141">
        <f t="shared" si="60"/>
        <v>0.10514107692307702</v>
      </c>
      <c r="U124" s="199">
        <f t="shared" si="61"/>
        <v>0</v>
      </c>
      <c r="V124" s="37" t="str">
        <f t="shared" si="62"/>
        <v>ok</v>
      </c>
      <c r="W124" s="37" t="str">
        <f t="shared" si="63"/>
        <v>ok</v>
      </c>
    </row>
    <row r="125" spans="1:23" x14ac:dyDescent="0.25">
      <c r="A125" s="426"/>
      <c r="B125" s="178" t="s">
        <v>19</v>
      </c>
      <c r="C125" s="129">
        <v>18</v>
      </c>
      <c r="D125" s="130">
        <f>'2.4.5.2 Durée de missions'!D125/BDA</f>
        <v>0.26591399999999998</v>
      </c>
      <c r="E125" s="131">
        <f>'2.4.5.2 Durée de missions'!E125/BDA</f>
        <v>0.34024519230769229</v>
      </c>
      <c r="F125" s="132">
        <f t="shared" si="32"/>
        <v>0.27219615384615387</v>
      </c>
      <c r="G125" s="133">
        <f t="shared" si="33"/>
        <v>6.8049038461538439E-2</v>
      </c>
      <c r="H125" s="134">
        <f t="shared" si="54"/>
        <v>0.26591399999999998</v>
      </c>
      <c r="I125" s="135"/>
      <c r="J125" s="136">
        <f t="shared" si="55"/>
        <v>0</v>
      </c>
      <c r="K125" s="137"/>
      <c r="L125" s="138">
        <f t="shared" si="56"/>
        <v>0</v>
      </c>
      <c r="M125" s="137"/>
      <c r="N125" s="139">
        <f t="shared" si="57"/>
        <v>6.2821538461538817E-3</v>
      </c>
      <c r="O125" s="137"/>
      <c r="P125" s="140">
        <f t="shared" si="58"/>
        <v>6.8049038461538439E-2</v>
      </c>
      <c r="Q125" s="135"/>
      <c r="R125" s="104">
        <f t="shared" si="59"/>
        <v>0.26591399999999998</v>
      </c>
      <c r="S125" s="137"/>
      <c r="T125" s="141">
        <f t="shared" si="60"/>
        <v>7.433119230769232E-2</v>
      </c>
      <c r="U125" s="199">
        <f t="shared" si="61"/>
        <v>0</v>
      </c>
      <c r="V125" s="37" t="str">
        <f t="shared" si="62"/>
        <v>ok</v>
      </c>
      <c r="W125" s="37" t="str">
        <f t="shared" si="63"/>
        <v>ok</v>
      </c>
    </row>
    <row r="126" spans="1:23" x14ac:dyDescent="0.25">
      <c r="A126" s="426"/>
      <c r="B126" s="178" t="s">
        <v>20</v>
      </c>
      <c r="C126" s="129">
        <v>19</v>
      </c>
      <c r="D126" s="130">
        <f>'2.4.5.2 Durée de missions'!D126/BDA</f>
        <v>0.116314</v>
      </c>
      <c r="E126" s="131">
        <f>'2.4.5.2 Durée de missions'!E126/BDA</f>
        <v>0.16272596153846156</v>
      </c>
      <c r="F126" s="132">
        <f t="shared" si="32"/>
        <v>0.13018076923076924</v>
      </c>
      <c r="G126" s="133">
        <f t="shared" si="33"/>
        <v>3.2545192307692303E-2</v>
      </c>
      <c r="H126" s="134">
        <f t="shared" si="54"/>
        <v>0.116314</v>
      </c>
      <c r="I126" s="135"/>
      <c r="J126" s="136">
        <f t="shared" si="55"/>
        <v>0</v>
      </c>
      <c r="K126" s="137"/>
      <c r="L126" s="138">
        <f t="shared" si="56"/>
        <v>0</v>
      </c>
      <c r="M126" s="137"/>
      <c r="N126" s="139">
        <f t="shared" si="57"/>
        <v>1.3866769230769238E-2</v>
      </c>
      <c r="O126" s="137"/>
      <c r="P126" s="140">
        <f t="shared" si="58"/>
        <v>3.2545192307692303E-2</v>
      </c>
      <c r="Q126" s="135"/>
      <c r="R126" s="104">
        <f t="shared" si="59"/>
        <v>0.116314</v>
      </c>
      <c r="S126" s="137"/>
      <c r="T126" s="141">
        <f t="shared" si="60"/>
        <v>4.6411961538461541E-2</v>
      </c>
      <c r="U126" s="199">
        <f t="shared" si="61"/>
        <v>0</v>
      </c>
      <c r="V126" s="37" t="str">
        <f t="shared" si="62"/>
        <v>ok</v>
      </c>
      <c r="W126" s="37" t="str">
        <f t="shared" si="63"/>
        <v>ok</v>
      </c>
    </row>
    <row r="127" spans="1:23" x14ac:dyDescent="0.25">
      <c r="A127" s="426"/>
      <c r="B127" s="178" t="s">
        <v>21</v>
      </c>
      <c r="C127" s="129">
        <v>20</v>
      </c>
      <c r="D127" s="130">
        <f>'2.4.5.2 Durée de missions'!D127/BDA</f>
        <v>8.1157999999999994E-2</v>
      </c>
      <c r="E127" s="131">
        <f>'2.4.5.2 Durée de missions'!E127/BDA</f>
        <v>0.27367548076923076</v>
      </c>
      <c r="F127" s="132">
        <f t="shared" si="32"/>
        <v>0.21894038461538462</v>
      </c>
      <c r="G127" s="133">
        <f t="shared" si="33"/>
        <v>5.4735096153846141E-2</v>
      </c>
      <c r="H127" s="134">
        <f t="shared" si="54"/>
        <v>8.1157999999999994E-2</v>
      </c>
      <c r="I127" s="135"/>
      <c r="J127" s="136">
        <f t="shared" si="55"/>
        <v>0</v>
      </c>
      <c r="K127" s="137"/>
      <c r="L127" s="138">
        <f t="shared" si="56"/>
        <v>0</v>
      </c>
      <c r="M127" s="137"/>
      <c r="N127" s="139">
        <f t="shared" si="57"/>
        <v>0.13778238461538461</v>
      </c>
      <c r="O127" s="137"/>
      <c r="P127" s="140">
        <f t="shared" si="58"/>
        <v>5.4735096153846141E-2</v>
      </c>
      <c r="Q127" s="135"/>
      <c r="R127" s="104">
        <f t="shared" si="59"/>
        <v>8.1157999999999994E-2</v>
      </c>
      <c r="S127" s="137"/>
      <c r="T127" s="141">
        <f t="shared" si="60"/>
        <v>0.19251748076923075</v>
      </c>
      <c r="U127" s="199">
        <f t="shared" si="61"/>
        <v>0</v>
      </c>
      <c r="V127" s="37" t="str">
        <f t="shared" si="62"/>
        <v>ok</v>
      </c>
      <c r="W127" s="37" t="str">
        <f t="shared" si="63"/>
        <v>ok</v>
      </c>
    </row>
    <row r="128" spans="1:23" x14ac:dyDescent="0.25">
      <c r="A128" s="426"/>
      <c r="B128" s="178" t="s">
        <v>22</v>
      </c>
      <c r="C128" s="129">
        <v>21</v>
      </c>
      <c r="D128" s="130">
        <f>'2.4.5.2 Durée de missions'!D128/BDA</f>
        <v>0.16830000000000001</v>
      </c>
      <c r="E128" s="131">
        <f>'2.4.5.2 Durée de missions'!E128/BDA</f>
        <v>0.32545192307692311</v>
      </c>
      <c r="F128" s="132">
        <f t="shared" si="32"/>
        <v>0.26036153846153848</v>
      </c>
      <c r="G128" s="133">
        <f t="shared" si="33"/>
        <v>6.5090384615384606E-2</v>
      </c>
      <c r="H128" s="134">
        <f t="shared" si="54"/>
        <v>0.16830000000000001</v>
      </c>
      <c r="I128" s="135"/>
      <c r="J128" s="136">
        <f t="shared" si="55"/>
        <v>0</v>
      </c>
      <c r="K128" s="137"/>
      <c r="L128" s="138">
        <f t="shared" si="56"/>
        <v>0</v>
      </c>
      <c r="M128" s="137"/>
      <c r="N128" s="139">
        <f t="shared" si="57"/>
        <v>9.2061538461538472E-2</v>
      </c>
      <c r="O128" s="137"/>
      <c r="P128" s="140">
        <f t="shared" si="58"/>
        <v>6.5090384615384606E-2</v>
      </c>
      <c r="Q128" s="135"/>
      <c r="R128" s="104">
        <f t="shared" si="59"/>
        <v>0.16830000000000001</v>
      </c>
      <c r="S128" s="137"/>
      <c r="T128" s="141">
        <f t="shared" si="60"/>
        <v>0.15715192307692308</v>
      </c>
      <c r="U128" s="199">
        <f t="shared" si="61"/>
        <v>0</v>
      </c>
      <c r="V128" s="37" t="str">
        <f t="shared" si="62"/>
        <v>ok</v>
      </c>
      <c r="W128" s="37" t="str">
        <f t="shared" si="63"/>
        <v>ok</v>
      </c>
    </row>
    <row r="129" spans="1:23" x14ac:dyDescent="0.25">
      <c r="A129" s="426"/>
      <c r="B129" s="178" t="s">
        <v>23</v>
      </c>
      <c r="C129" s="129">
        <v>22</v>
      </c>
      <c r="D129" s="130">
        <f>'2.4.5.2 Durée de missions'!D129/BDA</f>
        <v>0.67544399999999993</v>
      </c>
      <c r="E129" s="131">
        <f>'2.4.5.2 Durée de missions'!E129/BDA</f>
        <v>0.36613341346153844</v>
      </c>
      <c r="F129" s="132">
        <f t="shared" si="32"/>
        <v>0.29290673076923074</v>
      </c>
      <c r="G129" s="133">
        <f t="shared" si="33"/>
        <v>7.3226682692307671E-2</v>
      </c>
      <c r="H129" s="134">
        <f t="shared" si="54"/>
        <v>0.36613341346153844</v>
      </c>
      <c r="I129" s="135"/>
      <c r="J129" s="136">
        <f t="shared" si="55"/>
        <v>0.3093105865384615</v>
      </c>
      <c r="K129" s="137"/>
      <c r="L129" s="138">
        <f t="shared" si="56"/>
        <v>7.3226682692307671E-2</v>
      </c>
      <c r="M129" s="137"/>
      <c r="N129" s="139">
        <f t="shared" si="57"/>
        <v>0</v>
      </c>
      <c r="O129" s="137"/>
      <c r="P129" s="140">
        <f t="shared" si="58"/>
        <v>0</v>
      </c>
      <c r="Q129" s="135"/>
      <c r="R129" s="104">
        <f t="shared" si="59"/>
        <v>0.29290673076923079</v>
      </c>
      <c r="S129" s="137"/>
      <c r="T129" s="141">
        <f t="shared" si="60"/>
        <v>7.3226682692307671E-2</v>
      </c>
      <c r="U129" s="199">
        <f t="shared" si="61"/>
        <v>0.38253726923076914</v>
      </c>
      <c r="V129" s="37" t="str">
        <f t="shared" si="62"/>
        <v>ok</v>
      </c>
      <c r="W129" s="37" t="str">
        <f t="shared" si="63"/>
        <v>ok</v>
      </c>
    </row>
    <row r="130" spans="1:23" x14ac:dyDescent="0.25">
      <c r="A130" s="426"/>
      <c r="B130" s="178" t="s">
        <v>19</v>
      </c>
      <c r="C130" s="129">
        <v>25</v>
      </c>
      <c r="D130" s="130">
        <f>'2.4.5.2 Durée de missions'!D130/BDA</f>
        <v>0.54977999999999994</v>
      </c>
      <c r="E130" s="131">
        <f>'2.4.5.2 Durée de missions'!E130/BDA</f>
        <v>0.23195846153846153</v>
      </c>
      <c r="F130" s="132">
        <f t="shared" si="32"/>
        <v>0.18556676923076923</v>
      </c>
      <c r="G130" s="133">
        <f t="shared" si="33"/>
        <v>4.6391692307692294E-2</v>
      </c>
      <c r="H130" s="134">
        <f t="shared" si="54"/>
        <v>0.23195846153846153</v>
      </c>
      <c r="I130" s="135"/>
      <c r="J130" s="136">
        <f t="shared" si="55"/>
        <v>0.31782153846153838</v>
      </c>
      <c r="K130" s="137"/>
      <c r="L130" s="138">
        <f t="shared" si="56"/>
        <v>4.6391692307692294E-2</v>
      </c>
      <c r="M130" s="137"/>
      <c r="N130" s="139">
        <f t="shared" si="57"/>
        <v>0</v>
      </c>
      <c r="O130" s="137"/>
      <c r="P130" s="140">
        <f t="shared" si="58"/>
        <v>0</v>
      </c>
      <c r="Q130" s="135"/>
      <c r="R130" s="104">
        <f t="shared" si="59"/>
        <v>0.18556676923076923</v>
      </c>
      <c r="S130" s="137"/>
      <c r="T130" s="141">
        <f t="shared" si="60"/>
        <v>4.6391692307692294E-2</v>
      </c>
      <c r="U130" s="199">
        <f t="shared" si="61"/>
        <v>0.36421323076923068</v>
      </c>
      <c r="V130" s="37" t="str">
        <f t="shared" si="62"/>
        <v>ok</v>
      </c>
      <c r="W130" s="37" t="str">
        <f t="shared" si="63"/>
        <v>ok</v>
      </c>
    </row>
    <row r="131" spans="1:23" x14ac:dyDescent="0.25">
      <c r="A131" s="426"/>
      <c r="B131" s="178" t="s">
        <v>20</v>
      </c>
      <c r="C131" s="129">
        <v>26</v>
      </c>
      <c r="D131" s="130">
        <f>'2.4.5.2 Durée de missions'!D131/BDA</f>
        <v>0.31677799999999995</v>
      </c>
      <c r="E131" s="131">
        <f>'2.4.5.2 Durée de missions'!E131/BDA</f>
        <v>0.10991399038461537</v>
      </c>
      <c r="F131" s="132">
        <f t="shared" si="32"/>
        <v>8.7931192307692307E-2</v>
      </c>
      <c r="G131" s="133">
        <f t="shared" si="33"/>
        <v>2.198279807692307E-2</v>
      </c>
      <c r="H131" s="134">
        <f t="shared" si="54"/>
        <v>0.10991399038461537</v>
      </c>
      <c r="I131" s="135"/>
      <c r="J131" s="136">
        <f t="shared" si="55"/>
        <v>0.20686400961538459</v>
      </c>
      <c r="K131" s="137"/>
      <c r="L131" s="138">
        <f t="shared" si="56"/>
        <v>2.198279807692307E-2</v>
      </c>
      <c r="M131" s="137"/>
      <c r="N131" s="139">
        <f t="shared" si="57"/>
        <v>0</v>
      </c>
      <c r="O131" s="137"/>
      <c r="P131" s="140">
        <f t="shared" si="58"/>
        <v>0</v>
      </c>
      <c r="Q131" s="135"/>
      <c r="R131" s="104">
        <f t="shared" si="59"/>
        <v>8.7931192307692307E-2</v>
      </c>
      <c r="S131" s="137"/>
      <c r="T131" s="141">
        <f t="shared" si="60"/>
        <v>2.198279807692307E-2</v>
      </c>
      <c r="U131" s="199">
        <f t="shared" si="61"/>
        <v>0.22884680769230767</v>
      </c>
      <c r="V131" s="37" t="str">
        <f t="shared" si="62"/>
        <v>ok</v>
      </c>
      <c r="W131" s="37" t="str">
        <f t="shared" si="63"/>
        <v>ok</v>
      </c>
    </row>
    <row r="132" spans="1:23" x14ac:dyDescent="0.25">
      <c r="A132" s="426"/>
      <c r="B132" s="178" t="s">
        <v>21</v>
      </c>
      <c r="C132" s="129">
        <v>27</v>
      </c>
      <c r="D132" s="130">
        <f>'2.4.5.2 Durée de missions'!D132/BDA</f>
        <v>0.25936899999999996</v>
      </c>
      <c r="E132" s="131">
        <f>'2.4.5.2 Durée de missions'!E132/BDA</f>
        <v>0.14645336538461537</v>
      </c>
      <c r="F132" s="132">
        <f t="shared" si="32"/>
        <v>0.1171626923076923</v>
      </c>
      <c r="G132" s="133">
        <f t="shared" si="33"/>
        <v>2.9290673076923068E-2</v>
      </c>
      <c r="H132" s="134">
        <f t="shared" si="54"/>
        <v>0.14645336538461537</v>
      </c>
      <c r="I132" s="135"/>
      <c r="J132" s="136">
        <f t="shared" si="55"/>
        <v>0.11291563461538459</v>
      </c>
      <c r="K132" s="137"/>
      <c r="L132" s="138">
        <f t="shared" si="56"/>
        <v>2.9290673076923068E-2</v>
      </c>
      <c r="M132" s="137"/>
      <c r="N132" s="139">
        <f t="shared" si="57"/>
        <v>0</v>
      </c>
      <c r="O132" s="137"/>
      <c r="P132" s="140">
        <f t="shared" si="58"/>
        <v>0</v>
      </c>
      <c r="Q132" s="135"/>
      <c r="R132" s="104">
        <f t="shared" si="59"/>
        <v>0.1171626923076923</v>
      </c>
      <c r="S132" s="137"/>
      <c r="T132" s="141">
        <f t="shared" si="60"/>
        <v>2.9290673076923068E-2</v>
      </c>
      <c r="U132" s="199">
        <f t="shared" si="61"/>
        <v>0.14220630769230766</v>
      </c>
      <c r="V132" s="37" t="str">
        <f t="shared" si="62"/>
        <v>ok</v>
      </c>
      <c r="W132" s="37" t="str">
        <f t="shared" si="63"/>
        <v>ok</v>
      </c>
    </row>
    <row r="133" spans="1:23" x14ac:dyDescent="0.25">
      <c r="A133" s="426"/>
      <c r="B133" s="178" t="s">
        <v>22</v>
      </c>
      <c r="C133" s="129">
        <v>28</v>
      </c>
      <c r="D133" s="130">
        <f>'2.4.5.2 Durée de missions'!D133/BDA</f>
        <v>0.48713499999999998</v>
      </c>
      <c r="E133" s="131">
        <f>'2.4.5.2 Durée de missions'!E133/BDA</f>
        <v>0.23195846153846153</v>
      </c>
      <c r="F133" s="132">
        <f t="shared" ref="F133:F196" si="64">E133*TC</f>
        <v>0.18556676923076923</v>
      </c>
      <c r="G133" s="133">
        <f t="shared" ref="G133:G196" si="65">E133*(1-TC)</f>
        <v>4.6391692307692294E-2</v>
      </c>
      <c r="H133" s="134">
        <f t="shared" si="54"/>
        <v>0.23195846153846153</v>
      </c>
      <c r="I133" s="135"/>
      <c r="J133" s="136">
        <f t="shared" si="55"/>
        <v>0.25517653846153843</v>
      </c>
      <c r="K133" s="137"/>
      <c r="L133" s="138">
        <f t="shared" si="56"/>
        <v>4.6391692307692294E-2</v>
      </c>
      <c r="M133" s="137"/>
      <c r="N133" s="139">
        <f t="shared" si="57"/>
        <v>0</v>
      </c>
      <c r="O133" s="137"/>
      <c r="P133" s="140">
        <f t="shared" si="58"/>
        <v>0</v>
      </c>
      <c r="Q133" s="135"/>
      <c r="R133" s="104">
        <f t="shared" si="59"/>
        <v>0.18556676923076923</v>
      </c>
      <c r="S133" s="137"/>
      <c r="T133" s="141">
        <f t="shared" si="60"/>
        <v>4.6391692307692294E-2</v>
      </c>
      <c r="U133" s="199">
        <f t="shared" si="61"/>
        <v>0.30156823076923073</v>
      </c>
      <c r="V133" s="37" t="str">
        <f t="shared" si="62"/>
        <v>ok</v>
      </c>
      <c r="W133" s="37" t="str">
        <f t="shared" si="63"/>
        <v>ok</v>
      </c>
    </row>
    <row r="134" spans="1:23" ht="15.75" thickBot="1" x14ac:dyDescent="0.3">
      <c r="A134" s="427"/>
      <c r="B134" s="277" t="s">
        <v>23</v>
      </c>
      <c r="C134" s="165">
        <v>29</v>
      </c>
      <c r="D134" s="202">
        <f>'2.4.5.2 Durée de missions'!D134/BDA</f>
        <v>0.8104579999999999</v>
      </c>
      <c r="E134" s="203">
        <f>'2.4.5.2 Durée de missions'!E134/BDA</f>
        <v>0.44379807692307693</v>
      </c>
      <c r="F134" s="204">
        <f t="shared" si="64"/>
        <v>0.35503846153846158</v>
      </c>
      <c r="G134" s="205">
        <f t="shared" si="65"/>
        <v>8.8759615384615367E-2</v>
      </c>
      <c r="H134" s="206">
        <f t="shared" si="54"/>
        <v>0.44379807692307693</v>
      </c>
      <c r="I134" s="207"/>
      <c r="J134" s="208">
        <f t="shared" si="55"/>
        <v>0.36665992307692297</v>
      </c>
      <c r="K134" s="209"/>
      <c r="L134" s="210">
        <f t="shared" si="56"/>
        <v>8.8759615384615367E-2</v>
      </c>
      <c r="M134" s="209"/>
      <c r="N134" s="211">
        <f t="shared" si="57"/>
        <v>0</v>
      </c>
      <c r="O134" s="209"/>
      <c r="P134" s="212">
        <f t="shared" si="58"/>
        <v>0</v>
      </c>
      <c r="Q134" s="207"/>
      <c r="R134" s="213">
        <f t="shared" si="59"/>
        <v>0.35503846153846158</v>
      </c>
      <c r="S134" s="209"/>
      <c r="T134" s="214">
        <f t="shared" si="60"/>
        <v>8.8759615384615367E-2</v>
      </c>
      <c r="U134" s="215">
        <f t="shared" si="61"/>
        <v>0.45541953846153832</v>
      </c>
      <c r="V134" s="37" t="str">
        <f t="shared" si="62"/>
        <v>ok</v>
      </c>
      <c r="W134" s="37" t="str">
        <f t="shared" si="63"/>
        <v>ok</v>
      </c>
    </row>
    <row r="135" spans="1:23" x14ac:dyDescent="0.25">
      <c r="A135" s="425" t="s">
        <v>95</v>
      </c>
      <c r="B135" s="276" t="s">
        <v>19</v>
      </c>
      <c r="C135" s="247">
        <v>2</v>
      </c>
      <c r="D135" s="184">
        <f>'2.4.5.2 Durée de missions'!D135/BDA</f>
        <v>0.16175016153846153</v>
      </c>
      <c r="E135" s="185">
        <f>'2.4.5.2 Durée de missions'!E135/BDA</f>
        <v>0.63941249999999994</v>
      </c>
      <c r="F135" s="186">
        <f t="shared" si="64"/>
        <v>0.51152999999999993</v>
      </c>
      <c r="G135" s="187">
        <f t="shared" si="65"/>
        <v>0.12788249999999995</v>
      </c>
      <c r="H135" s="188">
        <f>IF(E135&gt;D135,D135,E135)</f>
        <v>0.16175016153846153</v>
      </c>
      <c r="I135" s="189"/>
      <c r="J135" s="190">
        <f>IF(E135&gt;D135,0,D135-E135)</f>
        <v>0</v>
      </c>
      <c r="K135" s="191"/>
      <c r="L135" s="192">
        <f>IF(E135&gt;D135,IF(F135&gt;H135,0,H135-F135),G135)</f>
        <v>0</v>
      </c>
      <c r="M135" s="191"/>
      <c r="N135" s="193">
        <f>IF(E135&gt;D135,IF(F135&gt;H135,F135-H135,0),0)</f>
        <v>0.34977983846153837</v>
      </c>
      <c r="O135" s="191"/>
      <c r="P135" s="194">
        <f>IF(E135&gt;D135,IF(F135&gt;H135,G135,E135-H135),0)</f>
        <v>0.12788249999999995</v>
      </c>
      <c r="Q135" s="189"/>
      <c r="R135" s="195">
        <f>H135-L135</f>
        <v>0.16175016153846153</v>
      </c>
      <c r="S135" s="191"/>
      <c r="T135" s="196">
        <f>L135+N135+P135</f>
        <v>0.47766233846153833</v>
      </c>
      <c r="U135" s="197">
        <f>J135+L135</f>
        <v>0</v>
      </c>
      <c r="V135" s="37" t="str">
        <f>IF(R135+T135=E135,"ok","bad")</f>
        <v>ok</v>
      </c>
      <c r="W135" s="37" t="str">
        <f>IF(U135+R135=D135,"ok","bad")</f>
        <v>ok</v>
      </c>
    </row>
    <row r="136" spans="1:23" x14ac:dyDescent="0.25">
      <c r="A136" s="426"/>
      <c r="B136" s="178" t="s">
        <v>20</v>
      </c>
      <c r="C136" s="129">
        <v>3</v>
      </c>
      <c r="D136" s="130">
        <f>'2.4.5.2 Durée de missions'!D136/BDA</f>
        <v>0.12700647692307693</v>
      </c>
      <c r="E136" s="131">
        <f>'2.4.5.2 Durée de missions'!E136/BDA</f>
        <v>0.46890249999999994</v>
      </c>
      <c r="F136" s="132">
        <f t="shared" si="64"/>
        <v>0.37512199999999996</v>
      </c>
      <c r="G136" s="133">
        <f t="shared" si="65"/>
        <v>9.3780499999999961E-2</v>
      </c>
      <c r="H136" s="134">
        <f t="shared" ref="H136:H156" si="66">IF(E136&gt;D136,D136,E136)</f>
        <v>0.12700647692307693</v>
      </c>
      <c r="I136" s="135"/>
      <c r="J136" s="136">
        <f t="shared" ref="J136:J156" si="67">IF(E136&gt;D136,0,D136-E136)</f>
        <v>0</v>
      </c>
      <c r="K136" s="137"/>
      <c r="L136" s="138">
        <f t="shared" ref="L136:L156" si="68">IF(E136&gt;D136,IF(F136&gt;H136,0,H136-F136),G136)</f>
        <v>0</v>
      </c>
      <c r="M136" s="137"/>
      <c r="N136" s="139">
        <f t="shared" ref="N136:N156" si="69">IF(E136&gt;D136,IF(F136&gt;H136,F136-H136,0),0)</f>
        <v>0.24811552307692303</v>
      </c>
      <c r="O136" s="137"/>
      <c r="P136" s="140">
        <f t="shared" ref="P136:P156" si="70">IF(E136&gt;D136,IF(F136&gt;H136,G136,E136-H136),0)</f>
        <v>9.3780499999999961E-2</v>
      </c>
      <c r="Q136" s="135"/>
      <c r="R136" s="104">
        <f t="shared" ref="R136:R156" si="71">H136-L136</f>
        <v>0.12700647692307693</v>
      </c>
      <c r="S136" s="137"/>
      <c r="T136" s="141">
        <f t="shared" ref="T136:T156" si="72">L136+N136+P136</f>
        <v>0.34189602307692302</v>
      </c>
      <c r="U136" s="199">
        <f t="shared" ref="U136:U156" si="73">J136+L136</f>
        <v>0</v>
      </c>
      <c r="V136" s="37" t="str">
        <f t="shared" ref="V136:V156" si="74">IF(R136+T136=E136,"ok","bad")</f>
        <v>ok</v>
      </c>
      <c r="W136" s="37" t="str">
        <f t="shared" ref="W136:W156" si="75">IF(U136+R136=D136,"ok","bad")</f>
        <v>ok</v>
      </c>
    </row>
    <row r="137" spans="1:23" x14ac:dyDescent="0.25">
      <c r="A137" s="426"/>
      <c r="B137" s="178" t="s">
        <v>21</v>
      </c>
      <c r="C137" s="129">
        <v>4</v>
      </c>
      <c r="D137" s="130">
        <f>'2.4.5.2 Durée de missions'!D137/BDA</f>
        <v>5.5554169230769231E-2</v>
      </c>
      <c r="E137" s="131">
        <f>'2.4.5.2 Durée de missions'!E137/BDA</f>
        <v>0.19182374999999993</v>
      </c>
      <c r="F137" s="132">
        <f t="shared" si="64"/>
        <v>0.15345899999999996</v>
      </c>
      <c r="G137" s="133">
        <f t="shared" si="65"/>
        <v>3.8364749999999975E-2</v>
      </c>
      <c r="H137" s="134">
        <f t="shared" si="66"/>
        <v>5.5554169230769231E-2</v>
      </c>
      <c r="I137" s="135"/>
      <c r="J137" s="136">
        <f t="shared" si="67"/>
        <v>0</v>
      </c>
      <c r="K137" s="137"/>
      <c r="L137" s="138">
        <f t="shared" si="68"/>
        <v>0</v>
      </c>
      <c r="M137" s="137"/>
      <c r="N137" s="139">
        <f t="shared" si="69"/>
        <v>9.7904830769230733E-2</v>
      </c>
      <c r="O137" s="137"/>
      <c r="P137" s="140">
        <f t="shared" si="70"/>
        <v>3.8364749999999975E-2</v>
      </c>
      <c r="Q137" s="135"/>
      <c r="R137" s="104">
        <f t="shared" si="71"/>
        <v>5.5554169230769231E-2</v>
      </c>
      <c r="S137" s="137"/>
      <c r="T137" s="141">
        <f t="shared" si="72"/>
        <v>0.13626958076923071</v>
      </c>
      <c r="U137" s="199">
        <f t="shared" si="73"/>
        <v>0</v>
      </c>
      <c r="V137" s="37" t="str">
        <f t="shared" si="74"/>
        <v>ok</v>
      </c>
      <c r="W137" s="37" t="str">
        <f t="shared" si="75"/>
        <v>ok</v>
      </c>
    </row>
    <row r="138" spans="1:23" x14ac:dyDescent="0.25">
      <c r="A138" s="426"/>
      <c r="B138" s="178" t="s">
        <v>22</v>
      </c>
      <c r="C138" s="129">
        <v>5</v>
      </c>
      <c r="D138" s="130">
        <f>'2.4.5.2 Durée de missions'!D138/BDA</f>
        <v>3.8762876923076922E-2</v>
      </c>
      <c r="E138" s="131">
        <f>'2.4.5.2 Durée de missions'!E138/BDA</f>
        <v>0.28773562499999999</v>
      </c>
      <c r="F138" s="132">
        <f t="shared" si="64"/>
        <v>0.23018850000000002</v>
      </c>
      <c r="G138" s="133">
        <f t="shared" si="65"/>
        <v>5.7547124999999984E-2</v>
      </c>
      <c r="H138" s="134">
        <f t="shared" si="66"/>
        <v>3.8762876923076922E-2</v>
      </c>
      <c r="I138" s="135"/>
      <c r="J138" s="136">
        <f t="shared" si="67"/>
        <v>0</v>
      </c>
      <c r="K138" s="137"/>
      <c r="L138" s="138">
        <f t="shared" si="68"/>
        <v>0</v>
      </c>
      <c r="M138" s="137"/>
      <c r="N138" s="139">
        <f t="shared" si="69"/>
        <v>0.1914256230769231</v>
      </c>
      <c r="O138" s="137"/>
      <c r="P138" s="140">
        <f t="shared" si="70"/>
        <v>5.7547124999999984E-2</v>
      </c>
      <c r="Q138" s="135"/>
      <c r="R138" s="104">
        <f t="shared" si="71"/>
        <v>3.8762876923076922E-2</v>
      </c>
      <c r="S138" s="137"/>
      <c r="T138" s="141">
        <f t="shared" si="72"/>
        <v>0.24897274807692307</v>
      </c>
      <c r="U138" s="199">
        <f t="shared" si="73"/>
        <v>0</v>
      </c>
      <c r="V138" s="37" t="str">
        <f t="shared" si="74"/>
        <v>ok</v>
      </c>
      <c r="W138" s="37" t="str">
        <f t="shared" si="75"/>
        <v>ok</v>
      </c>
    </row>
    <row r="139" spans="1:23" x14ac:dyDescent="0.25">
      <c r="A139" s="426"/>
      <c r="B139" s="178" t="s">
        <v>23</v>
      </c>
      <c r="C139" s="129">
        <v>6</v>
      </c>
      <c r="D139" s="130">
        <f>'2.4.5.2 Durée de missions'!D139/BDA</f>
        <v>8.0383846153846167E-2</v>
      </c>
      <c r="E139" s="131">
        <f>'2.4.5.2 Durée de missions'!E139/BDA</f>
        <v>0.46890249999999994</v>
      </c>
      <c r="F139" s="132">
        <f t="shared" si="64"/>
        <v>0.37512199999999996</v>
      </c>
      <c r="G139" s="133">
        <f t="shared" si="65"/>
        <v>9.3780499999999961E-2</v>
      </c>
      <c r="H139" s="134">
        <f t="shared" si="66"/>
        <v>8.0383846153846167E-2</v>
      </c>
      <c r="I139" s="135"/>
      <c r="J139" s="136">
        <f t="shared" si="67"/>
        <v>0</v>
      </c>
      <c r="K139" s="137"/>
      <c r="L139" s="138">
        <f t="shared" si="68"/>
        <v>0</v>
      </c>
      <c r="M139" s="137"/>
      <c r="N139" s="139">
        <f t="shared" si="69"/>
        <v>0.29473815384615376</v>
      </c>
      <c r="O139" s="137"/>
      <c r="P139" s="140">
        <f t="shared" si="70"/>
        <v>9.3780499999999961E-2</v>
      </c>
      <c r="Q139" s="135"/>
      <c r="R139" s="104">
        <f t="shared" si="71"/>
        <v>8.0383846153846167E-2</v>
      </c>
      <c r="S139" s="137"/>
      <c r="T139" s="141">
        <f t="shared" si="72"/>
        <v>0.38851865384615369</v>
      </c>
      <c r="U139" s="199">
        <f t="shared" si="73"/>
        <v>0</v>
      </c>
      <c r="V139" s="37" t="str">
        <f t="shared" si="74"/>
        <v>ok</v>
      </c>
      <c r="W139" s="37" t="str">
        <f t="shared" si="75"/>
        <v>ok</v>
      </c>
    </row>
    <row r="140" spans="1:23" x14ac:dyDescent="0.25">
      <c r="A140" s="426"/>
      <c r="B140" s="178" t="s">
        <v>19</v>
      </c>
      <c r="C140" s="129">
        <v>9</v>
      </c>
      <c r="D140" s="130">
        <f>'2.4.5.2 Durée de missions'!D140/BDA</f>
        <v>0.25812146153846149</v>
      </c>
      <c r="E140" s="131">
        <f>'2.4.5.2 Durée de missions'!E140/BDA</f>
        <v>0.3279038461538461</v>
      </c>
      <c r="F140" s="132">
        <f t="shared" si="64"/>
        <v>0.26232307692307688</v>
      </c>
      <c r="G140" s="133">
        <f t="shared" si="65"/>
        <v>6.5580769230769206E-2</v>
      </c>
      <c r="H140" s="134">
        <f t="shared" si="66"/>
        <v>0.25812146153846149</v>
      </c>
      <c r="I140" s="135"/>
      <c r="J140" s="136">
        <f t="shared" si="67"/>
        <v>0</v>
      </c>
      <c r="K140" s="137"/>
      <c r="L140" s="138">
        <f t="shared" si="68"/>
        <v>0</v>
      </c>
      <c r="M140" s="137"/>
      <c r="N140" s="139">
        <f t="shared" si="69"/>
        <v>4.201615384615387E-3</v>
      </c>
      <c r="O140" s="137"/>
      <c r="P140" s="140">
        <f t="shared" si="70"/>
        <v>6.5580769230769206E-2</v>
      </c>
      <c r="Q140" s="135"/>
      <c r="R140" s="104">
        <f t="shared" si="71"/>
        <v>0.25812146153846149</v>
      </c>
      <c r="S140" s="137"/>
      <c r="T140" s="141">
        <f t="shared" si="72"/>
        <v>6.9782384615384593E-2</v>
      </c>
      <c r="U140" s="199">
        <f t="shared" si="73"/>
        <v>0</v>
      </c>
      <c r="V140" s="37" t="str">
        <f t="shared" si="74"/>
        <v>ok</v>
      </c>
      <c r="W140" s="37" t="str">
        <f t="shared" si="75"/>
        <v>ok</v>
      </c>
    </row>
    <row r="141" spans="1:23" x14ac:dyDescent="0.25">
      <c r="A141" s="426"/>
      <c r="B141" s="178" t="s">
        <v>20</v>
      </c>
      <c r="C141" s="129">
        <v>10</v>
      </c>
      <c r="D141" s="130">
        <f>'2.4.5.2 Durée de missions'!D141/BDA</f>
        <v>0.20935526153846154</v>
      </c>
      <c r="E141" s="131">
        <f>'2.4.5.2 Durée de missions'!E141/BDA</f>
        <v>0.33610144230769229</v>
      </c>
      <c r="F141" s="132">
        <f t="shared" si="64"/>
        <v>0.26888115384615385</v>
      </c>
      <c r="G141" s="133">
        <f t="shared" si="65"/>
        <v>6.7220288461538449E-2</v>
      </c>
      <c r="H141" s="134">
        <f t="shared" si="66"/>
        <v>0.20935526153846154</v>
      </c>
      <c r="I141" s="135"/>
      <c r="J141" s="136">
        <f t="shared" si="67"/>
        <v>0</v>
      </c>
      <c r="K141" s="137"/>
      <c r="L141" s="138">
        <f t="shared" si="68"/>
        <v>0</v>
      </c>
      <c r="M141" s="137"/>
      <c r="N141" s="139">
        <f t="shared" si="69"/>
        <v>5.9525892307692313E-2</v>
      </c>
      <c r="O141" s="137"/>
      <c r="P141" s="140">
        <f t="shared" si="70"/>
        <v>6.7220288461538449E-2</v>
      </c>
      <c r="Q141" s="135"/>
      <c r="R141" s="104">
        <f t="shared" si="71"/>
        <v>0.20935526153846154</v>
      </c>
      <c r="S141" s="137"/>
      <c r="T141" s="141">
        <f t="shared" si="72"/>
        <v>0.12674618076923078</v>
      </c>
      <c r="U141" s="199">
        <f t="shared" si="73"/>
        <v>0</v>
      </c>
      <c r="V141" s="37" t="str">
        <f t="shared" si="74"/>
        <v>ok</v>
      </c>
      <c r="W141" s="37" t="str">
        <f t="shared" si="75"/>
        <v>ok</v>
      </c>
    </row>
    <row r="142" spans="1:23" x14ac:dyDescent="0.25">
      <c r="A142" s="426"/>
      <c r="B142" s="178" t="s">
        <v>21</v>
      </c>
      <c r="C142" s="129">
        <v>11</v>
      </c>
      <c r="D142" s="130">
        <f>'2.4.5.2 Durée de missions'!D142/BDA</f>
        <v>0.12102234615384616</v>
      </c>
      <c r="E142" s="131">
        <f>'2.4.5.2 Durée de missions'!E142/BDA</f>
        <v>0.1803471153846154</v>
      </c>
      <c r="F142" s="132">
        <f t="shared" si="64"/>
        <v>0.14427769230769233</v>
      </c>
      <c r="G142" s="133">
        <f t="shared" si="65"/>
        <v>3.6069423076923068E-2</v>
      </c>
      <c r="H142" s="134">
        <f t="shared" si="66"/>
        <v>0.12102234615384616</v>
      </c>
      <c r="I142" s="135"/>
      <c r="J142" s="136">
        <f t="shared" si="67"/>
        <v>0</v>
      </c>
      <c r="K142" s="137"/>
      <c r="L142" s="138">
        <f t="shared" si="68"/>
        <v>0</v>
      </c>
      <c r="M142" s="137"/>
      <c r="N142" s="139">
        <f t="shared" si="69"/>
        <v>2.3255346153846168E-2</v>
      </c>
      <c r="O142" s="137"/>
      <c r="P142" s="140">
        <f t="shared" si="70"/>
        <v>3.6069423076923068E-2</v>
      </c>
      <c r="Q142" s="135"/>
      <c r="R142" s="104">
        <f t="shared" si="71"/>
        <v>0.12102234615384616</v>
      </c>
      <c r="S142" s="137"/>
      <c r="T142" s="141">
        <f t="shared" si="72"/>
        <v>5.9324769230769236E-2</v>
      </c>
      <c r="U142" s="199">
        <f t="shared" si="73"/>
        <v>0</v>
      </c>
      <c r="V142" s="37" t="str">
        <f t="shared" si="74"/>
        <v>ok</v>
      </c>
      <c r="W142" s="37" t="str">
        <f t="shared" si="75"/>
        <v>ok</v>
      </c>
    </row>
    <row r="143" spans="1:23" x14ac:dyDescent="0.25">
      <c r="A143" s="426"/>
      <c r="B143" s="178" t="s">
        <v>22</v>
      </c>
      <c r="C143" s="129">
        <v>12</v>
      </c>
      <c r="D143" s="130">
        <f>'2.4.5.2 Durée de missions'!D143/BDA</f>
        <v>9.7711030769230753E-2</v>
      </c>
      <c r="E143" s="131">
        <f>'2.4.5.2 Durée de missions'!E143/BDA</f>
        <v>0.2295326923076923</v>
      </c>
      <c r="F143" s="132">
        <f t="shared" si="64"/>
        <v>0.18362615384615386</v>
      </c>
      <c r="G143" s="133">
        <f t="shared" si="65"/>
        <v>4.590653846153845E-2</v>
      </c>
      <c r="H143" s="134">
        <f t="shared" si="66"/>
        <v>9.7711030769230753E-2</v>
      </c>
      <c r="I143" s="135"/>
      <c r="J143" s="136">
        <f t="shared" si="67"/>
        <v>0</v>
      </c>
      <c r="K143" s="137"/>
      <c r="L143" s="138">
        <f t="shared" si="68"/>
        <v>0</v>
      </c>
      <c r="M143" s="137"/>
      <c r="N143" s="139">
        <f t="shared" si="69"/>
        <v>8.5915123076923103E-2</v>
      </c>
      <c r="O143" s="137"/>
      <c r="P143" s="140">
        <f t="shared" si="70"/>
        <v>4.590653846153845E-2</v>
      </c>
      <c r="Q143" s="135"/>
      <c r="R143" s="104">
        <f t="shared" si="71"/>
        <v>9.7711030769230753E-2</v>
      </c>
      <c r="S143" s="137"/>
      <c r="T143" s="141">
        <f t="shared" si="72"/>
        <v>0.13182166153846156</v>
      </c>
      <c r="U143" s="199">
        <f t="shared" si="73"/>
        <v>0</v>
      </c>
      <c r="V143" s="37" t="str">
        <f t="shared" si="74"/>
        <v>ok</v>
      </c>
      <c r="W143" s="37" t="str">
        <f t="shared" si="75"/>
        <v>ok</v>
      </c>
    </row>
    <row r="144" spans="1:23" x14ac:dyDescent="0.25">
      <c r="A144" s="426"/>
      <c r="B144" s="178" t="s">
        <v>23</v>
      </c>
      <c r="C144" s="129">
        <v>13</v>
      </c>
      <c r="D144" s="130">
        <f>'2.4.5.2 Durée de missions'!D144/BDA</f>
        <v>0.18613326153846155</v>
      </c>
      <c r="E144" s="131">
        <f>'2.4.5.2 Durée de missions'!E144/BDA</f>
        <v>0.31150865384615378</v>
      </c>
      <c r="F144" s="132">
        <f t="shared" si="64"/>
        <v>0.24920692307692305</v>
      </c>
      <c r="G144" s="133">
        <f t="shared" si="65"/>
        <v>6.2301730769230741E-2</v>
      </c>
      <c r="H144" s="134">
        <f t="shared" si="66"/>
        <v>0.18613326153846155</v>
      </c>
      <c r="I144" s="135"/>
      <c r="J144" s="136">
        <f t="shared" si="67"/>
        <v>0</v>
      </c>
      <c r="K144" s="137"/>
      <c r="L144" s="138">
        <f t="shared" si="68"/>
        <v>0</v>
      </c>
      <c r="M144" s="137"/>
      <c r="N144" s="139">
        <f t="shared" si="69"/>
        <v>6.3073661538461501E-2</v>
      </c>
      <c r="O144" s="137"/>
      <c r="P144" s="140">
        <f t="shared" si="70"/>
        <v>6.2301730769230741E-2</v>
      </c>
      <c r="Q144" s="135"/>
      <c r="R144" s="104">
        <f t="shared" si="71"/>
        <v>0.18613326153846155</v>
      </c>
      <c r="S144" s="137"/>
      <c r="T144" s="141">
        <f t="shared" si="72"/>
        <v>0.12537539230769223</v>
      </c>
      <c r="U144" s="199">
        <f t="shared" si="73"/>
        <v>0</v>
      </c>
      <c r="V144" s="37" t="str">
        <f t="shared" si="74"/>
        <v>ok</v>
      </c>
      <c r="W144" s="37" t="str">
        <f t="shared" si="75"/>
        <v>ok</v>
      </c>
    </row>
    <row r="145" spans="1:23" x14ac:dyDescent="0.25">
      <c r="A145" s="426"/>
      <c r="B145" s="178" t="s">
        <v>19</v>
      </c>
      <c r="C145" s="129">
        <v>16</v>
      </c>
      <c r="D145" s="130">
        <f>'2.4.5.2 Durée de missions'!D145/BDA</f>
        <v>0.16175016153846153</v>
      </c>
      <c r="E145" s="131">
        <f>'2.4.5.2 Durée de missions'!E145/BDA</f>
        <v>0.49185576923076912</v>
      </c>
      <c r="F145" s="132">
        <f t="shared" si="64"/>
        <v>0.39348461538461532</v>
      </c>
      <c r="G145" s="133">
        <f t="shared" si="65"/>
        <v>9.8371153846153803E-2</v>
      </c>
      <c r="H145" s="134">
        <f t="shared" si="66"/>
        <v>0.16175016153846153</v>
      </c>
      <c r="I145" s="135"/>
      <c r="J145" s="136">
        <f t="shared" si="67"/>
        <v>0</v>
      </c>
      <c r="K145" s="137"/>
      <c r="L145" s="138">
        <f t="shared" si="68"/>
        <v>0</v>
      </c>
      <c r="M145" s="137"/>
      <c r="N145" s="139">
        <f t="shared" si="69"/>
        <v>0.23173445384615379</v>
      </c>
      <c r="O145" s="137"/>
      <c r="P145" s="140">
        <f t="shared" si="70"/>
        <v>9.8371153846153803E-2</v>
      </c>
      <c r="Q145" s="135"/>
      <c r="R145" s="104">
        <f t="shared" si="71"/>
        <v>0.16175016153846153</v>
      </c>
      <c r="S145" s="137"/>
      <c r="T145" s="141">
        <f t="shared" si="72"/>
        <v>0.33010560769230757</v>
      </c>
      <c r="U145" s="199">
        <f t="shared" si="73"/>
        <v>0</v>
      </c>
      <c r="V145" s="37" t="str">
        <f t="shared" si="74"/>
        <v>ok</v>
      </c>
      <c r="W145" s="37" t="str">
        <f t="shared" si="75"/>
        <v>ok</v>
      </c>
    </row>
    <row r="146" spans="1:23" x14ac:dyDescent="0.25">
      <c r="A146" s="426"/>
      <c r="B146" s="178" t="s">
        <v>20</v>
      </c>
      <c r="C146" s="129">
        <v>17</v>
      </c>
      <c r="D146" s="130">
        <f>'2.4.5.2 Durée de missions'!D146/BDA</f>
        <v>0.12700647692307693</v>
      </c>
      <c r="E146" s="131">
        <f>'2.4.5.2 Durée de missions'!E146/BDA</f>
        <v>0.377089423076923</v>
      </c>
      <c r="F146" s="132">
        <f t="shared" si="64"/>
        <v>0.30167153846153844</v>
      </c>
      <c r="G146" s="133">
        <f t="shared" si="65"/>
        <v>7.5417884615384581E-2</v>
      </c>
      <c r="H146" s="134">
        <f t="shared" si="66"/>
        <v>0.12700647692307693</v>
      </c>
      <c r="I146" s="135"/>
      <c r="J146" s="136">
        <f t="shared" si="67"/>
        <v>0</v>
      </c>
      <c r="K146" s="137"/>
      <c r="L146" s="138">
        <f t="shared" si="68"/>
        <v>0</v>
      </c>
      <c r="M146" s="137"/>
      <c r="N146" s="139">
        <f t="shared" si="69"/>
        <v>0.17466506153846151</v>
      </c>
      <c r="O146" s="137"/>
      <c r="P146" s="140">
        <f t="shared" si="70"/>
        <v>7.5417884615384581E-2</v>
      </c>
      <c r="Q146" s="135"/>
      <c r="R146" s="104">
        <f t="shared" si="71"/>
        <v>0.12700647692307693</v>
      </c>
      <c r="S146" s="137"/>
      <c r="T146" s="141">
        <f t="shared" si="72"/>
        <v>0.25008294615384608</v>
      </c>
      <c r="U146" s="199">
        <f t="shared" si="73"/>
        <v>0</v>
      </c>
      <c r="V146" s="37" t="str">
        <f t="shared" si="74"/>
        <v>ok</v>
      </c>
      <c r="W146" s="37" t="str">
        <f t="shared" si="75"/>
        <v>ok</v>
      </c>
    </row>
    <row r="147" spans="1:23" x14ac:dyDescent="0.25">
      <c r="A147" s="426"/>
      <c r="B147" s="178" t="s">
        <v>21</v>
      </c>
      <c r="C147" s="129">
        <v>18</v>
      </c>
      <c r="D147" s="130">
        <f>'2.4.5.2 Durée de missions'!D147/BDA</f>
        <v>5.5554169230769231E-2</v>
      </c>
      <c r="E147" s="131">
        <f>'2.4.5.2 Durée de missions'!E147/BDA</f>
        <v>0.1803471153846154</v>
      </c>
      <c r="F147" s="132">
        <f t="shared" si="64"/>
        <v>0.14427769230769233</v>
      </c>
      <c r="G147" s="133">
        <f t="shared" si="65"/>
        <v>3.6069423076923068E-2</v>
      </c>
      <c r="H147" s="134">
        <f t="shared" si="66"/>
        <v>5.5554169230769231E-2</v>
      </c>
      <c r="I147" s="135"/>
      <c r="J147" s="136">
        <f t="shared" si="67"/>
        <v>0</v>
      </c>
      <c r="K147" s="137"/>
      <c r="L147" s="138">
        <f t="shared" si="68"/>
        <v>0</v>
      </c>
      <c r="M147" s="137"/>
      <c r="N147" s="139">
        <f t="shared" si="69"/>
        <v>8.8723523076923105E-2</v>
      </c>
      <c r="O147" s="137"/>
      <c r="P147" s="140">
        <f t="shared" si="70"/>
        <v>3.6069423076923068E-2</v>
      </c>
      <c r="Q147" s="135"/>
      <c r="R147" s="104">
        <f t="shared" si="71"/>
        <v>5.5554169230769231E-2</v>
      </c>
      <c r="S147" s="137"/>
      <c r="T147" s="141">
        <f t="shared" si="72"/>
        <v>0.12479294615384617</v>
      </c>
      <c r="U147" s="199">
        <f t="shared" si="73"/>
        <v>0</v>
      </c>
      <c r="V147" s="37" t="str">
        <f t="shared" si="74"/>
        <v>ok</v>
      </c>
      <c r="W147" s="37" t="str">
        <f t="shared" si="75"/>
        <v>ok</v>
      </c>
    </row>
    <row r="148" spans="1:23" x14ac:dyDescent="0.25">
      <c r="A148" s="426"/>
      <c r="B148" s="178" t="s">
        <v>22</v>
      </c>
      <c r="C148" s="129">
        <v>19</v>
      </c>
      <c r="D148" s="130">
        <f>'2.4.5.2 Durée de missions'!D148/BDA</f>
        <v>3.8762876923076922E-2</v>
      </c>
      <c r="E148" s="131">
        <f>'2.4.5.2 Durée de missions'!E148/BDA</f>
        <v>0.30331105769230765</v>
      </c>
      <c r="F148" s="132">
        <f t="shared" si="64"/>
        <v>0.24264884615384613</v>
      </c>
      <c r="G148" s="133">
        <f t="shared" si="65"/>
        <v>6.0662211538461519E-2</v>
      </c>
      <c r="H148" s="134">
        <f t="shared" si="66"/>
        <v>3.8762876923076922E-2</v>
      </c>
      <c r="I148" s="135"/>
      <c r="J148" s="136">
        <f t="shared" si="67"/>
        <v>0</v>
      </c>
      <c r="K148" s="137"/>
      <c r="L148" s="138">
        <f t="shared" si="68"/>
        <v>0</v>
      </c>
      <c r="M148" s="137"/>
      <c r="N148" s="139">
        <f t="shared" si="69"/>
        <v>0.20388596923076921</v>
      </c>
      <c r="O148" s="137"/>
      <c r="P148" s="140">
        <f t="shared" si="70"/>
        <v>6.0662211538461519E-2</v>
      </c>
      <c r="Q148" s="135"/>
      <c r="R148" s="104">
        <f t="shared" si="71"/>
        <v>3.8762876923076922E-2</v>
      </c>
      <c r="S148" s="137"/>
      <c r="T148" s="141">
        <f t="shared" si="72"/>
        <v>0.2645481807692307</v>
      </c>
      <c r="U148" s="199">
        <f t="shared" si="73"/>
        <v>0</v>
      </c>
      <c r="V148" s="37" t="str">
        <f t="shared" si="74"/>
        <v>ok</v>
      </c>
      <c r="W148" s="37" t="str">
        <f t="shared" si="75"/>
        <v>ok</v>
      </c>
    </row>
    <row r="149" spans="1:23" x14ac:dyDescent="0.25">
      <c r="A149" s="426"/>
      <c r="B149" s="178" t="s">
        <v>23</v>
      </c>
      <c r="C149" s="129">
        <v>20</v>
      </c>
      <c r="D149" s="130">
        <f>'2.4.5.2 Durée de missions'!D149/BDA</f>
        <v>8.0383846153846167E-2</v>
      </c>
      <c r="E149" s="131">
        <f>'2.4.5.2 Durée de missions'!E149/BDA</f>
        <v>0.36069423076923079</v>
      </c>
      <c r="F149" s="132">
        <f t="shared" si="64"/>
        <v>0.28855538461538466</v>
      </c>
      <c r="G149" s="133">
        <f t="shared" si="65"/>
        <v>7.2138846153846137E-2</v>
      </c>
      <c r="H149" s="134">
        <f t="shared" si="66"/>
        <v>8.0383846153846167E-2</v>
      </c>
      <c r="I149" s="135"/>
      <c r="J149" s="136">
        <f t="shared" si="67"/>
        <v>0</v>
      </c>
      <c r="K149" s="137"/>
      <c r="L149" s="138">
        <f t="shared" si="68"/>
        <v>0</v>
      </c>
      <c r="M149" s="137"/>
      <c r="N149" s="139">
        <f t="shared" si="69"/>
        <v>0.20817153846153849</v>
      </c>
      <c r="O149" s="137"/>
      <c r="P149" s="140">
        <f t="shared" si="70"/>
        <v>7.2138846153846137E-2</v>
      </c>
      <c r="Q149" s="135"/>
      <c r="R149" s="104">
        <f t="shared" si="71"/>
        <v>8.0383846153846167E-2</v>
      </c>
      <c r="S149" s="137"/>
      <c r="T149" s="141">
        <f t="shared" si="72"/>
        <v>0.2803103846153846</v>
      </c>
      <c r="U149" s="199">
        <f t="shared" si="73"/>
        <v>0</v>
      </c>
      <c r="V149" s="37" t="str">
        <f t="shared" si="74"/>
        <v>ok</v>
      </c>
      <c r="W149" s="37" t="str">
        <f t="shared" si="75"/>
        <v>ok</v>
      </c>
    </row>
    <row r="150" spans="1:23" x14ac:dyDescent="0.25">
      <c r="A150" s="426"/>
      <c r="B150" s="178" t="s">
        <v>19</v>
      </c>
      <c r="C150" s="129">
        <v>23</v>
      </c>
      <c r="D150" s="130">
        <f>'2.4.5.2 Durée de missions'!D150/BDA</f>
        <v>0.32260716923076921</v>
      </c>
      <c r="E150" s="131">
        <f>'2.4.5.2 Durée de missions'!E150/BDA</f>
        <v>0.40578100961538455</v>
      </c>
      <c r="F150" s="132">
        <f t="shared" si="64"/>
        <v>0.32462480769230767</v>
      </c>
      <c r="G150" s="133">
        <f t="shared" si="65"/>
        <v>8.115620192307689E-2</v>
      </c>
      <c r="H150" s="134">
        <f t="shared" si="66"/>
        <v>0.32260716923076921</v>
      </c>
      <c r="I150" s="135"/>
      <c r="J150" s="136">
        <f t="shared" si="67"/>
        <v>0</v>
      </c>
      <c r="K150" s="137"/>
      <c r="L150" s="138">
        <f t="shared" si="68"/>
        <v>0</v>
      </c>
      <c r="M150" s="137"/>
      <c r="N150" s="139">
        <f t="shared" si="69"/>
        <v>2.0176384615384624E-3</v>
      </c>
      <c r="O150" s="137"/>
      <c r="P150" s="140">
        <f t="shared" si="70"/>
        <v>8.115620192307689E-2</v>
      </c>
      <c r="Q150" s="135"/>
      <c r="R150" s="104">
        <f t="shared" si="71"/>
        <v>0.32260716923076921</v>
      </c>
      <c r="S150" s="137"/>
      <c r="T150" s="141">
        <f t="shared" si="72"/>
        <v>8.3173840384615352E-2</v>
      </c>
      <c r="U150" s="199">
        <f t="shared" si="73"/>
        <v>0</v>
      </c>
      <c r="V150" s="37" t="str">
        <f t="shared" si="74"/>
        <v>ok</v>
      </c>
      <c r="W150" s="37" t="str">
        <f t="shared" si="75"/>
        <v>ok</v>
      </c>
    </row>
    <row r="151" spans="1:23" x14ac:dyDescent="0.25">
      <c r="A151" s="426"/>
      <c r="B151" s="178" t="s">
        <v>20</v>
      </c>
      <c r="C151" s="129">
        <v>24</v>
      </c>
      <c r="D151" s="130">
        <f>'2.4.5.2 Durée de missions'!D151/BDA</f>
        <v>0.26258723076923068</v>
      </c>
      <c r="E151" s="131">
        <f>'2.4.5.2 Durée de missions'!E151/BDA</f>
        <v>0.25707661538461535</v>
      </c>
      <c r="F151" s="132">
        <f t="shared" si="64"/>
        <v>0.20566129230769228</v>
      </c>
      <c r="G151" s="133">
        <f t="shared" si="65"/>
        <v>5.1415323076923057E-2</v>
      </c>
      <c r="H151" s="134">
        <f t="shared" si="66"/>
        <v>0.25707661538461535</v>
      </c>
      <c r="I151" s="135"/>
      <c r="J151" s="136">
        <f t="shared" si="67"/>
        <v>5.5106153846153361E-3</v>
      </c>
      <c r="K151" s="137"/>
      <c r="L151" s="138">
        <f t="shared" si="68"/>
        <v>5.1415323076923057E-2</v>
      </c>
      <c r="M151" s="137"/>
      <c r="N151" s="139">
        <f t="shared" si="69"/>
        <v>0</v>
      </c>
      <c r="O151" s="137"/>
      <c r="P151" s="140">
        <f t="shared" si="70"/>
        <v>0</v>
      </c>
      <c r="Q151" s="135"/>
      <c r="R151" s="104">
        <f t="shared" si="71"/>
        <v>0.20566129230769228</v>
      </c>
      <c r="S151" s="137"/>
      <c r="T151" s="141">
        <f t="shared" si="72"/>
        <v>5.1415323076923057E-2</v>
      </c>
      <c r="U151" s="199">
        <f t="shared" si="73"/>
        <v>5.6925938461538393E-2</v>
      </c>
      <c r="V151" s="37" t="str">
        <f t="shared" si="74"/>
        <v>ok</v>
      </c>
      <c r="W151" s="37" t="str">
        <f t="shared" si="75"/>
        <v>ok</v>
      </c>
    </row>
    <row r="152" spans="1:23" x14ac:dyDescent="0.25">
      <c r="A152" s="426"/>
      <c r="B152" s="178" t="s">
        <v>21</v>
      </c>
      <c r="C152" s="129">
        <v>25</v>
      </c>
      <c r="D152" s="130">
        <f>'2.4.5.2 Durée de missions'!D152/BDA</f>
        <v>0.15130026153846154</v>
      </c>
      <c r="E152" s="131">
        <f>'2.4.5.2 Durée de missions'!E152/BDA</f>
        <v>0.12181627884615381</v>
      </c>
      <c r="F152" s="132">
        <f t="shared" si="64"/>
        <v>9.7453023076923051E-2</v>
      </c>
      <c r="G152" s="133">
        <f t="shared" si="65"/>
        <v>2.4363255769230756E-2</v>
      </c>
      <c r="H152" s="134">
        <f t="shared" si="66"/>
        <v>0.12181627884615381</v>
      </c>
      <c r="I152" s="135"/>
      <c r="J152" s="136">
        <f t="shared" si="67"/>
        <v>2.9483982692307731E-2</v>
      </c>
      <c r="K152" s="137"/>
      <c r="L152" s="138">
        <f t="shared" si="68"/>
        <v>2.4363255769230756E-2</v>
      </c>
      <c r="M152" s="137"/>
      <c r="N152" s="139">
        <f t="shared" si="69"/>
        <v>0</v>
      </c>
      <c r="O152" s="137"/>
      <c r="P152" s="140">
        <f t="shared" si="70"/>
        <v>0</v>
      </c>
      <c r="Q152" s="135"/>
      <c r="R152" s="104">
        <f t="shared" si="71"/>
        <v>9.7453023076923051E-2</v>
      </c>
      <c r="S152" s="137"/>
      <c r="T152" s="141">
        <f t="shared" si="72"/>
        <v>2.4363255769230756E-2</v>
      </c>
      <c r="U152" s="199">
        <f t="shared" si="73"/>
        <v>5.3847238461538487E-2</v>
      </c>
      <c r="V152" s="37" t="str">
        <f t="shared" si="74"/>
        <v>ok</v>
      </c>
      <c r="W152" s="37" t="str">
        <f t="shared" si="75"/>
        <v>ok</v>
      </c>
    </row>
    <row r="153" spans="1:23" x14ac:dyDescent="0.25">
      <c r="A153" s="426"/>
      <c r="B153" s="178" t="s">
        <v>22</v>
      </c>
      <c r="C153" s="129">
        <v>26</v>
      </c>
      <c r="D153" s="130">
        <f>'2.4.5.2 Durée de missions'!D153/BDA</f>
        <v>0.12388043846153846</v>
      </c>
      <c r="E153" s="131">
        <f>'2.4.5.2 Durée de missions'!E153/BDA</f>
        <v>0.16231240384615384</v>
      </c>
      <c r="F153" s="132">
        <f t="shared" si="64"/>
        <v>0.12984992307692308</v>
      </c>
      <c r="G153" s="133">
        <f t="shared" si="65"/>
        <v>3.2462480769230757E-2</v>
      </c>
      <c r="H153" s="134">
        <f t="shared" si="66"/>
        <v>0.12388043846153846</v>
      </c>
      <c r="I153" s="135"/>
      <c r="J153" s="136">
        <f t="shared" si="67"/>
        <v>0</v>
      </c>
      <c r="K153" s="137"/>
      <c r="L153" s="138">
        <f t="shared" si="68"/>
        <v>0</v>
      </c>
      <c r="M153" s="137"/>
      <c r="N153" s="139">
        <f t="shared" si="69"/>
        <v>5.9694846153846293E-3</v>
      </c>
      <c r="O153" s="137"/>
      <c r="P153" s="140">
        <f t="shared" si="70"/>
        <v>3.2462480769230757E-2</v>
      </c>
      <c r="Q153" s="135"/>
      <c r="R153" s="104">
        <f t="shared" si="71"/>
        <v>0.12388043846153846</v>
      </c>
      <c r="S153" s="137"/>
      <c r="T153" s="141">
        <f t="shared" si="72"/>
        <v>3.8431965384615387E-2</v>
      </c>
      <c r="U153" s="199">
        <f t="shared" si="73"/>
        <v>0</v>
      </c>
      <c r="V153" s="37" t="str">
        <f t="shared" si="74"/>
        <v>ok</v>
      </c>
      <c r="W153" s="37" t="str">
        <f t="shared" si="75"/>
        <v>ok</v>
      </c>
    </row>
    <row r="154" spans="1:23" x14ac:dyDescent="0.25">
      <c r="A154" s="426"/>
      <c r="B154" s="178" t="s">
        <v>23</v>
      </c>
      <c r="C154" s="129">
        <v>27</v>
      </c>
      <c r="D154" s="130">
        <f>'2.4.5.2 Durée de missions'!D154/BDA</f>
        <v>0.23266657692307691</v>
      </c>
      <c r="E154" s="131">
        <f>'2.4.5.2 Durée de missions'!E154/BDA</f>
        <v>0.25707661538461535</v>
      </c>
      <c r="F154" s="132">
        <f t="shared" si="64"/>
        <v>0.20566129230769228</v>
      </c>
      <c r="G154" s="133">
        <f t="shared" si="65"/>
        <v>5.1415323076923057E-2</v>
      </c>
      <c r="H154" s="134">
        <f t="shared" si="66"/>
        <v>0.23266657692307691</v>
      </c>
      <c r="I154" s="135"/>
      <c r="J154" s="136">
        <f t="shared" si="67"/>
        <v>0</v>
      </c>
      <c r="K154" s="137"/>
      <c r="L154" s="138">
        <f t="shared" si="68"/>
        <v>2.7005284615384623E-2</v>
      </c>
      <c r="M154" s="137"/>
      <c r="N154" s="139">
        <f t="shared" si="69"/>
        <v>0</v>
      </c>
      <c r="O154" s="137"/>
      <c r="P154" s="140">
        <f t="shared" si="70"/>
        <v>2.4410038461538441E-2</v>
      </c>
      <c r="Q154" s="135"/>
      <c r="R154" s="104">
        <f t="shared" si="71"/>
        <v>0.20566129230769228</v>
      </c>
      <c r="S154" s="137"/>
      <c r="T154" s="141">
        <f t="shared" si="72"/>
        <v>5.1415323076923064E-2</v>
      </c>
      <c r="U154" s="199">
        <f t="shared" si="73"/>
        <v>2.7005284615384623E-2</v>
      </c>
      <c r="V154" s="37" t="str">
        <f t="shared" si="74"/>
        <v>ok</v>
      </c>
      <c r="W154" s="37" t="str">
        <f t="shared" si="75"/>
        <v>ok</v>
      </c>
    </row>
    <row r="155" spans="1:23" x14ac:dyDescent="0.25">
      <c r="A155" s="426"/>
      <c r="B155" s="178" t="s">
        <v>19</v>
      </c>
      <c r="C155" s="129">
        <v>30</v>
      </c>
      <c r="D155" s="130">
        <f>'2.4.5.2 Durée de missions'!D155/BDA</f>
        <v>0.38709287692307692</v>
      </c>
      <c r="E155" s="131">
        <f>'2.4.5.2 Durée de missions'!E155/BDA</f>
        <v>0.49185576923076912</v>
      </c>
      <c r="F155" s="132">
        <f t="shared" si="64"/>
        <v>0.39348461538461532</v>
      </c>
      <c r="G155" s="133">
        <f t="shared" si="65"/>
        <v>9.8371153846153803E-2</v>
      </c>
      <c r="H155" s="134">
        <f t="shared" si="66"/>
        <v>0.38709287692307692</v>
      </c>
      <c r="I155" s="135"/>
      <c r="J155" s="136">
        <f t="shared" si="67"/>
        <v>0</v>
      </c>
      <c r="K155" s="137"/>
      <c r="L155" s="138">
        <f t="shared" si="68"/>
        <v>0</v>
      </c>
      <c r="M155" s="137"/>
      <c r="N155" s="139">
        <f t="shared" si="69"/>
        <v>6.3917384615383988E-3</v>
      </c>
      <c r="O155" s="137"/>
      <c r="P155" s="140">
        <f t="shared" si="70"/>
        <v>9.8371153846153803E-2</v>
      </c>
      <c r="Q155" s="135"/>
      <c r="R155" s="104">
        <f t="shared" si="71"/>
        <v>0.38709287692307692</v>
      </c>
      <c r="S155" s="137"/>
      <c r="T155" s="141">
        <f t="shared" si="72"/>
        <v>0.1047628923076922</v>
      </c>
      <c r="U155" s="199">
        <f t="shared" si="73"/>
        <v>0</v>
      </c>
      <c r="V155" s="37" t="str">
        <f t="shared" si="74"/>
        <v>ok</v>
      </c>
      <c r="W155" s="37" t="str">
        <f t="shared" si="75"/>
        <v>ok</v>
      </c>
    </row>
    <row r="156" spans="1:23" ht="15.75" thickBot="1" x14ac:dyDescent="0.3">
      <c r="A156" s="427"/>
      <c r="B156" s="277" t="s">
        <v>20</v>
      </c>
      <c r="C156" s="165">
        <v>31</v>
      </c>
      <c r="D156" s="202">
        <f>'2.4.5.2 Durée de missions'!D156/BDA</f>
        <v>0.31403289230769221</v>
      </c>
      <c r="E156" s="203">
        <f>'2.4.5.2 Durée de missions'!E156/BDA</f>
        <v>0.34429903846153842</v>
      </c>
      <c r="F156" s="204">
        <f t="shared" si="64"/>
        <v>0.27543923076923077</v>
      </c>
      <c r="G156" s="205">
        <f t="shared" si="65"/>
        <v>6.8859807692307665E-2</v>
      </c>
      <c r="H156" s="206">
        <f t="shared" si="66"/>
        <v>0.31403289230769221</v>
      </c>
      <c r="I156" s="207"/>
      <c r="J156" s="208">
        <f t="shared" si="67"/>
        <v>0</v>
      </c>
      <c r="K156" s="209"/>
      <c r="L156" s="210">
        <f t="shared" si="68"/>
        <v>3.8593661538461443E-2</v>
      </c>
      <c r="M156" s="209"/>
      <c r="N156" s="211">
        <f t="shared" si="69"/>
        <v>0</v>
      </c>
      <c r="O156" s="209"/>
      <c r="P156" s="212">
        <f t="shared" si="70"/>
        <v>3.0266146153846207E-2</v>
      </c>
      <c r="Q156" s="207"/>
      <c r="R156" s="213">
        <f t="shared" si="71"/>
        <v>0.27543923076923077</v>
      </c>
      <c r="S156" s="209"/>
      <c r="T156" s="214">
        <f t="shared" si="72"/>
        <v>6.8859807692307651E-2</v>
      </c>
      <c r="U156" s="215">
        <f t="shared" si="73"/>
        <v>3.8593661538461443E-2</v>
      </c>
      <c r="V156" s="37" t="str">
        <f t="shared" si="74"/>
        <v>ok</v>
      </c>
      <c r="W156" s="37" t="str">
        <f t="shared" si="75"/>
        <v>ok</v>
      </c>
    </row>
    <row r="157" spans="1:23" x14ac:dyDescent="0.25">
      <c r="A157" s="425" t="s">
        <v>96</v>
      </c>
      <c r="B157" s="276" t="s">
        <v>21</v>
      </c>
      <c r="C157" s="247">
        <v>1</v>
      </c>
      <c r="D157" s="184">
        <f>'2.4.5.2 Durée de missions'!D157/BDA</f>
        <v>0.16103969230769233</v>
      </c>
      <c r="E157" s="185">
        <f>'2.4.5.2 Durée de missions'!E157/BDA</f>
        <v>0.8816624999999999</v>
      </c>
      <c r="F157" s="186">
        <f t="shared" si="64"/>
        <v>0.70533000000000001</v>
      </c>
      <c r="G157" s="187">
        <f t="shared" si="65"/>
        <v>0.17633249999999995</v>
      </c>
      <c r="H157" s="188">
        <f>IF(E157&gt;D157,D157,E157)</f>
        <v>0.16103969230769233</v>
      </c>
      <c r="I157" s="189"/>
      <c r="J157" s="190">
        <f>IF(E157&gt;D157,0,D157-E157)</f>
        <v>0</v>
      </c>
      <c r="K157" s="191"/>
      <c r="L157" s="192">
        <f>IF(E157&gt;D157,IF(F157&gt;H157,0,H157-F157),G157)</f>
        <v>0</v>
      </c>
      <c r="M157" s="191"/>
      <c r="N157" s="193">
        <f>IF(E157&gt;D157,IF(F157&gt;H157,F157-H157,0),0)</f>
        <v>0.54429030769230768</v>
      </c>
      <c r="O157" s="191"/>
      <c r="P157" s="194">
        <f>IF(E157&gt;D157,IF(F157&gt;H157,G157,E157-H157),0)</f>
        <v>0.17633249999999995</v>
      </c>
      <c r="Q157" s="189"/>
      <c r="R157" s="195">
        <f>H157-L157</f>
        <v>0.16103969230769233</v>
      </c>
      <c r="S157" s="191"/>
      <c r="T157" s="196">
        <f>L157+N157+P157</f>
        <v>0.72062280769230758</v>
      </c>
      <c r="U157" s="197">
        <f>J157+L157</f>
        <v>0</v>
      </c>
      <c r="V157" s="37" t="str">
        <f>IF(R157+T157=E157,"ok","bad")</f>
        <v>ok</v>
      </c>
      <c r="W157" s="37" t="str">
        <f>IF(U157+R157=D157,"ok","bad")</f>
        <v>ok</v>
      </c>
    </row>
    <row r="158" spans="1:23" x14ac:dyDescent="0.25">
      <c r="A158" s="426"/>
      <c r="B158" s="178" t="s">
        <v>22</v>
      </c>
      <c r="C158" s="129">
        <v>2</v>
      </c>
      <c r="D158" s="130">
        <f>'2.4.5.2 Durée de missions'!D158/BDA</f>
        <v>0.12644861538461541</v>
      </c>
      <c r="E158" s="131">
        <f>'2.4.5.2 Durée de missions'!E158/BDA</f>
        <v>0.64655250000000009</v>
      </c>
      <c r="F158" s="132">
        <f t="shared" si="64"/>
        <v>0.51724200000000009</v>
      </c>
      <c r="G158" s="133">
        <f t="shared" si="65"/>
        <v>0.12931049999999999</v>
      </c>
      <c r="H158" s="134">
        <f t="shared" ref="H158:H179" si="76">IF(E158&gt;D158,D158,E158)</f>
        <v>0.12644861538461541</v>
      </c>
      <c r="I158" s="135"/>
      <c r="J158" s="136">
        <f t="shared" ref="J158:J179" si="77">IF(E158&gt;D158,0,D158-E158)</f>
        <v>0</v>
      </c>
      <c r="K158" s="137"/>
      <c r="L158" s="138">
        <f t="shared" ref="L158:L179" si="78">IF(E158&gt;D158,IF(F158&gt;H158,0,H158-F158),G158)</f>
        <v>0</v>
      </c>
      <c r="M158" s="137"/>
      <c r="N158" s="139">
        <f t="shared" ref="N158:N179" si="79">IF(E158&gt;D158,IF(F158&gt;H158,F158-H158,0),0)</f>
        <v>0.39079338461538471</v>
      </c>
      <c r="O158" s="137"/>
      <c r="P158" s="140">
        <f t="shared" ref="P158:P179" si="80">IF(E158&gt;D158,IF(F158&gt;H158,G158,E158-H158),0)</f>
        <v>0.12931049999999999</v>
      </c>
      <c r="Q158" s="135"/>
      <c r="R158" s="104">
        <f t="shared" ref="R158:R179" si="81">H158-L158</f>
        <v>0.12644861538461541</v>
      </c>
      <c r="S158" s="137"/>
      <c r="T158" s="141">
        <f t="shared" ref="T158:T179" si="82">L158+N158+P158</f>
        <v>0.5201038846153847</v>
      </c>
      <c r="U158" s="199">
        <f t="shared" ref="U158:U179" si="83">J158+L158</f>
        <v>0</v>
      </c>
      <c r="V158" s="37" t="str">
        <f t="shared" ref="V158:V179" si="84">IF(R158+T158=E158,"ok","bad")</f>
        <v>ok</v>
      </c>
      <c r="W158" s="37" t="str">
        <f t="shared" ref="W158:W179" si="85">IF(U158+R158=D158,"ok","bad")</f>
        <v>ok</v>
      </c>
    </row>
    <row r="159" spans="1:23" x14ac:dyDescent="0.25">
      <c r="A159" s="426"/>
      <c r="B159" s="178" t="s">
        <v>23</v>
      </c>
      <c r="C159" s="129">
        <v>3</v>
      </c>
      <c r="D159" s="130">
        <f>'2.4.5.2 Durée de missions'!D159/BDA</f>
        <v>5.5310153846153849E-2</v>
      </c>
      <c r="E159" s="131">
        <f>'2.4.5.2 Durée de missions'!E159/BDA</f>
        <v>0.26449875</v>
      </c>
      <c r="F159" s="132">
        <f t="shared" si="64"/>
        <v>0.21159900000000001</v>
      </c>
      <c r="G159" s="133">
        <f t="shared" si="65"/>
        <v>5.2899749999999988E-2</v>
      </c>
      <c r="H159" s="134">
        <f t="shared" si="76"/>
        <v>5.5310153846153849E-2</v>
      </c>
      <c r="I159" s="135"/>
      <c r="J159" s="136">
        <f t="shared" si="77"/>
        <v>0</v>
      </c>
      <c r="K159" s="137"/>
      <c r="L159" s="138">
        <f t="shared" si="78"/>
        <v>0</v>
      </c>
      <c r="M159" s="137"/>
      <c r="N159" s="139">
        <f t="shared" si="79"/>
        <v>0.15628884615384617</v>
      </c>
      <c r="O159" s="137"/>
      <c r="P159" s="140">
        <f t="shared" si="80"/>
        <v>5.2899749999999988E-2</v>
      </c>
      <c r="Q159" s="135"/>
      <c r="R159" s="104">
        <f t="shared" si="81"/>
        <v>5.5310153846153849E-2</v>
      </c>
      <c r="S159" s="137"/>
      <c r="T159" s="141">
        <f t="shared" si="82"/>
        <v>0.20918859615384616</v>
      </c>
      <c r="U159" s="199">
        <f t="shared" si="83"/>
        <v>0</v>
      </c>
      <c r="V159" s="37" t="str">
        <f t="shared" si="84"/>
        <v>ok</v>
      </c>
      <c r="W159" s="37" t="str">
        <f t="shared" si="85"/>
        <v>ok</v>
      </c>
    </row>
    <row r="160" spans="1:23" x14ac:dyDescent="0.25">
      <c r="A160" s="426"/>
      <c r="B160" s="178" t="s">
        <v>19</v>
      </c>
      <c r="C160" s="129">
        <v>6</v>
      </c>
      <c r="D160" s="130">
        <f>'2.4.5.2 Durée de missions'!D160/BDA</f>
        <v>3.8592615384615378E-2</v>
      </c>
      <c r="E160" s="131">
        <f>'2.4.5.2 Durée de missions'!E160/BDA</f>
        <v>0.39674812500000001</v>
      </c>
      <c r="F160" s="132">
        <f t="shared" si="64"/>
        <v>0.31739850000000003</v>
      </c>
      <c r="G160" s="133">
        <f t="shared" si="65"/>
        <v>7.9349624999999979E-2</v>
      </c>
      <c r="H160" s="134">
        <f t="shared" si="76"/>
        <v>3.8592615384615378E-2</v>
      </c>
      <c r="I160" s="135"/>
      <c r="J160" s="136">
        <f t="shared" si="77"/>
        <v>0</v>
      </c>
      <c r="K160" s="137"/>
      <c r="L160" s="138">
        <f t="shared" si="78"/>
        <v>0</v>
      </c>
      <c r="M160" s="137"/>
      <c r="N160" s="139">
        <f t="shared" si="79"/>
        <v>0.27880588461538464</v>
      </c>
      <c r="O160" s="137"/>
      <c r="P160" s="140">
        <f t="shared" si="80"/>
        <v>7.9349624999999979E-2</v>
      </c>
      <c r="Q160" s="135"/>
      <c r="R160" s="104">
        <f t="shared" si="81"/>
        <v>3.8592615384615378E-2</v>
      </c>
      <c r="S160" s="137"/>
      <c r="T160" s="141">
        <f t="shared" si="82"/>
        <v>0.35815550961538462</v>
      </c>
      <c r="U160" s="199">
        <f t="shared" si="83"/>
        <v>0</v>
      </c>
      <c r="V160" s="37" t="str">
        <f t="shared" si="84"/>
        <v>ok</v>
      </c>
      <c r="W160" s="37" t="str">
        <f t="shared" si="85"/>
        <v>ok</v>
      </c>
    </row>
    <row r="161" spans="1:23" x14ac:dyDescent="0.25">
      <c r="A161" s="426"/>
      <c r="B161" s="178" t="s">
        <v>20</v>
      </c>
      <c r="C161" s="129">
        <v>7</v>
      </c>
      <c r="D161" s="130">
        <f>'2.4.5.2 Durée de missions'!D161/BDA</f>
        <v>8.0030769230769253E-2</v>
      </c>
      <c r="E161" s="131">
        <f>'2.4.5.2 Durée de missions'!E161/BDA</f>
        <v>0.64655250000000009</v>
      </c>
      <c r="F161" s="132">
        <f t="shared" si="64"/>
        <v>0.51724200000000009</v>
      </c>
      <c r="G161" s="133">
        <f t="shared" si="65"/>
        <v>0.12931049999999999</v>
      </c>
      <c r="H161" s="134">
        <f t="shared" si="76"/>
        <v>8.0030769230769253E-2</v>
      </c>
      <c r="I161" s="135"/>
      <c r="J161" s="136">
        <f t="shared" si="77"/>
        <v>0</v>
      </c>
      <c r="K161" s="137"/>
      <c r="L161" s="138">
        <f t="shared" si="78"/>
        <v>0</v>
      </c>
      <c r="M161" s="137"/>
      <c r="N161" s="139">
        <f t="shared" si="79"/>
        <v>0.43721123076923085</v>
      </c>
      <c r="O161" s="137"/>
      <c r="P161" s="140">
        <f t="shared" si="80"/>
        <v>0.12931049999999999</v>
      </c>
      <c r="Q161" s="135"/>
      <c r="R161" s="104">
        <f t="shared" si="81"/>
        <v>8.0030769230769253E-2</v>
      </c>
      <c r="S161" s="137"/>
      <c r="T161" s="141">
        <f t="shared" si="82"/>
        <v>0.56652173076923085</v>
      </c>
      <c r="U161" s="199">
        <f t="shared" si="83"/>
        <v>0</v>
      </c>
      <c r="V161" s="37" t="str">
        <f t="shared" si="84"/>
        <v>ok</v>
      </c>
      <c r="W161" s="37" t="str">
        <f t="shared" si="85"/>
        <v>ok</v>
      </c>
    </row>
    <row r="162" spans="1:23" x14ac:dyDescent="0.25">
      <c r="A162" s="426"/>
      <c r="B162" s="178" t="s">
        <v>21</v>
      </c>
      <c r="C162" s="129">
        <v>8</v>
      </c>
      <c r="D162" s="130">
        <f>'2.4.5.2 Durée de missions'!D162/BDA</f>
        <v>0.25698769230769231</v>
      </c>
      <c r="E162" s="131">
        <f>'2.4.5.2 Durée de missions'!E162/BDA</f>
        <v>0.45213461538461536</v>
      </c>
      <c r="F162" s="132">
        <f t="shared" si="64"/>
        <v>0.36170769230769229</v>
      </c>
      <c r="G162" s="133">
        <f t="shared" si="65"/>
        <v>9.0426923076923058E-2</v>
      </c>
      <c r="H162" s="134">
        <f t="shared" si="76"/>
        <v>0.25698769230769231</v>
      </c>
      <c r="I162" s="135"/>
      <c r="J162" s="136">
        <f t="shared" si="77"/>
        <v>0</v>
      </c>
      <c r="K162" s="137"/>
      <c r="L162" s="138">
        <f t="shared" si="78"/>
        <v>0</v>
      </c>
      <c r="M162" s="137"/>
      <c r="N162" s="139">
        <f t="shared" si="79"/>
        <v>0.10471999999999998</v>
      </c>
      <c r="O162" s="137"/>
      <c r="P162" s="140">
        <f t="shared" si="80"/>
        <v>9.0426923076923058E-2</v>
      </c>
      <c r="Q162" s="135"/>
      <c r="R162" s="104">
        <f t="shared" si="81"/>
        <v>0.25698769230769231</v>
      </c>
      <c r="S162" s="137"/>
      <c r="T162" s="141">
        <f t="shared" si="82"/>
        <v>0.19514692307692305</v>
      </c>
      <c r="U162" s="199">
        <f t="shared" si="83"/>
        <v>0</v>
      </c>
      <c r="V162" s="37" t="str">
        <f t="shared" si="84"/>
        <v>ok</v>
      </c>
      <c r="W162" s="37" t="str">
        <f t="shared" si="85"/>
        <v>ok</v>
      </c>
    </row>
    <row r="163" spans="1:23" x14ac:dyDescent="0.25">
      <c r="A163" s="426"/>
      <c r="B163" s="178" t="s">
        <v>22</v>
      </c>
      <c r="C163" s="129">
        <v>9</v>
      </c>
      <c r="D163" s="130">
        <f>'2.4.5.2 Durée de missions'!D163/BDA</f>
        <v>0.20843569230769235</v>
      </c>
      <c r="E163" s="131">
        <f>'2.4.5.2 Durée de missions'!E163/BDA</f>
        <v>0.46343798076923076</v>
      </c>
      <c r="F163" s="132">
        <f t="shared" si="64"/>
        <v>0.37075038461538462</v>
      </c>
      <c r="G163" s="133">
        <f t="shared" si="65"/>
        <v>9.2687596153846127E-2</v>
      </c>
      <c r="H163" s="134">
        <f t="shared" si="76"/>
        <v>0.20843569230769235</v>
      </c>
      <c r="I163" s="135"/>
      <c r="J163" s="136">
        <f t="shared" si="77"/>
        <v>0</v>
      </c>
      <c r="K163" s="137"/>
      <c r="L163" s="138">
        <f t="shared" si="78"/>
        <v>0</v>
      </c>
      <c r="M163" s="137"/>
      <c r="N163" s="139">
        <f t="shared" si="79"/>
        <v>0.16231469230769227</v>
      </c>
      <c r="O163" s="137"/>
      <c r="P163" s="140">
        <f t="shared" si="80"/>
        <v>9.2687596153846127E-2</v>
      </c>
      <c r="Q163" s="135"/>
      <c r="R163" s="104">
        <f t="shared" si="81"/>
        <v>0.20843569230769235</v>
      </c>
      <c r="S163" s="137"/>
      <c r="T163" s="141">
        <f t="shared" si="82"/>
        <v>0.25500228846153838</v>
      </c>
      <c r="U163" s="199">
        <f t="shared" si="83"/>
        <v>0</v>
      </c>
      <c r="V163" s="37" t="str">
        <f t="shared" si="84"/>
        <v>ok</v>
      </c>
      <c r="W163" s="37" t="str">
        <f t="shared" si="85"/>
        <v>ok</v>
      </c>
    </row>
    <row r="164" spans="1:23" x14ac:dyDescent="0.25">
      <c r="A164" s="426"/>
      <c r="B164" s="178" t="s">
        <v>23</v>
      </c>
      <c r="C164" s="129">
        <v>10</v>
      </c>
      <c r="D164" s="130">
        <f>'2.4.5.2 Durée de missions'!D164/BDA</f>
        <v>0.12049076923076923</v>
      </c>
      <c r="E164" s="131">
        <f>'2.4.5.2 Durée de missions'!E164/BDA</f>
        <v>0.24867403846153849</v>
      </c>
      <c r="F164" s="132">
        <f t="shared" si="64"/>
        <v>0.19893923076923081</v>
      </c>
      <c r="G164" s="133">
        <f t="shared" si="65"/>
        <v>4.9734807692307689E-2</v>
      </c>
      <c r="H164" s="134">
        <f t="shared" si="76"/>
        <v>0.12049076923076923</v>
      </c>
      <c r="I164" s="135"/>
      <c r="J164" s="136">
        <f t="shared" si="77"/>
        <v>0</v>
      </c>
      <c r="K164" s="137"/>
      <c r="L164" s="138">
        <f t="shared" si="78"/>
        <v>0</v>
      </c>
      <c r="M164" s="137"/>
      <c r="N164" s="139">
        <f t="shared" si="79"/>
        <v>7.8448461538461578E-2</v>
      </c>
      <c r="O164" s="137"/>
      <c r="P164" s="140">
        <f t="shared" si="80"/>
        <v>4.9734807692307689E-2</v>
      </c>
      <c r="Q164" s="135"/>
      <c r="R164" s="104">
        <f t="shared" si="81"/>
        <v>0.12049076923076923</v>
      </c>
      <c r="S164" s="137"/>
      <c r="T164" s="141">
        <f t="shared" si="82"/>
        <v>0.12818326923076928</v>
      </c>
      <c r="U164" s="199">
        <f t="shared" si="83"/>
        <v>0</v>
      </c>
      <c r="V164" s="37" t="str">
        <f t="shared" si="84"/>
        <v>bad</v>
      </c>
      <c r="W164" s="37" t="str">
        <f t="shared" si="85"/>
        <v>ok</v>
      </c>
    </row>
    <row r="165" spans="1:23" x14ac:dyDescent="0.25">
      <c r="A165" s="426"/>
      <c r="B165" s="178" t="s">
        <v>19</v>
      </c>
      <c r="C165" s="129">
        <v>13</v>
      </c>
      <c r="D165" s="130">
        <f>'2.4.5.2 Durée de missions'!D165/BDA</f>
        <v>9.7281846153846149E-2</v>
      </c>
      <c r="E165" s="131">
        <f>'2.4.5.2 Durée de missions'!E165/BDA</f>
        <v>0.31649423076923083</v>
      </c>
      <c r="F165" s="132">
        <f t="shared" si="64"/>
        <v>0.25319538461538466</v>
      </c>
      <c r="G165" s="133">
        <f t="shared" si="65"/>
        <v>6.329884615384615E-2</v>
      </c>
      <c r="H165" s="134">
        <f t="shared" si="76"/>
        <v>9.7281846153846149E-2</v>
      </c>
      <c r="I165" s="135"/>
      <c r="J165" s="136">
        <f t="shared" si="77"/>
        <v>0</v>
      </c>
      <c r="K165" s="137"/>
      <c r="L165" s="138">
        <f t="shared" si="78"/>
        <v>0</v>
      </c>
      <c r="M165" s="137"/>
      <c r="N165" s="139">
        <f t="shared" si="79"/>
        <v>0.15591353846153849</v>
      </c>
      <c r="O165" s="137"/>
      <c r="P165" s="140">
        <f t="shared" si="80"/>
        <v>6.329884615384615E-2</v>
      </c>
      <c r="Q165" s="135"/>
      <c r="R165" s="104">
        <f t="shared" si="81"/>
        <v>9.7281846153846149E-2</v>
      </c>
      <c r="S165" s="137"/>
      <c r="T165" s="141">
        <f t="shared" si="82"/>
        <v>0.21921238461538464</v>
      </c>
      <c r="U165" s="199">
        <f t="shared" si="83"/>
        <v>0</v>
      </c>
      <c r="V165" s="37" t="str">
        <f t="shared" si="84"/>
        <v>ok</v>
      </c>
      <c r="W165" s="37" t="str">
        <f t="shared" si="85"/>
        <v>ok</v>
      </c>
    </row>
    <row r="166" spans="1:23" x14ac:dyDescent="0.25">
      <c r="A166" s="426"/>
      <c r="B166" s="178" t="s">
        <v>20</v>
      </c>
      <c r="C166" s="129">
        <v>14</v>
      </c>
      <c r="D166" s="130">
        <f>'2.4.5.2 Durée de missions'!D166/BDA</f>
        <v>0.18531569230769232</v>
      </c>
      <c r="E166" s="131">
        <f>'2.4.5.2 Durée de missions'!E166/BDA</f>
        <v>0.42952788461538466</v>
      </c>
      <c r="F166" s="132">
        <f t="shared" si="64"/>
        <v>0.34362230769230773</v>
      </c>
      <c r="G166" s="133">
        <f t="shared" si="65"/>
        <v>8.5905576923076918E-2</v>
      </c>
      <c r="H166" s="134">
        <f t="shared" si="76"/>
        <v>0.18531569230769232</v>
      </c>
      <c r="I166" s="135"/>
      <c r="J166" s="136">
        <f t="shared" si="77"/>
        <v>0</v>
      </c>
      <c r="K166" s="137"/>
      <c r="L166" s="138">
        <f t="shared" si="78"/>
        <v>0</v>
      </c>
      <c r="M166" s="137"/>
      <c r="N166" s="139">
        <f t="shared" si="79"/>
        <v>0.15830661538461541</v>
      </c>
      <c r="O166" s="137"/>
      <c r="P166" s="140">
        <f t="shared" si="80"/>
        <v>8.5905576923076918E-2</v>
      </c>
      <c r="Q166" s="135"/>
      <c r="R166" s="104">
        <f t="shared" si="81"/>
        <v>0.18531569230769232</v>
      </c>
      <c r="S166" s="137"/>
      <c r="T166" s="141">
        <f t="shared" si="82"/>
        <v>0.24421219230769231</v>
      </c>
      <c r="U166" s="199">
        <f t="shared" si="83"/>
        <v>0</v>
      </c>
      <c r="V166" s="37" t="str">
        <f t="shared" si="84"/>
        <v>ok</v>
      </c>
      <c r="W166" s="37" t="str">
        <f t="shared" si="85"/>
        <v>ok</v>
      </c>
    </row>
    <row r="167" spans="1:23" x14ac:dyDescent="0.25">
      <c r="A167" s="426"/>
      <c r="B167" s="178" t="s">
        <v>21</v>
      </c>
      <c r="C167" s="129">
        <v>15</v>
      </c>
      <c r="D167" s="130">
        <f>'2.4.5.2 Durée de missions'!D167/BDA</f>
        <v>0.16103969230769233</v>
      </c>
      <c r="E167" s="131">
        <f>'2.4.5.2 Durée de missions'!E167/BDA</f>
        <v>0.67820192307692306</v>
      </c>
      <c r="F167" s="132">
        <f t="shared" si="64"/>
        <v>0.54256153846153843</v>
      </c>
      <c r="G167" s="133">
        <f t="shared" si="65"/>
        <v>0.13564038461538458</v>
      </c>
      <c r="H167" s="134">
        <f t="shared" si="76"/>
        <v>0.16103969230769233</v>
      </c>
      <c r="I167" s="135"/>
      <c r="J167" s="136">
        <f t="shared" si="77"/>
        <v>0</v>
      </c>
      <c r="K167" s="137"/>
      <c r="L167" s="138">
        <f t="shared" si="78"/>
        <v>0</v>
      </c>
      <c r="M167" s="137"/>
      <c r="N167" s="139">
        <f t="shared" si="79"/>
        <v>0.3815218461538461</v>
      </c>
      <c r="O167" s="137"/>
      <c r="P167" s="140">
        <f t="shared" si="80"/>
        <v>0.13564038461538458</v>
      </c>
      <c r="Q167" s="135"/>
      <c r="R167" s="104">
        <f t="shared" si="81"/>
        <v>0.16103969230769233</v>
      </c>
      <c r="S167" s="137"/>
      <c r="T167" s="141">
        <f t="shared" si="82"/>
        <v>0.51716223076923074</v>
      </c>
      <c r="U167" s="199">
        <f t="shared" si="83"/>
        <v>0</v>
      </c>
      <c r="V167" s="37" t="str">
        <f t="shared" si="84"/>
        <v>ok</v>
      </c>
      <c r="W167" s="37" t="str">
        <f t="shared" si="85"/>
        <v>ok</v>
      </c>
    </row>
    <row r="168" spans="1:23" x14ac:dyDescent="0.25">
      <c r="A168" s="426"/>
      <c r="B168" s="178" t="s">
        <v>22</v>
      </c>
      <c r="C168" s="129">
        <v>16</v>
      </c>
      <c r="D168" s="130">
        <f>'2.4.5.2 Durée de missions'!D168/BDA</f>
        <v>0.12644861538461541</v>
      </c>
      <c r="E168" s="131">
        <f>'2.4.5.2 Durée de missions'!E168/BDA</f>
        <v>0.51995480769230773</v>
      </c>
      <c r="F168" s="132">
        <f t="shared" si="64"/>
        <v>0.41596384615384618</v>
      </c>
      <c r="G168" s="133">
        <f t="shared" si="65"/>
        <v>0.10399096153846152</v>
      </c>
      <c r="H168" s="134">
        <f t="shared" si="76"/>
        <v>0.12644861538461541</v>
      </c>
      <c r="I168" s="135"/>
      <c r="J168" s="136">
        <f t="shared" si="77"/>
        <v>0</v>
      </c>
      <c r="K168" s="137"/>
      <c r="L168" s="138">
        <f t="shared" si="78"/>
        <v>0</v>
      </c>
      <c r="M168" s="137"/>
      <c r="N168" s="139">
        <f t="shared" si="79"/>
        <v>0.2895152307692308</v>
      </c>
      <c r="O168" s="137"/>
      <c r="P168" s="140">
        <f t="shared" si="80"/>
        <v>0.10399096153846152</v>
      </c>
      <c r="Q168" s="135"/>
      <c r="R168" s="104">
        <f t="shared" si="81"/>
        <v>0.12644861538461541</v>
      </c>
      <c r="S168" s="137"/>
      <c r="T168" s="141">
        <f t="shared" si="82"/>
        <v>0.39350619230769235</v>
      </c>
      <c r="U168" s="199">
        <f t="shared" si="83"/>
        <v>0</v>
      </c>
      <c r="V168" s="37" t="str">
        <f t="shared" si="84"/>
        <v>ok</v>
      </c>
      <c r="W168" s="37" t="str">
        <f t="shared" si="85"/>
        <v>ok</v>
      </c>
    </row>
    <row r="169" spans="1:23" x14ac:dyDescent="0.25">
      <c r="A169" s="426"/>
      <c r="B169" s="178" t="s">
        <v>23</v>
      </c>
      <c r="C169" s="129">
        <v>17</v>
      </c>
      <c r="D169" s="130">
        <f>'2.4.5.2 Durée de missions'!D169/BDA</f>
        <v>5.5310153846153849E-2</v>
      </c>
      <c r="E169" s="131">
        <f>'2.4.5.2 Durée de missions'!E169/BDA</f>
        <v>0.24867403846153849</v>
      </c>
      <c r="F169" s="132">
        <f t="shared" si="64"/>
        <v>0.19893923076923081</v>
      </c>
      <c r="G169" s="133">
        <f t="shared" si="65"/>
        <v>4.9734807692307689E-2</v>
      </c>
      <c r="H169" s="134">
        <f t="shared" si="76"/>
        <v>5.5310153846153849E-2</v>
      </c>
      <c r="I169" s="135"/>
      <c r="J169" s="136">
        <f t="shared" si="77"/>
        <v>0</v>
      </c>
      <c r="K169" s="137"/>
      <c r="L169" s="138">
        <f t="shared" si="78"/>
        <v>0</v>
      </c>
      <c r="M169" s="137"/>
      <c r="N169" s="139">
        <f t="shared" si="79"/>
        <v>0.14362907692307697</v>
      </c>
      <c r="O169" s="137"/>
      <c r="P169" s="140">
        <f t="shared" si="80"/>
        <v>4.9734807692307689E-2</v>
      </c>
      <c r="Q169" s="135"/>
      <c r="R169" s="104">
        <f t="shared" si="81"/>
        <v>5.5310153846153849E-2</v>
      </c>
      <c r="S169" s="137"/>
      <c r="T169" s="141">
        <f t="shared" si="82"/>
        <v>0.19336388461538467</v>
      </c>
      <c r="U169" s="199">
        <f t="shared" si="83"/>
        <v>0</v>
      </c>
      <c r="V169" s="37" t="str">
        <f t="shared" si="84"/>
        <v>bad</v>
      </c>
      <c r="W169" s="37" t="str">
        <f t="shared" si="85"/>
        <v>ok</v>
      </c>
    </row>
    <row r="170" spans="1:23" x14ac:dyDescent="0.25">
      <c r="A170" s="426"/>
      <c r="B170" s="178" t="s">
        <v>19</v>
      </c>
      <c r="C170" s="129">
        <v>20</v>
      </c>
      <c r="D170" s="130">
        <f>'2.4.5.2 Durée de missions'!D170/BDA</f>
        <v>3.8592615384615378E-2</v>
      </c>
      <c r="E170" s="131">
        <f>'2.4.5.2 Durée de missions'!E170/BDA</f>
        <v>0.4182245192307692</v>
      </c>
      <c r="F170" s="132">
        <f t="shared" si="64"/>
        <v>0.33457961538461539</v>
      </c>
      <c r="G170" s="133">
        <f t="shared" si="65"/>
        <v>8.364490384615382E-2</v>
      </c>
      <c r="H170" s="134">
        <f t="shared" si="76"/>
        <v>3.8592615384615378E-2</v>
      </c>
      <c r="I170" s="135"/>
      <c r="J170" s="136">
        <f t="shared" si="77"/>
        <v>0</v>
      </c>
      <c r="K170" s="137"/>
      <c r="L170" s="138">
        <f t="shared" si="78"/>
        <v>0</v>
      </c>
      <c r="M170" s="137"/>
      <c r="N170" s="139">
        <f t="shared" si="79"/>
        <v>0.295987</v>
      </c>
      <c r="O170" s="137"/>
      <c r="P170" s="140">
        <f t="shared" si="80"/>
        <v>8.364490384615382E-2</v>
      </c>
      <c r="Q170" s="135"/>
      <c r="R170" s="104">
        <f t="shared" si="81"/>
        <v>3.8592615384615378E-2</v>
      </c>
      <c r="S170" s="137"/>
      <c r="T170" s="141">
        <f t="shared" si="82"/>
        <v>0.37963190384615381</v>
      </c>
      <c r="U170" s="199">
        <f t="shared" si="83"/>
        <v>0</v>
      </c>
      <c r="V170" s="37" t="str">
        <f t="shared" si="84"/>
        <v>ok</v>
      </c>
      <c r="W170" s="37" t="str">
        <f t="shared" si="85"/>
        <v>ok</v>
      </c>
    </row>
    <row r="171" spans="1:23" x14ac:dyDescent="0.25">
      <c r="A171" s="426"/>
      <c r="B171" s="178" t="s">
        <v>20</v>
      </c>
      <c r="C171" s="129">
        <v>21</v>
      </c>
      <c r="D171" s="130">
        <f>'2.4.5.2 Durée de missions'!D171/BDA</f>
        <v>8.0030769230769253E-2</v>
      </c>
      <c r="E171" s="131">
        <f>'2.4.5.2 Durée de missions'!E171/BDA</f>
        <v>0.49734807692307698</v>
      </c>
      <c r="F171" s="132">
        <f t="shared" si="64"/>
        <v>0.39787846153846163</v>
      </c>
      <c r="G171" s="133">
        <f t="shared" si="65"/>
        <v>9.9469615384615379E-2</v>
      </c>
      <c r="H171" s="134">
        <f t="shared" si="76"/>
        <v>8.0030769230769253E-2</v>
      </c>
      <c r="I171" s="135"/>
      <c r="J171" s="136">
        <f t="shared" si="77"/>
        <v>0</v>
      </c>
      <c r="K171" s="137"/>
      <c r="L171" s="138">
        <f t="shared" si="78"/>
        <v>0</v>
      </c>
      <c r="M171" s="137"/>
      <c r="N171" s="139">
        <f t="shared" si="79"/>
        <v>0.31784769230769239</v>
      </c>
      <c r="O171" s="137"/>
      <c r="P171" s="140">
        <f t="shared" si="80"/>
        <v>9.9469615384615379E-2</v>
      </c>
      <c r="Q171" s="135"/>
      <c r="R171" s="104">
        <f t="shared" si="81"/>
        <v>8.0030769230769253E-2</v>
      </c>
      <c r="S171" s="137"/>
      <c r="T171" s="141">
        <f t="shared" si="82"/>
        <v>0.41731730769230779</v>
      </c>
      <c r="U171" s="199">
        <f t="shared" si="83"/>
        <v>0</v>
      </c>
      <c r="V171" s="37" t="str">
        <f t="shared" si="84"/>
        <v>ok</v>
      </c>
      <c r="W171" s="37" t="str">
        <f t="shared" si="85"/>
        <v>ok</v>
      </c>
    </row>
    <row r="172" spans="1:23" x14ac:dyDescent="0.25">
      <c r="A172" s="426"/>
      <c r="B172" s="178" t="s">
        <v>21</v>
      </c>
      <c r="C172" s="129">
        <v>22</v>
      </c>
      <c r="D172" s="130">
        <f>'2.4.5.2 Durée de missions'!D172/BDA</f>
        <v>0.32119015384615385</v>
      </c>
      <c r="E172" s="131">
        <f>'2.4.5.2 Durée de missions'!E172/BDA</f>
        <v>0.55951658653846148</v>
      </c>
      <c r="F172" s="132">
        <f t="shared" si="64"/>
        <v>0.44761326923076922</v>
      </c>
      <c r="G172" s="133">
        <f t="shared" si="65"/>
        <v>0.11190331730769228</v>
      </c>
      <c r="H172" s="134">
        <f t="shared" si="76"/>
        <v>0.32119015384615385</v>
      </c>
      <c r="I172" s="135"/>
      <c r="J172" s="136">
        <f t="shared" si="77"/>
        <v>0</v>
      </c>
      <c r="K172" s="137"/>
      <c r="L172" s="138">
        <f t="shared" si="78"/>
        <v>0</v>
      </c>
      <c r="M172" s="137"/>
      <c r="N172" s="139">
        <f t="shared" si="79"/>
        <v>0.12642311538461537</v>
      </c>
      <c r="O172" s="137"/>
      <c r="P172" s="140">
        <f t="shared" si="80"/>
        <v>0.11190331730769228</v>
      </c>
      <c r="Q172" s="135"/>
      <c r="R172" s="104">
        <f t="shared" si="81"/>
        <v>0.32119015384615385</v>
      </c>
      <c r="S172" s="137"/>
      <c r="T172" s="141">
        <f t="shared" si="82"/>
        <v>0.23832643269230763</v>
      </c>
      <c r="U172" s="199">
        <f t="shared" si="83"/>
        <v>0</v>
      </c>
      <c r="V172" s="37" t="str">
        <f t="shared" si="84"/>
        <v>ok</v>
      </c>
      <c r="W172" s="37" t="str">
        <f t="shared" si="85"/>
        <v>ok</v>
      </c>
    </row>
    <row r="173" spans="1:23" x14ac:dyDescent="0.25">
      <c r="A173" s="426"/>
      <c r="B173" s="178" t="s">
        <v>22</v>
      </c>
      <c r="C173" s="129">
        <v>23</v>
      </c>
      <c r="D173" s="130">
        <f>'2.4.5.2 Durée de missions'!D173/BDA</f>
        <v>0.26143384615384613</v>
      </c>
      <c r="E173" s="131">
        <f>'2.4.5.2 Durée de missions'!E173/BDA</f>
        <v>0.35447353846153845</v>
      </c>
      <c r="F173" s="132">
        <f t="shared" si="64"/>
        <v>0.28357883076923079</v>
      </c>
      <c r="G173" s="133">
        <f t="shared" si="65"/>
        <v>7.0894707692307671E-2</v>
      </c>
      <c r="H173" s="134">
        <f t="shared" si="76"/>
        <v>0.26143384615384613</v>
      </c>
      <c r="I173" s="135"/>
      <c r="J173" s="136">
        <f t="shared" si="77"/>
        <v>0</v>
      </c>
      <c r="K173" s="137"/>
      <c r="L173" s="138">
        <f t="shared" si="78"/>
        <v>0</v>
      </c>
      <c r="M173" s="137"/>
      <c r="N173" s="139">
        <f t="shared" si="79"/>
        <v>2.2144984615384666E-2</v>
      </c>
      <c r="O173" s="137"/>
      <c r="P173" s="140">
        <f t="shared" si="80"/>
        <v>7.0894707692307671E-2</v>
      </c>
      <c r="Q173" s="135"/>
      <c r="R173" s="104">
        <f t="shared" si="81"/>
        <v>0.26143384615384613</v>
      </c>
      <c r="S173" s="137"/>
      <c r="T173" s="141">
        <f t="shared" si="82"/>
        <v>9.3039692307692337E-2</v>
      </c>
      <c r="U173" s="199">
        <f t="shared" si="83"/>
        <v>0</v>
      </c>
      <c r="V173" s="37" t="str">
        <f t="shared" si="84"/>
        <v>ok</v>
      </c>
      <c r="W173" s="37" t="str">
        <f t="shared" si="85"/>
        <v>ok</v>
      </c>
    </row>
    <row r="174" spans="1:23" x14ac:dyDescent="0.25">
      <c r="A174" s="426"/>
      <c r="B174" s="178" t="s">
        <v>23</v>
      </c>
      <c r="C174" s="129">
        <v>24</v>
      </c>
      <c r="D174" s="130">
        <f>'2.4.5.2 Durée de missions'!D174/BDA</f>
        <v>0.15063569230769233</v>
      </c>
      <c r="E174" s="131">
        <f>'2.4.5.2 Durée de missions'!E174/BDA</f>
        <v>0.16796800961538461</v>
      </c>
      <c r="F174" s="132">
        <f t="shared" si="64"/>
        <v>0.13437440769230768</v>
      </c>
      <c r="G174" s="133">
        <f t="shared" si="65"/>
        <v>3.3593601923076914E-2</v>
      </c>
      <c r="H174" s="134">
        <f t="shared" si="76"/>
        <v>0.15063569230769233</v>
      </c>
      <c r="I174" s="135"/>
      <c r="J174" s="136">
        <f t="shared" si="77"/>
        <v>0</v>
      </c>
      <c r="K174" s="137"/>
      <c r="L174" s="138">
        <f t="shared" si="78"/>
        <v>1.6261284615384647E-2</v>
      </c>
      <c r="M174" s="137"/>
      <c r="N174" s="139">
        <f t="shared" si="79"/>
        <v>0</v>
      </c>
      <c r="O174" s="137"/>
      <c r="P174" s="140">
        <f t="shared" si="80"/>
        <v>1.7332317307692274E-2</v>
      </c>
      <c r="Q174" s="135"/>
      <c r="R174" s="104">
        <f t="shared" si="81"/>
        <v>0.13437440769230768</v>
      </c>
      <c r="S174" s="137"/>
      <c r="T174" s="141">
        <f t="shared" si="82"/>
        <v>3.3593601923076921E-2</v>
      </c>
      <c r="U174" s="199">
        <f t="shared" si="83"/>
        <v>1.6261284615384647E-2</v>
      </c>
      <c r="V174" s="37" t="str">
        <f t="shared" si="84"/>
        <v>ok</v>
      </c>
      <c r="W174" s="37" t="str">
        <f t="shared" si="85"/>
        <v>ok</v>
      </c>
    </row>
    <row r="175" spans="1:23" x14ac:dyDescent="0.25">
      <c r="A175" s="426"/>
      <c r="B175" s="178" t="s">
        <v>19</v>
      </c>
      <c r="C175" s="129">
        <v>27</v>
      </c>
      <c r="D175" s="130">
        <f>'2.4.5.2 Durée de missions'!D175/BDA</f>
        <v>0.12333630769230769</v>
      </c>
      <c r="E175" s="131">
        <f>'2.4.5.2 Durée de missions'!E175/BDA</f>
        <v>0.22380663461538461</v>
      </c>
      <c r="F175" s="132">
        <f t="shared" si="64"/>
        <v>0.1790453076923077</v>
      </c>
      <c r="G175" s="133">
        <f t="shared" si="65"/>
        <v>4.4761326923076911E-2</v>
      </c>
      <c r="H175" s="134">
        <f t="shared" si="76"/>
        <v>0.12333630769230769</v>
      </c>
      <c r="I175" s="135"/>
      <c r="J175" s="136">
        <f t="shared" si="77"/>
        <v>0</v>
      </c>
      <c r="K175" s="137"/>
      <c r="L175" s="138">
        <f t="shared" si="78"/>
        <v>0</v>
      </c>
      <c r="M175" s="137"/>
      <c r="N175" s="139">
        <f t="shared" si="79"/>
        <v>5.5709000000000009E-2</v>
      </c>
      <c r="O175" s="137"/>
      <c r="P175" s="140">
        <f t="shared" si="80"/>
        <v>4.4761326923076911E-2</v>
      </c>
      <c r="Q175" s="135"/>
      <c r="R175" s="104">
        <f t="shared" si="81"/>
        <v>0.12333630769230769</v>
      </c>
      <c r="S175" s="137"/>
      <c r="T175" s="141">
        <f t="shared" si="82"/>
        <v>0.10047032692307692</v>
      </c>
      <c r="U175" s="199">
        <f t="shared" si="83"/>
        <v>0</v>
      </c>
      <c r="V175" s="37" t="str">
        <f t="shared" si="84"/>
        <v>ok</v>
      </c>
      <c r="W175" s="37" t="str">
        <f t="shared" si="85"/>
        <v>ok</v>
      </c>
    </row>
    <row r="176" spans="1:23" x14ac:dyDescent="0.25">
      <c r="A176" s="426"/>
      <c r="B176" s="178" t="s">
        <v>20</v>
      </c>
      <c r="C176" s="129">
        <v>28</v>
      </c>
      <c r="D176" s="130">
        <f>'2.4.5.2 Durée de missions'!D176/BDA</f>
        <v>0.23164461538461539</v>
      </c>
      <c r="E176" s="131">
        <f>'2.4.5.2 Durée de missions'!E176/BDA</f>
        <v>0.35447353846153845</v>
      </c>
      <c r="F176" s="132">
        <f t="shared" si="64"/>
        <v>0.28357883076923079</v>
      </c>
      <c r="G176" s="133">
        <f t="shared" si="65"/>
        <v>7.0894707692307671E-2</v>
      </c>
      <c r="H176" s="134">
        <f t="shared" si="76"/>
        <v>0.23164461538461539</v>
      </c>
      <c r="I176" s="135"/>
      <c r="J176" s="136">
        <f t="shared" si="77"/>
        <v>0</v>
      </c>
      <c r="K176" s="137"/>
      <c r="L176" s="138">
        <f t="shared" si="78"/>
        <v>0</v>
      </c>
      <c r="M176" s="137"/>
      <c r="N176" s="139">
        <f t="shared" si="79"/>
        <v>5.1934215384615401E-2</v>
      </c>
      <c r="O176" s="137"/>
      <c r="P176" s="140">
        <f t="shared" si="80"/>
        <v>7.0894707692307671E-2</v>
      </c>
      <c r="Q176" s="135"/>
      <c r="R176" s="104">
        <f t="shared" si="81"/>
        <v>0.23164461538461539</v>
      </c>
      <c r="S176" s="137"/>
      <c r="T176" s="141">
        <f t="shared" si="82"/>
        <v>0.12282892307692307</v>
      </c>
      <c r="U176" s="199">
        <f t="shared" si="83"/>
        <v>0</v>
      </c>
      <c r="V176" s="37" t="str">
        <f t="shared" si="84"/>
        <v>ok</v>
      </c>
      <c r="W176" s="37" t="str">
        <f t="shared" si="85"/>
        <v>ok</v>
      </c>
    </row>
    <row r="177" spans="1:23" x14ac:dyDescent="0.25">
      <c r="A177" s="426"/>
      <c r="B177" s="178" t="s">
        <v>21</v>
      </c>
      <c r="C177" s="129">
        <v>29</v>
      </c>
      <c r="D177" s="130">
        <f>'2.4.5.2 Durée de missions'!D177/BDA</f>
        <v>0.38539261538461544</v>
      </c>
      <c r="E177" s="131">
        <f>'2.4.5.2 Durée de missions'!E177/BDA</f>
        <v>0.67820192307692306</v>
      </c>
      <c r="F177" s="132">
        <f t="shared" si="64"/>
        <v>0.54256153846153843</v>
      </c>
      <c r="G177" s="133">
        <f t="shared" si="65"/>
        <v>0.13564038461538458</v>
      </c>
      <c r="H177" s="134">
        <f t="shared" si="76"/>
        <v>0.38539261538461544</v>
      </c>
      <c r="I177" s="135"/>
      <c r="J177" s="136">
        <f t="shared" si="77"/>
        <v>0</v>
      </c>
      <c r="K177" s="137"/>
      <c r="L177" s="138">
        <f t="shared" si="78"/>
        <v>0</v>
      </c>
      <c r="M177" s="137"/>
      <c r="N177" s="139">
        <f t="shared" si="79"/>
        <v>0.15716892307692298</v>
      </c>
      <c r="O177" s="137"/>
      <c r="P177" s="140">
        <f t="shared" si="80"/>
        <v>0.13564038461538458</v>
      </c>
      <c r="Q177" s="135"/>
      <c r="R177" s="104">
        <f t="shared" si="81"/>
        <v>0.38539261538461544</v>
      </c>
      <c r="S177" s="137"/>
      <c r="T177" s="141">
        <f t="shared" si="82"/>
        <v>0.29280930769230756</v>
      </c>
      <c r="U177" s="199">
        <f t="shared" si="83"/>
        <v>0</v>
      </c>
      <c r="V177" s="37" t="str">
        <f t="shared" si="84"/>
        <v>ok</v>
      </c>
      <c r="W177" s="37" t="str">
        <f t="shared" si="85"/>
        <v>ok</v>
      </c>
    </row>
    <row r="178" spans="1:23" x14ac:dyDescent="0.25">
      <c r="A178" s="426"/>
      <c r="B178" s="178" t="s">
        <v>22</v>
      </c>
      <c r="C178" s="129">
        <v>30</v>
      </c>
      <c r="D178" s="130">
        <f>'2.4.5.2 Durée de missions'!D178/BDA</f>
        <v>0.31265353846153848</v>
      </c>
      <c r="E178" s="131">
        <f>'2.4.5.2 Durée de missions'!E178/BDA</f>
        <v>0.47474134615384617</v>
      </c>
      <c r="F178" s="132">
        <f t="shared" si="64"/>
        <v>0.37979307692307696</v>
      </c>
      <c r="G178" s="133">
        <f t="shared" si="65"/>
        <v>9.4948269230769211E-2</v>
      </c>
      <c r="H178" s="134">
        <f t="shared" si="76"/>
        <v>0.31265353846153848</v>
      </c>
      <c r="I178" s="135"/>
      <c r="J178" s="136">
        <f t="shared" si="77"/>
        <v>0</v>
      </c>
      <c r="K178" s="137"/>
      <c r="L178" s="138">
        <f t="shared" si="78"/>
        <v>0</v>
      </c>
      <c r="M178" s="137"/>
      <c r="N178" s="139">
        <f t="shared" si="79"/>
        <v>6.7139538461538473E-2</v>
      </c>
      <c r="O178" s="137"/>
      <c r="P178" s="140">
        <f t="shared" si="80"/>
        <v>9.4948269230769211E-2</v>
      </c>
      <c r="Q178" s="135"/>
      <c r="R178" s="104">
        <f t="shared" si="81"/>
        <v>0.31265353846153848</v>
      </c>
      <c r="S178" s="137"/>
      <c r="T178" s="141">
        <f t="shared" si="82"/>
        <v>0.16208780769230768</v>
      </c>
      <c r="U178" s="199">
        <f t="shared" si="83"/>
        <v>0</v>
      </c>
      <c r="V178" s="37" t="str">
        <f t="shared" si="84"/>
        <v>ok</v>
      </c>
      <c r="W178" s="37" t="str">
        <f t="shared" si="85"/>
        <v>ok</v>
      </c>
    </row>
    <row r="179" spans="1:23" ht="15.75" thickBot="1" x14ac:dyDescent="0.3">
      <c r="A179" s="427"/>
      <c r="B179" s="277" t="s">
        <v>23</v>
      </c>
      <c r="C179" s="165">
        <v>31</v>
      </c>
      <c r="D179" s="202">
        <f>'2.4.5.2 Durée de missions'!D179/BDA</f>
        <v>0.18078061538461537</v>
      </c>
      <c r="E179" s="203">
        <f>'2.4.5.2 Durée de missions'!E179/BDA</f>
        <v>0.22606730769230768</v>
      </c>
      <c r="F179" s="204">
        <f t="shared" si="64"/>
        <v>0.18085384615384614</v>
      </c>
      <c r="G179" s="205">
        <f t="shared" si="65"/>
        <v>4.5213461538461529E-2</v>
      </c>
      <c r="H179" s="206">
        <f t="shared" si="76"/>
        <v>0.18078061538461537</v>
      </c>
      <c r="I179" s="207"/>
      <c r="J179" s="208">
        <f t="shared" si="77"/>
        <v>0</v>
      </c>
      <c r="K179" s="209"/>
      <c r="L179" s="210">
        <f t="shared" si="78"/>
        <v>0</v>
      </c>
      <c r="M179" s="209"/>
      <c r="N179" s="211">
        <f t="shared" si="79"/>
        <v>7.3230769230769877E-5</v>
      </c>
      <c r="O179" s="209"/>
      <c r="P179" s="212">
        <f t="shared" si="80"/>
        <v>4.5213461538461529E-2</v>
      </c>
      <c r="Q179" s="207"/>
      <c r="R179" s="213">
        <f t="shared" si="81"/>
        <v>0.18078061538461537</v>
      </c>
      <c r="S179" s="209"/>
      <c r="T179" s="214">
        <f t="shared" si="82"/>
        <v>4.5286692307692299E-2</v>
      </c>
      <c r="U179" s="215">
        <f t="shared" si="83"/>
        <v>0</v>
      </c>
      <c r="V179" s="37" t="str">
        <f t="shared" si="84"/>
        <v>ok</v>
      </c>
      <c r="W179" s="37" t="str">
        <f t="shared" si="85"/>
        <v>ok</v>
      </c>
    </row>
    <row r="180" spans="1:23" x14ac:dyDescent="0.25">
      <c r="A180" s="425" t="s">
        <v>97</v>
      </c>
      <c r="B180" s="276" t="s">
        <v>19</v>
      </c>
      <c r="C180" s="247">
        <v>3</v>
      </c>
      <c r="D180" s="184">
        <f>'2.4.5.2 Durée de missions'!D180/BDA</f>
        <v>0.36559562500000004</v>
      </c>
      <c r="E180" s="185">
        <f>'2.4.5.2 Durée de missions'!E180/BDA</f>
        <v>0.8217374999999999</v>
      </c>
      <c r="F180" s="186">
        <f t="shared" si="64"/>
        <v>0.65738999999999992</v>
      </c>
      <c r="G180" s="187">
        <f t="shared" si="65"/>
        <v>0.16434749999999995</v>
      </c>
      <c r="H180" s="188">
        <f>IF(E180&gt;D180,D180,E180)</f>
        <v>0.36559562500000004</v>
      </c>
      <c r="I180" s="189"/>
      <c r="J180" s="190">
        <f>IF(E180&gt;D180,0,D180-E180)</f>
        <v>0</v>
      </c>
      <c r="K180" s="191"/>
      <c r="L180" s="192">
        <f>IF(E180&gt;D180,IF(F180&gt;H180,0,H180-F180),G180)</f>
        <v>0</v>
      </c>
      <c r="M180" s="191"/>
      <c r="N180" s="193">
        <f>IF(E180&gt;D180,IF(F180&gt;H180,F180-H180,0),0)</f>
        <v>0.29179437499999988</v>
      </c>
      <c r="O180" s="191"/>
      <c r="P180" s="194">
        <f>IF(E180&gt;D180,IF(F180&gt;H180,G180,E180-H180),0)</f>
        <v>0.16434749999999995</v>
      </c>
      <c r="Q180" s="189"/>
      <c r="R180" s="195">
        <f>H180-L180</f>
        <v>0.36559562500000004</v>
      </c>
      <c r="S180" s="191"/>
      <c r="T180" s="196">
        <f>L180+N180+P180</f>
        <v>0.45614187499999981</v>
      </c>
      <c r="U180" s="197">
        <f>J180+L180</f>
        <v>0</v>
      </c>
      <c r="V180" s="37" t="str">
        <f>IF(R180+T180=E180,"ok","bad")</f>
        <v>ok</v>
      </c>
      <c r="W180" s="37" t="str">
        <f>IF(U180+R180=D180,"ok","bad")</f>
        <v>ok</v>
      </c>
    </row>
    <row r="181" spans="1:23" x14ac:dyDescent="0.25">
      <c r="A181" s="426"/>
      <c r="B181" s="178" t="s">
        <v>20</v>
      </c>
      <c r="C181" s="129">
        <v>4</v>
      </c>
      <c r="D181" s="130">
        <f>'2.4.5.2 Durée de missions'!D181/BDA</f>
        <v>0.28706625000000002</v>
      </c>
      <c r="E181" s="131">
        <f>'2.4.5.2 Durée de missions'!E181/BDA</f>
        <v>0.60260749999999996</v>
      </c>
      <c r="F181" s="132">
        <f t="shared" si="64"/>
        <v>0.48208600000000001</v>
      </c>
      <c r="G181" s="133">
        <f t="shared" si="65"/>
        <v>0.12052149999999996</v>
      </c>
      <c r="H181" s="134">
        <f t="shared" ref="H181:H199" si="86">IF(E181&gt;D181,D181,E181)</f>
        <v>0.28706625000000002</v>
      </c>
      <c r="I181" s="135"/>
      <c r="J181" s="136">
        <f t="shared" ref="J181:J199" si="87">IF(E181&gt;D181,0,D181-E181)</f>
        <v>0</v>
      </c>
      <c r="K181" s="137"/>
      <c r="L181" s="138">
        <f t="shared" ref="L181:L199" si="88">IF(E181&gt;D181,IF(F181&gt;H181,0,H181-F181),G181)</f>
        <v>0</v>
      </c>
      <c r="M181" s="137"/>
      <c r="N181" s="139">
        <f t="shared" ref="N181:N199" si="89">IF(E181&gt;D181,IF(F181&gt;H181,F181-H181,0),0)</f>
        <v>0.19501974999999999</v>
      </c>
      <c r="O181" s="137"/>
      <c r="P181" s="140">
        <f t="shared" ref="P181:P199" si="90">IF(E181&gt;D181,IF(F181&gt;H181,G181,E181-H181),0)</f>
        <v>0.12052149999999996</v>
      </c>
      <c r="Q181" s="135"/>
      <c r="R181" s="104">
        <f t="shared" ref="R181:R199" si="91">H181-L181</f>
        <v>0.28706625000000002</v>
      </c>
      <c r="S181" s="137"/>
      <c r="T181" s="141">
        <f t="shared" ref="T181:T199" si="92">L181+N181+P181</f>
        <v>0.31554124999999994</v>
      </c>
      <c r="U181" s="199">
        <f t="shared" ref="U181:U199" si="93">J181+L181</f>
        <v>0</v>
      </c>
      <c r="V181" s="37" t="str">
        <f t="shared" ref="V181:V199" si="94">IF(R181+T181=E181,"ok","bad")</f>
        <v>ok</v>
      </c>
      <c r="W181" s="37" t="str">
        <f t="shared" ref="W181:W199" si="95">IF(U181+R181=D181,"ok","bad")</f>
        <v>ok</v>
      </c>
    </row>
    <row r="182" spans="1:23" x14ac:dyDescent="0.25">
      <c r="A182" s="426"/>
      <c r="B182" s="178" t="s">
        <v>21</v>
      </c>
      <c r="C182" s="129">
        <v>5</v>
      </c>
      <c r="D182" s="130">
        <f>'2.4.5.2 Durée de missions'!D182/BDA</f>
        <v>0.12556624999999999</v>
      </c>
      <c r="E182" s="131">
        <f>'2.4.5.2 Durée de missions'!E182/BDA</f>
        <v>0.24652124999999997</v>
      </c>
      <c r="F182" s="132">
        <f t="shared" si="64"/>
        <v>0.19721699999999998</v>
      </c>
      <c r="G182" s="133">
        <f t="shared" si="65"/>
        <v>4.930424999999998E-2</v>
      </c>
      <c r="H182" s="134">
        <f t="shared" si="86"/>
        <v>0.12556624999999999</v>
      </c>
      <c r="I182" s="135"/>
      <c r="J182" s="136">
        <f t="shared" si="87"/>
        <v>0</v>
      </c>
      <c r="K182" s="137"/>
      <c r="L182" s="138">
        <f t="shared" si="88"/>
        <v>0</v>
      </c>
      <c r="M182" s="137"/>
      <c r="N182" s="139">
        <f t="shared" si="89"/>
        <v>7.1650749999999985E-2</v>
      </c>
      <c r="O182" s="137"/>
      <c r="P182" s="140">
        <f t="shared" si="90"/>
        <v>4.930424999999998E-2</v>
      </c>
      <c r="Q182" s="135"/>
      <c r="R182" s="104">
        <f t="shared" si="91"/>
        <v>0.12556624999999999</v>
      </c>
      <c r="S182" s="137"/>
      <c r="T182" s="141">
        <f t="shared" si="92"/>
        <v>0.12095499999999997</v>
      </c>
      <c r="U182" s="199">
        <f t="shared" si="93"/>
        <v>0</v>
      </c>
      <c r="V182" s="37" t="str">
        <f t="shared" si="94"/>
        <v>ok</v>
      </c>
      <c r="W182" s="37" t="str">
        <f t="shared" si="95"/>
        <v>ok</v>
      </c>
    </row>
    <row r="183" spans="1:23" x14ac:dyDescent="0.25">
      <c r="A183" s="426"/>
      <c r="B183" s="178" t="s">
        <v>22</v>
      </c>
      <c r="C183" s="129">
        <v>6</v>
      </c>
      <c r="D183" s="130">
        <f>'2.4.5.2 Durée de missions'!D183/BDA</f>
        <v>8.7613750000000018E-2</v>
      </c>
      <c r="E183" s="131">
        <f>'2.4.5.2 Durée de missions'!E183/BDA</f>
        <v>0.36978187499999993</v>
      </c>
      <c r="F183" s="132">
        <f t="shared" si="64"/>
        <v>0.29582549999999996</v>
      </c>
      <c r="G183" s="133">
        <f t="shared" si="65"/>
        <v>7.3956374999999963E-2</v>
      </c>
      <c r="H183" s="134">
        <f t="shared" si="86"/>
        <v>8.7613750000000018E-2</v>
      </c>
      <c r="I183" s="135"/>
      <c r="J183" s="136">
        <f t="shared" si="87"/>
        <v>0</v>
      </c>
      <c r="K183" s="137"/>
      <c r="L183" s="138">
        <f t="shared" si="88"/>
        <v>0</v>
      </c>
      <c r="M183" s="137"/>
      <c r="N183" s="139">
        <f t="shared" si="89"/>
        <v>0.20821174999999995</v>
      </c>
      <c r="O183" s="137"/>
      <c r="P183" s="140">
        <f t="shared" si="90"/>
        <v>7.3956374999999963E-2</v>
      </c>
      <c r="Q183" s="135"/>
      <c r="R183" s="104">
        <f t="shared" si="91"/>
        <v>8.7613750000000018E-2</v>
      </c>
      <c r="S183" s="137"/>
      <c r="T183" s="141">
        <f t="shared" si="92"/>
        <v>0.28216812499999988</v>
      </c>
      <c r="U183" s="199">
        <f t="shared" si="93"/>
        <v>0</v>
      </c>
      <c r="V183" s="37" t="str">
        <f t="shared" si="94"/>
        <v>ok</v>
      </c>
      <c r="W183" s="37" t="str">
        <f t="shared" si="95"/>
        <v>ok</v>
      </c>
    </row>
    <row r="184" spans="1:23" x14ac:dyDescent="0.25">
      <c r="A184" s="426"/>
      <c r="B184" s="178" t="s">
        <v>23</v>
      </c>
      <c r="C184" s="129">
        <v>7</v>
      </c>
      <c r="D184" s="130">
        <f>'2.4.5.2 Durée de missions'!D184/BDA</f>
        <v>0.18168749999999997</v>
      </c>
      <c r="E184" s="131">
        <f>'2.4.5.2 Durée de missions'!E184/BDA</f>
        <v>0.60260749999999996</v>
      </c>
      <c r="F184" s="132">
        <f t="shared" si="64"/>
        <v>0.48208600000000001</v>
      </c>
      <c r="G184" s="133">
        <f t="shared" si="65"/>
        <v>0.12052149999999996</v>
      </c>
      <c r="H184" s="134">
        <f t="shared" si="86"/>
        <v>0.18168749999999997</v>
      </c>
      <c r="I184" s="135"/>
      <c r="J184" s="136">
        <f t="shared" si="87"/>
        <v>0</v>
      </c>
      <c r="K184" s="137"/>
      <c r="L184" s="138">
        <f t="shared" si="88"/>
        <v>0</v>
      </c>
      <c r="M184" s="137"/>
      <c r="N184" s="139">
        <f t="shared" si="89"/>
        <v>0.30039850000000001</v>
      </c>
      <c r="O184" s="137"/>
      <c r="P184" s="140">
        <f t="shared" si="90"/>
        <v>0.12052149999999996</v>
      </c>
      <c r="Q184" s="135"/>
      <c r="R184" s="104">
        <f t="shared" si="91"/>
        <v>0.18168749999999997</v>
      </c>
      <c r="S184" s="137"/>
      <c r="T184" s="141">
        <f t="shared" si="92"/>
        <v>0.42091999999999996</v>
      </c>
      <c r="U184" s="199">
        <f t="shared" si="93"/>
        <v>0</v>
      </c>
      <c r="V184" s="37" t="str">
        <f t="shared" si="94"/>
        <v>ok</v>
      </c>
      <c r="W184" s="37" t="str">
        <f t="shared" si="95"/>
        <v>ok</v>
      </c>
    </row>
    <row r="185" spans="1:23" x14ac:dyDescent="0.25">
      <c r="A185" s="426"/>
      <c r="B185" s="178" t="s">
        <v>19</v>
      </c>
      <c r="C185" s="129">
        <v>10</v>
      </c>
      <c r="D185" s="130">
        <f>'2.4.5.2 Durée de missions'!D185/BDA</f>
        <v>0.58341874999999999</v>
      </c>
      <c r="E185" s="131">
        <f>'2.4.5.2 Durée de missions'!E185/BDA</f>
        <v>0.42140384615384607</v>
      </c>
      <c r="F185" s="132">
        <f t="shared" si="64"/>
        <v>0.33712307692307686</v>
      </c>
      <c r="G185" s="133">
        <f t="shared" si="65"/>
        <v>8.4280769230769201E-2</v>
      </c>
      <c r="H185" s="134">
        <f t="shared" si="86"/>
        <v>0.42140384615384607</v>
      </c>
      <c r="I185" s="135"/>
      <c r="J185" s="136">
        <f t="shared" si="87"/>
        <v>0.16201490384615391</v>
      </c>
      <c r="K185" s="137"/>
      <c r="L185" s="138">
        <f t="shared" si="88"/>
        <v>8.4280769230769201E-2</v>
      </c>
      <c r="M185" s="137"/>
      <c r="N185" s="139">
        <f t="shared" si="89"/>
        <v>0</v>
      </c>
      <c r="O185" s="137"/>
      <c r="P185" s="140">
        <f t="shared" si="90"/>
        <v>0</v>
      </c>
      <c r="Q185" s="135"/>
      <c r="R185" s="104">
        <f t="shared" si="91"/>
        <v>0.33712307692307686</v>
      </c>
      <c r="S185" s="137"/>
      <c r="T185" s="141">
        <f t="shared" si="92"/>
        <v>8.4280769230769201E-2</v>
      </c>
      <c r="U185" s="199">
        <f t="shared" si="93"/>
        <v>0.24629567307692313</v>
      </c>
      <c r="V185" s="37" t="str">
        <f t="shared" si="94"/>
        <v>ok</v>
      </c>
      <c r="W185" s="37" t="str">
        <f t="shared" si="95"/>
        <v>ok</v>
      </c>
    </row>
    <row r="186" spans="1:23" x14ac:dyDescent="0.25">
      <c r="A186" s="426"/>
      <c r="B186" s="178" t="s">
        <v>20</v>
      </c>
      <c r="C186" s="129">
        <v>11</v>
      </c>
      <c r="D186" s="130">
        <f>'2.4.5.2 Durée de missions'!D186/BDA</f>
        <v>0.47319500000000009</v>
      </c>
      <c r="E186" s="131">
        <f>'2.4.5.2 Durée de missions'!E186/BDA</f>
        <v>0.43193894230769225</v>
      </c>
      <c r="F186" s="132">
        <f t="shared" si="64"/>
        <v>0.34555115384615381</v>
      </c>
      <c r="G186" s="133">
        <f t="shared" si="65"/>
        <v>8.6387788461538426E-2</v>
      </c>
      <c r="H186" s="134">
        <f t="shared" si="86"/>
        <v>0.43193894230769225</v>
      </c>
      <c r="I186" s="135"/>
      <c r="J186" s="136">
        <f t="shared" si="87"/>
        <v>4.1256057692307835E-2</v>
      </c>
      <c r="K186" s="137"/>
      <c r="L186" s="138">
        <f t="shared" si="88"/>
        <v>8.6387788461538426E-2</v>
      </c>
      <c r="M186" s="137"/>
      <c r="N186" s="139">
        <f t="shared" si="89"/>
        <v>0</v>
      </c>
      <c r="O186" s="137"/>
      <c r="P186" s="140">
        <f t="shared" si="90"/>
        <v>0</v>
      </c>
      <c r="Q186" s="135"/>
      <c r="R186" s="104">
        <f t="shared" si="91"/>
        <v>0.34555115384615381</v>
      </c>
      <c r="S186" s="137"/>
      <c r="T186" s="141">
        <f t="shared" si="92"/>
        <v>8.6387788461538426E-2</v>
      </c>
      <c r="U186" s="199">
        <f t="shared" si="93"/>
        <v>0.12764384615384627</v>
      </c>
      <c r="V186" s="37" t="str">
        <f t="shared" si="94"/>
        <v>ok</v>
      </c>
      <c r="W186" s="37" t="str">
        <f t="shared" si="95"/>
        <v>ok</v>
      </c>
    </row>
    <row r="187" spans="1:23" x14ac:dyDescent="0.25">
      <c r="A187" s="426"/>
      <c r="B187" s="178" t="s">
        <v>21</v>
      </c>
      <c r="C187" s="129">
        <v>12</v>
      </c>
      <c r="D187" s="130">
        <f>'2.4.5.2 Durée de missions'!D187/BDA</f>
        <v>0.27354062500000004</v>
      </c>
      <c r="E187" s="131">
        <f>'2.4.5.2 Durée de missions'!E187/BDA</f>
        <v>0.23177211538461537</v>
      </c>
      <c r="F187" s="132">
        <f t="shared" si="64"/>
        <v>0.18541769230769231</v>
      </c>
      <c r="G187" s="133">
        <f t="shared" si="65"/>
        <v>4.6354423076923064E-2</v>
      </c>
      <c r="H187" s="134">
        <f t="shared" si="86"/>
        <v>0.23177211538461537</v>
      </c>
      <c r="I187" s="135"/>
      <c r="J187" s="136">
        <f t="shared" si="87"/>
        <v>4.1768509615384669E-2</v>
      </c>
      <c r="K187" s="137"/>
      <c r="L187" s="138">
        <f t="shared" si="88"/>
        <v>4.6354423076923064E-2</v>
      </c>
      <c r="M187" s="137"/>
      <c r="N187" s="139">
        <f t="shared" si="89"/>
        <v>0</v>
      </c>
      <c r="O187" s="137"/>
      <c r="P187" s="140">
        <f t="shared" si="90"/>
        <v>0</v>
      </c>
      <c r="Q187" s="135"/>
      <c r="R187" s="104">
        <f t="shared" si="91"/>
        <v>0.18541769230769231</v>
      </c>
      <c r="S187" s="137"/>
      <c r="T187" s="141">
        <f t="shared" si="92"/>
        <v>4.6354423076923064E-2</v>
      </c>
      <c r="U187" s="199">
        <f t="shared" si="93"/>
        <v>8.8122932692307726E-2</v>
      </c>
      <c r="V187" s="37" t="str">
        <f t="shared" si="94"/>
        <v>ok</v>
      </c>
      <c r="W187" s="37" t="str">
        <f t="shared" si="95"/>
        <v>ok</v>
      </c>
    </row>
    <row r="188" spans="1:23" x14ac:dyDescent="0.25">
      <c r="A188" s="426"/>
      <c r="B188" s="178" t="s">
        <v>22</v>
      </c>
      <c r="C188" s="129">
        <v>13</v>
      </c>
      <c r="D188" s="130">
        <f>'2.4.5.2 Durée de missions'!D188/BDA</f>
        <v>0.22085125</v>
      </c>
      <c r="E188" s="131">
        <f>'2.4.5.2 Durée de missions'!E188/BDA</f>
        <v>0.29498269230769225</v>
      </c>
      <c r="F188" s="132">
        <f t="shared" si="64"/>
        <v>0.23598615384615382</v>
      </c>
      <c r="G188" s="133">
        <f t="shared" si="65"/>
        <v>5.8996538461538441E-2</v>
      </c>
      <c r="H188" s="134">
        <f t="shared" si="86"/>
        <v>0.22085125</v>
      </c>
      <c r="I188" s="135"/>
      <c r="J188" s="136">
        <f t="shared" si="87"/>
        <v>0</v>
      </c>
      <c r="K188" s="137"/>
      <c r="L188" s="138">
        <f t="shared" si="88"/>
        <v>0</v>
      </c>
      <c r="M188" s="137"/>
      <c r="N188" s="139">
        <f t="shared" si="89"/>
        <v>1.5134903846153819E-2</v>
      </c>
      <c r="O188" s="137"/>
      <c r="P188" s="140">
        <f t="shared" si="90"/>
        <v>5.8996538461538441E-2</v>
      </c>
      <c r="Q188" s="135"/>
      <c r="R188" s="104">
        <f t="shared" si="91"/>
        <v>0.22085125</v>
      </c>
      <c r="S188" s="137"/>
      <c r="T188" s="141">
        <f t="shared" si="92"/>
        <v>7.4131442307692252E-2</v>
      </c>
      <c r="U188" s="199">
        <f t="shared" si="93"/>
        <v>0</v>
      </c>
      <c r="V188" s="37" t="str">
        <f t="shared" si="94"/>
        <v>ok</v>
      </c>
      <c r="W188" s="37" t="str">
        <f t="shared" si="95"/>
        <v>ok</v>
      </c>
    </row>
    <row r="189" spans="1:23" x14ac:dyDescent="0.25">
      <c r="A189" s="426"/>
      <c r="B189" s="178" t="s">
        <v>23</v>
      </c>
      <c r="C189" s="129">
        <v>14</v>
      </c>
      <c r="D189" s="130">
        <f>'2.4.5.2 Durée de missions'!D189/BDA</f>
        <v>0.42070750000000001</v>
      </c>
      <c r="E189" s="131">
        <f>'2.4.5.2 Durée de missions'!E189/BDA</f>
        <v>0.40033365384615383</v>
      </c>
      <c r="F189" s="132">
        <f t="shared" si="64"/>
        <v>0.32026692307692306</v>
      </c>
      <c r="G189" s="133">
        <f t="shared" si="65"/>
        <v>8.0066730769230751E-2</v>
      </c>
      <c r="H189" s="134">
        <f t="shared" si="86"/>
        <v>0.40033365384615383</v>
      </c>
      <c r="I189" s="135"/>
      <c r="J189" s="136">
        <f t="shared" si="87"/>
        <v>2.0373846153846187E-2</v>
      </c>
      <c r="K189" s="137"/>
      <c r="L189" s="138">
        <f t="shared" si="88"/>
        <v>8.0066730769230751E-2</v>
      </c>
      <c r="M189" s="137"/>
      <c r="N189" s="139">
        <f t="shared" si="89"/>
        <v>0</v>
      </c>
      <c r="O189" s="137"/>
      <c r="P189" s="140">
        <f t="shared" si="90"/>
        <v>0</v>
      </c>
      <c r="Q189" s="135"/>
      <c r="R189" s="104">
        <f t="shared" si="91"/>
        <v>0.32026692307692306</v>
      </c>
      <c r="S189" s="137"/>
      <c r="T189" s="141">
        <f t="shared" si="92"/>
        <v>8.0066730769230751E-2</v>
      </c>
      <c r="U189" s="199">
        <f t="shared" si="93"/>
        <v>0.10044057692307694</v>
      </c>
      <c r="V189" s="37" t="str">
        <f t="shared" si="94"/>
        <v>ok</v>
      </c>
      <c r="W189" s="37" t="str">
        <f t="shared" si="95"/>
        <v>ok</v>
      </c>
    </row>
    <row r="190" spans="1:23" x14ac:dyDescent="0.25">
      <c r="A190" s="426"/>
      <c r="B190" s="178" t="s">
        <v>19</v>
      </c>
      <c r="C190" s="129">
        <v>17</v>
      </c>
      <c r="D190" s="130">
        <f>'2.4.5.2 Durée de missions'!D190/BDA</f>
        <v>0.36559562500000004</v>
      </c>
      <c r="E190" s="131">
        <f>'2.4.5.2 Durée de missions'!E190/BDA</f>
        <v>0.63210576923076911</v>
      </c>
      <c r="F190" s="132">
        <f t="shared" si="64"/>
        <v>0.50568461538461529</v>
      </c>
      <c r="G190" s="133">
        <f t="shared" si="65"/>
        <v>0.12642115384615379</v>
      </c>
      <c r="H190" s="134">
        <f t="shared" si="86"/>
        <v>0.36559562500000004</v>
      </c>
      <c r="I190" s="135"/>
      <c r="J190" s="136">
        <f t="shared" si="87"/>
        <v>0</v>
      </c>
      <c r="K190" s="137"/>
      <c r="L190" s="138">
        <f t="shared" si="88"/>
        <v>0</v>
      </c>
      <c r="M190" s="137"/>
      <c r="N190" s="139">
        <f t="shared" si="89"/>
        <v>0.14008899038461525</v>
      </c>
      <c r="O190" s="137"/>
      <c r="P190" s="140">
        <f t="shared" si="90"/>
        <v>0.12642115384615379</v>
      </c>
      <c r="Q190" s="135"/>
      <c r="R190" s="104">
        <f t="shared" si="91"/>
        <v>0.36559562500000004</v>
      </c>
      <c r="S190" s="137"/>
      <c r="T190" s="141">
        <f t="shared" si="92"/>
        <v>0.26651014423076902</v>
      </c>
      <c r="U190" s="199">
        <f t="shared" si="93"/>
        <v>0</v>
      </c>
      <c r="V190" s="37" t="str">
        <f t="shared" si="94"/>
        <v>ok</v>
      </c>
      <c r="W190" s="37" t="str">
        <f t="shared" si="95"/>
        <v>ok</v>
      </c>
    </row>
    <row r="191" spans="1:23" x14ac:dyDescent="0.25">
      <c r="A191" s="426"/>
      <c r="B191" s="178" t="s">
        <v>20</v>
      </c>
      <c r="C191" s="129">
        <v>18</v>
      </c>
      <c r="D191" s="130">
        <f>'2.4.5.2 Durée de missions'!D191/BDA</f>
        <v>0.28706625000000002</v>
      </c>
      <c r="E191" s="131">
        <f>'2.4.5.2 Durée de missions'!E191/BDA</f>
        <v>0.48461442307692304</v>
      </c>
      <c r="F191" s="132">
        <f t="shared" si="64"/>
        <v>0.38769153846153848</v>
      </c>
      <c r="G191" s="133">
        <f t="shared" si="65"/>
        <v>9.6922884615384591E-2</v>
      </c>
      <c r="H191" s="134">
        <f t="shared" si="86"/>
        <v>0.28706625000000002</v>
      </c>
      <c r="I191" s="135"/>
      <c r="J191" s="136">
        <f t="shared" si="87"/>
        <v>0</v>
      </c>
      <c r="K191" s="137"/>
      <c r="L191" s="138">
        <f t="shared" si="88"/>
        <v>0</v>
      </c>
      <c r="M191" s="137"/>
      <c r="N191" s="139">
        <f t="shared" si="89"/>
        <v>0.10062528846153845</v>
      </c>
      <c r="O191" s="137"/>
      <c r="P191" s="140">
        <f t="shared" si="90"/>
        <v>9.6922884615384591E-2</v>
      </c>
      <c r="Q191" s="135"/>
      <c r="R191" s="104">
        <f t="shared" si="91"/>
        <v>0.28706625000000002</v>
      </c>
      <c r="S191" s="137"/>
      <c r="T191" s="141">
        <f t="shared" si="92"/>
        <v>0.19754817307692304</v>
      </c>
      <c r="U191" s="199">
        <f t="shared" si="93"/>
        <v>0</v>
      </c>
      <c r="V191" s="37" t="str">
        <f t="shared" si="94"/>
        <v>ok</v>
      </c>
      <c r="W191" s="37" t="str">
        <f t="shared" si="95"/>
        <v>ok</v>
      </c>
    </row>
    <row r="192" spans="1:23" x14ac:dyDescent="0.25">
      <c r="A192" s="426"/>
      <c r="B192" s="178" t="s">
        <v>21</v>
      </c>
      <c r="C192" s="129">
        <v>19</v>
      </c>
      <c r="D192" s="130">
        <f>'2.4.5.2 Durée de missions'!D192/BDA</f>
        <v>0.12556624999999999</v>
      </c>
      <c r="E192" s="131">
        <f>'2.4.5.2 Durée de missions'!E192/BDA</f>
        <v>0.23177211538461537</v>
      </c>
      <c r="F192" s="132">
        <f t="shared" si="64"/>
        <v>0.18541769230769231</v>
      </c>
      <c r="G192" s="133">
        <f t="shared" si="65"/>
        <v>4.6354423076923064E-2</v>
      </c>
      <c r="H192" s="134">
        <f t="shared" si="86"/>
        <v>0.12556624999999999</v>
      </c>
      <c r="I192" s="135"/>
      <c r="J192" s="136">
        <f t="shared" si="87"/>
        <v>0</v>
      </c>
      <c r="K192" s="137"/>
      <c r="L192" s="138">
        <f t="shared" si="88"/>
        <v>0</v>
      </c>
      <c r="M192" s="137"/>
      <c r="N192" s="139">
        <f t="shared" si="89"/>
        <v>5.9851442307692321E-2</v>
      </c>
      <c r="O192" s="137"/>
      <c r="P192" s="140">
        <f t="shared" si="90"/>
        <v>4.6354423076923064E-2</v>
      </c>
      <c r="Q192" s="135"/>
      <c r="R192" s="104">
        <f t="shared" si="91"/>
        <v>0.12556624999999999</v>
      </c>
      <c r="S192" s="137"/>
      <c r="T192" s="141">
        <f t="shared" si="92"/>
        <v>0.10620586538461538</v>
      </c>
      <c r="U192" s="199">
        <f t="shared" si="93"/>
        <v>0</v>
      </c>
      <c r="V192" s="37" t="str">
        <f t="shared" si="94"/>
        <v>ok</v>
      </c>
      <c r="W192" s="37" t="str">
        <f t="shared" si="95"/>
        <v>ok</v>
      </c>
    </row>
    <row r="193" spans="1:23" x14ac:dyDescent="0.25">
      <c r="A193" s="426"/>
      <c r="B193" s="178" t="s">
        <v>22</v>
      </c>
      <c r="C193" s="129">
        <v>20</v>
      </c>
      <c r="D193" s="130">
        <f>'2.4.5.2 Durée de missions'!D193/BDA</f>
        <v>8.7613750000000018E-2</v>
      </c>
      <c r="E193" s="131">
        <f>'2.4.5.2 Durée de missions'!E193/BDA</f>
        <v>0.38979855769230765</v>
      </c>
      <c r="F193" s="132">
        <f t="shared" si="64"/>
        <v>0.31183884615384616</v>
      </c>
      <c r="G193" s="133">
        <f t="shared" si="65"/>
        <v>7.7959711538461512E-2</v>
      </c>
      <c r="H193" s="134">
        <f t="shared" si="86"/>
        <v>8.7613750000000018E-2</v>
      </c>
      <c r="I193" s="135"/>
      <c r="J193" s="136">
        <f t="shared" si="87"/>
        <v>0</v>
      </c>
      <c r="K193" s="137"/>
      <c r="L193" s="138">
        <f t="shared" si="88"/>
        <v>0</v>
      </c>
      <c r="M193" s="137"/>
      <c r="N193" s="139">
        <f t="shared" si="89"/>
        <v>0.22422509615384614</v>
      </c>
      <c r="O193" s="137"/>
      <c r="P193" s="140">
        <f t="shared" si="90"/>
        <v>7.7959711538461512E-2</v>
      </c>
      <c r="Q193" s="135"/>
      <c r="R193" s="104">
        <f t="shared" si="91"/>
        <v>8.7613750000000018E-2</v>
      </c>
      <c r="S193" s="137"/>
      <c r="T193" s="141">
        <f t="shared" si="92"/>
        <v>0.30218480769230766</v>
      </c>
      <c r="U193" s="199">
        <f t="shared" si="93"/>
        <v>0</v>
      </c>
      <c r="V193" s="37" t="str">
        <f t="shared" si="94"/>
        <v>ok</v>
      </c>
      <c r="W193" s="37" t="str">
        <f t="shared" si="95"/>
        <v>ok</v>
      </c>
    </row>
    <row r="194" spans="1:23" x14ac:dyDescent="0.25">
      <c r="A194" s="426"/>
      <c r="B194" s="178" t="s">
        <v>23</v>
      </c>
      <c r="C194" s="129">
        <v>21</v>
      </c>
      <c r="D194" s="130">
        <f>'2.4.5.2 Durée de missions'!D194/BDA</f>
        <v>0.18168749999999997</v>
      </c>
      <c r="E194" s="131">
        <f>'2.4.5.2 Durée de missions'!E194/BDA</f>
        <v>0.46354423076923074</v>
      </c>
      <c r="F194" s="132">
        <f t="shared" si="64"/>
        <v>0.37083538461538462</v>
      </c>
      <c r="G194" s="133">
        <f t="shared" si="65"/>
        <v>9.2708846153846128E-2</v>
      </c>
      <c r="H194" s="134">
        <f t="shared" si="86"/>
        <v>0.18168749999999997</v>
      </c>
      <c r="I194" s="135"/>
      <c r="J194" s="136">
        <f t="shared" si="87"/>
        <v>0</v>
      </c>
      <c r="K194" s="137"/>
      <c r="L194" s="138">
        <f t="shared" si="88"/>
        <v>0</v>
      </c>
      <c r="M194" s="137"/>
      <c r="N194" s="139">
        <f t="shared" si="89"/>
        <v>0.18914788461538465</v>
      </c>
      <c r="O194" s="137"/>
      <c r="P194" s="140">
        <f t="shared" si="90"/>
        <v>9.2708846153846128E-2</v>
      </c>
      <c r="Q194" s="135"/>
      <c r="R194" s="104">
        <f t="shared" si="91"/>
        <v>0.18168749999999997</v>
      </c>
      <c r="S194" s="137"/>
      <c r="T194" s="141">
        <f t="shared" si="92"/>
        <v>0.28185673076923079</v>
      </c>
      <c r="U194" s="199">
        <f t="shared" si="93"/>
        <v>0</v>
      </c>
      <c r="V194" s="37" t="str">
        <f t="shared" si="94"/>
        <v>ok</v>
      </c>
      <c r="W194" s="37" t="str">
        <f t="shared" si="95"/>
        <v>ok</v>
      </c>
    </row>
    <row r="195" spans="1:23" x14ac:dyDescent="0.25">
      <c r="A195" s="426"/>
      <c r="B195" s="178" t="s">
        <v>19</v>
      </c>
      <c r="C195" s="129">
        <v>24</v>
      </c>
      <c r="D195" s="130">
        <f>'2.4.5.2 Durée de missions'!D195/BDA</f>
        <v>0.7291725</v>
      </c>
      <c r="E195" s="131">
        <f>'2.4.5.2 Durée de missions'!E195/BDA</f>
        <v>0.52148725961538456</v>
      </c>
      <c r="F195" s="132">
        <f t="shared" si="64"/>
        <v>0.41718980769230768</v>
      </c>
      <c r="G195" s="133">
        <f t="shared" si="65"/>
        <v>0.10429745192307689</v>
      </c>
      <c r="H195" s="134">
        <f t="shared" si="86"/>
        <v>0.52148725961538456</v>
      </c>
      <c r="I195" s="135"/>
      <c r="J195" s="136">
        <f t="shared" si="87"/>
        <v>0.20768524038461544</v>
      </c>
      <c r="K195" s="137"/>
      <c r="L195" s="138">
        <f t="shared" si="88"/>
        <v>0.10429745192307689</v>
      </c>
      <c r="M195" s="137"/>
      <c r="N195" s="139">
        <f t="shared" si="89"/>
        <v>0</v>
      </c>
      <c r="O195" s="137"/>
      <c r="P195" s="140">
        <f t="shared" si="90"/>
        <v>0</v>
      </c>
      <c r="Q195" s="135"/>
      <c r="R195" s="104">
        <f t="shared" si="91"/>
        <v>0.41718980769230768</v>
      </c>
      <c r="S195" s="137"/>
      <c r="T195" s="141">
        <f t="shared" si="92"/>
        <v>0.10429745192307689</v>
      </c>
      <c r="U195" s="199">
        <f t="shared" si="93"/>
        <v>0.31198269230769232</v>
      </c>
      <c r="V195" s="37" t="str">
        <f t="shared" si="94"/>
        <v>ok</v>
      </c>
      <c r="W195" s="37" t="str">
        <f t="shared" si="95"/>
        <v>ok</v>
      </c>
    </row>
    <row r="196" spans="1:23" x14ac:dyDescent="0.25">
      <c r="A196" s="426"/>
      <c r="B196" s="178" t="s">
        <v>20</v>
      </c>
      <c r="C196" s="129">
        <v>25</v>
      </c>
      <c r="D196" s="130">
        <f>'2.4.5.2 Durée de missions'!D196/BDA</f>
        <v>0.5935125</v>
      </c>
      <c r="E196" s="131">
        <f>'2.4.5.2 Durée de missions'!E196/BDA</f>
        <v>0.33038061538461538</v>
      </c>
      <c r="F196" s="132">
        <f t="shared" si="64"/>
        <v>0.26430449230769232</v>
      </c>
      <c r="G196" s="133">
        <f t="shared" si="65"/>
        <v>6.6076123076923066E-2</v>
      </c>
      <c r="H196" s="134">
        <f t="shared" si="86"/>
        <v>0.33038061538461538</v>
      </c>
      <c r="I196" s="135"/>
      <c r="J196" s="136">
        <f t="shared" si="87"/>
        <v>0.26313188461538461</v>
      </c>
      <c r="K196" s="137"/>
      <c r="L196" s="138">
        <f t="shared" si="88"/>
        <v>6.6076123076923066E-2</v>
      </c>
      <c r="M196" s="137"/>
      <c r="N196" s="139">
        <f t="shared" si="89"/>
        <v>0</v>
      </c>
      <c r="O196" s="137"/>
      <c r="P196" s="140">
        <f t="shared" si="90"/>
        <v>0</v>
      </c>
      <c r="Q196" s="135"/>
      <c r="R196" s="104">
        <f t="shared" si="91"/>
        <v>0.26430449230769232</v>
      </c>
      <c r="S196" s="137"/>
      <c r="T196" s="141">
        <f t="shared" si="92"/>
        <v>6.6076123076923066E-2</v>
      </c>
      <c r="U196" s="199">
        <f t="shared" si="93"/>
        <v>0.32920800769230768</v>
      </c>
      <c r="V196" s="37" t="str">
        <f t="shared" si="94"/>
        <v>ok</v>
      </c>
      <c r="W196" s="37" t="str">
        <f t="shared" si="95"/>
        <v>ok</v>
      </c>
    </row>
    <row r="197" spans="1:23" x14ac:dyDescent="0.25">
      <c r="A197" s="426"/>
      <c r="B197" s="178" t="s">
        <v>21</v>
      </c>
      <c r="C197" s="129">
        <v>26</v>
      </c>
      <c r="D197" s="130">
        <f>'2.4.5.2 Durée de missions'!D197/BDA</f>
        <v>0.34197625000000004</v>
      </c>
      <c r="E197" s="131">
        <f>'2.4.5.2 Durée de missions'!E197/BDA</f>
        <v>0.15655152884615384</v>
      </c>
      <c r="F197" s="132">
        <f t="shared" ref="F197:F260" si="96">E197*TC</f>
        <v>0.12524122307692306</v>
      </c>
      <c r="G197" s="133">
        <f t="shared" ref="G197:G260" si="97">E197*(1-TC)</f>
        <v>3.1310305769230759E-2</v>
      </c>
      <c r="H197" s="134">
        <f t="shared" si="86"/>
        <v>0.15655152884615384</v>
      </c>
      <c r="I197" s="135"/>
      <c r="J197" s="136">
        <f t="shared" si="87"/>
        <v>0.1854247211538462</v>
      </c>
      <c r="K197" s="137"/>
      <c r="L197" s="138">
        <f t="shared" si="88"/>
        <v>3.1310305769230759E-2</v>
      </c>
      <c r="M197" s="137"/>
      <c r="N197" s="139">
        <f t="shared" si="89"/>
        <v>0</v>
      </c>
      <c r="O197" s="137"/>
      <c r="P197" s="140">
        <f t="shared" si="90"/>
        <v>0</v>
      </c>
      <c r="Q197" s="135"/>
      <c r="R197" s="104">
        <f t="shared" si="91"/>
        <v>0.12524122307692309</v>
      </c>
      <c r="S197" s="137"/>
      <c r="T197" s="141">
        <f t="shared" si="92"/>
        <v>3.1310305769230759E-2</v>
      </c>
      <c r="U197" s="199">
        <f t="shared" si="93"/>
        <v>0.21673502692307695</v>
      </c>
      <c r="V197" s="37" t="str">
        <f t="shared" si="94"/>
        <v>ok</v>
      </c>
      <c r="W197" s="37" t="str">
        <f t="shared" si="95"/>
        <v>ok</v>
      </c>
    </row>
    <row r="198" spans="1:23" x14ac:dyDescent="0.25">
      <c r="A198" s="426"/>
      <c r="B198" s="178" t="s">
        <v>22</v>
      </c>
      <c r="C198" s="129">
        <v>27</v>
      </c>
      <c r="D198" s="130">
        <f>'2.4.5.2 Durée de missions'!D198/BDA</f>
        <v>0.28000062500000006</v>
      </c>
      <c r="E198" s="131">
        <f>'2.4.5.2 Durée de missions'!E198/BDA</f>
        <v>0.20859490384615381</v>
      </c>
      <c r="F198" s="132">
        <f t="shared" si="96"/>
        <v>0.16687592307692306</v>
      </c>
      <c r="G198" s="133">
        <f t="shared" si="97"/>
        <v>4.1718980769230751E-2</v>
      </c>
      <c r="H198" s="134">
        <f t="shared" si="86"/>
        <v>0.20859490384615381</v>
      </c>
      <c r="I198" s="135"/>
      <c r="J198" s="136">
        <f t="shared" si="87"/>
        <v>7.1405721153846247E-2</v>
      </c>
      <c r="K198" s="137"/>
      <c r="L198" s="138">
        <f t="shared" si="88"/>
        <v>4.1718980769230751E-2</v>
      </c>
      <c r="M198" s="137"/>
      <c r="N198" s="139">
        <f t="shared" si="89"/>
        <v>0</v>
      </c>
      <c r="O198" s="137"/>
      <c r="P198" s="140">
        <f t="shared" si="90"/>
        <v>0</v>
      </c>
      <c r="Q198" s="135"/>
      <c r="R198" s="104">
        <f t="shared" si="91"/>
        <v>0.16687592307692306</v>
      </c>
      <c r="S198" s="137"/>
      <c r="T198" s="141">
        <f t="shared" si="92"/>
        <v>4.1718980769230751E-2</v>
      </c>
      <c r="U198" s="199">
        <f t="shared" si="93"/>
        <v>0.113124701923077</v>
      </c>
      <c r="V198" s="37" t="str">
        <f t="shared" si="94"/>
        <v>ok</v>
      </c>
      <c r="W198" s="37" t="str">
        <f t="shared" si="95"/>
        <v>ok</v>
      </c>
    </row>
    <row r="199" spans="1:23" ht="15.75" thickBot="1" x14ac:dyDescent="0.3">
      <c r="A199" s="427"/>
      <c r="B199" s="277" t="s">
        <v>23</v>
      </c>
      <c r="C199" s="165">
        <v>28</v>
      </c>
      <c r="D199" s="202">
        <f>'2.4.5.2 Durée de missions'!D199/BDA</f>
        <v>0.52588437500000007</v>
      </c>
      <c r="E199" s="203">
        <f>'2.4.5.2 Durée de missions'!E199/BDA</f>
        <v>0.33038061538461538</v>
      </c>
      <c r="F199" s="204">
        <f t="shared" si="96"/>
        <v>0.26430449230769232</v>
      </c>
      <c r="G199" s="205">
        <f t="shared" si="97"/>
        <v>6.6076123076923066E-2</v>
      </c>
      <c r="H199" s="206">
        <f t="shared" si="86"/>
        <v>0.33038061538461538</v>
      </c>
      <c r="I199" s="207"/>
      <c r="J199" s="208">
        <f t="shared" si="87"/>
        <v>0.19550375961538469</v>
      </c>
      <c r="K199" s="209"/>
      <c r="L199" s="210">
        <f t="shared" si="88"/>
        <v>6.6076123076923066E-2</v>
      </c>
      <c r="M199" s="209"/>
      <c r="N199" s="211">
        <f t="shared" si="89"/>
        <v>0</v>
      </c>
      <c r="O199" s="209"/>
      <c r="P199" s="212">
        <f t="shared" si="90"/>
        <v>0</v>
      </c>
      <c r="Q199" s="207"/>
      <c r="R199" s="213">
        <f t="shared" si="91"/>
        <v>0.26430449230769232</v>
      </c>
      <c r="S199" s="209"/>
      <c r="T199" s="214">
        <f t="shared" si="92"/>
        <v>6.6076123076923066E-2</v>
      </c>
      <c r="U199" s="215">
        <f t="shared" si="93"/>
        <v>0.26157988269230775</v>
      </c>
      <c r="V199" s="37" t="str">
        <f t="shared" si="94"/>
        <v>ok</v>
      </c>
      <c r="W199" s="37" t="str">
        <f t="shared" si="95"/>
        <v>ok</v>
      </c>
    </row>
    <row r="200" spans="1:23" x14ac:dyDescent="0.25">
      <c r="A200" s="425" t="s">
        <v>98</v>
      </c>
      <c r="B200" s="276" t="s">
        <v>19</v>
      </c>
      <c r="C200" s="247">
        <v>1</v>
      </c>
      <c r="D200" s="184">
        <f>'2.4.5.2 Durée de missions'!D200/BDA</f>
        <v>0.2738266826923077</v>
      </c>
      <c r="E200" s="185">
        <f>'2.4.5.2 Durée de missions'!E200/BDA</f>
        <v>0.65343749999999978</v>
      </c>
      <c r="F200" s="186">
        <f t="shared" si="96"/>
        <v>0.52274999999999983</v>
      </c>
      <c r="G200" s="187">
        <f t="shared" si="97"/>
        <v>0.13068749999999993</v>
      </c>
      <c r="H200" s="188">
        <f>IF(E200&gt;D200,D200,E200)</f>
        <v>0.2738266826923077</v>
      </c>
      <c r="I200" s="189"/>
      <c r="J200" s="190">
        <f>IF(E200&gt;D200,0,D200-E200)</f>
        <v>0</v>
      </c>
      <c r="K200" s="191"/>
      <c r="L200" s="192">
        <f>IF(E200&gt;D200,IF(F200&gt;H200,0,H200-F200),G200)</f>
        <v>0</v>
      </c>
      <c r="M200" s="191"/>
      <c r="N200" s="193">
        <f>IF(E200&gt;D200,IF(F200&gt;H200,F200-H200,0),0)</f>
        <v>0.24892331730769213</v>
      </c>
      <c r="O200" s="191"/>
      <c r="P200" s="194">
        <f>IF(E200&gt;D200,IF(F200&gt;H200,G200,E200-H200),0)</f>
        <v>0.13068749999999993</v>
      </c>
      <c r="Q200" s="189"/>
      <c r="R200" s="195">
        <f>H200-L200</f>
        <v>0.2738266826923077</v>
      </c>
      <c r="S200" s="191"/>
      <c r="T200" s="196">
        <f>L200+N200+P200</f>
        <v>0.37961081730769208</v>
      </c>
      <c r="U200" s="197">
        <f>J200+L200</f>
        <v>0</v>
      </c>
      <c r="V200" s="37" t="str">
        <f>IF(R200+T200=E200,"ok","bad")</f>
        <v>ok</v>
      </c>
      <c r="W200" s="37" t="str">
        <f>IF(U200+R200=D200,"ok","bad")</f>
        <v>ok</v>
      </c>
    </row>
    <row r="201" spans="1:23" x14ac:dyDescent="0.25">
      <c r="A201" s="426"/>
      <c r="B201" s="178" t="s">
        <v>20</v>
      </c>
      <c r="C201" s="129">
        <v>2</v>
      </c>
      <c r="D201" s="130">
        <f>'2.4.5.2 Durée de missions'!D201/BDA</f>
        <v>0.21500913461538465</v>
      </c>
      <c r="E201" s="131">
        <f>'2.4.5.2 Durée de missions'!E201/BDA</f>
        <v>0.47918749999999999</v>
      </c>
      <c r="F201" s="132">
        <f t="shared" si="96"/>
        <v>0.38335000000000002</v>
      </c>
      <c r="G201" s="133">
        <f t="shared" si="97"/>
        <v>9.5837499999999978E-2</v>
      </c>
      <c r="H201" s="134">
        <f t="shared" ref="H201:H222" si="98">IF(E201&gt;D201,D201,E201)</f>
        <v>0.21500913461538465</v>
      </c>
      <c r="I201" s="135"/>
      <c r="J201" s="136">
        <f t="shared" ref="J201:J222" si="99">IF(E201&gt;D201,0,D201-E201)</f>
        <v>0</v>
      </c>
      <c r="K201" s="137"/>
      <c r="L201" s="138">
        <f t="shared" ref="L201:L222" si="100">IF(E201&gt;D201,IF(F201&gt;H201,0,H201-F201),G201)</f>
        <v>0</v>
      </c>
      <c r="M201" s="137"/>
      <c r="N201" s="139">
        <f t="shared" ref="N201:N222" si="101">IF(E201&gt;D201,IF(F201&gt;H201,F201-H201,0),0)</f>
        <v>0.16834086538461537</v>
      </c>
      <c r="O201" s="137"/>
      <c r="P201" s="140">
        <f t="shared" ref="P201:P222" si="102">IF(E201&gt;D201,IF(F201&gt;H201,G201,E201-H201),0)</f>
        <v>9.5837499999999978E-2</v>
      </c>
      <c r="Q201" s="135"/>
      <c r="R201" s="104">
        <f t="shared" ref="R201:R222" si="103">H201-L201</f>
        <v>0.21500913461538465</v>
      </c>
      <c r="S201" s="137"/>
      <c r="T201" s="141">
        <f t="shared" ref="T201:T222" si="104">L201+N201+P201</f>
        <v>0.26417836538461537</v>
      </c>
      <c r="U201" s="199">
        <f t="shared" ref="U201:U222" si="105">J201+L201</f>
        <v>0</v>
      </c>
      <c r="V201" s="37" t="str">
        <f t="shared" ref="V201:V222" si="106">IF(R201+T201=E201,"ok","bad")</f>
        <v>ok</v>
      </c>
      <c r="W201" s="37" t="str">
        <f t="shared" ref="W201:W222" si="107">IF(U201+R201=D201,"ok","bad")</f>
        <v>ok</v>
      </c>
    </row>
    <row r="202" spans="1:23" x14ac:dyDescent="0.25">
      <c r="A202" s="426"/>
      <c r="B202" s="178" t="s">
        <v>21</v>
      </c>
      <c r="C202" s="129">
        <v>3</v>
      </c>
      <c r="D202" s="130">
        <f>'2.4.5.2 Durée de missions'!D202/BDA</f>
        <v>9.4047596153846141E-2</v>
      </c>
      <c r="E202" s="131">
        <f>'2.4.5.2 Durée de missions'!E202/BDA</f>
        <v>0.19603124999999993</v>
      </c>
      <c r="F202" s="132">
        <f t="shared" si="96"/>
        <v>0.15682499999999996</v>
      </c>
      <c r="G202" s="133">
        <f t="shared" si="97"/>
        <v>3.9206249999999977E-2</v>
      </c>
      <c r="H202" s="134">
        <f t="shared" si="98"/>
        <v>9.4047596153846141E-2</v>
      </c>
      <c r="I202" s="135"/>
      <c r="J202" s="136">
        <f t="shared" si="99"/>
        <v>0</v>
      </c>
      <c r="K202" s="137"/>
      <c r="L202" s="138">
        <f t="shared" si="100"/>
        <v>0</v>
      </c>
      <c r="M202" s="137"/>
      <c r="N202" s="139">
        <f t="shared" si="101"/>
        <v>6.2777403846153823E-2</v>
      </c>
      <c r="O202" s="137"/>
      <c r="P202" s="140">
        <f t="shared" si="102"/>
        <v>3.9206249999999977E-2</v>
      </c>
      <c r="Q202" s="135"/>
      <c r="R202" s="104">
        <f t="shared" si="103"/>
        <v>9.4047596153846141E-2</v>
      </c>
      <c r="S202" s="137"/>
      <c r="T202" s="141">
        <f t="shared" si="104"/>
        <v>0.10198365384615379</v>
      </c>
      <c r="U202" s="199">
        <f t="shared" si="105"/>
        <v>0</v>
      </c>
      <c r="V202" s="37" t="str">
        <f t="shared" si="106"/>
        <v>ok</v>
      </c>
      <c r="W202" s="37" t="str">
        <f t="shared" si="107"/>
        <v>ok</v>
      </c>
    </row>
    <row r="203" spans="1:23" x14ac:dyDescent="0.25">
      <c r="A203" s="426"/>
      <c r="B203" s="178" t="s">
        <v>22</v>
      </c>
      <c r="C203" s="129">
        <v>4</v>
      </c>
      <c r="D203" s="130">
        <f>'2.4.5.2 Durée de missions'!D203/BDA</f>
        <v>6.5621634615384616E-2</v>
      </c>
      <c r="E203" s="131">
        <f>'2.4.5.2 Durée de missions'!E203/BDA</f>
        <v>0.29404687499999999</v>
      </c>
      <c r="F203" s="132">
        <f t="shared" si="96"/>
        <v>0.23523749999999999</v>
      </c>
      <c r="G203" s="133">
        <f t="shared" si="97"/>
        <v>5.8809374999999983E-2</v>
      </c>
      <c r="H203" s="134">
        <f t="shared" si="98"/>
        <v>6.5621634615384616E-2</v>
      </c>
      <c r="I203" s="135"/>
      <c r="J203" s="136">
        <f t="shared" si="99"/>
        <v>0</v>
      </c>
      <c r="K203" s="137"/>
      <c r="L203" s="138">
        <f t="shared" si="100"/>
        <v>0</v>
      </c>
      <c r="M203" s="137"/>
      <c r="N203" s="139">
        <f t="shared" si="101"/>
        <v>0.16961586538461537</v>
      </c>
      <c r="O203" s="137"/>
      <c r="P203" s="140">
        <f t="shared" si="102"/>
        <v>5.8809374999999983E-2</v>
      </c>
      <c r="Q203" s="135"/>
      <c r="R203" s="104">
        <f t="shared" si="103"/>
        <v>6.5621634615384616E-2</v>
      </c>
      <c r="S203" s="137"/>
      <c r="T203" s="141">
        <f t="shared" si="104"/>
        <v>0.22842524038461537</v>
      </c>
      <c r="U203" s="199">
        <f t="shared" si="105"/>
        <v>0</v>
      </c>
      <c r="V203" s="37" t="str">
        <f t="shared" si="106"/>
        <v>ok</v>
      </c>
      <c r="W203" s="37" t="str">
        <f t="shared" si="107"/>
        <v>ok</v>
      </c>
    </row>
    <row r="204" spans="1:23" x14ac:dyDescent="0.25">
      <c r="A204" s="426"/>
      <c r="B204" s="178" t="s">
        <v>23</v>
      </c>
      <c r="C204" s="129">
        <v>5</v>
      </c>
      <c r="D204" s="130">
        <f>'2.4.5.2 Durée de missions'!D204/BDA</f>
        <v>0.13608173076923077</v>
      </c>
      <c r="E204" s="131">
        <f>'2.4.5.2 Durée de missions'!E204/BDA</f>
        <v>0.47918749999999999</v>
      </c>
      <c r="F204" s="132">
        <f t="shared" si="96"/>
        <v>0.38335000000000002</v>
      </c>
      <c r="G204" s="133">
        <f t="shared" si="97"/>
        <v>9.5837499999999978E-2</v>
      </c>
      <c r="H204" s="134">
        <f t="shared" si="98"/>
        <v>0.13608173076923077</v>
      </c>
      <c r="I204" s="135"/>
      <c r="J204" s="136">
        <f t="shared" si="99"/>
        <v>0</v>
      </c>
      <c r="K204" s="137"/>
      <c r="L204" s="138">
        <f t="shared" si="100"/>
        <v>0</v>
      </c>
      <c r="M204" s="137"/>
      <c r="N204" s="139">
        <f t="shared" si="101"/>
        <v>0.24726826923076925</v>
      </c>
      <c r="O204" s="137"/>
      <c r="P204" s="140">
        <f t="shared" si="102"/>
        <v>9.5837499999999978E-2</v>
      </c>
      <c r="Q204" s="135"/>
      <c r="R204" s="104">
        <f t="shared" si="103"/>
        <v>0.13608173076923077</v>
      </c>
      <c r="S204" s="137"/>
      <c r="T204" s="141">
        <f t="shared" si="104"/>
        <v>0.34310576923076924</v>
      </c>
      <c r="U204" s="199">
        <f t="shared" si="105"/>
        <v>0</v>
      </c>
      <c r="V204" s="37" t="str">
        <f t="shared" si="106"/>
        <v>ok</v>
      </c>
      <c r="W204" s="37" t="str">
        <f t="shared" si="107"/>
        <v>ok</v>
      </c>
    </row>
    <row r="205" spans="1:23" x14ac:dyDescent="0.25">
      <c r="A205" s="426"/>
      <c r="B205" s="178" t="s">
        <v>19</v>
      </c>
      <c r="C205" s="129">
        <v>8</v>
      </c>
      <c r="D205" s="130">
        <f>'2.4.5.2 Durée de missions'!D205/BDA</f>
        <v>0.43697355769230772</v>
      </c>
      <c r="E205" s="131">
        <f>'2.4.5.2 Durée de missions'!E205/BDA</f>
        <v>0.33509615384615388</v>
      </c>
      <c r="F205" s="132">
        <f t="shared" si="96"/>
        <v>0.2680769230769231</v>
      </c>
      <c r="G205" s="133">
        <f t="shared" si="97"/>
        <v>6.7019230769230762E-2</v>
      </c>
      <c r="H205" s="134">
        <f t="shared" si="98"/>
        <v>0.33509615384615388</v>
      </c>
      <c r="I205" s="135"/>
      <c r="J205" s="136">
        <f t="shared" si="99"/>
        <v>0.10187740384615385</v>
      </c>
      <c r="K205" s="137"/>
      <c r="L205" s="138">
        <f t="shared" si="100"/>
        <v>6.7019230769230762E-2</v>
      </c>
      <c r="M205" s="137"/>
      <c r="N205" s="139">
        <f t="shared" si="101"/>
        <v>0</v>
      </c>
      <c r="O205" s="137"/>
      <c r="P205" s="140">
        <f t="shared" si="102"/>
        <v>0</v>
      </c>
      <c r="Q205" s="135"/>
      <c r="R205" s="104">
        <f t="shared" si="103"/>
        <v>0.2680769230769231</v>
      </c>
      <c r="S205" s="137"/>
      <c r="T205" s="141">
        <f t="shared" si="104"/>
        <v>6.7019230769230762E-2</v>
      </c>
      <c r="U205" s="199">
        <f t="shared" si="105"/>
        <v>0.16889663461538462</v>
      </c>
      <c r="V205" s="37" t="str">
        <f t="shared" si="106"/>
        <v>ok</v>
      </c>
      <c r="W205" s="37" t="str">
        <f t="shared" si="107"/>
        <v>ok</v>
      </c>
    </row>
    <row r="206" spans="1:23" x14ac:dyDescent="0.25">
      <c r="A206" s="426"/>
      <c r="B206" s="178" t="s">
        <v>20</v>
      </c>
      <c r="C206" s="129">
        <v>9</v>
      </c>
      <c r="D206" s="130">
        <f>'2.4.5.2 Durée de missions'!D206/BDA</f>
        <v>0.35441730769230773</v>
      </c>
      <c r="E206" s="131">
        <f>'2.4.5.2 Durée de missions'!E206/BDA</f>
        <v>0.3434735576923077</v>
      </c>
      <c r="F206" s="132">
        <f t="shared" si="96"/>
        <v>0.27477884615384618</v>
      </c>
      <c r="G206" s="133">
        <f t="shared" si="97"/>
        <v>6.8694711538461531E-2</v>
      </c>
      <c r="H206" s="134">
        <f t="shared" si="98"/>
        <v>0.3434735576923077</v>
      </c>
      <c r="I206" s="135"/>
      <c r="J206" s="136">
        <f t="shared" si="99"/>
        <v>1.094375000000003E-2</v>
      </c>
      <c r="K206" s="137"/>
      <c r="L206" s="138">
        <f t="shared" si="100"/>
        <v>6.8694711538461531E-2</v>
      </c>
      <c r="M206" s="137"/>
      <c r="N206" s="139">
        <f t="shared" si="101"/>
        <v>0</v>
      </c>
      <c r="O206" s="137"/>
      <c r="P206" s="140">
        <f t="shared" si="102"/>
        <v>0</v>
      </c>
      <c r="Q206" s="135"/>
      <c r="R206" s="104">
        <f t="shared" si="103"/>
        <v>0.27477884615384618</v>
      </c>
      <c r="S206" s="137"/>
      <c r="T206" s="141">
        <f t="shared" si="104"/>
        <v>6.8694711538461531E-2</v>
      </c>
      <c r="U206" s="199">
        <f t="shared" si="105"/>
        <v>7.9638461538461561E-2</v>
      </c>
      <c r="V206" s="37" t="str">
        <f t="shared" si="106"/>
        <v>ok</v>
      </c>
      <c r="W206" s="37" t="str">
        <f t="shared" si="107"/>
        <v>ok</v>
      </c>
    </row>
    <row r="207" spans="1:23" x14ac:dyDescent="0.25">
      <c r="A207" s="426"/>
      <c r="B207" s="178" t="s">
        <v>21</v>
      </c>
      <c r="C207" s="129">
        <v>10</v>
      </c>
      <c r="D207" s="130">
        <f>'2.4.5.2 Durée de missions'!D207/BDA</f>
        <v>0.20487860576923078</v>
      </c>
      <c r="E207" s="131">
        <f>'2.4.5.2 Durée de missions'!E207/BDA</f>
        <v>0.18430288461538458</v>
      </c>
      <c r="F207" s="132">
        <f t="shared" si="96"/>
        <v>0.14744230769230768</v>
      </c>
      <c r="G207" s="133">
        <f t="shared" si="97"/>
        <v>3.6860576923076906E-2</v>
      </c>
      <c r="H207" s="134">
        <f t="shared" si="98"/>
        <v>0.18430288461538458</v>
      </c>
      <c r="I207" s="135"/>
      <c r="J207" s="136">
        <f t="shared" si="99"/>
        <v>2.0575721153846205E-2</v>
      </c>
      <c r="K207" s="137"/>
      <c r="L207" s="138">
        <f t="shared" si="100"/>
        <v>3.6860576923076906E-2</v>
      </c>
      <c r="M207" s="137"/>
      <c r="N207" s="139">
        <f t="shared" si="101"/>
        <v>0</v>
      </c>
      <c r="O207" s="137"/>
      <c r="P207" s="140">
        <f t="shared" si="102"/>
        <v>0</v>
      </c>
      <c r="Q207" s="135"/>
      <c r="R207" s="104">
        <f t="shared" si="103"/>
        <v>0.14744230769230768</v>
      </c>
      <c r="S207" s="137"/>
      <c r="T207" s="141">
        <f t="shared" si="104"/>
        <v>3.6860576923076906E-2</v>
      </c>
      <c r="U207" s="199">
        <f t="shared" si="105"/>
        <v>5.743629807692311E-2</v>
      </c>
      <c r="V207" s="37" t="str">
        <f t="shared" si="106"/>
        <v>ok</v>
      </c>
      <c r="W207" s="37" t="str">
        <f t="shared" si="107"/>
        <v>ok</v>
      </c>
    </row>
    <row r="208" spans="1:23" x14ac:dyDescent="0.25">
      <c r="A208" s="426"/>
      <c r="B208" s="178" t="s">
        <v>22</v>
      </c>
      <c r="C208" s="129">
        <v>11</v>
      </c>
      <c r="D208" s="130">
        <f>'2.4.5.2 Durée de missions'!D208/BDA</f>
        <v>0.16541490384615384</v>
      </c>
      <c r="E208" s="131">
        <f>'2.4.5.2 Durée de missions'!E208/BDA</f>
        <v>0.23456730769230766</v>
      </c>
      <c r="F208" s="132">
        <f t="shared" si="96"/>
        <v>0.18765384615384614</v>
      </c>
      <c r="G208" s="133">
        <f t="shared" si="97"/>
        <v>4.6913461538461522E-2</v>
      </c>
      <c r="H208" s="134">
        <f t="shared" si="98"/>
        <v>0.16541490384615384</v>
      </c>
      <c r="I208" s="135"/>
      <c r="J208" s="136">
        <f t="shared" si="99"/>
        <v>0</v>
      </c>
      <c r="K208" s="137"/>
      <c r="L208" s="138">
        <f t="shared" si="100"/>
        <v>0</v>
      </c>
      <c r="M208" s="137"/>
      <c r="N208" s="139">
        <f t="shared" si="101"/>
        <v>2.22389423076923E-2</v>
      </c>
      <c r="O208" s="137"/>
      <c r="P208" s="140">
        <f t="shared" si="102"/>
        <v>4.6913461538461522E-2</v>
      </c>
      <c r="Q208" s="135"/>
      <c r="R208" s="104">
        <f t="shared" si="103"/>
        <v>0.16541490384615384</v>
      </c>
      <c r="S208" s="137"/>
      <c r="T208" s="141">
        <f t="shared" si="104"/>
        <v>6.9152403846153815E-2</v>
      </c>
      <c r="U208" s="199">
        <f t="shared" si="105"/>
        <v>0</v>
      </c>
      <c r="V208" s="37" t="str">
        <f t="shared" si="106"/>
        <v>ok</v>
      </c>
      <c r="W208" s="37" t="str">
        <f t="shared" si="107"/>
        <v>ok</v>
      </c>
    </row>
    <row r="209" spans="1:23" x14ac:dyDescent="0.25">
      <c r="A209" s="426"/>
      <c r="B209" s="178" t="s">
        <v>23</v>
      </c>
      <c r="C209" s="129">
        <v>12</v>
      </c>
      <c r="D209" s="130">
        <f>'2.4.5.2 Durée de missions'!D209/BDA</f>
        <v>0.31510480769230764</v>
      </c>
      <c r="E209" s="131">
        <f>'2.4.5.2 Durée de missions'!E209/BDA</f>
        <v>0.31834134615384613</v>
      </c>
      <c r="F209" s="132">
        <f t="shared" si="96"/>
        <v>0.25467307692307689</v>
      </c>
      <c r="G209" s="133">
        <f t="shared" si="97"/>
        <v>6.3668269230769209E-2</v>
      </c>
      <c r="H209" s="134">
        <f t="shared" si="98"/>
        <v>0.31510480769230764</v>
      </c>
      <c r="I209" s="135"/>
      <c r="J209" s="136">
        <f t="shared" si="99"/>
        <v>0</v>
      </c>
      <c r="K209" s="137"/>
      <c r="L209" s="138">
        <f t="shared" si="100"/>
        <v>6.0431730769230751E-2</v>
      </c>
      <c r="M209" s="137"/>
      <c r="N209" s="139">
        <f t="shared" si="101"/>
        <v>0</v>
      </c>
      <c r="O209" s="137"/>
      <c r="P209" s="140">
        <f t="shared" si="102"/>
        <v>3.2365384615384851E-3</v>
      </c>
      <c r="Q209" s="135"/>
      <c r="R209" s="104">
        <f t="shared" si="103"/>
        <v>0.25467307692307689</v>
      </c>
      <c r="S209" s="137"/>
      <c r="T209" s="141">
        <f t="shared" si="104"/>
        <v>6.3668269230769237E-2</v>
      </c>
      <c r="U209" s="199">
        <f t="shared" si="105"/>
        <v>6.0431730769230751E-2</v>
      </c>
      <c r="V209" s="37" t="str">
        <f t="shared" si="106"/>
        <v>ok</v>
      </c>
      <c r="W209" s="37" t="str">
        <f t="shared" si="107"/>
        <v>ok</v>
      </c>
    </row>
    <row r="210" spans="1:23" x14ac:dyDescent="0.25">
      <c r="A210" s="426"/>
      <c r="B210" s="178" t="s">
        <v>19</v>
      </c>
      <c r="C210" s="129">
        <v>15</v>
      </c>
      <c r="D210" s="130">
        <f>'2.4.5.2 Durée de missions'!D210/BDA</f>
        <v>0.2738266826923077</v>
      </c>
      <c r="E210" s="131">
        <f>'2.4.5.2 Durée de missions'!E210/BDA</f>
        <v>0.5026442307692307</v>
      </c>
      <c r="F210" s="132">
        <f t="shared" si="96"/>
        <v>0.4021153846153846</v>
      </c>
      <c r="G210" s="133">
        <f t="shared" si="97"/>
        <v>0.10052884615384612</v>
      </c>
      <c r="H210" s="134">
        <f t="shared" si="98"/>
        <v>0.2738266826923077</v>
      </c>
      <c r="I210" s="135"/>
      <c r="J210" s="136">
        <f t="shared" si="99"/>
        <v>0</v>
      </c>
      <c r="K210" s="137"/>
      <c r="L210" s="138">
        <f t="shared" si="100"/>
        <v>0</v>
      </c>
      <c r="M210" s="137"/>
      <c r="N210" s="139">
        <f t="shared" si="101"/>
        <v>0.1282887019230769</v>
      </c>
      <c r="O210" s="137"/>
      <c r="P210" s="140">
        <f t="shared" si="102"/>
        <v>0.10052884615384612</v>
      </c>
      <c r="Q210" s="135"/>
      <c r="R210" s="104">
        <f t="shared" si="103"/>
        <v>0.2738266826923077</v>
      </c>
      <c r="S210" s="137"/>
      <c r="T210" s="141">
        <f t="shared" si="104"/>
        <v>0.22881754807692301</v>
      </c>
      <c r="U210" s="199">
        <f t="shared" si="105"/>
        <v>0</v>
      </c>
      <c r="V210" s="37" t="str">
        <f t="shared" si="106"/>
        <v>ok</v>
      </c>
      <c r="W210" s="37" t="str">
        <f t="shared" si="107"/>
        <v>ok</v>
      </c>
    </row>
    <row r="211" spans="1:23" x14ac:dyDescent="0.25">
      <c r="A211" s="426"/>
      <c r="B211" s="178" t="s">
        <v>20</v>
      </c>
      <c r="C211" s="129">
        <v>16</v>
      </c>
      <c r="D211" s="130">
        <f>'2.4.5.2 Durée de missions'!D211/BDA</f>
        <v>0.21500913461538465</v>
      </c>
      <c r="E211" s="131">
        <f>'2.4.5.2 Durée de missions'!E211/BDA</f>
        <v>0.3853605769230769</v>
      </c>
      <c r="F211" s="132">
        <f t="shared" si="96"/>
        <v>0.30828846153846157</v>
      </c>
      <c r="G211" s="133">
        <f t="shared" si="97"/>
        <v>7.7072115384615364E-2</v>
      </c>
      <c r="H211" s="134">
        <f t="shared" si="98"/>
        <v>0.21500913461538465</v>
      </c>
      <c r="I211" s="135"/>
      <c r="J211" s="136">
        <f t="shared" si="99"/>
        <v>0</v>
      </c>
      <c r="K211" s="137"/>
      <c r="L211" s="138">
        <f t="shared" si="100"/>
        <v>0</v>
      </c>
      <c r="M211" s="137"/>
      <c r="N211" s="139">
        <f t="shared" si="101"/>
        <v>9.3279326923076916E-2</v>
      </c>
      <c r="O211" s="137"/>
      <c r="P211" s="140">
        <f t="shared" si="102"/>
        <v>7.7072115384615364E-2</v>
      </c>
      <c r="Q211" s="135"/>
      <c r="R211" s="104">
        <f t="shared" si="103"/>
        <v>0.21500913461538465</v>
      </c>
      <c r="S211" s="137"/>
      <c r="T211" s="141">
        <f t="shared" si="104"/>
        <v>0.17035144230769228</v>
      </c>
      <c r="U211" s="199">
        <f t="shared" si="105"/>
        <v>0</v>
      </c>
      <c r="V211" s="37" t="str">
        <f t="shared" si="106"/>
        <v>ok</v>
      </c>
      <c r="W211" s="37" t="str">
        <f t="shared" si="107"/>
        <v>ok</v>
      </c>
    </row>
    <row r="212" spans="1:23" x14ac:dyDescent="0.25">
      <c r="A212" s="426"/>
      <c r="B212" s="178" t="s">
        <v>21</v>
      </c>
      <c r="C212" s="129">
        <v>17</v>
      </c>
      <c r="D212" s="130">
        <f>'2.4.5.2 Durée de missions'!D212/BDA</f>
        <v>9.4047596153846141E-2</v>
      </c>
      <c r="E212" s="131">
        <f>'2.4.5.2 Durée de missions'!E212/BDA</f>
        <v>0.18430288461538458</v>
      </c>
      <c r="F212" s="132">
        <f t="shared" si="96"/>
        <v>0.14744230769230768</v>
      </c>
      <c r="G212" s="133">
        <f t="shared" si="97"/>
        <v>3.6860576923076906E-2</v>
      </c>
      <c r="H212" s="134">
        <f t="shared" si="98"/>
        <v>9.4047596153846141E-2</v>
      </c>
      <c r="I212" s="135"/>
      <c r="J212" s="136">
        <f t="shared" si="99"/>
        <v>0</v>
      </c>
      <c r="K212" s="137"/>
      <c r="L212" s="138">
        <f t="shared" si="100"/>
        <v>0</v>
      </c>
      <c r="M212" s="137"/>
      <c r="N212" s="139">
        <f t="shared" si="101"/>
        <v>5.3394711538461537E-2</v>
      </c>
      <c r="O212" s="137"/>
      <c r="P212" s="140">
        <f t="shared" si="102"/>
        <v>3.6860576923076906E-2</v>
      </c>
      <c r="Q212" s="135"/>
      <c r="R212" s="104">
        <f t="shared" si="103"/>
        <v>9.4047596153846141E-2</v>
      </c>
      <c r="S212" s="137"/>
      <c r="T212" s="141">
        <f t="shared" si="104"/>
        <v>9.0255288461538435E-2</v>
      </c>
      <c r="U212" s="199">
        <f t="shared" si="105"/>
        <v>0</v>
      </c>
      <c r="V212" s="37" t="str">
        <f t="shared" si="106"/>
        <v>ok</v>
      </c>
      <c r="W212" s="37" t="str">
        <f t="shared" si="107"/>
        <v>ok</v>
      </c>
    </row>
    <row r="213" spans="1:23" x14ac:dyDescent="0.25">
      <c r="A213" s="426"/>
      <c r="B213" s="178" t="s">
        <v>22</v>
      </c>
      <c r="C213" s="129">
        <v>18</v>
      </c>
      <c r="D213" s="130">
        <f>'2.4.5.2 Durée de missions'!D213/BDA</f>
        <v>6.5621634615384616E-2</v>
      </c>
      <c r="E213" s="131">
        <f>'2.4.5.2 Durée de missions'!E213/BDA</f>
        <v>0.30996394230769231</v>
      </c>
      <c r="F213" s="132">
        <f t="shared" si="96"/>
        <v>0.24797115384615387</v>
      </c>
      <c r="G213" s="133">
        <f t="shared" si="97"/>
        <v>6.1992788461538446E-2</v>
      </c>
      <c r="H213" s="134">
        <f t="shared" si="98"/>
        <v>6.5621634615384616E-2</v>
      </c>
      <c r="I213" s="135"/>
      <c r="J213" s="136">
        <f t="shared" si="99"/>
        <v>0</v>
      </c>
      <c r="K213" s="137"/>
      <c r="L213" s="138">
        <f t="shared" si="100"/>
        <v>0</v>
      </c>
      <c r="M213" s="137"/>
      <c r="N213" s="139">
        <f t="shared" si="101"/>
        <v>0.18234951923076925</v>
      </c>
      <c r="O213" s="137"/>
      <c r="P213" s="140">
        <f t="shared" si="102"/>
        <v>6.1992788461538446E-2</v>
      </c>
      <c r="Q213" s="135"/>
      <c r="R213" s="104">
        <f t="shared" si="103"/>
        <v>6.5621634615384616E-2</v>
      </c>
      <c r="S213" s="137"/>
      <c r="T213" s="141">
        <f t="shared" si="104"/>
        <v>0.24434230769230769</v>
      </c>
      <c r="U213" s="199">
        <f t="shared" si="105"/>
        <v>0</v>
      </c>
      <c r="V213" s="37" t="str">
        <f t="shared" si="106"/>
        <v>ok</v>
      </c>
      <c r="W213" s="37" t="str">
        <f t="shared" si="107"/>
        <v>ok</v>
      </c>
    </row>
    <row r="214" spans="1:23" x14ac:dyDescent="0.25">
      <c r="A214" s="426"/>
      <c r="B214" s="178" t="s">
        <v>23</v>
      </c>
      <c r="C214" s="129">
        <v>19</v>
      </c>
      <c r="D214" s="130">
        <f>'2.4.5.2 Durée de missions'!D214/BDA</f>
        <v>0.13608173076923077</v>
      </c>
      <c r="E214" s="131">
        <f>'2.4.5.2 Durée de missions'!E214/BDA</f>
        <v>0.36860576923076915</v>
      </c>
      <c r="F214" s="132">
        <f t="shared" si="96"/>
        <v>0.29488461538461536</v>
      </c>
      <c r="G214" s="133">
        <f t="shared" si="97"/>
        <v>7.3721153846153811E-2</v>
      </c>
      <c r="H214" s="134">
        <f t="shared" si="98"/>
        <v>0.13608173076923077</v>
      </c>
      <c r="I214" s="135"/>
      <c r="J214" s="136">
        <f t="shared" si="99"/>
        <v>0</v>
      </c>
      <c r="K214" s="137"/>
      <c r="L214" s="138">
        <f t="shared" si="100"/>
        <v>0</v>
      </c>
      <c r="M214" s="137"/>
      <c r="N214" s="139">
        <f t="shared" si="101"/>
        <v>0.15880288461538458</v>
      </c>
      <c r="O214" s="137"/>
      <c r="P214" s="140">
        <f t="shared" si="102"/>
        <v>7.3721153846153811E-2</v>
      </c>
      <c r="Q214" s="135"/>
      <c r="R214" s="104">
        <f t="shared" si="103"/>
        <v>0.13608173076923077</v>
      </c>
      <c r="S214" s="137"/>
      <c r="T214" s="141">
        <f t="shared" si="104"/>
        <v>0.23252403846153841</v>
      </c>
      <c r="U214" s="199">
        <f t="shared" si="105"/>
        <v>0</v>
      </c>
      <c r="V214" s="37" t="str">
        <f t="shared" si="106"/>
        <v>ok</v>
      </c>
      <c r="W214" s="37" t="str">
        <f t="shared" si="107"/>
        <v>ok</v>
      </c>
    </row>
    <row r="215" spans="1:23" x14ac:dyDescent="0.25">
      <c r="A215" s="426"/>
      <c r="B215" s="178" t="s">
        <v>19</v>
      </c>
      <c r="C215" s="129">
        <v>22</v>
      </c>
      <c r="D215" s="130">
        <f>'2.4.5.2 Durée de missions'!D215/BDA</f>
        <v>0.54614134615384624</v>
      </c>
      <c r="E215" s="131">
        <f>'2.4.5.2 Durée de missions'!E215/BDA</f>
        <v>0.41468149038461538</v>
      </c>
      <c r="F215" s="132">
        <f t="shared" si="96"/>
        <v>0.33174519230769234</v>
      </c>
      <c r="G215" s="133">
        <f t="shared" si="97"/>
        <v>8.2936298076923057E-2</v>
      </c>
      <c r="H215" s="134">
        <f t="shared" si="98"/>
        <v>0.41468149038461538</v>
      </c>
      <c r="I215" s="135"/>
      <c r="J215" s="136">
        <f t="shared" si="99"/>
        <v>0.13145985576923086</v>
      </c>
      <c r="K215" s="137"/>
      <c r="L215" s="138">
        <f t="shared" si="100"/>
        <v>8.2936298076923057E-2</v>
      </c>
      <c r="M215" s="137"/>
      <c r="N215" s="139">
        <f t="shared" si="101"/>
        <v>0</v>
      </c>
      <c r="O215" s="137"/>
      <c r="P215" s="140">
        <f t="shared" si="102"/>
        <v>0</v>
      </c>
      <c r="Q215" s="135"/>
      <c r="R215" s="104">
        <f t="shared" si="103"/>
        <v>0.33174519230769234</v>
      </c>
      <c r="S215" s="137"/>
      <c r="T215" s="141">
        <f t="shared" si="104"/>
        <v>8.2936298076923057E-2</v>
      </c>
      <c r="U215" s="199">
        <f t="shared" si="105"/>
        <v>0.2143961538461539</v>
      </c>
      <c r="V215" s="37" t="str">
        <f t="shared" si="106"/>
        <v>ok</v>
      </c>
      <c r="W215" s="37" t="str">
        <f t="shared" si="107"/>
        <v>ok</v>
      </c>
    </row>
    <row r="216" spans="1:23" x14ac:dyDescent="0.25">
      <c r="A216" s="426"/>
      <c r="B216" s="178" t="s">
        <v>20</v>
      </c>
      <c r="C216" s="129">
        <v>23</v>
      </c>
      <c r="D216" s="130">
        <f>'2.4.5.2 Durée de missions'!D216/BDA</f>
        <v>0.44453365384615384</v>
      </c>
      <c r="E216" s="131">
        <f>'2.4.5.2 Durée de missions'!E216/BDA</f>
        <v>0.26271538461538457</v>
      </c>
      <c r="F216" s="132">
        <f t="shared" si="96"/>
        <v>0.21017230769230766</v>
      </c>
      <c r="G216" s="133">
        <f t="shared" si="97"/>
        <v>5.2543076923076901E-2</v>
      </c>
      <c r="H216" s="134">
        <f t="shared" si="98"/>
        <v>0.26271538461538457</v>
      </c>
      <c r="I216" s="135"/>
      <c r="J216" s="136">
        <f t="shared" si="99"/>
        <v>0.18181826923076927</v>
      </c>
      <c r="K216" s="137"/>
      <c r="L216" s="138">
        <f t="shared" si="100"/>
        <v>5.2543076923076901E-2</v>
      </c>
      <c r="M216" s="137"/>
      <c r="N216" s="139">
        <f t="shared" si="101"/>
        <v>0</v>
      </c>
      <c r="O216" s="137"/>
      <c r="P216" s="140">
        <f t="shared" si="102"/>
        <v>0</v>
      </c>
      <c r="Q216" s="135"/>
      <c r="R216" s="104">
        <f t="shared" si="103"/>
        <v>0.21017230769230766</v>
      </c>
      <c r="S216" s="137"/>
      <c r="T216" s="141">
        <f t="shared" si="104"/>
        <v>5.2543076923076901E-2</v>
      </c>
      <c r="U216" s="199">
        <f t="shared" si="105"/>
        <v>0.23436134615384618</v>
      </c>
      <c r="V216" s="37" t="str">
        <f t="shared" si="106"/>
        <v>ok</v>
      </c>
      <c r="W216" s="37" t="str">
        <f t="shared" si="107"/>
        <v>ok</v>
      </c>
    </row>
    <row r="217" spans="1:23" x14ac:dyDescent="0.25">
      <c r="A217" s="426"/>
      <c r="B217" s="178" t="s">
        <v>21</v>
      </c>
      <c r="C217" s="129">
        <v>24</v>
      </c>
      <c r="D217" s="130">
        <f>'2.4.5.2 Durée de missions'!D217/BDA</f>
        <v>0.25613605769230768</v>
      </c>
      <c r="E217" s="131">
        <f>'2.4.5.2 Durée de missions'!E217/BDA</f>
        <v>0.12448822115384614</v>
      </c>
      <c r="F217" s="132">
        <f t="shared" si="96"/>
        <v>9.9590576923076921E-2</v>
      </c>
      <c r="G217" s="133">
        <f t="shared" si="97"/>
        <v>2.4897644230769223E-2</v>
      </c>
      <c r="H217" s="134">
        <f t="shared" si="98"/>
        <v>0.12448822115384614</v>
      </c>
      <c r="I217" s="135"/>
      <c r="J217" s="136">
        <f t="shared" si="99"/>
        <v>0.13164783653846154</v>
      </c>
      <c r="K217" s="137"/>
      <c r="L217" s="138">
        <f t="shared" si="100"/>
        <v>2.4897644230769223E-2</v>
      </c>
      <c r="M217" s="137"/>
      <c r="N217" s="139">
        <f t="shared" si="101"/>
        <v>0</v>
      </c>
      <c r="O217" s="137"/>
      <c r="P217" s="140">
        <f t="shared" si="102"/>
        <v>0</v>
      </c>
      <c r="Q217" s="135"/>
      <c r="R217" s="104">
        <f t="shared" si="103"/>
        <v>9.9590576923076921E-2</v>
      </c>
      <c r="S217" s="137"/>
      <c r="T217" s="141">
        <f t="shared" si="104"/>
        <v>2.4897644230769223E-2</v>
      </c>
      <c r="U217" s="199">
        <f t="shared" si="105"/>
        <v>0.15654548076923078</v>
      </c>
      <c r="V217" s="37" t="str">
        <f t="shared" si="106"/>
        <v>ok</v>
      </c>
      <c r="W217" s="37" t="str">
        <f t="shared" si="107"/>
        <v>ok</v>
      </c>
    </row>
    <row r="218" spans="1:23" x14ac:dyDescent="0.25">
      <c r="A218" s="426"/>
      <c r="B218" s="178" t="s">
        <v>22</v>
      </c>
      <c r="C218" s="129">
        <v>25</v>
      </c>
      <c r="D218" s="130">
        <f>'2.4.5.2 Durée de missions'!D218/BDA</f>
        <v>0.2097170673076923</v>
      </c>
      <c r="E218" s="131">
        <f>'2.4.5.2 Durée de missions'!E218/BDA</f>
        <v>0.16587259615384611</v>
      </c>
      <c r="F218" s="132">
        <f t="shared" si="96"/>
        <v>0.13269807692307689</v>
      </c>
      <c r="G218" s="133">
        <f t="shared" si="97"/>
        <v>3.3174519230769216E-2</v>
      </c>
      <c r="H218" s="134">
        <f t="shared" si="98"/>
        <v>0.16587259615384611</v>
      </c>
      <c r="I218" s="135"/>
      <c r="J218" s="136">
        <f t="shared" si="99"/>
        <v>4.3844471153846182E-2</v>
      </c>
      <c r="K218" s="137"/>
      <c r="L218" s="138">
        <f t="shared" si="100"/>
        <v>3.3174519230769216E-2</v>
      </c>
      <c r="M218" s="137"/>
      <c r="N218" s="139">
        <f t="shared" si="101"/>
        <v>0</v>
      </c>
      <c r="O218" s="137"/>
      <c r="P218" s="140">
        <f t="shared" si="102"/>
        <v>0</v>
      </c>
      <c r="Q218" s="135"/>
      <c r="R218" s="104">
        <f t="shared" si="103"/>
        <v>0.13269807692307689</v>
      </c>
      <c r="S218" s="137"/>
      <c r="T218" s="141">
        <f t="shared" si="104"/>
        <v>3.3174519230769216E-2</v>
      </c>
      <c r="U218" s="199">
        <f t="shared" si="105"/>
        <v>7.7018990384615404E-2</v>
      </c>
      <c r="V218" s="37" t="str">
        <f t="shared" si="106"/>
        <v>ok</v>
      </c>
      <c r="W218" s="37" t="str">
        <f t="shared" si="107"/>
        <v>ok</v>
      </c>
    </row>
    <row r="219" spans="1:23" x14ac:dyDescent="0.25">
      <c r="A219" s="426"/>
      <c r="B219" s="178" t="s">
        <v>23</v>
      </c>
      <c r="C219" s="129">
        <v>26</v>
      </c>
      <c r="D219" s="130">
        <f>'2.4.5.2 Durée de missions'!D219/BDA</f>
        <v>0.39388100961538464</v>
      </c>
      <c r="E219" s="131">
        <f>'2.4.5.2 Durée de missions'!E219/BDA</f>
        <v>0.26271538461538457</v>
      </c>
      <c r="F219" s="132">
        <f t="shared" si="96"/>
        <v>0.21017230769230766</v>
      </c>
      <c r="G219" s="133">
        <f t="shared" si="97"/>
        <v>5.2543076923076901E-2</v>
      </c>
      <c r="H219" s="134">
        <f t="shared" si="98"/>
        <v>0.26271538461538457</v>
      </c>
      <c r="I219" s="135"/>
      <c r="J219" s="136">
        <f t="shared" si="99"/>
        <v>0.13116562500000006</v>
      </c>
      <c r="K219" s="137"/>
      <c r="L219" s="138">
        <f t="shared" si="100"/>
        <v>5.2543076923076901E-2</v>
      </c>
      <c r="M219" s="137"/>
      <c r="N219" s="139">
        <f t="shared" si="101"/>
        <v>0</v>
      </c>
      <c r="O219" s="137"/>
      <c r="P219" s="140">
        <f t="shared" si="102"/>
        <v>0</v>
      </c>
      <c r="Q219" s="135"/>
      <c r="R219" s="104">
        <f t="shared" si="103"/>
        <v>0.21017230769230766</v>
      </c>
      <c r="S219" s="137"/>
      <c r="T219" s="141">
        <f t="shared" si="104"/>
        <v>5.2543076923076901E-2</v>
      </c>
      <c r="U219" s="199">
        <f t="shared" si="105"/>
        <v>0.18370870192307698</v>
      </c>
      <c r="V219" s="37" t="str">
        <f t="shared" si="106"/>
        <v>ok</v>
      </c>
      <c r="W219" s="37" t="str">
        <f t="shared" si="107"/>
        <v>ok</v>
      </c>
    </row>
    <row r="220" spans="1:23" x14ac:dyDescent="0.25">
      <c r="A220" s="426"/>
      <c r="B220" s="178" t="s">
        <v>19</v>
      </c>
      <c r="C220" s="129">
        <v>29</v>
      </c>
      <c r="D220" s="130">
        <f>'2.4.5.2 Durée de missions'!D220/BDA</f>
        <v>0.65530913461538465</v>
      </c>
      <c r="E220" s="131">
        <f>'2.4.5.2 Durée de missions'!E220/BDA</f>
        <v>0.5026442307692307</v>
      </c>
      <c r="F220" s="132">
        <f t="shared" si="96"/>
        <v>0.4021153846153846</v>
      </c>
      <c r="G220" s="133">
        <f t="shared" si="97"/>
        <v>0.10052884615384612</v>
      </c>
      <c r="H220" s="134">
        <f t="shared" si="98"/>
        <v>0.5026442307692307</v>
      </c>
      <c r="I220" s="135"/>
      <c r="J220" s="136">
        <f t="shared" si="99"/>
        <v>0.15266490384615394</v>
      </c>
      <c r="K220" s="137"/>
      <c r="L220" s="138">
        <f t="shared" si="100"/>
        <v>0.10052884615384612</v>
      </c>
      <c r="M220" s="137"/>
      <c r="N220" s="139">
        <f t="shared" si="101"/>
        <v>0</v>
      </c>
      <c r="O220" s="137"/>
      <c r="P220" s="140">
        <f t="shared" si="102"/>
        <v>0</v>
      </c>
      <c r="Q220" s="135"/>
      <c r="R220" s="104">
        <f t="shared" si="103"/>
        <v>0.4021153846153846</v>
      </c>
      <c r="S220" s="137"/>
      <c r="T220" s="141">
        <f t="shared" si="104"/>
        <v>0.10052884615384612</v>
      </c>
      <c r="U220" s="199">
        <f t="shared" si="105"/>
        <v>0.25319375000000005</v>
      </c>
      <c r="V220" s="37" t="str">
        <f t="shared" si="106"/>
        <v>ok</v>
      </c>
      <c r="W220" s="37" t="str">
        <f t="shared" si="107"/>
        <v>ok</v>
      </c>
    </row>
    <row r="221" spans="1:23" x14ac:dyDescent="0.25">
      <c r="A221" s="426"/>
      <c r="B221" s="178" t="s">
        <v>20</v>
      </c>
      <c r="C221" s="129">
        <v>30</v>
      </c>
      <c r="D221" s="130">
        <f>'2.4.5.2 Durée de missions'!D221/BDA</f>
        <v>0.53162596153846142</v>
      </c>
      <c r="E221" s="131">
        <f>'2.4.5.2 Durée de missions'!E221/BDA</f>
        <v>0.35185096153846146</v>
      </c>
      <c r="F221" s="132">
        <f t="shared" si="96"/>
        <v>0.2814807692307692</v>
      </c>
      <c r="G221" s="133">
        <f t="shared" si="97"/>
        <v>7.0370192307692273E-2</v>
      </c>
      <c r="H221" s="134">
        <f t="shared" si="98"/>
        <v>0.35185096153846146</v>
      </c>
      <c r="I221" s="135"/>
      <c r="J221" s="136">
        <f t="shared" si="99"/>
        <v>0.17977499999999996</v>
      </c>
      <c r="K221" s="137"/>
      <c r="L221" s="138">
        <f t="shared" si="100"/>
        <v>7.0370192307692273E-2</v>
      </c>
      <c r="M221" s="137"/>
      <c r="N221" s="139">
        <f t="shared" si="101"/>
        <v>0</v>
      </c>
      <c r="O221" s="137"/>
      <c r="P221" s="140">
        <f t="shared" si="102"/>
        <v>0</v>
      </c>
      <c r="Q221" s="135"/>
      <c r="R221" s="104">
        <f t="shared" si="103"/>
        <v>0.2814807692307692</v>
      </c>
      <c r="S221" s="137"/>
      <c r="T221" s="141">
        <f t="shared" si="104"/>
        <v>7.0370192307692273E-2</v>
      </c>
      <c r="U221" s="199">
        <f t="shared" si="105"/>
        <v>0.25014519230769222</v>
      </c>
      <c r="V221" s="37" t="str">
        <f t="shared" si="106"/>
        <v>ok</v>
      </c>
      <c r="W221" s="37" t="str">
        <f t="shared" si="107"/>
        <v>ok</v>
      </c>
    </row>
    <row r="222" spans="1:23" ht="15.75" thickBot="1" x14ac:dyDescent="0.3">
      <c r="A222" s="427"/>
      <c r="B222" s="277" t="s">
        <v>21</v>
      </c>
      <c r="C222" s="165">
        <v>31</v>
      </c>
      <c r="D222" s="202">
        <f>'2.4.5.2 Durée de missions'!D222/BDA</f>
        <v>0.30739350961538464</v>
      </c>
      <c r="E222" s="203">
        <f>'2.4.5.2 Durée de missions'!E222/BDA</f>
        <v>0.16754807692307694</v>
      </c>
      <c r="F222" s="204">
        <f t="shared" si="96"/>
        <v>0.13403846153846155</v>
      </c>
      <c r="G222" s="205">
        <f t="shared" si="97"/>
        <v>3.3509615384615381E-2</v>
      </c>
      <c r="H222" s="206">
        <f t="shared" si="98"/>
        <v>0.16754807692307694</v>
      </c>
      <c r="I222" s="207"/>
      <c r="J222" s="208">
        <f t="shared" si="99"/>
        <v>0.1398454326923077</v>
      </c>
      <c r="K222" s="209"/>
      <c r="L222" s="210">
        <f t="shared" si="100"/>
        <v>3.3509615384615381E-2</v>
      </c>
      <c r="M222" s="209"/>
      <c r="N222" s="211">
        <f t="shared" si="101"/>
        <v>0</v>
      </c>
      <c r="O222" s="209"/>
      <c r="P222" s="212">
        <f t="shared" si="102"/>
        <v>0</v>
      </c>
      <c r="Q222" s="207"/>
      <c r="R222" s="213">
        <f t="shared" si="103"/>
        <v>0.13403846153846155</v>
      </c>
      <c r="S222" s="209"/>
      <c r="T222" s="214">
        <f t="shared" si="104"/>
        <v>3.3509615384615381E-2</v>
      </c>
      <c r="U222" s="215">
        <f t="shared" si="105"/>
        <v>0.17335504807692309</v>
      </c>
      <c r="V222" s="37" t="str">
        <f t="shared" si="106"/>
        <v>ok</v>
      </c>
      <c r="W222" s="37" t="str">
        <f t="shared" si="107"/>
        <v>ok</v>
      </c>
    </row>
    <row r="223" spans="1:23" x14ac:dyDescent="0.25">
      <c r="A223" s="425" t="s">
        <v>99</v>
      </c>
      <c r="B223" s="276" t="s">
        <v>22</v>
      </c>
      <c r="C223" s="247">
        <v>1</v>
      </c>
      <c r="D223" s="184">
        <f>'2.4.5.2 Durée de missions'!D223/BDA</f>
        <v>0.22675809615384615</v>
      </c>
      <c r="E223" s="185">
        <f>'2.4.5.2 Durée de missions'!E223/BDA</f>
        <v>0.95879999999999999</v>
      </c>
      <c r="F223" s="186">
        <f t="shared" si="96"/>
        <v>0.76704000000000006</v>
      </c>
      <c r="G223" s="187">
        <f t="shared" si="97"/>
        <v>0.19175999999999996</v>
      </c>
      <c r="H223" s="188">
        <f>IF(E223&gt;D223,D223,E223)</f>
        <v>0.22675809615384615</v>
      </c>
      <c r="I223" s="189"/>
      <c r="J223" s="190">
        <f>IF(E223&gt;D223,0,D223-E223)</f>
        <v>0</v>
      </c>
      <c r="K223" s="191"/>
      <c r="L223" s="192">
        <f>IF(E223&gt;D223,IF(F223&gt;H223,0,H223-F223),G223)</f>
        <v>0</v>
      </c>
      <c r="M223" s="191"/>
      <c r="N223" s="193">
        <f>IF(E223&gt;D223,IF(F223&gt;H223,F223-H223,0),0)</f>
        <v>0.54028190384615393</v>
      </c>
      <c r="O223" s="191"/>
      <c r="P223" s="194">
        <f>IF(E223&gt;D223,IF(F223&gt;H223,G223,E223-H223),0)</f>
        <v>0.19175999999999996</v>
      </c>
      <c r="Q223" s="189"/>
      <c r="R223" s="195">
        <f>H223-L223</f>
        <v>0.22675809615384615</v>
      </c>
      <c r="S223" s="191"/>
      <c r="T223" s="196">
        <f>L223+N223+P223</f>
        <v>0.73204190384615386</v>
      </c>
      <c r="U223" s="197">
        <f>J223+L223</f>
        <v>0</v>
      </c>
      <c r="V223" s="37" t="str">
        <f>IF(R223+T223=E223,"ok","bad")</f>
        <v>ok</v>
      </c>
      <c r="W223" s="37" t="str">
        <f>IF(U223+R223=D223,"ok","bad")</f>
        <v>ok</v>
      </c>
    </row>
    <row r="224" spans="1:23" x14ac:dyDescent="0.25">
      <c r="A224" s="426"/>
      <c r="B224" s="178" t="s">
        <v>23</v>
      </c>
      <c r="C224" s="129">
        <v>2</v>
      </c>
      <c r="D224" s="130">
        <f>'2.4.5.2 Durée de missions'!D224/BDA</f>
        <v>0.17805080769230769</v>
      </c>
      <c r="E224" s="131">
        <f>'2.4.5.2 Durée de missions'!E224/BDA</f>
        <v>0.70312000000000008</v>
      </c>
      <c r="F224" s="132">
        <f t="shared" si="96"/>
        <v>0.56249600000000011</v>
      </c>
      <c r="G224" s="133">
        <f t="shared" si="97"/>
        <v>0.14062399999999997</v>
      </c>
      <c r="H224" s="134">
        <f t="shared" ref="H224:H244" si="108">IF(E224&gt;D224,D224,E224)</f>
        <v>0.17805080769230769</v>
      </c>
      <c r="I224" s="135"/>
      <c r="J224" s="136">
        <f t="shared" ref="J224:J244" si="109">IF(E224&gt;D224,0,D224-E224)</f>
        <v>0</v>
      </c>
      <c r="K224" s="137"/>
      <c r="L224" s="138">
        <f t="shared" ref="L224:L244" si="110">IF(E224&gt;D224,IF(F224&gt;H224,0,H224-F224),G224)</f>
        <v>0</v>
      </c>
      <c r="M224" s="137"/>
      <c r="N224" s="139">
        <f t="shared" ref="N224:N244" si="111">IF(E224&gt;D224,IF(F224&gt;H224,F224-H224,0),0)</f>
        <v>0.38444519230769242</v>
      </c>
      <c r="O224" s="137"/>
      <c r="P224" s="140">
        <f t="shared" ref="P224:P244" si="112">IF(E224&gt;D224,IF(F224&gt;H224,G224,E224-H224),0)</f>
        <v>0.14062399999999997</v>
      </c>
      <c r="Q224" s="135"/>
      <c r="R224" s="104">
        <f t="shared" ref="R224:R244" si="113">H224-L224</f>
        <v>0.17805080769230769</v>
      </c>
      <c r="S224" s="137"/>
      <c r="T224" s="141">
        <f t="shared" ref="T224:T244" si="114">L224+N224+P224</f>
        <v>0.52506919230769244</v>
      </c>
      <c r="U224" s="199">
        <f t="shared" ref="U224:U244" si="115">J224+L224</f>
        <v>0</v>
      </c>
      <c r="V224" s="37" t="str">
        <f t="shared" ref="V224:V244" si="116">IF(R224+T224=E224,"ok","bad")</f>
        <v>ok</v>
      </c>
      <c r="W224" s="37" t="str">
        <f t="shared" ref="W224:W244" si="117">IF(U224+R224=D224,"ok","bad")</f>
        <v>ok</v>
      </c>
    </row>
    <row r="225" spans="1:23" x14ac:dyDescent="0.25">
      <c r="A225" s="426"/>
      <c r="B225" s="178" t="s">
        <v>19</v>
      </c>
      <c r="C225" s="129">
        <v>5</v>
      </c>
      <c r="D225" s="130">
        <f>'2.4.5.2 Durée de missions'!D225/BDA</f>
        <v>7.7881576923076928E-2</v>
      </c>
      <c r="E225" s="131">
        <f>'2.4.5.2 Durée de missions'!E225/BDA</f>
        <v>0.28763999999999995</v>
      </c>
      <c r="F225" s="132">
        <f t="shared" si="96"/>
        <v>0.23011199999999998</v>
      </c>
      <c r="G225" s="133">
        <f t="shared" si="97"/>
        <v>5.7527999999999975E-2</v>
      </c>
      <c r="H225" s="134">
        <f t="shared" si="108"/>
        <v>7.7881576923076928E-2</v>
      </c>
      <c r="I225" s="135"/>
      <c r="J225" s="136">
        <f t="shared" si="109"/>
        <v>0</v>
      </c>
      <c r="K225" s="137"/>
      <c r="L225" s="138">
        <f t="shared" si="110"/>
        <v>0</v>
      </c>
      <c r="M225" s="137"/>
      <c r="N225" s="139">
        <f t="shared" si="111"/>
        <v>0.15223042307692305</v>
      </c>
      <c r="O225" s="137"/>
      <c r="P225" s="140">
        <f t="shared" si="112"/>
        <v>5.7527999999999975E-2</v>
      </c>
      <c r="Q225" s="135"/>
      <c r="R225" s="104">
        <f t="shared" si="113"/>
        <v>7.7881576923076928E-2</v>
      </c>
      <c r="S225" s="137"/>
      <c r="T225" s="141">
        <f t="shared" si="114"/>
        <v>0.20975842307692302</v>
      </c>
      <c r="U225" s="199">
        <f t="shared" si="115"/>
        <v>0</v>
      </c>
      <c r="V225" s="37" t="str">
        <f t="shared" si="116"/>
        <v>ok</v>
      </c>
      <c r="W225" s="37" t="str">
        <f t="shared" si="117"/>
        <v>ok</v>
      </c>
    </row>
    <row r="226" spans="1:23" x14ac:dyDescent="0.25">
      <c r="A226" s="426"/>
      <c r="B226" s="178" t="s">
        <v>20</v>
      </c>
      <c r="C226" s="129">
        <v>6</v>
      </c>
      <c r="D226" s="130">
        <f>'2.4.5.2 Durée de missions'!D226/BDA</f>
        <v>5.4341807692307689E-2</v>
      </c>
      <c r="E226" s="131">
        <f>'2.4.5.2 Durée de missions'!E226/BDA</f>
        <v>0.43146000000000007</v>
      </c>
      <c r="F226" s="132">
        <f t="shared" si="96"/>
        <v>0.34516800000000009</v>
      </c>
      <c r="G226" s="133">
        <f t="shared" si="97"/>
        <v>8.6291999999999994E-2</v>
      </c>
      <c r="H226" s="134">
        <f t="shared" si="108"/>
        <v>5.4341807692307689E-2</v>
      </c>
      <c r="I226" s="135"/>
      <c r="J226" s="136">
        <f t="shared" si="109"/>
        <v>0</v>
      </c>
      <c r="K226" s="137"/>
      <c r="L226" s="138">
        <f t="shared" si="110"/>
        <v>0</v>
      </c>
      <c r="M226" s="137"/>
      <c r="N226" s="139">
        <f t="shared" si="111"/>
        <v>0.29082619230769241</v>
      </c>
      <c r="O226" s="137"/>
      <c r="P226" s="140">
        <f t="shared" si="112"/>
        <v>8.6291999999999994E-2</v>
      </c>
      <c r="Q226" s="135"/>
      <c r="R226" s="104">
        <f t="shared" si="113"/>
        <v>5.4341807692307689E-2</v>
      </c>
      <c r="S226" s="137"/>
      <c r="T226" s="141">
        <f t="shared" si="114"/>
        <v>0.37711819230769239</v>
      </c>
      <c r="U226" s="199">
        <f t="shared" si="115"/>
        <v>0</v>
      </c>
      <c r="V226" s="37" t="str">
        <f t="shared" si="116"/>
        <v>ok</v>
      </c>
      <c r="W226" s="37" t="str">
        <f t="shared" si="117"/>
        <v>ok</v>
      </c>
    </row>
    <row r="227" spans="1:23" x14ac:dyDescent="0.25">
      <c r="A227" s="426"/>
      <c r="B227" s="178" t="s">
        <v>21</v>
      </c>
      <c r="C227" s="129">
        <v>7</v>
      </c>
      <c r="D227" s="130">
        <f>'2.4.5.2 Durée de missions'!D227/BDA</f>
        <v>0.11269038461538461</v>
      </c>
      <c r="E227" s="131">
        <f>'2.4.5.2 Durée de missions'!E227/BDA</f>
        <v>0.70312000000000008</v>
      </c>
      <c r="F227" s="132">
        <f t="shared" si="96"/>
        <v>0.56249600000000011</v>
      </c>
      <c r="G227" s="133">
        <f t="shared" si="97"/>
        <v>0.14062399999999997</v>
      </c>
      <c r="H227" s="134">
        <f t="shared" si="108"/>
        <v>0.11269038461538461</v>
      </c>
      <c r="I227" s="135"/>
      <c r="J227" s="136">
        <f t="shared" si="109"/>
        <v>0</v>
      </c>
      <c r="K227" s="137"/>
      <c r="L227" s="138">
        <f t="shared" si="110"/>
        <v>0</v>
      </c>
      <c r="M227" s="137"/>
      <c r="N227" s="139">
        <f t="shared" si="111"/>
        <v>0.4498056153846155</v>
      </c>
      <c r="O227" s="137"/>
      <c r="P227" s="140">
        <f t="shared" si="112"/>
        <v>0.14062399999999997</v>
      </c>
      <c r="Q227" s="135"/>
      <c r="R227" s="104">
        <f t="shared" si="113"/>
        <v>0.11269038461538461</v>
      </c>
      <c r="S227" s="137"/>
      <c r="T227" s="141">
        <f t="shared" si="114"/>
        <v>0.59042961538461547</v>
      </c>
      <c r="U227" s="199">
        <f t="shared" si="115"/>
        <v>0</v>
      </c>
      <c r="V227" s="37" t="str">
        <f t="shared" si="116"/>
        <v>ok</v>
      </c>
      <c r="W227" s="37" t="str">
        <f t="shared" si="117"/>
        <v>ok</v>
      </c>
    </row>
    <row r="228" spans="1:23" x14ac:dyDescent="0.25">
      <c r="A228" s="426"/>
      <c r="B228" s="178" t="s">
        <v>22</v>
      </c>
      <c r="C228" s="129">
        <v>8</v>
      </c>
      <c r="D228" s="130">
        <f>'2.4.5.2 Durée de missions'!D228/BDA</f>
        <v>0.36186134615384613</v>
      </c>
      <c r="E228" s="131">
        <f>'2.4.5.2 Durée de missions'!E228/BDA</f>
        <v>0.49169230769230765</v>
      </c>
      <c r="F228" s="132">
        <f t="shared" si="96"/>
        <v>0.39335384615384617</v>
      </c>
      <c r="G228" s="133">
        <f t="shared" si="97"/>
        <v>9.8338461538461514E-2</v>
      </c>
      <c r="H228" s="134">
        <f t="shared" si="108"/>
        <v>0.36186134615384613</v>
      </c>
      <c r="I228" s="135"/>
      <c r="J228" s="136">
        <f t="shared" si="109"/>
        <v>0</v>
      </c>
      <c r="K228" s="137"/>
      <c r="L228" s="138">
        <f t="shared" si="110"/>
        <v>0</v>
      </c>
      <c r="M228" s="137"/>
      <c r="N228" s="139">
        <f t="shared" si="111"/>
        <v>3.1492500000000034E-2</v>
      </c>
      <c r="O228" s="137"/>
      <c r="P228" s="140">
        <f t="shared" si="112"/>
        <v>9.8338461538461514E-2</v>
      </c>
      <c r="Q228" s="135"/>
      <c r="R228" s="104">
        <f t="shared" si="113"/>
        <v>0.36186134615384613</v>
      </c>
      <c r="S228" s="137"/>
      <c r="T228" s="141">
        <f t="shared" si="114"/>
        <v>0.12983096153846155</v>
      </c>
      <c r="U228" s="199">
        <f t="shared" si="115"/>
        <v>0</v>
      </c>
      <c r="V228" s="37" t="str">
        <f t="shared" si="116"/>
        <v>ok</v>
      </c>
      <c r="W228" s="37" t="str">
        <f t="shared" si="117"/>
        <v>ok</v>
      </c>
    </row>
    <row r="229" spans="1:23" x14ac:dyDescent="0.25">
      <c r="A229" s="426"/>
      <c r="B229" s="178" t="s">
        <v>23</v>
      </c>
      <c r="C229" s="129">
        <v>9</v>
      </c>
      <c r="D229" s="130">
        <f>'2.4.5.2 Durée de missions'!D229/BDA</f>
        <v>0.29349584615384616</v>
      </c>
      <c r="E229" s="131">
        <f>'2.4.5.2 Durée de missions'!E229/BDA</f>
        <v>0.50398461538461536</v>
      </c>
      <c r="F229" s="132">
        <f t="shared" si="96"/>
        <v>0.4031876923076923</v>
      </c>
      <c r="G229" s="133">
        <f t="shared" si="97"/>
        <v>0.10079692307692305</v>
      </c>
      <c r="H229" s="134">
        <f t="shared" si="108"/>
        <v>0.29349584615384616</v>
      </c>
      <c r="I229" s="135"/>
      <c r="J229" s="136">
        <f t="shared" si="109"/>
        <v>0</v>
      </c>
      <c r="K229" s="137"/>
      <c r="L229" s="138">
        <f t="shared" si="110"/>
        <v>0</v>
      </c>
      <c r="M229" s="137"/>
      <c r="N229" s="139">
        <f t="shared" si="111"/>
        <v>0.10969184615384614</v>
      </c>
      <c r="O229" s="137"/>
      <c r="P229" s="140">
        <f t="shared" si="112"/>
        <v>0.10079692307692305</v>
      </c>
      <c r="Q229" s="135"/>
      <c r="R229" s="104">
        <f t="shared" si="113"/>
        <v>0.29349584615384616</v>
      </c>
      <c r="S229" s="137"/>
      <c r="T229" s="141">
        <f t="shared" si="114"/>
        <v>0.2104887692307692</v>
      </c>
      <c r="U229" s="199">
        <f t="shared" si="115"/>
        <v>0</v>
      </c>
      <c r="V229" s="37" t="str">
        <f t="shared" si="116"/>
        <v>ok</v>
      </c>
      <c r="W229" s="37" t="str">
        <f t="shared" si="117"/>
        <v>ok</v>
      </c>
    </row>
    <row r="230" spans="1:23" x14ac:dyDescent="0.25">
      <c r="A230" s="426"/>
      <c r="B230" s="178" t="s">
        <v>19</v>
      </c>
      <c r="C230" s="129">
        <v>12</v>
      </c>
      <c r="D230" s="130">
        <f>'2.4.5.2 Durée de missions'!D230/BDA</f>
        <v>0.16966163461538461</v>
      </c>
      <c r="E230" s="131">
        <f>'2.4.5.2 Durée de missions'!E230/BDA</f>
        <v>0.27043076923076925</v>
      </c>
      <c r="F230" s="132">
        <f t="shared" si="96"/>
        <v>0.21634461538461541</v>
      </c>
      <c r="G230" s="133">
        <f t="shared" si="97"/>
        <v>5.4086153846153839E-2</v>
      </c>
      <c r="H230" s="134">
        <f t="shared" si="108"/>
        <v>0.16966163461538461</v>
      </c>
      <c r="I230" s="135"/>
      <c r="J230" s="136">
        <f t="shared" si="109"/>
        <v>0</v>
      </c>
      <c r="K230" s="137"/>
      <c r="L230" s="138">
        <f t="shared" si="110"/>
        <v>0</v>
      </c>
      <c r="M230" s="137"/>
      <c r="N230" s="139">
        <f t="shared" si="111"/>
        <v>4.6682980769230803E-2</v>
      </c>
      <c r="O230" s="137"/>
      <c r="P230" s="140">
        <f t="shared" si="112"/>
        <v>5.4086153846153839E-2</v>
      </c>
      <c r="Q230" s="135"/>
      <c r="R230" s="104">
        <f t="shared" si="113"/>
        <v>0.16966163461538461</v>
      </c>
      <c r="S230" s="137"/>
      <c r="T230" s="141">
        <f t="shared" si="114"/>
        <v>0.10076913461538464</v>
      </c>
      <c r="U230" s="199">
        <f t="shared" si="115"/>
        <v>0</v>
      </c>
      <c r="V230" s="37" t="str">
        <f t="shared" si="116"/>
        <v>ok</v>
      </c>
      <c r="W230" s="37" t="str">
        <f t="shared" si="117"/>
        <v>ok</v>
      </c>
    </row>
    <row r="231" spans="1:23" x14ac:dyDescent="0.25">
      <c r="A231" s="426"/>
      <c r="B231" s="178" t="s">
        <v>20</v>
      </c>
      <c r="C231" s="129">
        <v>13</v>
      </c>
      <c r="D231" s="130">
        <f>'2.4.5.2 Durée de missions'!D231/BDA</f>
        <v>0.13698142307692304</v>
      </c>
      <c r="E231" s="131">
        <f>'2.4.5.2 Durée de missions'!E231/BDA</f>
        <v>0.34418461538461542</v>
      </c>
      <c r="F231" s="132">
        <f t="shared" si="96"/>
        <v>0.27534769230769235</v>
      </c>
      <c r="G231" s="133">
        <f t="shared" si="97"/>
        <v>6.8836923076923073E-2</v>
      </c>
      <c r="H231" s="134">
        <f t="shared" si="108"/>
        <v>0.13698142307692304</v>
      </c>
      <c r="I231" s="135"/>
      <c r="J231" s="136">
        <f t="shared" si="109"/>
        <v>0</v>
      </c>
      <c r="K231" s="137"/>
      <c r="L231" s="138">
        <f t="shared" si="110"/>
        <v>0</v>
      </c>
      <c r="M231" s="137"/>
      <c r="N231" s="139">
        <f t="shared" si="111"/>
        <v>0.13836626923076931</v>
      </c>
      <c r="O231" s="137"/>
      <c r="P231" s="140">
        <f t="shared" si="112"/>
        <v>6.8836923076923073E-2</v>
      </c>
      <c r="Q231" s="135"/>
      <c r="R231" s="104">
        <f t="shared" si="113"/>
        <v>0.13698142307692304</v>
      </c>
      <c r="S231" s="137"/>
      <c r="T231" s="141">
        <f t="shared" si="114"/>
        <v>0.20720319230769238</v>
      </c>
      <c r="U231" s="199">
        <f t="shared" si="115"/>
        <v>0</v>
      </c>
      <c r="V231" s="37" t="str">
        <f t="shared" si="116"/>
        <v>ok</v>
      </c>
      <c r="W231" s="37" t="str">
        <f t="shared" si="117"/>
        <v>ok</v>
      </c>
    </row>
    <row r="232" spans="1:23" x14ac:dyDescent="0.25">
      <c r="A232" s="426"/>
      <c r="B232" s="178" t="s">
        <v>21</v>
      </c>
      <c r="C232" s="129">
        <v>14</v>
      </c>
      <c r="D232" s="130">
        <f>'2.4.5.2 Durée de missions'!D232/BDA</f>
        <v>0.26094084615384616</v>
      </c>
      <c r="E232" s="131">
        <f>'2.4.5.2 Durée de missions'!E232/BDA</f>
        <v>0.46710769230769233</v>
      </c>
      <c r="F232" s="132">
        <f t="shared" si="96"/>
        <v>0.37368615384615389</v>
      </c>
      <c r="G232" s="133">
        <f t="shared" si="97"/>
        <v>9.3421538461538445E-2</v>
      </c>
      <c r="H232" s="134">
        <f t="shared" si="108"/>
        <v>0.26094084615384616</v>
      </c>
      <c r="I232" s="135"/>
      <c r="J232" s="136">
        <f t="shared" si="109"/>
        <v>0</v>
      </c>
      <c r="K232" s="137"/>
      <c r="L232" s="138">
        <f t="shared" si="110"/>
        <v>0</v>
      </c>
      <c r="M232" s="137"/>
      <c r="N232" s="139">
        <f t="shared" si="111"/>
        <v>0.11274530769230773</v>
      </c>
      <c r="O232" s="137"/>
      <c r="P232" s="140">
        <f t="shared" si="112"/>
        <v>9.3421538461538445E-2</v>
      </c>
      <c r="Q232" s="135"/>
      <c r="R232" s="104">
        <f t="shared" si="113"/>
        <v>0.26094084615384616</v>
      </c>
      <c r="S232" s="137"/>
      <c r="T232" s="141">
        <f t="shared" si="114"/>
        <v>0.20616684615384617</v>
      </c>
      <c r="U232" s="199">
        <f t="shared" si="115"/>
        <v>0</v>
      </c>
      <c r="V232" s="37" t="str">
        <f t="shared" si="116"/>
        <v>ok</v>
      </c>
      <c r="W232" s="37" t="str">
        <f t="shared" si="117"/>
        <v>ok</v>
      </c>
    </row>
    <row r="233" spans="1:23" x14ac:dyDescent="0.25">
      <c r="A233" s="426"/>
      <c r="B233" s="178" t="s">
        <v>22</v>
      </c>
      <c r="C233" s="129">
        <v>15</v>
      </c>
      <c r="D233" s="130">
        <f>'2.4.5.2 Durée de missions'!D233/BDA</f>
        <v>0.22675809615384615</v>
      </c>
      <c r="E233" s="131">
        <f>'2.4.5.2 Durée de missions'!E233/BDA</f>
        <v>0.73753846153846148</v>
      </c>
      <c r="F233" s="132">
        <f t="shared" si="96"/>
        <v>0.59003076923076925</v>
      </c>
      <c r="G233" s="133">
        <f t="shared" si="97"/>
        <v>0.14750769230769226</v>
      </c>
      <c r="H233" s="134">
        <f t="shared" si="108"/>
        <v>0.22675809615384615</v>
      </c>
      <c r="I233" s="135"/>
      <c r="J233" s="136">
        <f t="shared" si="109"/>
        <v>0</v>
      </c>
      <c r="K233" s="137"/>
      <c r="L233" s="138">
        <f t="shared" si="110"/>
        <v>0</v>
      </c>
      <c r="M233" s="137"/>
      <c r="N233" s="139">
        <f t="shared" si="111"/>
        <v>0.36327267307692312</v>
      </c>
      <c r="O233" s="137"/>
      <c r="P233" s="140">
        <f t="shared" si="112"/>
        <v>0.14750769230769226</v>
      </c>
      <c r="Q233" s="135"/>
      <c r="R233" s="104">
        <f t="shared" si="113"/>
        <v>0.22675809615384615</v>
      </c>
      <c r="S233" s="137"/>
      <c r="T233" s="141">
        <f t="shared" si="114"/>
        <v>0.51078036538461535</v>
      </c>
      <c r="U233" s="199">
        <f t="shared" si="115"/>
        <v>0</v>
      </c>
      <c r="V233" s="37" t="str">
        <f t="shared" si="116"/>
        <v>ok</v>
      </c>
      <c r="W233" s="37" t="str">
        <f t="shared" si="117"/>
        <v>ok</v>
      </c>
    </row>
    <row r="234" spans="1:23" x14ac:dyDescent="0.25">
      <c r="A234" s="426"/>
      <c r="B234" s="178" t="s">
        <v>23</v>
      </c>
      <c r="C234" s="129">
        <v>16</v>
      </c>
      <c r="D234" s="130">
        <f>'2.4.5.2 Durée de missions'!D234/BDA</f>
        <v>0.17805080769230769</v>
      </c>
      <c r="E234" s="131">
        <f>'2.4.5.2 Durée de missions'!E234/BDA</f>
        <v>0.56544615384615382</v>
      </c>
      <c r="F234" s="132">
        <f t="shared" si="96"/>
        <v>0.4523569230769231</v>
      </c>
      <c r="G234" s="133">
        <f t="shared" si="97"/>
        <v>0.11308923076923073</v>
      </c>
      <c r="H234" s="134">
        <f t="shared" si="108"/>
        <v>0.17805080769230769</v>
      </c>
      <c r="I234" s="135"/>
      <c r="J234" s="136">
        <f t="shared" si="109"/>
        <v>0</v>
      </c>
      <c r="K234" s="137"/>
      <c r="L234" s="138">
        <f t="shared" si="110"/>
        <v>0</v>
      </c>
      <c r="M234" s="137"/>
      <c r="N234" s="139">
        <f t="shared" si="111"/>
        <v>0.27430611538461541</v>
      </c>
      <c r="O234" s="137"/>
      <c r="P234" s="140">
        <f t="shared" si="112"/>
        <v>0.11308923076923073</v>
      </c>
      <c r="Q234" s="135"/>
      <c r="R234" s="104">
        <f t="shared" si="113"/>
        <v>0.17805080769230769</v>
      </c>
      <c r="S234" s="137"/>
      <c r="T234" s="141">
        <f t="shared" si="114"/>
        <v>0.38739534615384613</v>
      </c>
      <c r="U234" s="199">
        <f t="shared" si="115"/>
        <v>0</v>
      </c>
      <c r="V234" s="37" t="str">
        <f t="shared" si="116"/>
        <v>ok</v>
      </c>
      <c r="W234" s="37" t="str">
        <f t="shared" si="117"/>
        <v>ok</v>
      </c>
    </row>
    <row r="235" spans="1:23" x14ac:dyDescent="0.25">
      <c r="A235" s="426"/>
      <c r="B235" s="178" t="s">
        <v>19</v>
      </c>
      <c r="C235" s="129">
        <v>19</v>
      </c>
      <c r="D235" s="130">
        <f>'2.4.5.2 Durée de missions'!D235/BDA</f>
        <v>7.7881576923076928E-2</v>
      </c>
      <c r="E235" s="131">
        <f>'2.4.5.2 Durée de missions'!E235/BDA</f>
        <v>0.27043076923076925</v>
      </c>
      <c r="F235" s="132">
        <f t="shared" si="96"/>
        <v>0.21634461538461541</v>
      </c>
      <c r="G235" s="133">
        <f t="shared" si="97"/>
        <v>5.4086153846153839E-2</v>
      </c>
      <c r="H235" s="134">
        <f t="shared" si="108"/>
        <v>7.7881576923076928E-2</v>
      </c>
      <c r="I235" s="135"/>
      <c r="J235" s="136">
        <f t="shared" si="109"/>
        <v>0</v>
      </c>
      <c r="K235" s="137"/>
      <c r="L235" s="138">
        <f t="shared" si="110"/>
        <v>0</v>
      </c>
      <c r="M235" s="137"/>
      <c r="N235" s="139">
        <f t="shared" si="111"/>
        <v>0.13846303846153848</v>
      </c>
      <c r="O235" s="137"/>
      <c r="P235" s="140">
        <f t="shared" si="112"/>
        <v>5.4086153846153839E-2</v>
      </c>
      <c r="Q235" s="135"/>
      <c r="R235" s="104">
        <f t="shared" si="113"/>
        <v>7.7881576923076928E-2</v>
      </c>
      <c r="S235" s="137"/>
      <c r="T235" s="141">
        <f t="shared" si="114"/>
        <v>0.19254919230769232</v>
      </c>
      <c r="U235" s="199">
        <f t="shared" si="115"/>
        <v>0</v>
      </c>
      <c r="V235" s="37" t="str">
        <f t="shared" si="116"/>
        <v>ok</v>
      </c>
      <c r="W235" s="37" t="str">
        <f t="shared" si="117"/>
        <v>ok</v>
      </c>
    </row>
    <row r="236" spans="1:23" x14ac:dyDescent="0.25">
      <c r="A236" s="426"/>
      <c r="B236" s="178" t="s">
        <v>20</v>
      </c>
      <c r="C236" s="129">
        <v>20</v>
      </c>
      <c r="D236" s="130">
        <f>'2.4.5.2 Durée de missions'!D236/BDA</f>
        <v>5.4341807692307689E-2</v>
      </c>
      <c r="E236" s="131">
        <f>'2.4.5.2 Durée de missions'!E236/BDA</f>
        <v>0.45481538461538462</v>
      </c>
      <c r="F236" s="132">
        <f t="shared" si="96"/>
        <v>0.3638523076923077</v>
      </c>
      <c r="G236" s="133">
        <f t="shared" si="97"/>
        <v>9.096307692307691E-2</v>
      </c>
      <c r="H236" s="134">
        <f t="shared" si="108"/>
        <v>5.4341807692307689E-2</v>
      </c>
      <c r="I236" s="135"/>
      <c r="J236" s="136">
        <f t="shared" si="109"/>
        <v>0</v>
      </c>
      <c r="K236" s="137"/>
      <c r="L236" s="138">
        <f t="shared" si="110"/>
        <v>0</v>
      </c>
      <c r="M236" s="137"/>
      <c r="N236" s="139">
        <f t="shared" si="111"/>
        <v>0.30951050000000002</v>
      </c>
      <c r="O236" s="137"/>
      <c r="P236" s="140">
        <f t="shared" si="112"/>
        <v>9.096307692307691E-2</v>
      </c>
      <c r="Q236" s="135"/>
      <c r="R236" s="104">
        <f t="shared" si="113"/>
        <v>5.4341807692307689E-2</v>
      </c>
      <c r="S236" s="137"/>
      <c r="T236" s="141">
        <f t="shared" si="114"/>
        <v>0.40047357692307695</v>
      </c>
      <c r="U236" s="199">
        <f t="shared" si="115"/>
        <v>0</v>
      </c>
      <c r="V236" s="37" t="str">
        <f t="shared" si="116"/>
        <v>ok</v>
      </c>
      <c r="W236" s="37" t="str">
        <f t="shared" si="117"/>
        <v>ok</v>
      </c>
    </row>
    <row r="237" spans="1:23" x14ac:dyDescent="0.25">
      <c r="A237" s="426"/>
      <c r="B237" s="178" t="s">
        <v>21</v>
      </c>
      <c r="C237" s="129">
        <v>21</v>
      </c>
      <c r="D237" s="130">
        <f>'2.4.5.2 Durée de missions'!D237/BDA</f>
        <v>0.11269038461538461</v>
      </c>
      <c r="E237" s="131">
        <f>'2.4.5.2 Durée de missions'!E237/BDA</f>
        <v>0.5408615384615385</v>
      </c>
      <c r="F237" s="132">
        <f t="shared" si="96"/>
        <v>0.43268923076923083</v>
      </c>
      <c r="G237" s="133">
        <f t="shared" si="97"/>
        <v>0.10817230769230768</v>
      </c>
      <c r="H237" s="134">
        <f t="shared" si="108"/>
        <v>0.11269038461538461</v>
      </c>
      <c r="I237" s="135"/>
      <c r="J237" s="136">
        <f t="shared" si="109"/>
        <v>0</v>
      </c>
      <c r="K237" s="137"/>
      <c r="L237" s="138">
        <f t="shared" si="110"/>
        <v>0</v>
      </c>
      <c r="M237" s="137"/>
      <c r="N237" s="139">
        <f t="shared" si="111"/>
        <v>0.31999884615384622</v>
      </c>
      <c r="O237" s="137"/>
      <c r="P237" s="140">
        <f t="shared" si="112"/>
        <v>0.10817230769230768</v>
      </c>
      <c r="Q237" s="135"/>
      <c r="R237" s="104">
        <f t="shared" si="113"/>
        <v>0.11269038461538461</v>
      </c>
      <c r="S237" s="137"/>
      <c r="T237" s="141">
        <f t="shared" si="114"/>
        <v>0.4281711538461539</v>
      </c>
      <c r="U237" s="199">
        <f t="shared" si="115"/>
        <v>0</v>
      </c>
      <c r="V237" s="37" t="str">
        <f t="shared" si="116"/>
        <v>ok</v>
      </c>
      <c r="W237" s="37" t="str">
        <f t="shared" si="117"/>
        <v>ok</v>
      </c>
    </row>
    <row r="238" spans="1:23" x14ac:dyDescent="0.25">
      <c r="A238" s="426"/>
      <c r="B238" s="178" t="s">
        <v>22</v>
      </c>
      <c r="C238" s="129">
        <v>22</v>
      </c>
      <c r="D238" s="130">
        <f>'2.4.5.2 Durée de missions'!D238/BDA</f>
        <v>0.45226407692307691</v>
      </c>
      <c r="E238" s="131">
        <f>'2.4.5.2 Durée de missions'!E238/BDA</f>
        <v>0.60846923076923065</v>
      </c>
      <c r="F238" s="132">
        <f t="shared" si="96"/>
        <v>0.48677538461538455</v>
      </c>
      <c r="G238" s="133">
        <f t="shared" si="97"/>
        <v>0.1216938461538461</v>
      </c>
      <c r="H238" s="134">
        <f t="shared" si="108"/>
        <v>0.45226407692307691</v>
      </c>
      <c r="I238" s="135"/>
      <c r="J238" s="136">
        <f t="shared" si="109"/>
        <v>0</v>
      </c>
      <c r="K238" s="137"/>
      <c r="L238" s="138">
        <f t="shared" si="110"/>
        <v>0</v>
      </c>
      <c r="M238" s="137"/>
      <c r="N238" s="139">
        <f t="shared" si="111"/>
        <v>3.4511307692307647E-2</v>
      </c>
      <c r="O238" s="137"/>
      <c r="P238" s="140">
        <f t="shared" si="112"/>
        <v>0.1216938461538461</v>
      </c>
      <c r="Q238" s="135"/>
      <c r="R238" s="104">
        <f t="shared" si="113"/>
        <v>0.45226407692307691</v>
      </c>
      <c r="S238" s="137"/>
      <c r="T238" s="141">
        <f t="shared" si="114"/>
        <v>0.15620515384615374</v>
      </c>
      <c r="U238" s="199">
        <f t="shared" si="115"/>
        <v>0</v>
      </c>
      <c r="V238" s="37" t="str">
        <f t="shared" si="116"/>
        <v>ok</v>
      </c>
      <c r="W238" s="37" t="str">
        <f t="shared" si="117"/>
        <v>ok</v>
      </c>
    </row>
    <row r="239" spans="1:23" x14ac:dyDescent="0.25">
      <c r="A239" s="426"/>
      <c r="B239" s="178" t="s">
        <v>23</v>
      </c>
      <c r="C239" s="129">
        <v>23</v>
      </c>
      <c r="D239" s="130">
        <f>'2.4.5.2 Durée de missions'!D239/BDA</f>
        <v>0.36812192307692304</v>
      </c>
      <c r="E239" s="131">
        <f>'2.4.5.2 Durée de missions'!E239/BDA</f>
        <v>0.38548676923076919</v>
      </c>
      <c r="F239" s="132">
        <f t="shared" si="96"/>
        <v>0.3083894153846154</v>
      </c>
      <c r="G239" s="133">
        <f t="shared" si="97"/>
        <v>7.7097353846153821E-2</v>
      </c>
      <c r="H239" s="134">
        <f t="shared" si="108"/>
        <v>0.36812192307692304</v>
      </c>
      <c r="I239" s="135"/>
      <c r="J239" s="136">
        <f t="shared" si="109"/>
        <v>0</v>
      </c>
      <c r="K239" s="137"/>
      <c r="L239" s="138">
        <f t="shared" si="110"/>
        <v>5.9732507692307646E-2</v>
      </c>
      <c r="M239" s="137"/>
      <c r="N239" s="139">
        <f t="shared" si="111"/>
        <v>0</v>
      </c>
      <c r="O239" s="137"/>
      <c r="P239" s="140">
        <f t="shared" si="112"/>
        <v>1.7364846153846147E-2</v>
      </c>
      <c r="Q239" s="135"/>
      <c r="R239" s="104">
        <f t="shared" si="113"/>
        <v>0.3083894153846154</v>
      </c>
      <c r="S239" s="137"/>
      <c r="T239" s="141">
        <f t="shared" si="114"/>
        <v>7.7097353846153793E-2</v>
      </c>
      <c r="U239" s="199">
        <f t="shared" si="115"/>
        <v>5.9732507692307646E-2</v>
      </c>
      <c r="V239" s="37" t="str">
        <f t="shared" si="116"/>
        <v>ok</v>
      </c>
      <c r="W239" s="37" t="str">
        <f t="shared" si="117"/>
        <v>ok</v>
      </c>
    </row>
    <row r="240" spans="1:23" x14ac:dyDescent="0.25">
      <c r="A240" s="426"/>
      <c r="B240" s="178" t="s">
        <v>19</v>
      </c>
      <c r="C240" s="129">
        <v>26</v>
      </c>
      <c r="D240" s="130">
        <f>'2.4.5.2 Durée de missions'!D240/BDA</f>
        <v>0.21210834615384619</v>
      </c>
      <c r="E240" s="131">
        <f>'2.4.5.2 Durée de missions'!E240/BDA</f>
        <v>0.18266369230769228</v>
      </c>
      <c r="F240" s="132">
        <f t="shared" si="96"/>
        <v>0.14613095384615382</v>
      </c>
      <c r="G240" s="133">
        <f t="shared" si="97"/>
        <v>3.6532738461538448E-2</v>
      </c>
      <c r="H240" s="134">
        <f t="shared" si="108"/>
        <v>0.18266369230769228</v>
      </c>
      <c r="I240" s="135"/>
      <c r="J240" s="136">
        <f t="shared" si="109"/>
        <v>2.9444653846153912E-2</v>
      </c>
      <c r="K240" s="137"/>
      <c r="L240" s="138">
        <f t="shared" si="110"/>
        <v>3.6532738461538448E-2</v>
      </c>
      <c r="M240" s="137"/>
      <c r="N240" s="139">
        <f t="shared" si="111"/>
        <v>0</v>
      </c>
      <c r="O240" s="137"/>
      <c r="P240" s="140">
        <f t="shared" si="112"/>
        <v>0</v>
      </c>
      <c r="Q240" s="135"/>
      <c r="R240" s="104">
        <f t="shared" si="113"/>
        <v>0.14613095384615382</v>
      </c>
      <c r="S240" s="137"/>
      <c r="T240" s="141">
        <f t="shared" si="114"/>
        <v>3.6532738461538448E-2</v>
      </c>
      <c r="U240" s="199">
        <f t="shared" si="115"/>
        <v>6.5977392307692367E-2</v>
      </c>
      <c r="V240" s="37" t="str">
        <f t="shared" si="116"/>
        <v>ok</v>
      </c>
      <c r="W240" s="37" t="str">
        <f t="shared" si="117"/>
        <v>ok</v>
      </c>
    </row>
    <row r="241" spans="1:23" x14ac:dyDescent="0.25">
      <c r="A241" s="426"/>
      <c r="B241" s="178" t="s">
        <v>20</v>
      </c>
      <c r="C241" s="129">
        <v>27</v>
      </c>
      <c r="D241" s="130">
        <f>'2.4.5.2 Durée de missions'!D241/BDA</f>
        <v>0.17366840384615384</v>
      </c>
      <c r="E241" s="131">
        <f>'2.4.5.2 Durée de missions'!E241/BDA</f>
        <v>0.2433876923076923</v>
      </c>
      <c r="F241" s="132">
        <f t="shared" si="96"/>
        <v>0.19471015384615387</v>
      </c>
      <c r="G241" s="133">
        <f t="shared" si="97"/>
        <v>4.8677538461538453E-2</v>
      </c>
      <c r="H241" s="134">
        <f t="shared" si="108"/>
        <v>0.17366840384615384</v>
      </c>
      <c r="I241" s="135"/>
      <c r="J241" s="136">
        <f t="shared" si="109"/>
        <v>0</v>
      </c>
      <c r="K241" s="137"/>
      <c r="L241" s="138">
        <f t="shared" si="110"/>
        <v>0</v>
      </c>
      <c r="M241" s="137"/>
      <c r="N241" s="139">
        <f t="shared" si="111"/>
        <v>2.1041750000000026E-2</v>
      </c>
      <c r="O241" s="137"/>
      <c r="P241" s="140">
        <f t="shared" si="112"/>
        <v>4.8677538461538453E-2</v>
      </c>
      <c r="Q241" s="135"/>
      <c r="R241" s="104">
        <f t="shared" si="113"/>
        <v>0.17366840384615384</v>
      </c>
      <c r="S241" s="137"/>
      <c r="T241" s="141">
        <f t="shared" si="114"/>
        <v>6.9719288461538478E-2</v>
      </c>
      <c r="U241" s="199">
        <f t="shared" si="115"/>
        <v>0</v>
      </c>
      <c r="V241" s="37" t="str">
        <f t="shared" si="116"/>
        <v>ok</v>
      </c>
      <c r="W241" s="37" t="str">
        <f t="shared" si="117"/>
        <v>ok</v>
      </c>
    </row>
    <row r="242" spans="1:23" x14ac:dyDescent="0.25">
      <c r="A242" s="426"/>
      <c r="B242" s="178" t="s">
        <v>21</v>
      </c>
      <c r="C242" s="129">
        <v>28</v>
      </c>
      <c r="D242" s="130">
        <f>'2.4.5.2 Durée de missions'!D242/BDA</f>
        <v>0.32617605769230767</v>
      </c>
      <c r="E242" s="131">
        <f>'2.4.5.2 Durée de missions'!E242/BDA</f>
        <v>0.38548676923076919</v>
      </c>
      <c r="F242" s="132">
        <f t="shared" si="96"/>
        <v>0.3083894153846154</v>
      </c>
      <c r="G242" s="133">
        <f t="shared" si="97"/>
        <v>7.7097353846153821E-2</v>
      </c>
      <c r="H242" s="134">
        <f t="shared" si="108"/>
        <v>0.32617605769230767</v>
      </c>
      <c r="I242" s="135"/>
      <c r="J242" s="136">
        <f t="shared" si="109"/>
        <v>0</v>
      </c>
      <c r="K242" s="137"/>
      <c r="L242" s="138">
        <f t="shared" si="110"/>
        <v>1.778664230769228E-2</v>
      </c>
      <c r="M242" s="137"/>
      <c r="N242" s="139">
        <f t="shared" si="111"/>
        <v>0</v>
      </c>
      <c r="O242" s="137"/>
      <c r="P242" s="140">
        <f t="shared" si="112"/>
        <v>5.9310711538461514E-2</v>
      </c>
      <c r="Q242" s="135"/>
      <c r="R242" s="104">
        <f t="shared" si="113"/>
        <v>0.3083894153846154</v>
      </c>
      <c r="S242" s="137"/>
      <c r="T242" s="141">
        <f t="shared" si="114"/>
        <v>7.7097353846153793E-2</v>
      </c>
      <c r="U242" s="199">
        <f t="shared" si="115"/>
        <v>1.778664230769228E-2</v>
      </c>
      <c r="V242" s="37" t="str">
        <f t="shared" si="116"/>
        <v>ok</v>
      </c>
      <c r="W242" s="37" t="str">
        <f t="shared" si="117"/>
        <v>ok</v>
      </c>
    </row>
    <row r="243" spans="1:23" x14ac:dyDescent="0.25">
      <c r="A243" s="426"/>
      <c r="B243" s="178" t="s">
        <v>22</v>
      </c>
      <c r="C243" s="129">
        <v>29</v>
      </c>
      <c r="D243" s="130">
        <f>'2.4.5.2 Durée de missions'!D243/BDA</f>
        <v>0.5426668076923078</v>
      </c>
      <c r="E243" s="131">
        <f>'2.4.5.2 Durée de missions'!E243/BDA</f>
        <v>0.73753846153846148</v>
      </c>
      <c r="F243" s="132">
        <f t="shared" si="96"/>
        <v>0.59003076923076925</v>
      </c>
      <c r="G243" s="133">
        <f t="shared" si="97"/>
        <v>0.14750769230769226</v>
      </c>
      <c r="H243" s="134">
        <f t="shared" si="108"/>
        <v>0.5426668076923078</v>
      </c>
      <c r="I243" s="135"/>
      <c r="J243" s="136">
        <f t="shared" si="109"/>
        <v>0</v>
      </c>
      <c r="K243" s="137"/>
      <c r="L243" s="138">
        <f t="shared" si="110"/>
        <v>0</v>
      </c>
      <c r="M243" s="137"/>
      <c r="N243" s="139">
        <f t="shared" si="111"/>
        <v>4.7363961538461452E-2</v>
      </c>
      <c r="O243" s="137"/>
      <c r="P243" s="140">
        <f t="shared" si="112"/>
        <v>0.14750769230769226</v>
      </c>
      <c r="Q243" s="135"/>
      <c r="R243" s="104">
        <f t="shared" si="113"/>
        <v>0.5426668076923078</v>
      </c>
      <c r="S243" s="137"/>
      <c r="T243" s="141">
        <f t="shared" si="114"/>
        <v>0.19487165384615371</v>
      </c>
      <c r="U243" s="199">
        <f t="shared" si="115"/>
        <v>0</v>
      </c>
      <c r="V243" s="37" t="str">
        <f t="shared" si="116"/>
        <v>ok</v>
      </c>
      <c r="W243" s="37" t="str">
        <f t="shared" si="117"/>
        <v>ok</v>
      </c>
    </row>
    <row r="244" spans="1:23" ht="15.75" thickBot="1" x14ac:dyDescent="0.3">
      <c r="A244" s="427"/>
      <c r="B244" s="277" t="s">
        <v>23</v>
      </c>
      <c r="C244" s="165">
        <v>30</v>
      </c>
      <c r="D244" s="202">
        <f>'2.4.5.2 Durée de missions'!D244/BDA</f>
        <v>0.44024376923076919</v>
      </c>
      <c r="E244" s="203">
        <f>'2.4.5.2 Durée de missions'!E244/BDA</f>
        <v>0.51627692307692308</v>
      </c>
      <c r="F244" s="204">
        <f t="shared" si="96"/>
        <v>0.4130215384615385</v>
      </c>
      <c r="G244" s="205">
        <f t="shared" si="97"/>
        <v>0.1032553846153846</v>
      </c>
      <c r="H244" s="206">
        <f t="shared" si="108"/>
        <v>0.44024376923076919</v>
      </c>
      <c r="I244" s="207"/>
      <c r="J244" s="208">
        <f t="shared" si="109"/>
        <v>0</v>
      </c>
      <c r="K244" s="209"/>
      <c r="L244" s="210">
        <f t="shared" si="110"/>
        <v>2.7222230769230693E-2</v>
      </c>
      <c r="M244" s="209"/>
      <c r="N244" s="211">
        <f t="shared" si="111"/>
        <v>0</v>
      </c>
      <c r="O244" s="209"/>
      <c r="P244" s="212">
        <f t="shared" si="112"/>
        <v>7.6033153846153889E-2</v>
      </c>
      <c r="Q244" s="207"/>
      <c r="R244" s="213">
        <f t="shared" si="113"/>
        <v>0.4130215384615385</v>
      </c>
      <c r="S244" s="209"/>
      <c r="T244" s="214">
        <f t="shared" si="114"/>
        <v>0.10325538461538458</v>
      </c>
      <c r="U244" s="215">
        <f t="shared" si="115"/>
        <v>2.7222230769230693E-2</v>
      </c>
      <c r="V244" s="37" t="str">
        <f t="shared" si="116"/>
        <v>ok</v>
      </c>
      <c r="W244" s="37" t="str">
        <f t="shared" si="117"/>
        <v>ok</v>
      </c>
    </row>
    <row r="245" spans="1:23" x14ac:dyDescent="0.25">
      <c r="A245" s="425" t="s">
        <v>100</v>
      </c>
      <c r="B245" s="276" t="s">
        <v>19</v>
      </c>
      <c r="C245" s="247">
        <v>3</v>
      </c>
      <c r="D245" s="184">
        <f>'2.4.5.2 Durée de missions'!D245/BDA</f>
        <v>0.16932849999999997</v>
      </c>
      <c r="E245" s="185">
        <f>'2.4.5.2 Durée de missions'!E245/BDA</f>
        <v>1.2813749999999997</v>
      </c>
      <c r="F245" s="186">
        <f t="shared" si="96"/>
        <v>1.0250999999999999</v>
      </c>
      <c r="G245" s="187">
        <f t="shared" si="97"/>
        <v>0.25627499999999986</v>
      </c>
      <c r="H245" s="188">
        <f>IF(E245&gt;D245,D245,E245)</f>
        <v>0.16932849999999997</v>
      </c>
      <c r="I245" s="189"/>
      <c r="J245" s="190">
        <f>IF(E245&gt;D245,0,D245-E245)</f>
        <v>0</v>
      </c>
      <c r="K245" s="191"/>
      <c r="L245" s="192">
        <f>IF(E245&gt;D245,IF(F245&gt;H245,0,H245-F245),G245)</f>
        <v>0</v>
      </c>
      <c r="M245" s="191"/>
      <c r="N245" s="193">
        <f>IF(E245&gt;D245,IF(F245&gt;H245,F245-H245,0),0)</f>
        <v>0.85577149999999991</v>
      </c>
      <c r="O245" s="191"/>
      <c r="P245" s="194">
        <f>IF(E245&gt;D245,IF(F245&gt;H245,G245,E245-H245),0)</f>
        <v>0.25627499999999986</v>
      </c>
      <c r="Q245" s="189"/>
      <c r="R245" s="195">
        <f>H245-L245</f>
        <v>0.16932849999999997</v>
      </c>
      <c r="S245" s="191"/>
      <c r="T245" s="196">
        <f>L245+N245+P245</f>
        <v>1.1120464999999997</v>
      </c>
      <c r="U245" s="197">
        <f>J245+L245</f>
        <v>0</v>
      </c>
      <c r="V245" s="37" t="str">
        <f>IF(R245+T245=E245,"ok","bad")</f>
        <v>ok</v>
      </c>
      <c r="W245" s="37" t="str">
        <f>IF(U245+R245=D245,"ok","bad")</f>
        <v>ok</v>
      </c>
    </row>
    <row r="246" spans="1:23" x14ac:dyDescent="0.25">
      <c r="A246" s="426"/>
      <c r="B246" s="178" t="s">
        <v>20</v>
      </c>
      <c r="C246" s="129">
        <v>4</v>
      </c>
      <c r="D246" s="130">
        <f>'2.4.5.2 Durée de missions'!D246/BDA</f>
        <v>0.13295699999999999</v>
      </c>
      <c r="E246" s="131">
        <f>'2.4.5.2 Durée de missions'!E246/BDA</f>
        <v>0.93967499999999993</v>
      </c>
      <c r="F246" s="132">
        <f t="shared" si="96"/>
        <v>0.75173999999999996</v>
      </c>
      <c r="G246" s="133">
        <f t="shared" si="97"/>
        <v>0.18793499999999994</v>
      </c>
      <c r="H246" s="134">
        <f t="shared" ref="H246:H265" si="118">IF(E246&gt;D246,D246,E246)</f>
        <v>0.13295699999999999</v>
      </c>
      <c r="I246" s="135"/>
      <c r="J246" s="136">
        <f t="shared" ref="J246:J265" si="119">IF(E246&gt;D246,0,D246-E246)</f>
        <v>0</v>
      </c>
      <c r="K246" s="137"/>
      <c r="L246" s="138">
        <f t="shared" ref="L246:L265" si="120">IF(E246&gt;D246,IF(F246&gt;H246,0,H246-F246),G246)</f>
        <v>0</v>
      </c>
      <c r="M246" s="137"/>
      <c r="N246" s="139">
        <f t="shared" ref="N246:N265" si="121">IF(E246&gt;D246,IF(F246&gt;H246,F246-H246,0),0)</f>
        <v>0.61878299999999997</v>
      </c>
      <c r="O246" s="137"/>
      <c r="P246" s="140">
        <f t="shared" ref="P246:P265" si="122">IF(E246&gt;D246,IF(F246&gt;H246,G246,E246-H246),0)</f>
        <v>0.18793499999999994</v>
      </c>
      <c r="Q246" s="135"/>
      <c r="R246" s="104">
        <f t="shared" ref="R246:R265" si="123">H246-L246</f>
        <v>0.13295699999999999</v>
      </c>
      <c r="S246" s="137"/>
      <c r="T246" s="141">
        <f t="shared" ref="T246:T265" si="124">L246+N246+P246</f>
        <v>0.80671799999999994</v>
      </c>
      <c r="U246" s="199">
        <f t="shared" ref="U246:U265" si="125">J246+L246</f>
        <v>0</v>
      </c>
      <c r="V246" s="37" t="str">
        <f t="shared" ref="V246:V265" si="126">IF(R246+T246=E246,"ok","bad")</f>
        <v>ok</v>
      </c>
      <c r="W246" s="37" t="str">
        <f t="shared" ref="W246:W265" si="127">IF(U246+R246=D246,"ok","bad")</f>
        <v>ok</v>
      </c>
    </row>
    <row r="247" spans="1:23" x14ac:dyDescent="0.25">
      <c r="A247" s="426"/>
      <c r="B247" s="178" t="s">
        <v>21</v>
      </c>
      <c r="C247" s="129">
        <v>5</v>
      </c>
      <c r="D247" s="130">
        <f>'2.4.5.2 Durée de missions'!D247/BDA</f>
        <v>5.8157E-2</v>
      </c>
      <c r="E247" s="131">
        <f>'2.4.5.2 Durée de missions'!E247/BDA</f>
        <v>0.38441249999999988</v>
      </c>
      <c r="F247" s="132">
        <f t="shared" si="96"/>
        <v>0.30752999999999991</v>
      </c>
      <c r="G247" s="133">
        <f t="shared" si="97"/>
        <v>7.6882499999999965E-2</v>
      </c>
      <c r="H247" s="134">
        <f t="shared" si="118"/>
        <v>5.8157E-2</v>
      </c>
      <c r="I247" s="135"/>
      <c r="J247" s="136">
        <f t="shared" si="119"/>
        <v>0</v>
      </c>
      <c r="K247" s="137"/>
      <c r="L247" s="138">
        <f t="shared" si="120"/>
        <v>0</v>
      </c>
      <c r="M247" s="137"/>
      <c r="N247" s="139">
        <f t="shared" si="121"/>
        <v>0.2493729999999999</v>
      </c>
      <c r="O247" s="137"/>
      <c r="P247" s="140">
        <f t="shared" si="122"/>
        <v>7.6882499999999965E-2</v>
      </c>
      <c r="Q247" s="135"/>
      <c r="R247" s="104">
        <f t="shared" si="123"/>
        <v>5.8157E-2</v>
      </c>
      <c r="S247" s="137"/>
      <c r="T247" s="141">
        <f t="shared" si="124"/>
        <v>0.32625549999999987</v>
      </c>
      <c r="U247" s="199">
        <f t="shared" si="125"/>
        <v>0</v>
      </c>
      <c r="V247" s="37" t="str">
        <f t="shared" si="126"/>
        <v>ok</v>
      </c>
      <c r="W247" s="37" t="str">
        <f t="shared" si="127"/>
        <v>ok</v>
      </c>
    </row>
    <row r="248" spans="1:23" x14ac:dyDescent="0.25">
      <c r="A248" s="426"/>
      <c r="B248" s="178" t="s">
        <v>22</v>
      </c>
      <c r="C248" s="129">
        <v>6</v>
      </c>
      <c r="D248" s="130">
        <f>'2.4.5.2 Durée de missions'!D248/BDA</f>
        <v>4.0578999999999997E-2</v>
      </c>
      <c r="E248" s="131">
        <f>'2.4.5.2 Durée de missions'!E248/BDA</f>
        <v>0.57661874999999996</v>
      </c>
      <c r="F248" s="132">
        <f t="shared" si="96"/>
        <v>0.46129500000000001</v>
      </c>
      <c r="G248" s="133">
        <f t="shared" si="97"/>
        <v>0.11532374999999996</v>
      </c>
      <c r="H248" s="134">
        <f t="shared" si="118"/>
        <v>4.0578999999999997E-2</v>
      </c>
      <c r="I248" s="135"/>
      <c r="J248" s="136">
        <f t="shared" si="119"/>
        <v>0</v>
      </c>
      <c r="K248" s="137"/>
      <c r="L248" s="138">
        <f t="shared" si="120"/>
        <v>0</v>
      </c>
      <c r="M248" s="137"/>
      <c r="N248" s="139">
        <f t="shared" si="121"/>
        <v>0.42071600000000003</v>
      </c>
      <c r="O248" s="137"/>
      <c r="P248" s="140">
        <f t="shared" si="122"/>
        <v>0.11532374999999996</v>
      </c>
      <c r="Q248" s="135"/>
      <c r="R248" s="104">
        <f t="shared" si="123"/>
        <v>4.0578999999999997E-2</v>
      </c>
      <c r="S248" s="137"/>
      <c r="T248" s="141">
        <f t="shared" si="124"/>
        <v>0.53603975000000004</v>
      </c>
      <c r="U248" s="199">
        <f t="shared" si="125"/>
        <v>0</v>
      </c>
      <c r="V248" s="37" t="str">
        <f t="shared" si="126"/>
        <v>ok</v>
      </c>
      <c r="W248" s="37" t="str">
        <f t="shared" si="127"/>
        <v>ok</v>
      </c>
    </row>
    <row r="249" spans="1:23" x14ac:dyDescent="0.25">
      <c r="A249" s="426"/>
      <c r="B249" s="178" t="s">
        <v>23</v>
      </c>
      <c r="C249" s="129">
        <v>7</v>
      </c>
      <c r="D249" s="130">
        <f>'2.4.5.2 Durée de missions'!D249/BDA</f>
        <v>8.4150000000000003E-2</v>
      </c>
      <c r="E249" s="131">
        <f>'2.4.5.2 Durée de missions'!E249/BDA</f>
        <v>0.93967499999999993</v>
      </c>
      <c r="F249" s="132">
        <f t="shared" si="96"/>
        <v>0.75173999999999996</v>
      </c>
      <c r="G249" s="133">
        <f t="shared" si="97"/>
        <v>0.18793499999999994</v>
      </c>
      <c r="H249" s="134">
        <f t="shared" si="118"/>
        <v>8.4150000000000003E-2</v>
      </c>
      <c r="I249" s="135"/>
      <c r="J249" s="136">
        <f t="shared" si="119"/>
        <v>0</v>
      </c>
      <c r="K249" s="137"/>
      <c r="L249" s="138">
        <f t="shared" si="120"/>
        <v>0</v>
      </c>
      <c r="M249" s="137"/>
      <c r="N249" s="139">
        <f t="shared" si="121"/>
        <v>0.66758999999999991</v>
      </c>
      <c r="O249" s="137"/>
      <c r="P249" s="140">
        <f t="shared" si="122"/>
        <v>0.18793499999999994</v>
      </c>
      <c r="Q249" s="135"/>
      <c r="R249" s="104">
        <f t="shared" si="123"/>
        <v>8.4150000000000003E-2</v>
      </c>
      <c r="S249" s="137"/>
      <c r="T249" s="141">
        <f t="shared" si="124"/>
        <v>0.85552499999999987</v>
      </c>
      <c r="U249" s="199">
        <f t="shared" si="125"/>
        <v>0</v>
      </c>
      <c r="V249" s="37" t="str">
        <f t="shared" si="126"/>
        <v>ok</v>
      </c>
      <c r="W249" s="37" t="str">
        <f t="shared" si="127"/>
        <v>ok</v>
      </c>
    </row>
    <row r="250" spans="1:23" x14ac:dyDescent="0.25">
      <c r="A250" s="426"/>
      <c r="B250" s="178" t="s">
        <v>19</v>
      </c>
      <c r="C250" s="129">
        <v>10</v>
      </c>
      <c r="D250" s="130">
        <f>'2.4.5.2 Durée de missions'!D250/BDA</f>
        <v>0.27021499999999998</v>
      </c>
      <c r="E250" s="131">
        <f>'2.4.5.2 Durée de missions'!E250/BDA</f>
        <v>0.65711538461538455</v>
      </c>
      <c r="F250" s="132">
        <f t="shared" si="96"/>
        <v>0.52569230769230768</v>
      </c>
      <c r="G250" s="133">
        <f t="shared" si="97"/>
        <v>0.13142307692307689</v>
      </c>
      <c r="H250" s="134">
        <f t="shared" si="118"/>
        <v>0.27021499999999998</v>
      </c>
      <c r="I250" s="135"/>
      <c r="J250" s="136">
        <f t="shared" si="119"/>
        <v>0</v>
      </c>
      <c r="K250" s="137"/>
      <c r="L250" s="138">
        <f t="shared" si="120"/>
        <v>0</v>
      </c>
      <c r="M250" s="137"/>
      <c r="N250" s="139">
        <f t="shared" si="121"/>
        <v>0.2554773076923077</v>
      </c>
      <c r="O250" s="137"/>
      <c r="P250" s="140">
        <f t="shared" si="122"/>
        <v>0.13142307692307689</v>
      </c>
      <c r="Q250" s="135"/>
      <c r="R250" s="104">
        <f t="shared" si="123"/>
        <v>0.27021499999999998</v>
      </c>
      <c r="S250" s="137"/>
      <c r="T250" s="141">
        <f t="shared" si="124"/>
        <v>0.38690038461538456</v>
      </c>
      <c r="U250" s="199">
        <f t="shared" si="125"/>
        <v>0</v>
      </c>
      <c r="V250" s="37" t="str">
        <f t="shared" si="126"/>
        <v>ok</v>
      </c>
      <c r="W250" s="37" t="str">
        <f t="shared" si="127"/>
        <v>ok</v>
      </c>
    </row>
    <row r="251" spans="1:23" x14ac:dyDescent="0.25">
      <c r="A251" s="426"/>
      <c r="B251" s="178" t="s">
        <v>20</v>
      </c>
      <c r="C251" s="129">
        <v>11</v>
      </c>
      <c r="D251" s="130">
        <f>'2.4.5.2 Durée de missions'!D251/BDA</f>
        <v>0.21916399999999997</v>
      </c>
      <c r="E251" s="131">
        <f>'2.4.5.2 Durée de missions'!E251/BDA</f>
        <v>0.67354326923076913</v>
      </c>
      <c r="F251" s="132">
        <f t="shared" si="96"/>
        <v>0.5388346153846153</v>
      </c>
      <c r="G251" s="133">
        <f t="shared" si="97"/>
        <v>0.1347086538461538</v>
      </c>
      <c r="H251" s="134">
        <f t="shared" si="118"/>
        <v>0.21916399999999997</v>
      </c>
      <c r="I251" s="135"/>
      <c r="J251" s="136">
        <f t="shared" si="119"/>
        <v>0</v>
      </c>
      <c r="K251" s="137"/>
      <c r="L251" s="138">
        <f t="shared" si="120"/>
        <v>0</v>
      </c>
      <c r="M251" s="137"/>
      <c r="N251" s="139">
        <f t="shared" si="121"/>
        <v>0.31967061538461533</v>
      </c>
      <c r="O251" s="137"/>
      <c r="P251" s="140">
        <f t="shared" si="122"/>
        <v>0.1347086538461538</v>
      </c>
      <c r="Q251" s="135"/>
      <c r="R251" s="104">
        <f t="shared" si="123"/>
        <v>0.21916399999999997</v>
      </c>
      <c r="S251" s="137"/>
      <c r="T251" s="141">
        <f t="shared" si="124"/>
        <v>0.4543792692307691</v>
      </c>
      <c r="U251" s="199">
        <f t="shared" si="125"/>
        <v>0</v>
      </c>
      <c r="V251" s="37" t="str">
        <f t="shared" si="126"/>
        <v>ok</v>
      </c>
      <c r="W251" s="37" t="str">
        <f t="shared" si="127"/>
        <v>ok</v>
      </c>
    </row>
    <row r="252" spans="1:23" x14ac:dyDescent="0.25">
      <c r="A252" s="426"/>
      <c r="B252" s="178" t="s">
        <v>21</v>
      </c>
      <c r="C252" s="129">
        <v>12</v>
      </c>
      <c r="D252" s="130">
        <f>'2.4.5.2 Durée de missions'!D252/BDA</f>
        <v>0.12669249999999999</v>
      </c>
      <c r="E252" s="131">
        <f>'2.4.5.2 Durée de missions'!E252/BDA</f>
        <v>0.36141346153846149</v>
      </c>
      <c r="F252" s="132">
        <f t="shared" si="96"/>
        <v>0.28913076923076919</v>
      </c>
      <c r="G252" s="133">
        <f t="shared" si="97"/>
        <v>7.2282692307692284E-2</v>
      </c>
      <c r="H252" s="134">
        <f t="shared" si="118"/>
        <v>0.12669249999999999</v>
      </c>
      <c r="I252" s="135"/>
      <c r="J252" s="136">
        <f t="shared" si="119"/>
        <v>0</v>
      </c>
      <c r="K252" s="137"/>
      <c r="L252" s="138">
        <f t="shared" si="120"/>
        <v>0</v>
      </c>
      <c r="M252" s="137"/>
      <c r="N252" s="139">
        <f t="shared" si="121"/>
        <v>0.16243826923076921</v>
      </c>
      <c r="O252" s="137"/>
      <c r="P252" s="140">
        <f t="shared" si="122"/>
        <v>7.2282692307692284E-2</v>
      </c>
      <c r="Q252" s="135"/>
      <c r="R252" s="104">
        <f t="shared" si="123"/>
        <v>0.12669249999999999</v>
      </c>
      <c r="S252" s="137"/>
      <c r="T252" s="141">
        <f t="shared" si="124"/>
        <v>0.2347209615384615</v>
      </c>
      <c r="U252" s="199">
        <f t="shared" si="125"/>
        <v>0</v>
      </c>
      <c r="V252" s="37" t="str">
        <f t="shared" si="126"/>
        <v>ok</v>
      </c>
      <c r="W252" s="37" t="str">
        <f t="shared" si="127"/>
        <v>ok</v>
      </c>
    </row>
    <row r="253" spans="1:23" x14ac:dyDescent="0.25">
      <c r="A253" s="426"/>
      <c r="B253" s="178" t="s">
        <v>22</v>
      </c>
      <c r="C253" s="129">
        <v>13</v>
      </c>
      <c r="D253" s="130">
        <f>'2.4.5.2 Durée de missions'!D253/BDA</f>
        <v>0.10228899999999998</v>
      </c>
      <c r="E253" s="131">
        <f>'2.4.5.2 Durée de missions'!E253/BDA</f>
        <v>0.45998076923076919</v>
      </c>
      <c r="F253" s="132">
        <f t="shared" si="96"/>
        <v>0.36798461538461535</v>
      </c>
      <c r="G253" s="133">
        <f t="shared" si="97"/>
        <v>9.1996153846153825E-2</v>
      </c>
      <c r="H253" s="134">
        <f t="shared" si="118"/>
        <v>0.10228899999999998</v>
      </c>
      <c r="I253" s="135"/>
      <c r="J253" s="136">
        <f t="shared" si="119"/>
        <v>0</v>
      </c>
      <c r="K253" s="137"/>
      <c r="L253" s="138">
        <f t="shared" si="120"/>
        <v>0</v>
      </c>
      <c r="M253" s="137"/>
      <c r="N253" s="139">
        <f t="shared" si="121"/>
        <v>0.26569561538461539</v>
      </c>
      <c r="O253" s="137"/>
      <c r="P253" s="140">
        <f t="shared" si="122"/>
        <v>9.1996153846153825E-2</v>
      </c>
      <c r="Q253" s="135"/>
      <c r="R253" s="104">
        <f t="shared" si="123"/>
        <v>0.10228899999999998</v>
      </c>
      <c r="S253" s="137"/>
      <c r="T253" s="141">
        <f t="shared" si="124"/>
        <v>0.35769176923076923</v>
      </c>
      <c r="U253" s="199">
        <f t="shared" si="125"/>
        <v>0</v>
      </c>
      <c r="V253" s="37" t="str">
        <f t="shared" si="126"/>
        <v>ok</v>
      </c>
      <c r="W253" s="37" t="str">
        <f t="shared" si="127"/>
        <v>ok</v>
      </c>
    </row>
    <row r="254" spans="1:23" x14ac:dyDescent="0.25">
      <c r="A254" s="426"/>
      <c r="B254" s="178" t="s">
        <v>23</v>
      </c>
      <c r="C254" s="129">
        <v>14</v>
      </c>
      <c r="D254" s="130">
        <f>'2.4.5.2 Durée de missions'!D254/BDA</f>
        <v>0.194854</v>
      </c>
      <c r="E254" s="131">
        <f>'2.4.5.2 Durée de missions'!E254/BDA</f>
        <v>0.62425961538461527</v>
      </c>
      <c r="F254" s="132">
        <f t="shared" si="96"/>
        <v>0.49940769230769222</v>
      </c>
      <c r="G254" s="133">
        <f t="shared" si="97"/>
        <v>0.12485192307692303</v>
      </c>
      <c r="H254" s="134">
        <f t="shared" si="118"/>
        <v>0.194854</v>
      </c>
      <c r="I254" s="135"/>
      <c r="J254" s="136">
        <f t="shared" si="119"/>
        <v>0</v>
      </c>
      <c r="K254" s="137"/>
      <c r="L254" s="138">
        <f t="shared" si="120"/>
        <v>0</v>
      </c>
      <c r="M254" s="137"/>
      <c r="N254" s="139">
        <f t="shared" si="121"/>
        <v>0.30455369230769225</v>
      </c>
      <c r="O254" s="137"/>
      <c r="P254" s="140">
        <f t="shared" si="122"/>
        <v>0.12485192307692303</v>
      </c>
      <c r="Q254" s="135"/>
      <c r="R254" s="104">
        <f t="shared" si="123"/>
        <v>0.194854</v>
      </c>
      <c r="S254" s="137"/>
      <c r="T254" s="141">
        <f t="shared" si="124"/>
        <v>0.4294056153846153</v>
      </c>
      <c r="U254" s="199">
        <f t="shared" si="125"/>
        <v>0</v>
      </c>
      <c r="V254" s="37" t="str">
        <f t="shared" si="126"/>
        <v>ok</v>
      </c>
      <c r="W254" s="37" t="str">
        <f t="shared" si="127"/>
        <v>ok</v>
      </c>
    </row>
    <row r="255" spans="1:23" x14ac:dyDescent="0.25">
      <c r="A255" s="426"/>
      <c r="B255" s="178" t="s">
        <v>19</v>
      </c>
      <c r="C255" s="129">
        <v>17</v>
      </c>
      <c r="D255" s="130">
        <f>'2.4.5.2 Durée de missions'!D255/BDA</f>
        <v>0.16932849999999997</v>
      </c>
      <c r="E255" s="131">
        <f>'2.4.5.2 Durée de missions'!E255/BDA</f>
        <v>0.98567307692307682</v>
      </c>
      <c r="F255" s="132">
        <f t="shared" si="96"/>
        <v>0.78853846153846152</v>
      </c>
      <c r="G255" s="133">
        <f t="shared" si="97"/>
        <v>0.19713461538461532</v>
      </c>
      <c r="H255" s="134">
        <f t="shared" si="118"/>
        <v>0.16932849999999997</v>
      </c>
      <c r="I255" s="135"/>
      <c r="J255" s="136">
        <f t="shared" si="119"/>
        <v>0</v>
      </c>
      <c r="K255" s="137"/>
      <c r="L255" s="138">
        <f t="shared" si="120"/>
        <v>0</v>
      </c>
      <c r="M255" s="137"/>
      <c r="N255" s="139">
        <f t="shared" si="121"/>
        <v>0.61920996153846153</v>
      </c>
      <c r="O255" s="137"/>
      <c r="P255" s="140">
        <f t="shared" si="122"/>
        <v>0.19713461538461532</v>
      </c>
      <c r="Q255" s="135"/>
      <c r="R255" s="104">
        <f t="shared" si="123"/>
        <v>0.16932849999999997</v>
      </c>
      <c r="S255" s="137"/>
      <c r="T255" s="141">
        <f t="shared" si="124"/>
        <v>0.81634457692307683</v>
      </c>
      <c r="U255" s="199">
        <f t="shared" si="125"/>
        <v>0</v>
      </c>
      <c r="V255" s="37" t="str">
        <f t="shared" si="126"/>
        <v>ok</v>
      </c>
      <c r="W255" s="37" t="str">
        <f t="shared" si="127"/>
        <v>ok</v>
      </c>
    </row>
    <row r="256" spans="1:23" x14ac:dyDescent="0.25">
      <c r="A256" s="426"/>
      <c r="B256" s="178" t="s">
        <v>20</v>
      </c>
      <c r="C256" s="129">
        <v>18</v>
      </c>
      <c r="D256" s="130">
        <f>'2.4.5.2 Durée de missions'!D256/BDA</f>
        <v>0.13295699999999999</v>
      </c>
      <c r="E256" s="131">
        <f>'2.4.5.2 Durée de missions'!E256/BDA</f>
        <v>0.75568269230769225</v>
      </c>
      <c r="F256" s="132">
        <f t="shared" si="96"/>
        <v>0.60454615384615384</v>
      </c>
      <c r="G256" s="133">
        <f t="shared" si="97"/>
        <v>0.15113653846153841</v>
      </c>
      <c r="H256" s="134">
        <f t="shared" si="118"/>
        <v>0.13295699999999999</v>
      </c>
      <c r="I256" s="135"/>
      <c r="J256" s="136">
        <f t="shared" si="119"/>
        <v>0</v>
      </c>
      <c r="K256" s="137"/>
      <c r="L256" s="138">
        <f t="shared" si="120"/>
        <v>0</v>
      </c>
      <c r="M256" s="137"/>
      <c r="N256" s="139">
        <f t="shared" si="121"/>
        <v>0.47158915384615385</v>
      </c>
      <c r="O256" s="137"/>
      <c r="P256" s="140">
        <f t="shared" si="122"/>
        <v>0.15113653846153841</v>
      </c>
      <c r="Q256" s="135"/>
      <c r="R256" s="104">
        <f t="shared" si="123"/>
        <v>0.13295699999999999</v>
      </c>
      <c r="S256" s="137"/>
      <c r="T256" s="141">
        <f t="shared" si="124"/>
        <v>0.62272569230769226</v>
      </c>
      <c r="U256" s="199">
        <f t="shared" si="125"/>
        <v>0</v>
      </c>
      <c r="V256" s="37" t="str">
        <f t="shared" si="126"/>
        <v>ok</v>
      </c>
      <c r="W256" s="37" t="str">
        <f t="shared" si="127"/>
        <v>ok</v>
      </c>
    </row>
    <row r="257" spans="1:23" x14ac:dyDescent="0.25">
      <c r="A257" s="426"/>
      <c r="B257" s="178" t="s">
        <v>21</v>
      </c>
      <c r="C257" s="129">
        <v>19</v>
      </c>
      <c r="D257" s="130">
        <f>'2.4.5.2 Durée de missions'!D257/BDA</f>
        <v>5.8157E-2</v>
      </c>
      <c r="E257" s="131">
        <f>'2.4.5.2 Durée de missions'!E257/BDA</f>
        <v>0.36141346153846149</v>
      </c>
      <c r="F257" s="132">
        <f t="shared" si="96"/>
        <v>0.28913076923076919</v>
      </c>
      <c r="G257" s="133">
        <f t="shared" si="97"/>
        <v>7.2282692307692284E-2</v>
      </c>
      <c r="H257" s="134">
        <f t="shared" si="118"/>
        <v>5.8157E-2</v>
      </c>
      <c r="I257" s="135"/>
      <c r="J257" s="136">
        <f t="shared" si="119"/>
        <v>0</v>
      </c>
      <c r="K257" s="137"/>
      <c r="L257" s="138">
        <f t="shared" si="120"/>
        <v>0</v>
      </c>
      <c r="M257" s="137"/>
      <c r="N257" s="139">
        <f t="shared" si="121"/>
        <v>0.23097376923076918</v>
      </c>
      <c r="O257" s="137"/>
      <c r="P257" s="140">
        <f t="shared" si="122"/>
        <v>7.2282692307692284E-2</v>
      </c>
      <c r="Q257" s="135"/>
      <c r="R257" s="104">
        <f t="shared" si="123"/>
        <v>5.8157E-2</v>
      </c>
      <c r="S257" s="137"/>
      <c r="T257" s="141">
        <f t="shared" si="124"/>
        <v>0.30325646153846147</v>
      </c>
      <c r="U257" s="199">
        <f t="shared" si="125"/>
        <v>0</v>
      </c>
      <c r="V257" s="37" t="str">
        <f t="shared" si="126"/>
        <v>ok</v>
      </c>
      <c r="W257" s="37" t="str">
        <f t="shared" si="127"/>
        <v>ok</v>
      </c>
    </row>
    <row r="258" spans="1:23" x14ac:dyDescent="0.25">
      <c r="A258" s="426"/>
      <c r="B258" s="178" t="s">
        <v>22</v>
      </c>
      <c r="C258" s="129">
        <v>20</v>
      </c>
      <c r="D258" s="130">
        <f>'2.4.5.2 Durée de missions'!D258/BDA</f>
        <v>4.0578999999999997E-2</v>
      </c>
      <c r="E258" s="131">
        <f>'2.4.5.2 Durée de missions'!E258/BDA</f>
        <v>0.60783173076923069</v>
      </c>
      <c r="F258" s="132">
        <f t="shared" si="96"/>
        <v>0.4862653846153846</v>
      </c>
      <c r="G258" s="133">
        <f t="shared" si="97"/>
        <v>0.12156634615384611</v>
      </c>
      <c r="H258" s="134">
        <f t="shared" si="118"/>
        <v>4.0578999999999997E-2</v>
      </c>
      <c r="I258" s="135"/>
      <c r="J258" s="136">
        <f t="shared" si="119"/>
        <v>0</v>
      </c>
      <c r="K258" s="137"/>
      <c r="L258" s="138">
        <f t="shared" si="120"/>
        <v>0</v>
      </c>
      <c r="M258" s="137"/>
      <c r="N258" s="139">
        <f t="shared" si="121"/>
        <v>0.44568638461538462</v>
      </c>
      <c r="O258" s="137"/>
      <c r="P258" s="140">
        <f t="shared" si="122"/>
        <v>0.12156634615384611</v>
      </c>
      <c r="Q258" s="135"/>
      <c r="R258" s="104">
        <f t="shared" si="123"/>
        <v>4.0578999999999997E-2</v>
      </c>
      <c r="S258" s="137"/>
      <c r="T258" s="141">
        <f t="shared" si="124"/>
        <v>0.56725273076923077</v>
      </c>
      <c r="U258" s="199">
        <f t="shared" si="125"/>
        <v>0</v>
      </c>
      <c r="V258" s="37" t="str">
        <f t="shared" si="126"/>
        <v>ok</v>
      </c>
      <c r="W258" s="37" t="str">
        <f t="shared" si="127"/>
        <v>ok</v>
      </c>
    </row>
    <row r="259" spans="1:23" x14ac:dyDescent="0.25">
      <c r="A259" s="426"/>
      <c r="B259" s="178" t="s">
        <v>23</v>
      </c>
      <c r="C259" s="129">
        <v>21</v>
      </c>
      <c r="D259" s="130">
        <f>'2.4.5.2 Durée de missions'!D259/BDA</f>
        <v>8.4150000000000003E-2</v>
      </c>
      <c r="E259" s="131">
        <f>'2.4.5.2 Durée de missions'!E259/BDA</f>
        <v>0.72282692307692298</v>
      </c>
      <c r="F259" s="132">
        <f t="shared" si="96"/>
        <v>0.57826153846153838</v>
      </c>
      <c r="G259" s="133">
        <f t="shared" si="97"/>
        <v>0.14456538461538457</v>
      </c>
      <c r="H259" s="134">
        <f t="shared" si="118"/>
        <v>8.4150000000000003E-2</v>
      </c>
      <c r="I259" s="135"/>
      <c r="J259" s="136">
        <f t="shared" si="119"/>
        <v>0</v>
      </c>
      <c r="K259" s="137"/>
      <c r="L259" s="138">
        <f t="shared" si="120"/>
        <v>0</v>
      </c>
      <c r="M259" s="137"/>
      <c r="N259" s="139">
        <f t="shared" si="121"/>
        <v>0.49411153846153838</v>
      </c>
      <c r="O259" s="137"/>
      <c r="P259" s="140">
        <f t="shared" si="122"/>
        <v>0.14456538461538457</v>
      </c>
      <c r="Q259" s="135"/>
      <c r="R259" s="104">
        <f t="shared" si="123"/>
        <v>8.4150000000000003E-2</v>
      </c>
      <c r="S259" s="137"/>
      <c r="T259" s="141">
        <f t="shared" si="124"/>
        <v>0.63867692307692292</v>
      </c>
      <c r="U259" s="199">
        <f t="shared" si="125"/>
        <v>0</v>
      </c>
      <c r="V259" s="37" t="str">
        <f t="shared" si="126"/>
        <v>ok</v>
      </c>
      <c r="W259" s="37" t="str">
        <f t="shared" si="127"/>
        <v>ok</v>
      </c>
    </row>
    <row r="260" spans="1:23" x14ac:dyDescent="0.25">
      <c r="A260" s="426"/>
      <c r="B260" s="178" t="s">
        <v>19</v>
      </c>
      <c r="C260" s="129">
        <v>24</v>
      </c>
      <c r="D260" s="130">
        <f>'2.4.5.2 Durée de missions'!D260/BDA</f>
        <v>0.33772199999999997</v>
      </c>
      <c r="E260" s="131">
        <f>'2.4.5.2 Durée de missions'!E260/BDA</f>
        <v>0.81318028846153834</v>
      </c>
      <c r="F260" s="132">
        <f t="shared" si="96"/>
        <v>0.65054423076923074</v>
      </c>
      <c r="G260" s="133">
        <f t="shared" si="97"/>
        <v>0.16263605769230763</v>
      </c>
      <c r="H260" s="134">
        <f t="shared" si="118"/>
        <v>0.33772199999999997</v>
      </c>
      <c r="I260" s="135"/>
      <c r="J260" s="136">
        <f t="shared" si="119"/>
        <v>0</v>
      </c>
      <c r="K260" s="137"/>
      <c r="L260" s="138">
        <f t="shared" si="120"/>
        <v>0</v>
      </c>
      <c r="M260" s="137"/>
      <c r="N260" s="139">
        <f t="shared" si="121"/>
        <v>0.31282223076923077</v>
      </c>
      <c r="O260" s="137"/>
      <c r="P260" s="140">
        <f t="shared" si="122"/>
        <v>0.16263605769230763</v>
      </c>
      <c r="Q260" s="135"/>
      <c r="R260" s="104">
        <f t="shared" si="123"/>
        <v>0.33772199999999997</v>
      </c>
      <c r="S260" s="137"/>
      <c r="T260" s="141">
        <f t="shared" si="124"/>
        <v>0.47545828846153837</v>
      </c>
      <c r="U260" s="199">
        <f t="shared" si="125"/>
        <v>0</v>
      </c>
      <c r="V260" s="37" t="str">
        <f t="shared" si="126"/>
        <v>ok</v>
      </c>
      <c r="W260" s="37" t="str">
        <f t="shared" si="127"/>
        <v>ok</v>
      </c>
    </row>
    <row r="261" spans="1:23" x14ac:dyDescent="0.25">
      <c r="A261" s="426"/>
      <c r="B261" s="178" t="s">
        <v>20</v>
      </c>
      <c r="C261" s="129">
        <v>25</v>
      </c>
      <c r="D261" s="130">
        <f>'2.4.5.2 Durée de missions'!D261/BDA</f>
        <v>0.27488999999999997</v>
      </c>
      <c r="E261" s="131">
        <f>'2.4.5.2 Durée de missions'!E261/BDA</f>
        <v>0.51517846153846147</v>
      </c>
      <c r="F261" s="132">
        <f t="shared" ref="F261:F265" si="128">E261*TC</f>
        <v>0.4121427692307692</v>
      </c>
      <c r="G261" s="133">
        <f t="shared" ref="G261:G265" si="129">E261*(1-TC)</f>
        <v>0.10303569230769227</v>
      </c>
      <c r="H261" s="134">
        <f t="shared" si="118"/>
        <v>0.27488999999999997</v>
      </c>
      <c r="I261" s="135"/>
      <c r="J261" s="136">
        <f t="shared" si="119"/>
        <v>0</v>
      </c>
      <c r="K261" s="137"/>
      <c r="L261" s="138">
        <f t="shared" si="120"/>
        <v>0</v>
      </c>
      <c r="M261" s="137"/>
      <c r="N261" s="139">
        <f t="shared" si="121"/>
        <v>0.13725276923076923</v>
      </c>
      <c r="O261" s="137"/>
      <c r="P261" s="140">
        <f t="shared" si="122"/>
        <v>0.10303569230769227</v>
      </c>
      <c r="Q261" s="135"/>
      <c r="R261" s="104">
        <f t="shared" si="123"/>
        <v>0.27488999999999997</v>
      </c>
      <c r="S261" s="137"/>
      <c r="T261" s="141">
        <f t="shared" si="124"/>
        <v>0.24028846153846151</v>
      </c>
      <c r="U261" s="199">
        <f t="shared" si="125"/>
        <v>0</v>
      </c>
      <c r="V261" s="37" t="str">
        <f t="shared" si="126"/>
        <v>ok</v>
      </c>
      <c r="W261" s="37" t="str">
        <f t="shared" si="127"/>
        <v>ok</v>
      </c>
    </row>
    <row r="262" spans="1:23" x14ac:dyDescent="0.25">
      <c r="A262" s="426"/>
      <c r="B262" s="178" t="s">
        <v>21</v>
      </c>
      <c r="C262" s="129">
        <v>26</v>
      </c>
      <c r="D262" s="130">
        <f>'2.4.5.2 Durée de missions'!D262/BDA</f>
        <v>0.15838899999999997</v>
      </c>
      <c r="E262" s="131">
        <f>'2.4.5.2 Durée de missions'!E262/BDA</f>
        <v>0.24411836538461534</v>
      </c>
      <c r="F262" s="132">
        <f t="shared" si="128"/>
        <v>0.19529469230769228</v>
      </c>
      <c r="G262" s="133">
        <f t="shared" si="129"/>
        <v>4.8823673076923056E-2</v>
      </c>
      <c r="H262" s="134">
        <f t="shared" si="118"/>
        <v>0.15838899999999997</v>
      </c>
      <c r="I262" s="135"/>
      <c r="J262" s="136">
        <f t="shared" si="119"/>
        <v>0</v>
      </c>
      <c r="K262" s="137"/>
      <c r="L262" s="138">
        <f t="shared" si="120"/>
        <v>0</v>
      </c>
      <c r="M262" s="137"/>
      <c r="N262" s="139">
        <f t="shared" si="121"/>
        <v>3.6905692307692306E-2</v>
      </c>
      <c r="O262" s="137"/>
      <c r="P262" s="140">
        <f t="shared" si="122"/>
        <v>4.8823673076923056E-2</v>
      </c>
      <c r="Q262" s="135"/>
      <c r="R262" s="104">
        <f t="shared" si="123"/>
        <v>0.15838899999999997</v>
      </c>
      <c r="S262" s="137"/>
      <c r="T262" s="141">
        <f t="shared" si="124"/>
        <v>8.5729365384615369E-2</v>
      </c>
      <c r="U262" s="199">
        <f t="shared" si="125"/>
        <v>0</v>
      </c>
      <c r="V262" s="37" t="str">
        <f t="shared" si="126"/>
        <v>ok</v>
      </c>
      <c r="W262" s="37" t="str">
        <f t="shared" si="127"/>
        <v>ok</v>
      </c>
    </row>
    <row r="263" spans="1:23" x14ac:dyDescent="0.25">
      <c r="A263" s="426"/>
      <c r="B263" s="178" t="s">
        <v>22</v>
      </c>
      <c r="C263" s="129">
        <v>27</v>
      </c>
      <c r="D263" s="130">
        <f>'2.4.5.2 Durée de missions'!D263/BDA</f>
        <v>0.12968449999999998</v>
      </c>
      <c r="E263" s="131">
        <f>'2.4.5.2 Durée de missions'!E263/BDA</f>
        <v>0.32527211538461531</v>
      </c>
      <c r="F263" s="132">
        <f t="shared" si="128"/>
        <v>0.26021769230769226</v>
      </c>
      <c r="G263" s="133">
        <f t="shared" si="129"/>
        <v>6.5054423076923051E-2</v>
      </c>
      <c r="H263" s="134">
        <f t="shared" si="118"/>
        <v>0.12968449999999998</v>
      </c>
      <c r="I263" s="135"/>
      <c r="J263" s="136">
        <f t="shared" si="119"/>
        <v>0</v>
      </c>
      <c r="K263" s="137"/>
      <c r="L263" s="138">
        <f t="shared" si="120"/>
        <v>0</v>
      </c>
      <c r="M263" s="137"/>
      <c r="N263" s="139">
        <f t="shared" si="121"/>
        <v>0.13053319230769228</v>
      </c>
      <c r="O263" s="137"/>
      <c r="P263" s="140">
        <f t="shared" si="122"/>
        <v>6.5054423076923051E-2</v>
      </c>
      <c r="Q263" s="135"/>
      <c r="R263" s="104">
        <f t="shared" si="123"/>
        <v>0.12968449999999998</v>
      </c>
      <c r="S263" s="137"/>
      <c r="T263" s="141">
        <f t="shared" si="124"/>
        <v>0.19558761538461533</v>
      </c>
      <c r="U263" s="199">
        <f t="shared" si="125"/>
        <v>0</v>
      </c>
      <c r="V263" s="37" t="str">
        <f t="shared" si="126"/>
        <v>ok</v>
      </c>
      <c r="W263" s="37" t="str">
        <f t="shared" si="127"/>
        <v>ok</v>
      </c>
    </row>
    <row r="264" spans="1:23" x14ac:dyDescent="0.25">
      <c r="A264" s="426"/>
      <c r="B264" s="178" t="s">
        <v>23</v>
      </c>
      <c r="C264" s="129">
        <v>28</v>
      </c>
      <c r="D264" s="130">
        <f>'2.4.5.2 Durée de missions'!D264/BDA</f>
        <v>0.24356749999999999</v>
      </c>
      <c r="E264" s="131">
        <f>'2.4.5.2 Durée de missions'!E264/BDA</f>
        <v>0.51517846153846147</v>
      </c>
      <c r="F264" s="132">
        <f t="shared" si="128"/>
        <v>0.4121427692307692</v>
      </c>
      <c r="G264" s="133">
        <f t="shared" si="129"/>
        <v>0.10303569230769227</v>
      </c>
      <c r="H264" s="134">
        <f t="shared" si="118"/>
        <v>0.24356749999999999</v>
      </c>
      <c r="I264" s="135"/>
      <c r="J264" s="136">
        <f t="shared" si="119"/>
        <v>0</v>
      </c>
      <c r="K264" s="137"/>
      <c r="L264" s="138">
        <f t="shared" si="120"/>
        <v>0</v>
      </c>
      <c r="M264" s="137"/>
      <c r="N264" s="139">
        <f t="shared" si="121"/>
        <v>0.16857526923076921</v>
      </c>
      <c r="O264" s="137"/>
      <c r="P264" s="140">
        <f t="shared" si="122"/>
        <v>0.10303569230769227</v>
      </c>
      <c r="Q264" s="135"/>
      <c r="R264" s="104">
        <f t="shared" si="123"/>
        <v>0.24356749999999999</v>
      </c>
      <c r="S264" s="137"/>
      <c r="T264" s="141">
        <f t="shared" si="124"/>
        <v>0.27161096153846148</v>
      </c>
      <c r="U264" s="199">
        <f t="shared" si="125"/>
        <v>0</v>
      </c>
      <c r="V264" s="37" t="str">
        <f t="shared" si="126"/>
        <v>ok</v>
      </c>
      <c r="W264" s="37" t="str">
        <f t="shared" si="127"/>
        <v>ok</v>
      </c>
    </row>
    <row r="265" spans="1:23" ht="15.75" thickBot="1" x14ac:dyDescent="0.3">
      <c r="A265" s="427"/>
      <c r="B265" s="277" t="s">
        <v>19</v>
      </c>
      <c r="C265" s="165">
        <v>31</v>
      </c>
      <c r="D265" s="202">
        <f>'2.4.5.2 Durée de missions'!D265/BDA</f>
        <v>0.40522899999999995</v>
      </c>
      <c r="E265" s="203">
        <f>'2.4.5.2 Durée de missions'!E265/BDA</f>
        <v>0.98567307692307682</v>
      </c>
      <c r="F265" s="204">
        <f t="shared" si="128"/>
        <v>0.78853846153846152</v>
      </c>
      <c r="G265" s="205">
        <f t="shared" si="129"/>
        <v>0.19713461538461532</v>
      </c>
      <c r="H265" s="206">
        <f t="shared" si="118"/>
        <v>0.40522899999999995</v>
      </c>
      <c r="I265" s="207"/>
      <c r="J265" s="208">
        <f t="shared" si="119"/>
        <v>0</v>
      </c>
      <c r="K265" s="209"/>
      <c r="L265" s="210">
        <f t="shared" si="120"/>
        <v>0</v>
      </c>
      <c r="M265" s="209"/>
      <c r="N265" s="211">
        <f t="shared" si="121"/>
        <v>0.38330946153846157</v>
      </c>
      <c r="O265" s="209"/>
      <c r="P265" s="212">
        <f t="shared" si="122"/>
        <v>0.19713461538461532</v>
      </c>
      <c r="Q265" s="207"/>
      <c r="R265" s="213">
        <f t="shared" si="123"/>
        <v>0.40522899999999995</v>
      </c>
      <c r="S265" s="209"/>
      <c r="T265" s="214">
        <f t="shared" si="124"/>
        <v>0.58044407692307687</v>
      </c>
      <c r="U265" s="215">
        <f t="shared" si="125"/>
        <v>0</v>
      </c>
      <c r="V265" s="37" t="str">
        <f t="shared" si="126"/>
        <v>ok</v>
      </c>
      <c r="W265" s="37" t="str">
        <f t="shared" si="127"/>
        <v>ok</v>
      </c>
    </row>
    <row r="266" spans="1:23" x14ac:dyDescent="0.25"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</row>
    <row r="267" spans="1:23" ht="15.75" thickBot="1" x14ac:dyDescent="0.3"/>
    <row r="268" spans="1:23" ht="51.75" thickBot="1" x14ac:dyDescent="0.3">
      <c r="A268" s="175">
        <v>2018</v>
      </c>
      <c r="B268" s="216"/>
      <c r="C268" s="217"/>
      <c r="D268" s="218" t="s">
        <v>40</v>
      </c>
      <c r="E268" s="219" t="s">
        <v>41</v>
      </c>
      <c r="F268" s="220" t="s">
        <v>42</v>
      </c>
      <c r="G268" s="221" t="s">
        <v>43</v>
      </c>
      <c r="H268" s="222" t="s">
        <v>44</v>
      </c>
      <c r="I268" s="223"/>
      <c r="J268" s="224" t="s">
        <v>45</v>
      </c>
      <c r="K268" s="225"/>
      <c r="L268" s="226" t="s">
        <v>46</v>
      </c>
      <c r="M268" s="225"/>
      <c r="N268" s="227" t="s">
        <v>47</v>
      </c>
      <c r="O268" s="225"/>
      <c r="P268" s="228" t="s">
        <v>48</v>
      </c>
      <c r="Q268" s="223"/>
      <c r="R268" s="229" t="s">
        <v>49</v>
      </c>
      <c r="S268" s="225"/>
      <c r="T268" s="230" t="s">
        <v>50</v>
      </c>
      <c r="U268" s="231" t="s">
        <v>51</v>
      </c>
      <c r="V268" s="32" t="s">
        <v>52</v>
      </c>
    </row>
    <row r="269" spans="1:23" x14ac:dyDescent="0.25">
      <c r="B269" s="246" t="s">
        <v>74</v>
      </c>
      <c r="C269" s="247">
        <v>1</v>
      </c>
      <c r="D269" s="184">
        <f>SUM(D5:D27)</f>
        <v>3.7584227692307688</v>
      </c>
      <c r="E269" s="185">
        <f>SUM(E5:E27)</f>
        <v>15.042131249999999</v>
      </c>
      <c r="F269" s="186">
        <f>SUM(F5:F27)</f>
        <v>12.033704999999998</v>
      </c>
      <c r="G269" s="187">
        <f>SUM(G5:G27)</f>
        <v>3.0084262499999981</v>
      </c>
      <c r="H269" s="188">
        <f>SUM(H5:H27)</f>
        <v>3.7584227692307688</v>
      </c>
      <c r="I269" s="189"/>
      <c r="J269" s="190">
        <f>SUM(J5:J27)</f>
        <v>0</v>
      </c>
      <c r="K269" s="191"/>
      <c r="L269" s="192">
        <f>SUM(L5:L27)</f>
        <v>0</v>
      </c>
      <c r="M269" s="191"/>
      <c r="N269" s="193">
        <f>SUM(N5:N27)</f>
        <v>8.2752822307692302</v>
      </c>
      <c r="O269" s="191"/>
      <c r="P269" s="194">
        <f>SUM(P5:P27)</f>
        <v>3.0084262499999981</v>
      </c>
      <c r="Q269" s="189"/>
      <c r="R269" s="195">
        <f>SUM(R5:R27)</f>
        <v>3.7584227692307688</v>
      </c>
      <c r="S269" s="191"/>
      <c r="T269" s="196">
        <f>SUM(T5:T27)</f>
        <v>11.283708480769228</v>
      </c>
      <c r="U269" s="197">
        <f>SUM(U5:U27)</f>
        <v>0</v>
      </c>
      <c r="V269" s="37" t="str">
        <f t="shared" ref="V269:V280" si="130">IF(R269+T269=E269,"ok","bad")</f>
        <v>ok</v>
      </c>
      <c r="W269" s="37" t="str">
        <f t="shared" ref="W269:W280" si="131">IF(U269+R269=D269,"ok","bad")</f>
        <v>ok</v>
      </c>
    </row>
    <row r="270" spans="1:23" x14ac:dyDescent="0.25">
      <c r="B270" s="163" t="s">
        <v>75</v>
      </c>
      <c r="C270" s="129">
        <v>2</v>
      </c>
      <c r="D270" s="130">
        <f>SUM(D28:D47)</f>
        <v>4.9016652499999998</v>
      </c>
      <c r="E270" s="131">
        <f>SUM(E28:E47)</f>
        <v>9.1556958846153833</v>
      </c>
      <c r="F270" s="132">
        <f>SUM(F28:F47)</f>
        <v>7.3245567076923068</v>
      </c>
      <c r="G270" s="133">
        <f>SUM(G28:G47)</f>
        <v>1.8311391769230763</v>
      </c>
      <c r="H270" s="134">
        <f>SUM(H28:H47)</f>
        <v>4.7215244230769233</v>
      </c>
      <c r="I270" s="135"/>
      <c r="J270" s="136">
        <f>SUM(J28:J47)</f>
        <v>0.18014082692307715</v>
      </c>
      <c r="K270" s="137"/>
      <c r="L270" s="138">
        <f>SUM(L28:L47)</f>
        <v>0.34528000384615359</v>
      </c>
      <c r="M270" s="137"/>
      <c r="N270" s="139">
        <f>SUM(N28:N47)</f>
        <v>2.9483122884615387</v>
      </c>
      <c r="O270" s="137"/>
      <c r="P270" s="140">
        <f>SUM(P28:P47)</f>
        <v>1.4858591730769226</v>
      </c>
      <c r="Q270" s="135"/>
      <c r="R270" s="104">
        <f>SUM(R28:R47)</f>
        <v>4.376244419230769</v>
      </c>
      <c r="S270" s="137"/>
      <c r="T270" s="141">
        <f>SUM(T28:T47)</f>
        <v>4.7794514653846152</v>
      </c>
      <c r="U270" s="199">
        <f>SUM(U28:U47)</f>
        <v>0.52542083076923074</v>
      </c>
      <c r="V270" s="37" t="str">
        <f t="shared" si="130"/>
        <v>ok</v>
      </c>
      <c r="W270" s="37" t="str">
        <f t="shared" si="131"/>
        <v>ok</v>
      </c>
    </row>
    <row r="271" spans="1:23" x14ac:dyDescent="0.25">
      <c r="B271" s="163" t="s">
        <v>76</v>
      </c>
      <c r="C271" s="129">
        <v>3</v>
      </c>
      <c r="D271" s="130">
        <f>SUM(D48:D69)</f>
        <v>7.1947435961538462</v>
      </c>
      <c r="E271" s="131">
        <f>SUM(E48:E69)</f>
        <v>6.1123872692307684</v>
      </c>
      <c r="F271" s="132">
        <f>SUM(F48:F69)</f>
        <v>4.8899098153846152</v>
      </c>
      <c r="G271" s="133">
        <f>SUM(G48:G69)</f>
        <v>1.2224774538461536</v>
      </c>
      <c r="H271" s="134">
        <f>SUM(H48:H69)</f>
        <v>4.7657571153846154</v>
      </c>
      <c r="I271" s="135"/>
      <c r="J271" s="136">
        <f>SUM(J48:J69)</f>
        <v>2.4289864807692312</v>
      </c>
      <c r="K271" s="137"/>
      <c r="L271" s="138">
        <f>SUM(L48:L69)</f>
        <v>0.58197826153846133</v>
      </c>
      <c r="M271" s="137"/>
      <c r="N271" s="139">
        <f>SUM(N48:N69)</f>
        <v>0.70613096153846167</v>
      </c>
      <c r="O271" s="137"/>
      <c r="P271" s="140">
        <f>SUM(P48:P69)</f>
        <v>0.64049919230769214</v>
      </c>
      <c r="Q271" s="135"/>
      <c r="R271" s="104">
        <f>SUM(R48:R69)</f>
        <v>4.1837788538461531</v>
      </c>
      <c r="S271" s="137"/>
      <c r="T271" s="141">
        <f>SUM(T48:T69)</f>
        <v>1.928608415384615</v>
      </c>
      <c r="U271" s="199">
        <f>SUM(U48:U69)</f>
        <v>3.0109647423076926</v>
      </c>
      <c r="V271" s="37" t="str">
        <f t="shared" si="130"/>
        <v>ok</v>
      </c>
      <c r="W271" s="37" t="str">
        <f t="shared" si="131"/>
        <v>ok</v>
      </c>
    </row>
    <row r="272" spans="1:23" x14ac:dyDescent="0.25">
      <c r="B272" s="163" t="s">
        <v>77</v>
      </c>
      <c r="C272" s="129">
        <v>4</v>
      </c>
      <c r="D272" s="130">
        <f>SUM(D70:D90)</f>
        <v>10.299118499999999</v>
      </c>
      <c r="E272" s="131">
        <f>SUM(E70:E90)</f>
        <v>4.8089495384615368</v>
      </c>
      <c r="F272" s="132">
        <f>SUM(F70:F90)</f>
        <v>3.8471596307692311</v>
      </c>
      <c r="G272" s="133">
        <f>SUM(G70:G90)</f>
        <v>0.96178990769230732</v>
      </c>
      <c r="H272" s="134">
        <f>SUM(H70:H90)</f>
        <v>4.5601819999999993</v>
      </c>
      <c r="I272" s="135"/>
      <c r="J272" s="136">
        <f>SUM(J70:J90)</f>
        <v>5.7389364999999994</v>
      </c>
      <c r="K272" s="137"/>
      <c r="L272" s="138">
        <f>SUM(L70:L90)</f>
        <v>0.81227621538461525</v>
      </c>
      <c r="M272" s="137"/>
      <c r="N272" s="139">
        <f>SUM(N70:N90)</f>
        <v>9.9253846153846165E-2</v>
      </c>
      <c r="O272" s="137"/>
      <c r="P272" s="140">
        <f>SUM(P70:P90)</f>
        <v>0.14951369230769226</v>
      </c>
      <c r="Q272" s="135"/>
      <c r="R272" s="104">
        <f>SUM(R70:R90)</f>
        <v>3.7479057846153849</v>
      </c>
      <c r="S272" s="137"/>
      <c r="T272" s="141">
        <f>SUM(T70:T90)</f>
        <v>1.0610437538461537</v>
      </c>
      <c r="U272" s="199">
        <f>SUM(U70:U90)</f>
        <v>6.5512127153846151</v>
      </c>
      <c r="V272" s="37" t="str">
        <f t="shared" si="130"/>
        <v>ok</v>
      </c>
      <c r="W272" s="37" t="str">
        <f t="shared" si="131"/>
        <v>ok</v>
      </c>
    </row>
    <row r="273" spans="2:23" x14ac:dyDescent="0.25">
      <c r="B273" s="163" t="s">
        <v>78</v>
      </c>
      <c r="C273" s="129">
        <v>5</v>
      </c>
      <c r="D273" s="130">
        <f>SUM(D91:D113)</f>
        <v>15.040599942307693</v>
      </c>
      <c r="E273" s="131">
        <f>SUM(E91:E113)</f>
        <v>3.7568640000000002</v>
      </c>
      <c r="F273" s="132">
        <f>SUM(F91:F113)</f>
        <v>3.0054912000000003</v>
      </c>
      <c r="G273" s="133">
        <f>SUM(G91:G113)</f>
        <v>0.75137279999999984</v>
      </c>
      <c r="H273" s="134">
        <f>SUM(H91:H113)</f>
        <v>3.7564746346153846</v>
      </c>
      <c r="I273" s="135"/>
      <c r="J273" s="136">
        <f>SUM(J91:J113)</f>
        <v>11.284125307692308</v>
      </c>
      <c r="K273" s="137"/>
      <c r="L273" s="138">
        <f>SUM(L91:L113)</f>
        <v>0.75098343461538442</v>
      </c>
      <c r="M273" s="137"/>
      <c r="N273" s="139">
        <f>SUM(N91:N113)</f>
        <v>0</v>
      </c>
      <c r="O273" s="137"/>
      <c r="P273" s="140">
        <f>SUM(P91:P113)</f>
        <v>3.8936538461536996E-4</v>
      </c>
      <c r="Q273" s="135"/>
      <c r="R273" s="104">
        <f>SUM(R91:R113)</f>
        <v>3.0054912000000003</v>
      </c>
      <c r="S273" s="137"/>
      <c r="T273" s="141">
        <f>SUM(T91:T113)</f>
        <v>0.75137279999999984</v>
      </c>
      <c r="U273" s="199">
        <f>SUM(U91:U113)</f>
        <v>12.035108742307692</v>
      </c>
      <c r="V273" s="37" t="str">
        <f t="shared" si="130"/>
        <v>ok</v>
      </c>
      <c r="W273" s="37" t="str">
        <f t="shared" si="131"/>
        <v>ok</v>
      </c>
    </row>
    <row r="274" spans="2:23" x14ac:dyDescent="0.25">
      <c r="B274" s="163" t="s">
        <v>79</v>
      </c>
      <c r="C274" s="129">
        <v>6</v>
      </c>
      <c r="D274" s="130">
        <f>SUM(D114:D134)</f>
        <v>6.866079</v>
      </c>
      <c r="E274" s="131">
        <f>SUM(E114:E134)</f>
        <v>6.1819592788461541</v>
      </c>
      <c r="F274" s="132">
        <f>SUM(F114:F134)</f>
        <v>4.9455674230769233</v>
      </c>
      <c r="G274" s="133">
        <f>SUM(G114:G134)</f>
        <v>1.2363918557692308</v>
      </c>
      <c r="H274" s="134">
        <f>SUM(H114:H134)</f>
        <v>4.7184052499999991</v>
      </c>
      <c r="I274" s="135"/>
      <c r="J274" s="136">
        <f>SUM(J114:J134)</f>
        <v>2.1476737499999992</v>
      </c>
      <c r="K274" s="137"/>
      <c r="L274" s="138">
        <f>SUM(L114:L134)</f>
        <v>0.55352163461538439</v>
      </c>
      <c r="M274" s="137"/>
      <c r="N274" s="139">
        <f>SUM(N114:N134)</f>
        <v>0.78068380769230816</v>
      </c>
      <c r="O274" s="137"/>
      <c r="P274" s="140">
        <f>SUM(P114:P134)</f>
        <v>0.6828702211538461</v>
      </c>
      <c r="Q274" s="135"/>
      <c r="R274" s="104">
        <f>SUM(R114:R134)</f>
        <v>4.1648836153846158</v>
      </c>
      <c r="S274" s="137"/>
      <c r="T274" s="141">
        <f>SUM(T114:T134)</f>
        <v>2.0170756634615388</v>
      </c>
      <c r="U274" s="199">
        <f>SUM(U114:U134)</f>
        <v>2.7011953846153842</v>
      </c>
      <c r="V274" s="37" t="str">
        <f t="shared" si="130"/>
        <v>ok</v>
      </c>
      <c r="W274" s="37" t="str">
        <f t="shared" si="131"/>
        <v>ok</v>
      </c>
    </row>
    <row r="275" spans="2:23" x14ac:dyDescent="0.25">
      <c r="B275" s="163" t="s">
        <v>80</v>
      </c>
      <c r="C275" s="129">
        <v>7</v>
      </c>
      <c r="D275" s="130">
        <f>SUM(D135:D156)</f>
        <v>3.5934258692307695</v>
      </c>
      <c r="E275" s="131">
        <f>SUM(E135:E156)</f>
        <v>7.1956859519230756</v>
      </c>
      <c r="F275" s="132">
        <f>SUM(F135:F156)</f>
        <v>5.7565487615384603</v>
      </c>
      <c r="G275" s="133">
        <f>SUM(G135:G156)</f>
        <v>1.4391371903846151</v>
      </c>
      <c r="H275" s="134">
        <f>SUM(H135:H156)</f>
        <v>3.5584312711538462</v>
      </c>
      <c r="I275" s="135"/>
      <c r="J275" s="136">
        <f>SUM(J135:J156)</f>
        <v>3.4994598076923067E-2</v>
      </c>
      <c r="K275" s="137"/>
      <c r="L275" s="138">
        <f>SUM(L135:L156)</f>
        <v>0.14137752499999989</v>
      </c>
      <c r="M275" s="137"/>
      <c r="N275" s="139">
        <f>SUM(N135:N156)</f>
        <v>2.3394950153846152</v>
      </c>
      <c r="O275" s="137"/>
      <c r="P275" s="140">
        <f>SUM(P135:P156)</f>
        <v>1.2977596653846153</v>
      </c>
      <c r="Q275" s="135"/>
      <c r="R275" s="104">
        <f>SUM(R135:R156)</f>
        <v>3.4170537461538468</v>
      </c>
      <c r="S275" s="137"/>
      <c r="T275" s="141">
        <f>SUM(T135:T156)</f>
        <v>3.7786322057692296</v>
      </c>
      <c r="U275" s="199">
        <f>SUM(U135:U156)</f>
        <v>0.17637212307692296</v>
      </c>
      <c r="V275" s="37" t="str">
        <f t="shared" si="130"/>
        <v>ok</v>
      </c>
      <c r="W275" s="37" t="str">
        <f t="shared" si="131"/>
        <v>ok</v>
      </c>
    </row>
    <row r="276" spans="2:23" x14ac:dyDescent="0.25">
      <c r="B276" s="163" t="s">
        <v>81</v>
      </c>
      <c r="C276" s="129">
        <v>8</v>
      </c>
      <c r="D276" s="130">
        <f>SUM(D157:D179)</f>
        <v>3.7584227692307688</v>
      </c>
      <c r="E276" s="131">
        <f>SUM(E157:E179)</f>
        <v>10.147935375000001</v>
      </c>
      <c r="F276" s="132">
        <f>SUM(F157:F179)</f>
        <v>8.1183482999999992</v>
      </c>
      <c r="G276" s="133">
        <f>SUM(G157:G179)</f>
        <v>2.0295870749999994</v>
      </c>
      <c r="H276" s="134">
        <f>SUM(H157:H179)</f>
        <v>3.7584227692307688</v>
      </c>
      <c r="I276" s="135"/>
      <c r="J276" s="136">
        <f>SUM(J157:J179)</f>
        <v>0</v>
      </c>
      <c r="K276" s="137"/>
      <c r="L276" s="138">
        <f>SUM(L157:L179)</f>
        <v>1.6261284615384647E-2</v>
      </c>
      <c r="M276" s="137"/>
      <c r="N276" s="139">
        <f>SUM(N157:N179)</f>
        <v>4.3761868153846155</v>
      </c>
      <c r="O276" s="137"/>
      <c r="P276" s="140">
        <f>SUM(P157:P179)</f>
        <v>2.0133257903846147</v>
      </c>
      <c r="Q276" s="135"/>
      <c r="R276" s="104">
        <f>SUM(R157:R179)</f>
        <v>3.7421614846153841</v>
      </c>
      <c r="S276" s="137"/>
      <c r="T276" s="141">
        <f>SUM(T157:T179)</f>
        <v>6.4057738903846149</v>
      </c>
      <c r="U276" s="199">
        <f>SUM(U157:U179)</f>
        <v>1.6261284615384647E-2</v>
      </c>
      <c r="V276" s="37" t="str">
        <f t="shared" si="130"/>
        <v>ok</v>
      </c>
      <c r="W276" s="37" t="str">
        <f t="shared" si="131"/>
        <v>ok</v>
      </c>
    </row>
    <row r="277" spans="2:23" x14ac:dyDescent="0.25">
      <c r="B277" s="163" t="s">
        <v>82</v>
      </c>
      <c r="C277" s="129">
        <v>9</v>
      </c>
      <c r="D277" s="130">
        <f>SUM(D180:D199)</f>
        <v>6.5373181250000005</v>
      </c>
      <c r="E277" s="131">
        <f>SUM(E180:E199)</f>
        <v>8.1729168942307684</v>
      </c>
      <c r="F277" s="132">
        <f>SUM(F180:F199)</f>
        <v>6.5383335153846147</v>
      </c>
      <c r="G277" s="133">
        <f>SUM(G180:G199)</f>
        <v>1.6345833788461537</v>
      </c>
      <c r="H277" s="134">
        <f>SUM(H180:H199)</f>
        <v>5.3487534807692301</v>
      </c>
      <c r="I277" s="135"/>
      <c r="J277" s="136">
        <f>SUM(J180:J199)</f>
        <v>1.1885646442307698</v>
      </c>
      <c r="K277" s="137"/>
      <c r="L277" s="138">
        <f>SUM(L180:L199)</f>
        <v>0.6065686961538459</v>
      </c>
      <c r="M277" s="137"/>
      <c r="N277" s="139">
        <f>SUM(N180:N199)</f>
        <v>1.7961487307692303</v>
      </c>
      <c r="O277" s="137"/>
      <c r="P277" s="140">
        <f>SUM(P180:P199)</f>
        <v>1.0280146826923073</v>
      </c>
      <c r="Q277" s="135"/>
      <c r="R277" s="104">
        <f>SUM(R180:R199)</f>
        <v>4.7421847846153851</v>
      </c>
      <c r="S277" s="137"/>
      <c r="T277" s="141">
        <f>SUM(T180:T199)</f>
        <v>3.4307321096153833</v>
      </c>
      <c r="U277" s="199">
        <f>SUM(U180:U199)</f>
        <v>1.7951333403846157</v>
      </c>
      <c r="V277" s="37" t="str">
        <f t="shared" si="130"/>
        <v>ok</v>
      </c>
      <c r="W277" s="37" t="str">
        <f t="shared" si="131"/>
        <v>ok</v>
      </c>
    </row>
    <row r="278" spans="2:23" x14ac:dyDescent="0.25">
      <c r="B278" s="163" t="s">
        <v>83</v>
      </c>
      <c r="C278" s="129">
        <v>10</v>
      </c>
      <c r="D278" s="130">
        <f>SUM(D200:D222)</f>
        <v>6.3907004807692314</v>
      </c>
      <c r="E278" s="131">
        <f>SUM(E200:E222)</f>
        <v>7.5210656249999994</v>
      </c>
      <c r="F278" s="132">
        <f>SUM(F200:F222)</f>
        <v>6.0168524999999988</v>
      </c>
      <c r="G278" s="133">
        <f>SUM(G200:G222)</f>
        <v>1.504213124999999</v>
      </c>
      <c r="H278" s="134">
        <f>SUM(H200:H222)</f>
        <v>5.1650822115384614</v>
      </c>
      <c r="I278" s="135"/>
      <c r="J278" s="136">
        <f>SUM(J200:J222)</f>
        <v>1.2256182692307696</v>
      </c>
      <c r="K278" s="137"/>
      <c r="L278" s="138">
        <f>SUM(L200:L222)</f>
        <v>0.68350951923076908</v>
      </c>
      <c r="M278" s="137"/>
      <c r="N278" s="139">
        <f>SUM(N200:N222)</f>
        <v>1.5352798076923078</v>
      </c>
      <c r="O278" s="137"/>
      <c r="P278" s="140">
        <f>SUM(P200:P222)</f>
        <v>0.82070360576923052</v>
      </c>
      <c r="Q278" s="135"/>
      <c r="R278" s="104">
        <f>SUM(R200:R222)</f>
        <v>4.481572692307692</v>
      </c>
      <c r="S278" s="137"/>
      <c r="T278" s="141">
        <f>SUM(T200:T222)</f>
        <v>3.0394929326923079</v>
      </c>
      <c r="U278" s="199">
        <f>SUM(U200:U222)</f>
        <v>1.9091277884615387</v>
      </c>
      <c r="V278" s="37" t="str">
        <f t="shared" si="130"/>
        <v>ok</v>
      </c>
      <c r="W278" s="37" t="str">
        <f t="shared" si="131"/>
        <v>ok</v>
      </c>
    </row>
    <row r="279" spans="2:23" x14ac:dyDescent="0.25">
      <c r="B279" s="163" t="s">
        <v>84</v>
      </c>
      <c r="C279" s="129">
        <v>11</v>
      </c>
      <c r="D279" s="130">
        <f>SUM(D223:D244)</f>
        <v>5.0376358269230765</v>
      </c>
      <c r="E279" s="131">
        <f>SUM(E223:E244)</f>
        <v>10.789941846153848</v>
      </c>
      <c r="F279" s="132">
        <f>SUM(F223:F244)</f>
        <v>8.6319534769230799</v>
      </c>
      <c r="G279" s="133">
        <f>SUM(G223:G244)</f>
        <v>2.1579883692307691</v>
      </c>
      <c r="H279" s="134">
        <f>SUM(H223:H244)</f>
        <v>5.0081911730769226</v>
      </c>
      <c r="I279" s="135"/>
      <c r="J279" s="136">
        <f>SUM(J223:J244)</f>
        <v>2.9444653846153912E-2</v>
      </c>
      <c r="K279" s="137"/>
      <c r="L279" s="138">
        <f>SUM(L223:L244)</f>
        <v>0.14127411923076907</v>
      </c>
      <c r="M279" s="137"/>
      <c r="N279" s="139">
        <f>SUM(N223:N244)</f>
        <v>3.765036423076924</v>
      </c>
      <c r="O279" s="137"/>
      <c r="P279" s="140">
        <f>SUM(P223:P244)</f>
        <v>2.0167142500000002</v>
      </c>
      <c r="Q279" s="135"/>
      <c r="R279" s="104">
        <f>SUM(R223:R244)</f>
        <v>4.8669170538461524</v>
      </c>
      <c r="S279" s="137"/>
      <c r="T279" s="141">
        <f>SUM(T223:T244)</f>
        <v>5.9230247923076913</v>
      </c>
      <c r="U279" s="199">
        <f>SUM(U223:U244)</f>
        <v>0.17071877307692299</v>
      </c>
      <c r="V279" s="37" t="str">
        <f t="shared" si="130"/>
        <v>ok</v>
      </c>
      <c r="W279" s="37" t="str">
        <f t="shared" si="131"/>
        <v>ok</v>
      </c>
    </row>
    <row r="280" spans="2:23" ht="15.75" thickBot="1" x14ac:dyDescent="0.3">
      <c r="B280" s="164" t="s">
        <v>85</v>
      </c>
      <c r="C280" s="165">
        <v>12</v>
      </c>
      <c r="D280" s="202">
        <f>SUM(D245:D265)</f>
        <v>3.4330395</v>
      </c>
      <c r="E280" s="203">
        <f>SUM(E245:E265)</f>
        <v>13.730097403846152</v>
      </c>
      <c r="F280" s="204">
        <f>SUM(F245:F265)</f>
        <v>10.984077923076921</v>
      </c>
      <c r="G280" s="205">
        <f>SUM(G245:G265)</f>
        <v>2.7460194807692302</v>
      </c>
      <c r="H280" s="206">
        <f>SUM(H245:H265)</f>
        <v>3.4330395</v>
      </c>
      <c r="I280" s="207"/>
      <c r="J280" s="208">
        <f>SUM(J245:J265)</f>
        <v>0</v>
      </c>
      <c r="K280" s="209"/>
      <c r="L280" s="210">
        <f>SUM(L245:L265)</f>
        <v>0</v>
      </c>
      <c r="M280" s="209"/>
      <c r="N280" s="211">
        <f>SUM(N245:N265)</f>
        <v>7.5510384230769221</v>
      </c>
      <c r="O280" s="209"/>
      <c r="P280" s="212">
        <f>SUM(P245:P265)</f>
        <v>2.7460194807692302</v>
      </c>
      <c r="Q280" s="207"/>
      <c r="R280" s="213">
        <f>SUM(R245:R265)</f>
        <v>3.4330395</v>
      </c>
      <c r="S280" s="209"/>
      <c r="T280" s="214">
        <f>SUM(T245:T265)</f>
        <v>10.297057903846156</v>
      </c>
      <c r="U280" s="215">
        <f>SUM(U245:U265)</f>
        <v>0</v>
      </c>
      <c r="V280" s="37" t="str">
        <f t="shared" si="130"/>
        <v>ok</v>
      </c>
      <c r="W280" s="37" t="str">
        <f t="shared" si="131"/>
        <v>ok</v>
      </c>
    </row>
    <row r="281" spans="2:23" ht="15.75" thickBot="1" x14ac:dyDescent="0.3">
      <c r="B281" s="248" t="s">
        <v>103</v>
      </c>
      <c r="C281" s="165"/>
      <c r="D281" s="257">
        <f>SUM(D269:D280)</f>
        <v>76.811171628846168</v>
      </c>
      <c r="E281" s="258">
        <f>SUM(E269:E280)</f>
        <v>102.6156303173077</v>
      </c>
      <c r="F281" s="259">
        <f>SUM(F269:F280)</f>
        <v>82.092504253846158</v>
      </c>
      <c r="G281" s="260">
        <f>SUM(G269:G280)</f>
        <v>20.523126063461536</v>
      </c>
      <c r="H281" s="261">
        <f>SUM(H269:H280)</f>
        <v>52.552686598076917</v>
      </c>
      <c r="I281" s="262"/>
      <c r="J281" s="263">
        <f>SUM(J269:J280)</f>
        <v>24.258485030769229</v>
      </c>
      <c r="K281" s="264"/>
      <c r="L281" s="265">
        <f>SUM(L269:L280)</f>
        <v>4.6330306942307677</v>
      </c>
      <c r="M281" s="264"/>
      <c r="N281" s="266">
        <f>SUM(N269:N280)</f>
        <v>34.172848350000002</v>
      </c>
      <c r="O281" s="264"/>
      <c r="P281" s="267">
        <f>SUM(P269:P280)</f>
        <v>15.890095369230764</v>
      </c>
      <c r="Q281" s="262"/>
      <c r="R281" s="268">
        <f>SUM(R269:R280)</f>
        <v>47.919655903846156</v>
      </c>
      <c r="S281" s="264"/>
      <c r="T281" s="269">
        <f>SUM(T269:T280)</f>
        <v>54.695974413461528</v>
      </c>
      <c r="U281" s="270">
        <f>SUM(U269:U280)</f>
        <v>28.891515725000005</v>
      </c>
      <c r="V281" s="37"/>
      <c r="W281" s="37"/>
    </row>
    <row r="282" spans="2:23" x14ac:dyDescent="0.25">
      <c r="B282" s="431" t="s">
        <v>104</v>
      </c>
      <c r="C282" s="432"/>
      <c r="D282" s="250">
        <f>AVERAGE(D269:D280)</f>
        <v>6.4009309690705143</v>
      </c>
      <c r="E282" s="250">
        <f>AVERAGE(E269:E280)</f>
        <v>8.5513025264423081</v>
      </c>
      <c r="F282" s="250"/>
      <c r="G282" s="250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  <c r="R282" s="250">
        <f>AVERAGE(R269:R280)</f>
        <v>3.9933046586538463</v>
      </c>
      <c r="S282" s="251"/>
      <c r="T282" s="251"/>
      <c r="U282" s="252"/>
      <c r="V282" s="37"/>
      <c r="W282" s="37"/>
    </row>
    <row r="283" spans="2:23" ht="15.75" thickBot="1" x14ac:dyDescent="0.3">
      <c r="B283" s="433" t="s">
        <v>105</v>
      </c>
      <c r="C283" s="434"/>
      <c r="D283" s="253">
        <f>D281/COUNT(C5:C265)</f>
        <v>0.29429567673887419</v>
      </c>
      <c r="E283" s="253">
        <f>E281/COUNT(C5:C265)</f>
        <v>0.39316333454907165</v>
      </c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>
        <f>R281/COUNT(C5:C265)</f>
        <v>0.18360021419098144</v>
      </c>
      <c r="S283" s="254"/>
      <c r="T283" s="254"/>
      <c r="U283" s="255"/>
    </row>
    <row r="284" spans="2:23" x14ac:dyDescent="0.25"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</row>
  </sheetData>
  <mergeCells count="14">
    <mergeCell ref="B282:C282"/>
    <mergeCell ref="B283:C283"/>
    <mergeCell ref="A135:A156"/>
    <mergeCell ref="A157:A179"/>
    <mergeCell ref="A180:A199"/>
    <mergeCell ref="A200:A222"/>
    <mergeCell ref="A223:A244"/>
    <mergeCell ref="A245:A265"/>
    <mergeCell ref="A114:A134"/>
    <mergeCell ref="A5:A27"/>
    <mergeCell ref="A28:A47"/>
    <mergeCell ref="A48:A69"/>
    <mergeCell ref="A70:A90"/>
    <mergeCell ref="A91:A113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90</vt:i4>
      </vt:variant>
    </vt:vector>
  </HeadingPairs>
  <TitlesOfParts>
    <vt:vector size="108" baseType="lpstr">
      <vt:lpstr>2.2.1</vt:lpstr>
      <vt:lpstr>2.3.1</vt:lpstr>
      <vt:lpstr>2.3.2</vt:lpstr>
      <vt:lpstr>2.3.3</vt:lpstr>
      <vt:lpstr>2.3.4 et 2.3.5.1</vt:lpstr>
      <vt:lpstr>2.3.5</vt:lpstr>
      <vt:lpstr>2.4.5.1 Missions</vt:lpstr>
      <vt:lpstr>2.4.5.2 Durée de missions</vt:lpstr>
      <vt:lpstr>2.4.5.3 Emplois ETP  base a</vt:lpstr>
      <vt:lpstr>2.4.5.4 Emplois ETP  base m</vt:lpstr>
      <vt:lpstr>2.4.5.5 Emplois Mens. Intér Eq</vt:lpstr>
      <vt:lpstr>Feuil2</vt:lpstr>
      <vt:lpstr>Feuil3</vt:lpstr>
      <vt:lpstr>Capacité par type</vt:lpstr>
      <vt:lpstr>Capacité par CSP</vt:lpstr>
      <vt:lpstr>2.6</vt:lpstr>
      <vt:lpstr>Feuil1</vt:lpstr>
      <vt:lpstr>3.6.1</vt:lpstr>
      <vt:lpstr>BDA</vt:lpstr>
      <vt:lpstr>CMD_1</vt:lpstr>
      <vt:lpstr>CMD_10</vt:lpstr>
      <vt:lpstr>CMD_11</vt:lpstr>
      <vt:lpstr>CMD_12</vt:lpstr>
      <vt:lpstr>CMD_2</vt:lpstr>
      <vt:lpstr>CMD_3</vt:lpstr>
      <vt:lpstr>CMD_4</vt:lpstr>
      <vt:lpstr>CMD_5</vt:lpstr>
      <vt:lpstr>CMD_6</vt:lpstr>
      <vt:lpstr>CMD_7</vt:lpstr>
      <vt:lpstr>CMD_8</vt:lpstr>
      <vt:lpstr>CMD_9</vt:lpstr>
      <vt:lpstr>CMO_1</vt:lpstr>
      <vt:lpstr>CMO_10</vt:lpstr>
      <vt:lpstr>CMO_11</vt:lpstr>
      <vt:lpstr>CMO_12</vt:lpstr>
      <vt:lpstr>CMO_2</vt:lpstr>
      <vt:lpstr>CMO_3</vt:lpstr>
      <vt:lpstr>CMO_4</vt:lpstr>
      <vt:lpstr>CMO_5</vt:lpstr>
      <vt:lpstr>CMO_6</vt:lpstr>
      <vt:lpstr>CMO_7</vt:lpstr>
      <vt:lpstr>CMO_8</vt:lpstr>
      <vt:lpstr>CMO_9</vt:lpstr>
      <vt:lpstr>CSP_PART_C</vt:lpstr>
      <vt:lpstr>CSP_PART_E</vt:lpstr>
      <vt:lpstr>CSP_PART_ONQ</vt:lpstr>
      <vt:lpstr>CSP_PART_OQ</vt:lpstr>
      <vt:lpstr>CSP_PART_PI</vt:lpstr>
      <vt:lpstr>DMG_1</vt:lpstr>
      <vt:lpstr>DMG_10</vt:lpstr>
      <vt:lpstr>DMG_11</vt:lpstr>
      <vt:lpstr>DMG_12</vt:lpstr>
      <vt:lpstr>DMG_13</vt:lpstr>
      <vt:lpstr>DMG_14</vt:lpstr>
      <vt:lpstr>DMG_15</vt:lpstr>
      <vt:lpstr>DMG_16</vt:lpstr>
      <vt:lpstr>DMG_17</vt:lpstr>
      <vt:lpstr>DMG_18</vt:lpstr>
      <vt:lpstr>DMG_19</vt:lpstr>
      <vt:lpstr>DMG_2</vt:lpstr>
      <vt:lpstr>DMG_20</vt:lpstr>
      <vt:lpstr>DMG_21</vt:lpstr>
      <vt:lpstr>DMG_22</vt:lpstr>
      <vt:lpstr>DMG_23</vt:lpstr>
      <vt:lpstr>DMG_3</vt:lpstr>
      <vt:lpstr>DMG_4</vt:lpstr>
      <vt:lpstr>DMG_5</vt:lpstr>
      <vt:lpstr>DMG_6</vt:lpstr>
      <vt:lpstr>DMG_7</vt:lpstr>
      <vt:lpstr>DMG_8</vt:lpstr>
      <vt:lpstr>DMG_9</vt:lpstr>
      <vt:lpstr>DMM</vt:lpstr>
      <vt:lpstr>OMG_1</vt:lpstr>
      <vt:lpstr>OMG_10</vt:lpstr>
      <vt:lpstr>OMG_11</vt:lpstr>
      <vt:lpstr>OMG_12</vt:lpstr>
      <vt:lpstr>OMG_13</vt:lpstr>
      <vt:lpstr>OMG_14</vt:lpstr>
      <vt:lpstr>OMG_15</vt:lpstr>
      <vt:lpstr>OMG_16</vt:lpstr>
      <vt:lpstr>OMG_17</vt:lpstr>
      <vt:lpstr>OMG_18</vt:lpstr>
      <vt:lpstr>OMG_19</vt:lpstr>
      <vt:lpstr>OMG_2</vt:lpstr>
      <vt:lpstr>OMG_20</vt:lpstr>
      <vt:lpstr>OMG_21</vt:lpstr>
      <vt:lpstr>OMG_22</vt:lpstr>
      <vt:lpstr>OMG_23</vt:lpstr>
      <vt:lpstr>OMG_3</vt:lpstr>
      <vt:lpstr>OMG_4</vt:lpstr>
      <vt:lpstr>OMG_5</vt:lpstr>
      <vt:lpstr>OMG_6</vt:lpstr>
      <vt:lpstr>OMG_7</vt:lpstr>
      <vt:lpstr>OMG_8</vt:lpstr>
      <vt:lpstr>OMG_9</vt:lpstr>
      <vt:lpstr>QTMGI</vt:lpstr>
      <vt:lpstr>TC</vt:lpstr>
      <vt:lpstr>TYPE_PART_II</vt:lpstr>
      <vt:lpstr>TYPE_PART_IIP</vt:lpstr>
      <vt:lpstr>TYPE_PART_IO</vt:lpstr>
      <vt:lpstr>TYPE_PART_IP</vt:lpstr>
      <vt:lpstr>TYPE_PART_IR</vt:lpstr>
      <vt:lpstr>TYPE_QUOTITE_II</vt:lpstr>
      <vt:lpstr>TYPE_QUOTITE_IIP</vt:lpstr>
      <vt:lpstr>TYPE_QUOTITE_IO</vt:lpstr>
      <vt:lpstr>TYPE_QUOTITE_IP</vt:lpstr>
      <vt:lpstr>TYPE_QUOTITE_IR</vt:lpstr>
      <vt:lpstr>TYPE_RST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2018-08-05T06:17:39Z</dcterms:created>
  <dcterms:modified xsi:type="dcterms:W3CDTF">2018-11-01T11:36:25Z</dcterms:modified>
</cp:coreProperties>
</file>