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item4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Список" sheetId="1" state="visible" r:id="rId2"/>
    <sheet name="возврат 1451" sheetId="2" state="visible" r:id="rId3"/>
    <sheet name="договора" sheetId="3" state="visible" r:id="rId4"/>
    <sheet name="затраты по департаментам-2 " sheetId="4" state="visible" r:id="rId5"/>
    <sheet name="Служебный" sheetId="5" state="hidden" r:id="rId6"/>
    <sheet name="авто в процентах" sheetId="6" state="hidden" r:id="rId7"/>
  </sheets>
  <definedNames>
    <definedName function="false" hidden="false" name="conect_name" vbProcedure="false"/>
    <definedName function="false" hidden="false" name="connect_name" vbProcedure="false"/>
    <definedName function="false" hidden="false" name="def_gen_book" vbProcedure="false"/>
    <definedName function="false" hidden="false" name="def_templ_book" vbProcedure="false"/>
    <definedName function="false" hidden="false" name="dsn" vbProcedure="false"/>
    <definedName function="false" hidden="false" name="gen_path" vbProcedure="false"/>
    <definedName function="false" hidden="false" name="header1" vbProcedure="false"/>
    <definedName function="false" hidden="false" name="log_file_path" vbProcedure="false"/>
    <definedName function="false" hidden="false" name="templ_path" vbProcedure="false"/>
    <definedName function="false" hidden="false" name="work_path" vbProcedure="false"/>
    <definedName function="false" hidden="false" localSheetId="0" name="Z_D4A661A7_C724_45B0_8E18_B747132EBD54_.wvu.Cols" vbProcedure="false"/>
    <definedName function="false" hidden="false" localSheetId="0" name="Z_D4A661A7_C724_45B0_8E18_B747132EBD54_.wvu.FilterData" vbProcedure="false"/>
    <definedName function="false" hidden="false" localSheetId="0" name="Z_D4A661A7_C724_45B0_8E18_B747132EBD54_.wvu.PrintTitles" vbProcedure="false"/>
    <definedName function="false" hidden="false" localSheetId="0" name="_xlnm.Print_Titles" vbProcedure="false"/>
    <definedName function="false" hidden="false" localSheetId="0" name="_xlnm._FilterDatabase" vbProcedure="false"/>
    <definedName function="false" hidden="false" localSheetId="1" name="_xlnm._FilterDatabase" vbProcedure="false"/>
    <definedName function="false" hidden="false" localSheetId="2" name="Z_D4A661A7_C724_45B0_8E18_B747132EBD54_.wvu.Cols" vbProcedure="false"/>
    <definedName function="false" hidden="false" localSheetId="2" name="_xlnm._FilterDatabase" vbProcedure="false"/>
    <definedName function="false" hidden="false" localSheetId="3" name="_xlnm._FilterDatabase" vbProcedure="false"/>
  </definedNames>
  <calcPr iterateCount="100" refMode="A1" iterate="false" iterateDelta="0.001"/>
  <pivotCaches>
    <pivotCache cacheId="1" r:id="rId9"/>
  </pivotCache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 Cyr"/>
            <family val="0"/>
            <charset val="204"/>
          </rPr>
          <t xml:space="preserve">S_Kudlay:
</t>
        </r>
        <r>
          <rPr>
            <sz val="8"/>
            <color rgb="FF000000"/>
            <rFont val="Tahoma"/>
            <family val="2"/>
            <charset val="204"/>
          </rPr>
          <t xml:space="preserve">16450TA</t>
        </r>
      </text>
    </comment>
    <comment ref="B4" authorId="0">
      <text>
        <r>
          <rPr>
            <sz val="10"/>
            <rFont val="Arial Cyr"/>
            <family val="0"/>
            <charset val="204"/>
          </rPr>
          <t xml:space="preserve">S_Kudlay:
</t>
        </r>
        <r>
          <rPr>
            <sz val="8"/>
            <color rgb="FF000000"/>
            <rFont val="Tahoma"/>
            <family val="2"/>
            <charset val="204"/>
          </rPr>
          <t xml:space="preserve">09651TA</t>
        </r>
      </text>
    </comment>
    <comment ref="B5" authorId="0">
      <text>
        <r>
          <rPr>
            <sz val="10"/>
            <rFont val="Arial Cyr"/>
            <family val="0"/>
            <charset val="204"/>
          </rPr>
          <t xml:space="preserve">S_Kudlay:
</t>
        </r>
        <r>
          <rPr>
            <sz val="8"/>
            <color rgb="FF000000"/>
            <rFont val="Tahoma"/>
            <family val="2"/>
            <charset val="204"/>
          </rPr>
          <t xml:space="preserve">09652TA</t>
        </r>
      </text>
    </comment>
    <comment ref="B6" authorId="0">
      <text>
        <r>
          <rPr>
            <sz val="10"/>
            <rFont val="Arial Cyr"/>
            <family val="0"/>
            <charset val="204"/>
          </rPr>
          <t xml:space="preserve">S_Kudlay:
</t>
        </r>
        <r>
          <rPr>
            <sz val="8"/>
            <color rgb="FF000000"/>
            <rFont val="Tahoma"/>
            <family val="2"/>
            <charset val="204"/>
          </rPr>
          <t xml:space="preserve">10984TA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82" authorId="0">
      <text>
        <r>
          <rPr>
            <sz val="10"/>
            <rFont val="Arial Cyr"/>
            <family val="0"/>
            <charset val="204"/>
          </rPr>
          <t xml:space="preserve">Kudlay, Sergey:
</t>
        </r>
        <r>
          <rPr>
            <sz val="9"/>
            <color rgb="FF000000"/>
            <rFont val="Tahoma"/>
            <family val="2"/>
            <charset val="204"/>
          </rPr>
          <t xml:space="preserve">замена номера на АА7178ОР</t>
        </r>
      </text>
    </comment>
    <comment ref="B100" authorId="0">
      <text>
        <r>
          <rPr>
            <sz val="10"/>
            <rFont val="Arial Cyr"/>
            <family val="0"/>
            <charset val="204"/>
          </rPr>
          <t xml:space="preserve">Kudlay, Sergey:
</t>
        </r>
        <r>
          <rPr>
            <sz val="9"/>
            <color rgb="FF000000"/>
            <rFont val="Tahoma"/>
            <family val="2"/>
            <charset val="204"/>
          </rPr>
          <t xml:space="preserve">старый АА7260ОР</t>
        </r>
      </text>
    </comment>
    <comment ref="B223" authorId="0">
      <text>
        <r>
          <rPr>
            <sz val="10"/>
            <rFont val="Arial Cyr"/>
            <family val="0"/>
            <charset val="204"/>
          </rPr>
          <t xml:space="preserve">Kudlay, Sergey:
</t>
        </r>
        <r>
          <rPr>
            <sz val="9"/>
            <color rgb="FF000000"/>
            <rFont val="Tahoma"/>
            <family val="2"/>
            <charset val="204"/>
          </rPr>
          <t xml:space="preserve">на Автомире</t>
        </r>
      </text>
    </comment>
    <comment ref="B233" authorId="0">
      <text>
        <r>
          <rPr>
            <sz val="10"/>
            <rFont val="Arial Cyr"/>
            <family val="0"/>
            <charset val="204"/>
          </rPr>
          <t xml:space="preserve">Kudlay, Sergey:
</t>
        </r>
        <r>
          <rPr>
            <sz val="9"/>
            <color rgb="FF000000"/>
            <rFont val="Tahoma"/>
            <family val="2"/>
            <charset val="204"/>
          </rPr>
          <t xml:space="preserve">старый АА5717ВР</t>
        </r>
      </text>
    </comment>
    <comment ref="B245" authorId="0">
      <text>
        <r>
          <rPr>
            <sz val="10"/>
            <rFont val="Arial Cyr"/>
            <family val="0"/>
            <charset val="204"/>
          </rPr>
          <t xml:space="preserve">Kudlay, Sergey:
</t>
        </r>
        <r>
          <rPr>
            <sz val="9"/>
            <color rgb="FF000000"/>
            <rFont val="Tahoma"/>
            <family val="2"/>
            <charset val="204"/>
          </rPr>
          <t xml:space="preserve">старый АА5737ВР</t>
        </r>
      </text>
    </comment>
    <comment ref="B2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Kudlay, Sergey:    на Автомире 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10"/>
            <rFont val="Arial Cyr"/>
            <family val="0"/>
            <charset val="204"/>
          </rPr>
          <t xml:space="preserve">S_Chumachenko:
</t>
        </r>
        <r>
          <rPr>
            <sz val="8"/>
            <color rgb="FF000000"/>
            <rFont val="Tahoma"/>
            <family val="2"/>
            <charset val="204"/>
          </rPr>
          <t xml:space="preserve">курс на 30.01.2009</t>
        </r>
      </text>
    </comment>
  </commentList>
</comments>
</file>

<file path=xl/sharedStrings.xml><?xml version="1.0" encoding="utf-8"?>
<sst xmlns="http://schemas.openxmlformats.org/spreadsheetml/2006/main" count="14498" uniqueCount="4287">
  <si>
    <t xml:space="preserve">№</t>
  </si>
  <si>
    <t xml:space="preserve">Гос. Номер</t>
  </si>
  <si>
    <t xml:space="preserve">Марка автомобиля</t>
  </si>
  <si>
    <t xml:space="preserve">Тип топлива</t>
  </si>
  <si>
    <t xml:space="preserve">Норма списания л/100км.</t>
  </si>
  <si>
    <t xml:space="preserve">Vдв-ля</t>
  </si>
  <si>
    <t xml:space="preserve">СО</t>
  </si>
  <si>
    <t xml:space="preserve">Год</t>
  </si>
  <si>
    <t xml:space="preserve">Договор лизинга</t>
  </si>
  <si>
    <t xml:space="preserve">Тип</t>
  </si>
  <si>
    <t xml:space="preserve">Фамилия водителя</t>
  </si>
  <si>
    <t xml:space="preserve">Грейд</t>
  </si>
  <si>
    <t xml:space="preserve">таб.№</t>
  </si>
  <si>
    <t xml:space="preserve">Должность</t>
  </si>
  <si>
    <t xml:space="preserve">Закрепление (физическое нахождение автомобиля).</t>
  </si>
  <si>
    <t xml:space="preserve">Подразделение</t>
  </si>
  <si>
    <t xml:space="preserve">Территориальная принадлежность (продажи).</t>
  </si>
  <si>
    <t xml:space="preserve">департамент</t>
  </si>
  <si>
    <t xml:space="preserve">Центр затрат</t>
  </si>
  <si>
    <t xml:space="preserve">пакет</t>
  </si>
  <si>
    <t xml:space="preserve">Стоимость. грн с НДС</t>
  </si>
  <si>
    <t xml:space="preserve">Курс $</t>
  </si>
  <si>
    <t xml:space="preserve">первый платеж грн. С НДС</t>
  </si>
  <si>
    <t xml:space="preserve">Стоимость авто, </t>
  </si>
  <si>
    <t xml:space="preserve">Месячный платеж</t>
  </si>
  <si>
    <t xml:space="preserve">Контракт</t>
  </si>
  <si>
    <t xml:space="preserve">Вид контракта</t>
  </si>
  <si>
    <t xml:space="preserve">Дата заключения</t>
  </si>
  <si>
    <t xml:space="preserve">Поставка (контракт)</t>
  </si>
  <si>
    <t xml:space="preserve">Дата получения</t>
  </si>
  <si>
    <t xml:space="preserve">Дата возврата</t>
  </si>
  <si>
    <t xml:space="preserve">Факт возврата новый</t>
  </si>
  <si>
    <t xml:space="preserve">распределение</t>
  </si>
  <si>
    <t xml:space="preserve">1/60 первого платежа с НДС</t>
  </si>
  <si>
    <t xml:space="preserve">Принадлежность офис, филиал</t>
  </si>
  <si>
    <t xml:space="preserve">Сити-город</t>
  </si>
  <si>
    <t xml:space="preserve">НОМЕР ТРЕКЕРА</t>
  </si>
  <si>
    <t xml:space="preserve">инвентарный №</t>
  </si>
  <si>
    <t xml:space="preserve">№ Блока ручного</t>
  </si>
  <si>
    <t xml:space="preserve">№ Блока керування</t>
  </si>
  <si>
    <t xml:space="preserve">Поверен до:</t>
  </si>
  <si>
    <t xml:space="preserve">vin</t>
  </si>
  <si>
    <t xml:space="preserve">Email address</t>
  </si>
  <si>
    <t xml:space="preserve">Дата получения сотрудником авто</t>
  </si>
  <si>
    <t xml:space="preserve">AP8394CI</t>
  </si>
  <si>
    <t xml:space="preserve">ЗИЛ 431412</t>
  </si>
  <si>
    <t xml:space="preserve">B</t>
  </si>
  <si>
    <t xml:space="preserve">Славутич</t>
  </si>
  <si>
    <t xml:space="preserve">Поливомоечная</t>
  </si>
  <si>
    <t xml:space="preserve">Пуга Віктор Іванович</t>
  </si>
  <si>
    <t xml:space="preserve">08318</t>
  </si>
  <si>
    <t xml:space="preserve">Водій автотранспортних засобів</t>
  </si>
  <si>
    <t xml:space="preserve">Запорожье</t>
  </si>
  <si>
    <t xml:space="preserve">производство</t>
  </si>
  <si>
    <t xml:space="preserve">Не установлен</t>
  </si>
  <si>
    <t xml:space="preserve">AP2562CA</t>
  </si>
  <si>
    <t xml:space="preserve">ЗІЛ МДК 433362-03</t>
  </si>
  <si>
    <t xml:space="preserve">Дорожня комбінована</t>
  </si>
  <si>
    <t xml:space="preserve">Хитрейко Микола Дмитрович</t>
  </si>
  <si>
    <t xml:space="preserve">70914</t>
  </si>
  <si>
    <t xml:space="preserve">Львів</t>
  </si>
  <si>
    <t xml:space="preserve">Западный</t>
  </si>
  <si>
    <t xml:space="preserve">АГВ</t>
  </si>
  <si>
    <t xml:space="preserve">AP2563CA</t>
  </si>
  <si>
    <t xml:space="preserve">ЗІЛ -ММЗ 554М</t>
  </si>
  <si>
    <t xml:space="preserve">Самоскид</t>
  </si>
  <si>
    <t xml:space="preserve">AP2557CA</t>
  </si>
  <si>
    <t xml:space="preserve">ЗІЛ 433362</t>
  </si>
  <si>
    <t xml:space="preserve">Вантажна</t>
  </si>
  <si>
    <t xml:space="preserve">AP2564CA</t>
  </si>
  <si>
    <t xml:space="preserve">Вакуумна</t>
  </si>
  <si>
    <t xml:space="preserve">AA5884TB</t>
  </si>
  <si>
    <t xml:space="preserve">Peugeot Traveller Business MK</t>
  </si>
  <si>
    <t xml:space="preserve">D</t>
  </si>
  <si>
    <t xml:space="preserve">Легковая</t>
  </si>
  <si>
    <t xml:space="preserve">Лисяк Володимир Ярославович</t>
  </si>
  <si>
    <t xml:space="preserve">09190</t>
  </si>
  <si>
    <t xml:space="preserve">Адміністративно-господарський відділ</t>
  </si>
  <si>
    <t xml:space="preserve">администрация</t>
  </si>
  <si>
    <t xml:space="preserve">4c</t>
  </si>
  <si>
    <t xml:space="preserve">оперативный лизинг</t>
  </si>
  <si>
    <t xml:space="preserve">Офис</t>
  </si>
  <si>
    <t xml:space="preserve">Львов</t>
  </si>
  <si>
    <t xml:space="preserve">L044869</t>
  </si>
  <si>
    <t xml:space="preserve">Volodimir.Lysyak@carlsberg.ua</t>
  </si>
  <si>
    <t xml:space="preserve">AA1863TE</t>
  </si>
  <si>
    <t xml:space="preserve">Peugeot Partner Fourgon B9 1.6 HDI</t>
  </si>
  <si>
    <t xml:space="preserve">Груз. фургон</t>
  </si>
  <si>
    <t xml:space="preserve">Химич Тарас Михайлович</t>
  </si>
  <si>
    <t xml:space="preserve">02110</t>
  </si>
  <si>
    <t xml:space="preserve">Фахівець з технічного обслуговування кегового обладнання</t>
  </si>
  <si>
    <t xml:space="preserve">Відділ продажів Західного регіону</t>
  </si>
  <si>
    <t xml:space="preserve">продажи ХоРеКа</t>
  </si>
  <si>
    <t xml:space="preserve">Taras.Khymych@carlsberg.ua</t>
  </si>
  <si>
    <t xml:space="preserve">AA0271XH</t>
  </si>
  <si>
    <t xml:space="preserve">VW Passat Executive</t>
  </si>
  <si>
    <t xml:space="preserve">3913-OL</t>
  </si>
  <si>
    <t xml:space="preserve">Мельник Руслан Васильович</t>
  </si>
  <si>
    <t xml:space="preserve">07875</t>
  </si>
  <si>
    <t xml:space="preserve">Директор заводу</t>
  </si>
  <si>
    <t xml:space="preserve">Киев</t>
  </si>
  <si>
    <t xml:space="preserve">Філія (м.Київ)</t>
  </si>
  <si>
    <t xml:space="preserve">2b</t>
  </si>
  <si>
    <t xml:space="preserve">Киевский филиал</t>
  </si>
  <si>
    <t xml:space="preserve">F451768</t>
  </si>
  <si>
    <t xml:space="preserve">ARMA-1039</t>
  </si>
  <si>
    <t xml:space="preserve">ARLK-0539</t>
  </si>
  <si>
    <t xml:space="preserve">Ruslan.Melnyk@carlsberg.ua</t>
  </si>
  <si>
    <t xml:space="preserve">AA0259XH</t>
  </si>
  <si>
    <t xml:space="preserve">Біланчук Богдан Андрійович</t>
  </si>
  <si>
    <t xml:space="preserve">00039</t>
  </si>
  <si>
    <t xml:space="preserve">Филиал ( г.Львов)</t>
  </si>
  <si>
    <t xml:space="preserve">Львовский филиал</t>
  </si>
  <si>
    <t xml:space="preserve">А 0005/1025.</t>
  </si>
  <si>
    <t xml:space="preserve">ARMA-0951</t>
  </si>
  <si>
    <t xml:space="preserve">ARLK-0558</t>
  </si>
  <si>
    <t xml:space="preserve">Bogdan.Bilanchuk@carlsberg.ua</t>
  </si>
  <si>
    <t xml:space="preserve">AA0258XH</t>
  </si>
  <si>
    <t xml:space="preserve">Клець Вадим Вікторович</t>
  </si>
  <si>
    <t xml:space="preserve">05087</t>
  </si>
  <si>
    <t xml:space="preserve">Керівник напрямку продажів на експорт</t>
  </si>
  <si>
    <t xml:space="preserve">Відділ експорту</t>
  </si>
  <si>
    <t xml:space="preserve">продажи офис</t>
  </si>
  <si>
    <t xml:space="preserve">4a</t>
  </si>
  <si>
    <t xml:space="preserve">F451769</t>
  </si>
  <si>
    <t xml:space="preserve">ARMA-0950</t>
  </si>
  <si>
    <t xml:space="preserve">ARLK-0557</t>
  </si>
  <si>
    <t xml:space="preserve">Vadim.Klets@carlsberg.ua</t>
  </si>
  <si>
    <t xml:space="preserve">AA8674XE</t>
  </si>
  <si>
    <t xml:space="preserve">Модлицький Геннадій Юрійович</t>
  </si>
  <si>
    <t xml:space="preserve">03827</t>
  </si>
  <si>
    <t xml:space="preserve">Водій офісний</t>
  </si>
  <si>
    <t xml:space="preserve">Адміністративно-господарчий відділ</t>
  </si>
  <si>
    <t xml:space="preserve">F451770</t>
  </si>
  <si>
    <t xml:space="preserve">ARMA-0949</t>
  </si>
  <si>
    <t xml:space="preserve">ARLK-0556</t>
  </si>
  <si>
    <t xml:space="preserve">Gennadiy.Modlytskyy@carlsberg.ua</t>
  </si>
  <si>
    <t xml:space="preserve">AA0247XH</t>
  </si>
  <si>
    <t xml:space="preserve">VW Passat Elegance</t>
  </si>
  <si>
    <t xml:space="preserve">Жарик Сергій Олександрович</t>
  </si>
  <si>
    <t xml:space="preserve">02248</t>
  </si>
  <si>
    <t xml:space="preserve">Регіональний менеджер</t>
  </si>
  <si>
    <t xml:space="preserve">Одесса</t>
  </si>
  <si>
    <t xml:space="preserve">Відділ продажів Південного регіону</t>
  </si>
  <si>
    <t xml:space="preserve">продажи офис регион</t>
  </si>
  <si>
    <t xml:space="preserve">3а</t>
  </si>
  <si>
    <t xml:space="preserve">А 0005/1026</t>
  </si>
  <si>
    <t xml:space="preserve">ARMA-0960</t>
  </si>
  <si>
    <t xml:space="preserve">ARLK-0552</t>
  </si>
  <si>
    <t xml:space="preserve">Sergey.Zharyk@carlsberg.ua</t>
  </si>
  <si>
    <t xml:space="preserve">AA0251XH</t>
  </si>
  <si>
    <t xml:space="preserve">Бойко Володимир Миколайович</t>
  </si>
  <si>
    <t xml:space="preserve">07923</t>
  </si>
  <si>
    <t xml:space="preserve">ARMA-1040</t>
  </si>
  <si>
    <t xml:space="preserve">ARLK-0540</t>
  </si>
  <si>
    <t xml:space="preserve">Vladymir.Boyko@carlsberg.ua</t>
  </si>
  <si>
    <t xml:space="preserve">AA0257XH</t>
  </si>
  <si>
    <t xml:space="preserve">Кущинський Роман Володимирович</t>
  </si>
  <si>
    <t xml:space="preserve">02214</t>
  </si>
  <si>
    <t xml:space="preserve">Національний менеджер з розвитку стратегії продажів</t>
  </si>
  <si>
    <t xml:space="preserve">Відділ стратегії продажів</t>
  </si>
  <si>
    <t xml:space="preserve">ARMA-1037</t>
  </si>
  <si>
    <t xml:space="preserve">ARLK-0538</t>
  </si>
  <si>
    <t xml:space="preserve">Roman.Kushchynskyy@carlsberg.ua</t>
  </si>
  <si>
    <t xml:space="preserve">AA0342XH</t>
  </si>
  <si>
    <t xml:space="preserve">Peugeot 208 1.2 5d</t>
  </si>
  <si>
    <t xml:space="preserve">Попович Галина Миколаївна</t>
  </si>
  <si>
    <t xml:space="preserve">04108</t>
  </si>
  <si>
    <t xml:space="preserve">Фахівець з маркетингу торгових каналів</t>
  </si>
  <si>
    <t xml:space="preserve">Івано-Франківськ</t>
  </si>
  <si>
    <t xml:space="preserve">Відділ торгового маркетингу Західного регіону</t>
  </si>
  <si>
    <t xml:space="preserve">продажи OFF-trade</t>
  </si>
  <si>
    <t xml:space="preserve">4b</t>
  </si>
  <si>
    <t xml:space="preserve">ARMA-1009</t>
  </si>
  <si>
    <t xml:space="preserve">ARLK-0127</t>
  </si>
  <si>
    <t xml:space="preserve">Galyna.Popovych@carlsberg.ua</t>
  </si>
  <si>
    <t xml:space="preserve">AA2510XH</t>
  </si>
  <si>
    <t xml:space="preserve">Не закреплен</t>
  </si>
  <si>
    <t xml:space="preserve">04364</t>
  </si>
  <si>
    <t xml:space="preserve">Провідний фахівець з продажу</t>
  </si>
  <si>
    <t xml:space="preserve">Житомир</t>
  </si>
  <si>
    <t xml:space="preserve">Відділ продажів Центрального регіону</t>
  </si>
  <si>
    <t xml:space="preserve">ARMA-0941</t>
  </si>
  <si>
    <t xml:space="preserve">ARLK-0565</t>
  </si>
  <si>
    <t xml:space="preserve">Maksym.Havrishenko@carlsberg.ua</t>
  </si>
  <si>
    <t xml:space="preserve">AA2590XH</t>
  </si>
  <si>
    <t xml:space="preserve">Жук-Притуляк Аліна Миколаївна</t>
  </si>
  <si>
    <t xml:space="preserve">02505</t>
  </si>
  <si>
    <t xml:space="preserve">Відділ торгового маркетингу Центрально-Південного регіону</t>
  </si>
  <si>
    <t xml:space="preserve">продажи RKA</t>
  </si>
  <si>
    <t xml:space="preserve">А 0005/1043</t>
  </si>
  <si>
    <t xml:space="preserve">ARMA-1000</t>
  </si>
  <si>
    <t xml:space="preserve">ARLK-0357</t>
  </si>
  <si>
    <t xml:space="preserve">Alina.Zhuk-Prytulyak@carlsberg.ua</t>
  </si>
  <si>
    <t xml:space="preserve">AA2594XH</t>
  </si>
  <si>
    <t xml:space="preserve">Дем’яненко В’ячеслав Віталійович</t>
  </si>
  <si>
    <t xml:space="preserve">10110</t>
  </si>
  <si>
    <t xml:space="preserve">Харьков</t>
  </si>
  <si>
    <t xml:space="preserve">Відділ продажів Північно-Східного регіону</t>
  </si>
  <si>
    <t xml:space="preserve">А 0005/1052</t>
  </si>
  <si>
    <t xml:space="preserve">ARMA-0997</t>
  </si>
  <si>
    <t xml:space="preserve">ARLK-0354</t>
  </si>
  <si>
    <t xml:space="preserve">Viacheslav.Demianenko@carlsberg.ua</t>
  </si>
  <si>
    <t xml:space="preserve">AA3602XH</t>
  </si>
  <si>
    <t xml:space="preserve">Рудик Тарас Мирославович</t>
  </si>
  <si>
    <t xml:space="preserve">04172</t>
  </si>
  <si>
    <t xml:space="preserve">ARMA-0981</t>
  </si>
  <si>
    <t xml:space="preserve">ARLK-0362</t>
  </si>
  <si>
    <t xml:space="preserve">Taras.Rudyk@carlsberg.ua</t>
  </si>
  <si>
    <t xml:space="preserve">AA3605XH</t>
  </si>
  <si>
    <t xml:space="preserve">Устимович  Ігор  Миколайович</t>
  </si>
  <si>
    <t xml:space="preserve">10132</t>
  </si>
  <si>
    <t xml:space="preserve">ARMA-1010</t>
  </si>
  <si>
    <t xml:space="preserve">ARLK-0128</t>
  </si>
  <si>
    <t xml:space="preserve">Ihor.Ustymovych@carlsberg.ua</t>
  </si>
  <si>
    <t xml:space="preserve">AA3610XH</t>
  </si>
  <si>
    <t xml:space="preserve">Гончар Олександра Володимирівна</t>
  </si>
  <si>
    <t xml:space="preserve">02346</t>
  </si>
  <si>
    <t xml:space="preserve">Днепр</t>
  </si>
  <si>
    <t xml:space="preserve">Відділ торгового маркетингу Південно-Східного регіону</t>
  </si>
  <si>
    <t xml:space="preserve">А 0005/1036</t>
  </si>
  <si>
    <t xml:space="preserve">ARMA-0989</t>
  </si>
  <si>
    <t xml:space="preserve">ARLK-0366</t>
  </si>
  <si>
    <t xml:space="preserve">Alexandra.Honchar@carlsberg.ua</t>
  </si>
  <si>
    <t xml:space="preserve">AA3627XH</t>
  </si>
  <si>
    <t xml:space="preserve">Кукленко Олександр Петрович</t>
  </si>
  <si>
    <t xml:space="preserve">02083</t>
  </si>
  <si>
    <t xml:space="preserve">Провідний фахівець з продажу в ключових мережах</t>
  </si>
  <si>
    <t xml:space="preserve">Лівобережжя</t>
  </si>
  <si>
    <t xml:space="preserve">А 0005/1051</t>
  </si>
  <si>
    <t xml:space="preserve">ARMA-1012</t>
  </si>
  <si>
    <t xml:space="preserve">ARLK-0337</t>
  </si>
  <si>
    <t xml:space="preserve">Alexander.Kuklenko@carlsberg.ua</t>
  </si>
  <si>
    <t xml:space="preserve">AA3640XH</t>
  </si>
  <si>
    <t xml:space="preserve">Іванцов Сергій Вікторович</t>
  </si>
  <si>
    <t xml:space="preserve">02560</t>
  </si>
  <si>
    <t xml:space="preserve">Провідний фахівець з  продажу</t>
  </si>
  <si>
    <t xml:space="preserve">Северодонецк</t>
  </si>
  <si>
    <t xml:space="preserve">А 0005/1053</t>
  </si>
  <si>
    <t xml:space="preserve">ARMA-0933</t>
  </si>
  <si>
    <t xml:space="preserve">ARLK-0563</t>
  </si>
  <si>
    <t xml:space="preserve">Sergey.Ivantsov@carlsberg.ua</t>
  </si>
  <si>
    <t xml:space="preserve">AA3643XH</t>
  </si>
  <si>
    <t xml:space="preserve">Власова Світлана Геннадіївна</t>
  </si>
  <si>
    <t xml:space="preserve">02556</t>
  </si>
  <si>
    <t xml:space="preserve">А 0005/1046</t>
  </si>
  <si>
    <t xml:space="preserve">ARMA-1011</t>
  </si>
  <si>
    <t xml:space="preserve">ARLK-0334</t>
  </si>
  <si>
    <t xml:space="preserve">Svetlana.Vlasova@carlsberg.ua</t>
  </si>
  <si>
    <t xml:space="preserve">AA3668XH</t>
  </si>
  <si>
    <t xml:space="preserve">Дєріков Сергій Михайлович</t>
  </si>
  <si>
    <t xml:space="preserve">01485</t>
  </si>
  <si>
    <t xml:space="preserve">Херсон</t>
  </si>
  <si>
    <t xml:space="preserve">А 0005/1050</t>
  </si>
  <si>
    <t xml:space="preserve">ARMA-1196</t>
  </si>
  <si>
    <t xml:space="preserve">ARLK-0136</t>
  </si>
  <si>
    <t xml:space="preserve">Serhii.Dierikov@carlsberg.ua</t>
  </si>
  <si>
    <t xml:space="preserve">AA3683XH</t>
  </si>
  <si>
    <t xml:space="preserve">Білявська Наталя Ігорівна</t>
  </si>
  <si>
    <t xml:space="preserve">02320</t>
  </si>
  <si>
    <t xml:space="preserve">А 0005/1028</t>
  </si>
  <si>
    <t xml:space="preserve">ARMA-0988</t>
  </si>
  <si>
    <t xml:space="preserve">ARLK-0367</t>
  </si>
  <si>
    <t xml:space="preserve">Natalya.Belyavskaya@carlsberg.ua</t>
  </si>
  <si>
    <t xml:space="preserve">AA3684XH</t>
  </si>
  <si>
    <t xml:space="preserve">Демченко Олександр Миколайович</t>
  </si>
  <si>
    <t xml:space="preserve">04424</t>
  </si>
  <si>
    <t xml:space="preserve">Умань</t>
  </si>
  <si>
    <t xml:space="preserve">F451785</t>
  </si>
  <si>
    <t xml:space="preserve">ARMA-1018</t>
  </si>
  <si>
    <t xml:space="preserve">ARLK-0335</t>
  </si>
  <si>
    <t xml:space="preserve">Oleksandr.Demchenko@carlsberg.ua</t>
  </si>
  <si>
    <t xml:space="preserve">AA3689XH</t>
  </si>
  <si>
    <t xml:space="preserve">Петришин Андрій Володимирович</t>
  </si>
  <si>
    <t xml:space="preserve">08477</t>
  </si>
  <si>
    <t xml:space="preserve">ARMA-1014</t>
  </si>
  <si>
    <t xml:space="preserve">ARLK-0342</t>
  </si>
  <si>
    <t xml:space="preserve">Andrey.Petrishin@carlsberg.ua</t>
  </si>
  <si>
    <t xml:space="preserve">AA3691XH</t>
  </si>
  <si>
    <t xml:space="preserve">Горячов Олександр Васильович</t>
  </si>
  <si>
    <t xml:space="preserve">02498</t>
  </si>
  <si>
    <t xml:space="preserve">Н.Каховка</t>
  </si>
  <si>
    <t xml:space="preserve">А 0005/1048</t>
  </si>
  <si>
    <t xml:space="preserve">ARMA-0984</t>
  </si>
  <si>
    <t xml:space="preserve">ARLK-0368</t>
  </si>
  <si>
    <t xml:space="preserve">Alexander.Goryachev@carlsberg.ua</t>
  </si>
  <si>
    <t xml:space="preserve">AA3692XH</t>
  </si>
  <si>
    <t xml:space="preserve">Сюрьма Вікторія Петрівна</t>
  </si>
  <si>
    <t xml:space="preserve">02174</t>
  </si>
  <si>
    <t xml:space="preserve">Провідний фахівець відділу продажу  ХoРеКа</t>
  </si>
  <si>
    <t xml:space="preserve">продажи HoReCa</t>
  </si>
  <si>
    <t xml:space="preserve">А 0005/1039</t>
  </si>
  <si>
    <t xml:space="preserve">ARMA-0992</t>
  </si>
  <si>
    <t xml:space="preserve">ARLK-0355</t>
  </si>
  <si>
    <t xml:space="preserve">Viktoriya.Syurma@carlsberg.ua</t>
  </si>
  <si>
    <t xml:space="preserve">AA3695XH</t>
  </si>
  <si>
    <t xml:space="preserve">Коломієць Любов Михайлівна</t>
  </si>
  <si>
    <t xml:space="preserve">04325</t>
  </si>
  <si>
    <t xml:space="preserve">Правобережжя</t>
  </si>
  <si>
    <t xml:space="preserve">ARMA-0995</t>
  </si>
  <si>
    <t xml:space="preserve">ARLK-0356</t>
  </si>
  <si>
    <t xml:space="preserve">Lyubov.Kolomiyets@carlsberg.ua</t>
  </si>
  <si>
    <t xml:space="preserve">AA4626XH</t>
  </si>
  <si>
    <t xml:space="preserve">Кудь Євген Сергійович</t>
  </si>
  <si>
    <t xml:space="preserve">02364</t>
  </si>
  <si>
    <t xml:space="preserve">Купянск</t>
  </si>
  <si>
    <t xml:space="preserve">А 0005/1044</t>
  </si>
  <si>
    <t xml:space="preserve">ARMA-1008</t>
  </si>
  <si>
    <t xml:space="preserve">ARLK-0142</t>
  </si>
  <si>
    <t xml:space="preserve">Evgeniy.Kud@carlsberg.ua</t>
  </si>
  <si>
    <t xml:space="preserve">AA4628XH</t>
  </si>
  <si>
    <t xml:space="preserve">Наливайко Зоряна Тадеушівна</t>
  </si>
  <si>
    <t xml:space="preserve">01354</t>
  </si>
  <si>
    <t xml:space="preserve">Рівне</t>
  </si>
  <si>
    <t xml:space="preserve">ARMA-1020</t>
  </si>
  <si>
    <t xml:space="preserve">ARLK-0340</t>
  </si>
  <si>
    <t xml:space="preserve">Zoriana.Nalyvaiko@carlsberg.ua</t>
  </si>
  <si>
    <t xml:space="preserve">AA4634XH</t>
  </si>
  <si>
    <t xml:space="preserve">Ходорівський Юрій Ярославович</t>
  </si>
  <si>
    <t xml:space="preserve">01486</t>
  </si>
  <si>
    <t xml:space="preserve">ARMA-1006</t>
  </si>
  <si>
    <t xml:space="preserve">ARLK-0141</t>
  </si>
  <si>
    <t xml:space="preserve">Yurii.Khodorivskyi@carlsberg.ua</t>
  </si>
  <si>
    <t xml:space="preserve">AA4638XH</t>
  </si>
  <si>
    <t xml:space="preserve">Величко Олег Олександрович</t>
  </si>
  <si>
    <t xml:space="preserve">02531</t>
  </si>
  <si>
    <t xml:space="preserve">Мариуполь</t>
  </si>
  <si>
    <t xml:space="preserve">Відділ продажів Південно-Східного регіону</t>
  </si>
  <si>
    <t xml:space="preserve">А 0005/1045</t>
  </si>
  <si>
    <t xml:space="preserve">ARMA-0994</t>
  </si>
  <si>
    <t xml:space="preserve">ARLK-0350</t>
  </si>
  <si>
    <t xml:space="preserve">Oleg.Velichko@carlsberg.ua</t>
  </si>
  <si>
    <t xml:space="preserve">AA4642XH</t>
  </si>
  <si>
    <t xml:space="preserve">Гирман Олександр Миколайович</t>
  </si>
  <si>
    <t xml:space="preserve">02480</t>
  </si>
  <si>
    <t xml:space="preserve">Кременчук</t>
  </si>
  <si>
    <t xml:space="preserve">А 0005/1042</t>
  </si>
  <si>
    <t xml:space="preserve">ARMA-0993</t>
  </si>
  <si>
    <t xml:space="preserve">ARLK-0352</t>
  </si>
  <si>
    <t xml:space="preserve">Alexandr.Girman@carlsberg.ua</t>
  </si>
  <si>
    <t xml:space="preserve">AA8643XE</t>
  </si>
  <si>
    <t xml:space="preserve">Мостипанов Сергій Володимирович</t>
  </si>
  <si>
    <t xml:space="preserve">02512</t>
  </si>
  <si>
    <t xml:space="preserve">Николаев</t>
  </si>
  <si>
    <t xml:space="preserve">А 0005/1034</t>
  </si>
  <si>
    <t xml:space="preserve">ARMA-1033</t>
  </si>
  <si>
    <t xml:space="preserve">ARLK-0560</t>
  </si>
  <si>
    <t xml:space="preserve">Sergey.Mostipanov@carlsberg.ua</t>
  </si>
  <si>
    <t xml:space="preserve">AA8661XE</t>
  </si>
  <si>
    <t xml:space="preserve">Барчинський Артем Вікторович</t>
  </si>
  <si>
    <t xml:space="preserve">02473</t>
  </si>
  <si>
    <t xml:space="preserve">продажи RKA </t>
  </si>
  <si>
    <t xml:space="preserve">А 0005/1054</t>
  </si>
  <si>
    <t xml:space="preserve">ARMA-0932</t>
  </si>
  <si>
    <t xml:space="preserve">ARLK-0585</t>
  </si>
  <si>
    <t xml:space="preserve">Artem.Barchinskiy@carlsberg.ua</t>
  </si>
  <si>
    <t xml:space="preserve">AA8679XE</t>
  </si>
  <si>
    <t xml:space="preserve">Давиденко Юрій Миколайович</t>
  </si>
  <si>
    <t xml:space="preserve">01508</t>
  </si>
  <si>
    <t xml:space="preserve">ARMA-0934</t>
  </si>
  <si>
    <t xml:space="preserve">ARLK-0562</t>
  </si>
  <si>
    <t xml:space="preserve">Yuriy.Davydenko@carlsberg.ua</t>
  </si>
  <si>
    <t xml:space="preserve">AA8692XE</t>
  </si>
  <si>
    <t xml:space="preserve">Сердюченко Вячеслав Анатолійович</t>
  </si>
  <si>
    <t xml:space="preserve">02198</t>
  </si>
  <si>
    <t xml:space="preserve">Измаил</t>
  </si>
  <si>
    <t xml:space="preserve">А 0005/1033</t>
  </si>
  <si>
    <t xml:space="preserve">ARMA-0942</t>
  </si>
  <si>
    <t xml:space="preserve">ARLK-0572</t>
  </si>
  <si>
    <t xml:space="preserve">Vyacheslav.Serdiuchenko@carlsberg.ua</t>
  </si>
  <si>
    <t xml:space="preserve">AA8693XE</t>
  </si>
  <si>
    <t xml:space="preserve">Панасенко Роман Євгенійович</t>
  </si>
  <si>
    <t xml:space="preserve">00405</t>
  </si>
  <si>
    <t xml:space="preserve">Чернигов</t>
  </si>
  <si>
    <t xml:space="preserve">F451790</t>
  </si>
  <si>
    <t xml:space="preserve">ARMA-0940</t>
  </si>
  <si>
    <t xml:space="preserve">ARLK-0571</t>
  </si>
  <si>
    <t xml:space="preserve">Roman.Panasenko@carlsberg.ua</t>
  </si>
  <si>
    <t xml:space="preserve">AA0245XH</t>
  </si>
  <si>
    <t xml:space="preserve">VW Touareg Ambience 3.0 V6 TDI</t>
  </si>
  <si>
    <t xml:space="preserve">Бабінський Сергій Євгенович</t>
  </si>
  <si>
    <t xml:space="preserve">00216</t>
  </si>
  <si>
    <t xml:space="preserve">Віце-президент з операційної діяльності регіону Центральна та Східна Європа</t>
  </si>
  <si>
    <t xml:space="preserve">Департамент операційної діяльності</t>
  </si>
  <si>
    <t xml:space="preserve">1a</t>
  </si>
  <si>
    <t xml:space="preserve">F451771</t>
  </si>
  <si>
    <t xml:space="preserve">ARMA-1038</t>
  </si>
  <si>
    <t xml:space="preserve">ARLK-0561</t>
  </si>
  <si>
    <t xml:space="preserve">Sergey.Babinskiy@carlsberg.ua</t>
  </si>
  <si>
    <t xml:space="preserve">AA2591XH</t>
  </si>
  <si>
    <t xml:space="preserve">Peugeot 308 Access 92 МКПП</t>
  </si>
  <si>
    <t xml:space="preserve">Черкашин Олександр Германович</t>
  </si>
  <si>
    <t xml:space="preserve">08887</t>
  </si>
  <si>
    <r>
      <rPr>
        <sz val="11"/>
        <color rgb="FFFF0000"/>
        <rFont val="Arial"/>
        <family val="2"/>
        <charset val="204"/>
      </rPr>
      <t xml:space="preserve"> </t>
    </r>
    <r>
      <rPr>
        <sz val="11"/>
        <color rgb="FF000000"/>
        <rFont val="Arial"/>
        <family val="2"/>
        <charset val="204"/>
      </rPr>
      <t xml:space="preserve">Менеджер з безпеки та пропускного режиму</t>
    </r>
  </si>
  <si>
    <t xml:space="preserve">Відділ безпеки та пропускного режиму</t>
  </si>
  <si>
    <t xml:space="preserve">cлужба безопасности</t>
  </si>
  <si>
    <t xml:space="preserve">F451795</t>
  </si>
  <si>
    <t xml:space="preserve">ARMA-1034</t>
  </si>
  <si>
    <t xml:space="preserve">ARLK-0559</t>
  </si>
  <si>
    <t xml:space="preserve">Alexandr.Cherkashin@carlsberg.ua</t>
  </si>
  <si>
    <t xml:space="preserve">AA2589XH</t>
  </si>
  <si>
    <t xml:space="preserve">Тригуб Дмитро Володимирович</t>
  </si>
  <si>
    <t xml:space="preserve">06169</t>
  </si>
  <si>
    <t xml:space="preserve">Менеджер з логістики та дистрибуції</t>
  </si>
  <si>
    <t xml:space="preserve">Логістика та дистрибуція, м.Львів</t>
  </si>
  <si>
    <t xml:space="preserve">логистика</t>
  </si>
  <si>
    <t xml:space="preserve">ARMA-0935</t>
  </si>
  <si>
    <t xml:space="preserve">ARLK-0564</t>
  </si>
  <si>
    <t xml:space="preserve">Dmitriy.Trigub@carlsberg.ua</t>
  </si>
  <si>
    <t xml:space="preserve">AA2581XH</t>
  </si>
  <si>
    <t xml:space="preserve">Покора Ірина Степанівна</t>
  </si>
  <si>
    <t xml:space="preserve">01472</t>
  </si>
  <si>
    <t xml:space="preserve">Менеджер з продажу в ключових мережах</t>
  </si>
  <si>
    <t xml:space="preserve">продажи RKA офис</t>
  </si>
  <si>
    <t xml:space="preserve">F451796</t>
  </si>
  <si>
    <t xml:space="preserve">ARMA-0954</t>
  </si>
  <si>
    <t xml:space="preserve">ARLK-0551</t>
  </si>
  <si>
    <t xml:space="preserve">Iryna.Pokora@carlsberg.ua</t>
  </si>
  <si>
    <t xml:space="preserve">AA2582XH</t>
  </si>
  <si>
    <t xml:space="preserve">05695</t>
  </si>
  <si>
    <t xml:space="preserve">Напрям логістики і дистрибуції</t>
  </si>
  <si>
    <t xml:space="preserve">3b</t>
  </si>
  <si>
    <t xml:space="preserve">"Карлсберг Украина" г. Запорожье</t>
  </si>
  <si>
    <t xml:space="preserve">А 0005/1030</t>
  </si>
  <si>
    <t xml:space="preserve">ARMA-0937</t>
  </si>
  <si>
    <t xml:space="preserve">ARLK-0568</t>
  </si>
  <si>
    <t xml:space="preserve">AA2596XH</t>
  </si>
  <si>
    <t xml:space="preserve">Башеєв Володимир Вікторович</t>
  </si>
  <si>
    <t xml:space="preserve">02048</t>
  </si>
  <si>
    <t xml:space="preserve">Інженер з охорони праці</t>
  </si>
  <si>
    <t xml:space="preserve">Напрям виробництва, м.Запоріжжя</t>
  </si>
  <si>
    <t xml:space="preserve">А 0005/1029</t>
  </si>
  <si>
    <t xml:space="preserve">ARMA-1032</t>
  </si>
  <si>
    <t xml:space="preserve">ARLK-0554</t>
  </si>
  <si>
    <t xml:space="preserve">Vladimir.Basheev@carlsberg.ua</t>
  </si>
  <si>
    <t xml:space="preserve">AA2592XH</t>
  </si>
  <si>
    <t xml:space="preserve">Гавриленко Олексій Миколайович</t>
  </si>
  <si>
    <t xml:space="preserve">01446</t>
  </si>
  <si>
    <t xml:space="preserve">Менеджер з розвитку ключових мереж</t>
  </si>
  <si>
    <t xml:space="preserve">Мережа малих форматів</t>
  </si>
  <si>
    <t xml:space="preserve">F451794</t>
  </si>
  <si>
    <t xml:space="preserve">ARMA-0939</t>
  </si>
  <si>
    <t xml:space="preserve">ARLK-0570</t>
  </si>
  <si>
    <t xml:space="preserve">Oleksii.Havrylenko@carlsberg.ua</t>
  </si>
  <si>
    <t xml:space="preserve">AA3609XH</t>
  </si>
  <si>
    <t xml:space="preserve">Peugeot 308 Active 120 АКПП</t>
  </si>
  <si>
    <t xml:space="preserve">Авер'янов Андрій Сергійович</t>
  </si>
  <si>
    <t xml:space="preserve">09651</t>
  </si>
  <si>
    <t xml:space="preserve">Національний менеджер з планування і клієнтського сервісу</t>
  </si>
  <si>
    <t xml:space="preserve">F451797</t>
  </si>
  <si>
    <t xml:space="preserve">ARMA-0938</t>
  </si>
  <si>
    <t xml:space="preserve">ARLK-0569</t>
  </si>
  <si>
    <t xml:space="preserve">AA3608XH</t>
  </si>
  <si>
    <t xml:space="preserve">Дорошенко Катерина Володимирівна</t>
  </si>
  <si>
    <t xml:space="preserve">00063</t>
  </si>
  <si>
    <t xml:space="preserve">Головний бухгалтер</t>
  </si>
  <si>
    <t xml:space="preserve">Бухгалтерія</t>
  </si>
  <si>
    <t xml:space="preserve">финансы</t>
  </si>
  <si>
    <t xml:space="preserve">А 0005/1031</t>
  </si>
  <si>
    <t xml:space="preserve">ARMA-1035</t>
  </si>
  <si>
    <t xml:space="preserve">ARLK-0553</t>
  </si>
  <si>
    <t xml:space="preserve">Kateryna.Doroshenko@carlsberg.ua</t>
  </si>
  <si>
    <t xml:space="preserve">AA8680XE</t>
  </si>
  <si>
    <t xml:space="preserve">Peugeot Partner Fourgon L1 1.6 HDI</t>
  </si>
  <si>
    <t xml:space="preserve">Ломако Сергій Віталійович</t>
  </si>
  <si>
    <t xml:space="preserve">03939</t>
  </si>
  <si>
    <t xml:space="preserve">Технік кег</t>
  </si>
  <si>
    <t xml:space="preserve">продажи XoReKa</t>
  </si>
  <si>
    <t xml:space="preserve">F451772</t>
  </si>
  <si>
    <t xml:space="preserve">ARMA-0944</t>
  </si>
  <si>
    <t xml:space="preserve">ARLK-0573</t>
  </si>
  <si>
    <t xml:space="preserve">Sergey.Lomako@carlsberg.ua</t>
  </si>
  <si>
    <t xml:space="preserve">AA8689XE</t>
  </si>
  <si>
    <t xml:space="preserve">Парфілов Олег Володимирович</t>
  </si>
  <si>
    <t xml:space="preserve">03976</t>
  </si>
  <si>
    <t xml:space="preserve">Фахівець з технічного обслуговування холодильного обладнання</t>
  </si>
  <si>
    <t xml:space="preserve">F451798</t>
  </si>
  <si>
    <t xml:space="preserve">ARMA-0945</t>
  </si>
  <si>
    <t xml:space="preserve">ARLK-0550</t>
  </si>
  <si>
    <t xml:space="preserve">Oleg.Parphilov@carlsberg.ua</t>
  </si>
  <si>
    <t xml:space="preserve">AA8684XE</t>
  </si>
  <si>
    <t xml:space="preserve">Іванов Олександр Олександрович</t>
  </si>
  <si>
    <t xml:space="preserve">06982</t>
  </si>
  <si>
    <t xml:space="preserve">А 0005/1032</t>
  </si>
  <si>
    <t xml:space="preserve">ARMA-0936</t>
  </si>
  <si>
    <t xml:space="preserve">ARLK-0567</t>
  </si>
  <si>
    <t xml:space="preserve">Alexander.Ivanov@carlsberg.ua</t>
  </si>
  <si>
    <t xml:space="preserve">AA0174XI</t>
  </si>
  <si>
    <t xml:space="preserve">Качура Ірина Леонідівна</t>
  </si>
  <si>
    <t xml:space="preserve">04299</t>
  </si>
  <si>
    <t xml:space="preserve">Віце-президент з маркетингу</t>
  </si>
  <si>
    <t xml:space="preserve">Департамент маркетингу</t>
  </si>
  <si>
    <t xml:space="preserve">маркетинг</t>
  </si>
  <si>
    <t xml:space="preserve">1b</t>
  </si>
  <si>
    <t xml:space="preserve">ARMB-0663</t>
  </si>
  <si>
    <t xml:space="preserve">ARLK-1101</t>
  </si>
  <si>
    <t xml:space="preserve">Iryna.Kachura@carlsberg.ua</t>
  </si>
  <si>
    <t xml:space="preserve">AA0176XI</t>
  </si>
  <si>
    <t xml:space="preserve">Халемський Віктор Йосипович</t>
  </si>
  <si>
    <t xml:space="preserve">00377</t>
  </si>
  <si>
    <t xml:space="preserve">Віце-президент з продажу</t>
  </si>
  <si>
    <t xml:space="preserve">Департамент продаж</t>
  </si>
  <si>
    <t xml:space="preserve">ARMB-0660</t>
  </si>
  <si>
    <t xml:space="preserve">ARLK-1102</t>
  </si>
  <si>
    <t xml:space="preserve">Viktor.Khalemskyi@carlsberg.ua</t>
  </si>
  <si>
    <t xml:space="preserve">AA2285EM</t>
  </si>
  <si>
    <t xml:space="preserve">Скребець Наталія Дмитрівна</t>
  </si>
  <si>
    <t xml:space="preserve">09338</t>
  </si>
  <si>
    <t xml:space="preserve">Директор з бухгалтерського та податкового обліку</t>
  </si>
  <si>
    <t xml:space="preserve">Напрям бухгалтерського та податкового обліку</t>
  </si>
  <si>
    <t xml:space="preserve">ARME-0331</t>
  </si>
  <si>
    <t xml:space="preserve">ARLM-0128</t>
  </si>
  <si>
    <t xml:space="preserve">Natalia.Skrebets@carlsberg.ua</t>
  </si>
  <si>
    <t xml:space="preserve">AA2291EM</t>
  </si>
  <si>
    <t xml:space="preserve">Мішкіна Олена Олегівна</t>
  </si>
  <si>
    <t xml:space="preserve">01321</t>
  </si>
  <si>
    <t xml:space="preserve">Директор по роботі з ключовими клієнтами</t>
  </si>
  <si>
    <t xml:space="preserve">Напрям по роботі з ключовими мережами</t>
  </si>
  <si>
    <t xml:space="preserve">ARME-0327</t>
  </si>
  <si>
    <t xml:space="preserve">ARLM-0099</t>
  </si>
  <si>
    <t xml:space="preserve">Olena.Mishkina@carlsberg.ua</t>
  </si>
  <si>
    <t xml:space="preserve">AA2286EM</t>
  </si>
  <si>
    <t xml:space="preserve">Крутік Вікторія Анатоліївна</t>
  </si>
  <si>
    <t xml:space="preserve">01538</t>
  </si>
  <si>
    <t xml:space="preserve">Директор з маркетингу</t>
  </si>
  <si>
    <t xml:space="preserve">Напрям маркетингу ( В.К.)</t>
  </si>
  <si>
    <t xml:space="preserve">ARMB-0661</t>
  </si>
  <si>
    <t xml:space="preserve">ARLK-1115</t>
  </si>
  <si>
    <t xml:space="preserve">Viktoriia.Krutik@carlsberg.ua</t>
  </si>
  <si>
    <t xml:space="preserve">AA5957EK</t>
  </si>
  <si>
    <t xml:space="preserve">VW Caddy Kombi 2.0TDI DSG</t>
  </si>
  <si>
    <t xml:space="preserve">Савін Ігор Володимирович</t>
  </si>
  <si>
    <t xml:space="preserve">03128</t>
  </si>
  <si>
    <r>
      <rPr>
        <sz val="11"/>
        <color rgb="FFFF0000"/>
        <rFont val="Arial"/>
        <family val="2"/>
        <charset val="204"/>
      </rPr>
      <t xml:space="preserve"> </t>
    </r>
    <r>
      <rPr>
        <sz val="11"/>
        <color rgb="FF000000"/>
        <rFont val="Arial"/>
        <family val="2"/>
        <charset val="204"/>
      </rPr>
      <t xml:space="preserve">Національний менеджер з економічної безпеки</t>
    </r>
  </si>
  <si>
    <t xml:space="preserve">Відділ економічної безпеки</t>
  </si>
  <si>
    <t xml:space="preserve">ARME-0329</t>
  </si>
  <si>
    <t xml:space="preserve">ARLM-0108</t>
  </si>
  <si>
    <t xml:space="preserve">Igor.Savin@carlsberg.ua</t>
  </si>
  <si>
    <t xml:space="preserve">AA6991XK</t>
  </si>
  <si>
    <t xml:space="preserve">Пилипенко Євгеній Анатолійович </t>
  </si>
  <si>
    <t xml:space="preserve">07194</t>
  </si>
  <si>
    <t xml:space="preserve">А 0005/1090</t>
  </si>
  <si>
    <t xml:space="preserve">ARMD-0046</t>
  </si>
  <si>
    <t xml:space="preserve">ARLK-1058</t>
  </si>
  <si>
    <t xml:space="preserve">Evgeniy.Pilipenko@carlsberg.ua</t>
  </si>
  <si>
    <t xml:space="preserve">AA6988XK</t>
  </si>
  <si>
    <t xml:space="preserve">Розе Андрій Валентинович</t>
  </si>
  <si>
    <t xml:space="preserve">02286</t>
  </si>
  <si>
    <t xml:space="preserve">А 0005/1091</t>
  </si>
  <si>
    <t xml:space="preserve">ARMD-0052</t>
  </si>
  <si>
    <t xml:space="preserve">ARLK-0759</t>
  </si>
  <si>
    <t xml:space="preserve">Andriy.Roze@carlsberg.ua</t>
  </si>
  <si>
    <t xml:space="preserve">AA6992XK</t>
  </si>
  <si>
    <t xml:space="preserve">Рудніцький Максим Валентинович</t>
  </si>
  <si>
    <t xml:space="preserve">00622</t>
  </si>
  <si>
    <t xml:space="preserve">ARMD-0047</t>
  </si>
  <si>
    <t xml:space="preserve">ARLK-1035</t>
  </si>
  <si>
    <t xml:space="preserve">Maksym.Rudnitskyi@carlsberg.ua</t>
  </si>
  <si>
    <t xml:space="preserve">AA6984XK</t>
  </si>
  <si>
    <t xml:space="preserve">Андрійчук Віталій Іванович</t>
  </si>
  <si>
    <t xml:space="preserve">08426</t>
  </si>
  <si>
    <t xml:space="preserve">продажи XoPeKa</t>
  </si>
  <si>
    <t xml:space="preserve">А 0005/1092</t>
  </si>
  <si>
    <t xml:space="preserve">ARMD-0062</t>
  </si>
  <si>
    <t xml:space="preserve">ARLK-0760</t>
  </si>
  <si>
    <t xml:space="preserve">Vitaliy.Andriychuk@carlsberg.ua</t>
  </si>
  <si>
    <t xml:space="preserve">AA6987XK</t>
  </si>
  <si>
    <t xml:space="preserve">Крушинський Володимир Анатолійович</t>
  </si>
  <si>
    <t xml:space="preserve">03920</t>
  </si>
  <si>
    <t xml:space="preserve">ARMD-0063</t>
  </si>
  <si>
    <t xml:space="preserve">ARLK-0762</t>
  </si>
  <si>
    <t xml:space="preserve">Vladimir.Krushinskiy@carlsberg.ua</t>
  </si>
  <si>
    <t xml:space="preserve">AA6978XK</t>
  </si>
  <si>
    <t xml:space="preserve">Солонець Сергій Васильович</t>
  </si>
  <si>
    <t xml:space="preserve">04254</t>
  </si>
  <si>
    <t xml:space="preserve">ARMD-0057</t>
  </si>
  <si>
    <t xml:space="preserve">ARLK-0776</t>
  </si>
  <si>
    <t xml:space="preserve">Sergey.Solonets@carlsberg.ua</t>
  </si>
  <si>
    <t xml:space="preserve">AA6983XK</t>
  </si>
  <si>
    <t xml:space="preserve">Сазанович Андрій Володимирович</t>
  </si>
  <si>
    <t xml:space="preserve">06704</t>
  </si>
  <si>
    <t xml:space="preserve">ARMD-0064</t>
  </si>
  <si>
    <t xml:space="preserve">ARLK-0761</t>
  </si>
  <si>
    <t xml:space="preserve">Andrey.Sazanovich@carlsberg.ua</t>
  </si>
  <si>
    <t xml:space="preserve">AA6986XK</t>
  </si>
  <si>
    <t xml:space="preserve">Дмитренко Андрій Михайлович</t>
  </si>
  <si>
    <t xml:space="preserve">04264</t>
  </si>
  <si>
    <t xml:space="preserve">ARMD-0058</t>
  </si>
  <si>
    <t xml:space="preserve">ARLK-0781</t>
  </si>
  <si>
    <t xml:space="preserve">Andrey.Dmitrenko@carlsberg.ua</t>
  </si>
  <si>
    <t xml:space="preserve">AA6985XK</t>
  </si>
  <si>
    <t xml:space="preserve">Алексейчук Ігор Анатолійович</t>
  </si>
  <si>
    <t xml:space="preserve">00791</t>
  </si>
  <si>
    <t xml:space="preserve">Центральный</t>
  </si>
  <si>
    <t xml:space="preserve">ARMD-0065</t>
  </si>
  <si>
    <t xml:space="preserve">ARLK-0763</t>
  </si>
  <si>
    <t xml:space="preserve">Ihor.Alekseichuk@carlsberg.ua</t>
  </si>
  <si>
    <t xml:space="preserve">AA6980XK</t>
  </si>
  <si>
    <t xml:space="preserve">Шевчук Сергій Олексійович</t>
  </si>
  <si>
    <t xml:space="preserve">09131</t>
  </si>
  <si>
    <t xml:space="preserve">ARMD-0061</t>
  </si>
  <si>
    <t xml:space="preserve">ARLK-0753</t>
  </si>
  <si>
    <t xml:space="preserve">Sergiy.Shevchuk@carlsberg.ua</t>
  </si>
  <si>
    <t xml:space="preserve">AA6974XK</t>
  </si>
  <si>
    <t xml:space="preserve">Бережецький Юрій Сергійович</t>
  </si>
  <si>
    <t xml:space="preserve">08813</t>
  </si>
  <si>
    <t xml:space="preserve">Черкассы</t>
  </si>
  <si>
    <t xml:space="preserve">ARMD-0060</t>
  </si>
  <si>
    <t xml:space="preserve">ARLK-0764</t>
  </si>
  <si>
    <t xml:space="preserve">Yuriy.Beregetskiy@carlsberg.ua</t>
  </si>
  <si>
    <t xml:space="preserve">AA4473EM</t>
  </si>
  <si>
    <t xml:space="preserve">Малюк Руслан Віталійович</t>
  </si>
  <si>
    <t xml:space="preserve">07205</t>
  </si>
  <si>
    <t xml:space="preserve">ARMD-0053</t>
  </si>
  <si>
    <t xml:space="preserve">ARLK-0782</t>
  </si>
  <si>
    <t xml:space="preserve">Ruslan.Maljuk@carlsberg.ua</t>
  </si>
  <si>
    <t xml:space="preserve">AA6938XK</t>
  </si>
  <si>
    <t xml:space="preserve">Peugeot Rifter Access L1H1 1.6 HDi 90 МКПП </t>
  </si>
  <si>
    <t xml:space="preserve">Гетун Сергій Леонович</t>
  </si>
  <si>
    <t xml:space="preserve">00809</t>
  </si>
  <si>
    <t xml:space="preserve">А 0005/1089</t>
  </si>
  <si>
    <t xml:space="preserve">ARMD-0067</t>
  </si>
  <si>
    <t xml:space="preserve">ARLK-0769</t>
  </si>
  <si>
    <t xml:space="preserve">Sergey.Getun@carlsberg.ua</t>
  </si>
  <si>
    <t xml:space="preserve">AA6943XK</t>
  </si>
  <si>
    <t xml:space="preserve">Романюк Андрій Олександрович</t>
  </si>
  <si>
    <t xml:space="preserve">00806</t>
  </si>
  <si>
    <t xml:space="preserve">ARMA-0987</t>
  </si>
  <si>
    <t xml:space="preserve">ARLK-1097</t>
  </si>
  <si>
    <t xml:space="preserve">Andrii.Romaniuk@carlsberg.ua</t>
  </si>
  <si>
    <t xml:space="preserve">AA6950XK</t>
  </si>
  <si>
    <t xml:space="preserve">ARMD-0068</t>
  </si>
  <si>
    <t xml:space="preserve">ARLK-0768</t>
  </si>
  <si>
    <t xml:space="preserve">AA6948XK</t>
  </si>
  <si>
    <t xml:space="preserve">Тітов Олег Сергійович</t>
  </si>
  <si>
    <t xml:space="preserve">03287</t>
  </si>
  <si>
    <t xml:space="preserve">Провідний фахівець з адміністративно-господарської роботи</t>
  </si>
  <si>
    <t xml:space="preserve">ARMD-0066</t>
  </si>
  <si>
    <t xml:space="preserve">ARLK-0770</t>
  </si>
  <si>
    <t xml:space="preserve">Oleg.Titov@carlsberg.ua</t>
  </si>
  <si>
    <t xml:space="preserve">AA6957XK</t>
  </si>
  <si>
    <t xml:space="preserve">Довгоноженко Василь Васильйович</t>
  </si>
  <si>
    <t xml:space="preserve">06676</t>
  </si>
  <si>
    <t xml:space="preserve">офис</t>
  </si>
  <si>
    <t xml:space="preserve">А 0005/1088</t>
  </si>
  <si>
    <t xml:space="preserve">ARMD-0069</t>
  </si>
  <si>
    <t xml:space="preserve">ARLK-0767</t>
  </si>
  <si>
    <t xml:space="preserve">Vasiliy.Dovgonozhenko@carlsberg.ua</t>
  </si>
  <si>
    <t xml:space="preserve">AA7228XI</t>
  </si>
  <si>
    <t xml:space="preserve">Сидоренко Денис Анатолійович</t>
  </si>
  <si>
    <t xml:space="preserve">09606</t>
  </si>
  <si>
    <t xml:space="preserve">Провідний фахівець з експорту</t>
  </si>
  <si>
    <t xml:space="preserve">А 0005/1098</t>
  </si>
  <si>
    <t xml:space="preserve">ARMB-0677</t>
  </si>
  <si>
    <t xml:space="preserve">ARLK-0209</t>
  </si>
  <si>
    <t xml:space="preserve">Denis.Sidorenko@carlsberg.ua</t>
  </si>
  <si>
    <t xml:space="preserve">AA7221XI</t>
  </si>
  <si>
    <t xml:space="preserve">Павлик Олег Васильович</t>
  </si>
  <si>
    <t xml:space="preserve">07502</t>
  </si>
  <si>
    <t xml:space="preserve">Менеджер з розвитку і підтримці ФІТ</t>
  </si>
  <si>
    <t xml:space="preserve">Напрям розвитку продажів</t>
  </si>
  <si>
    <t xml:space="preserve">ARMB-0683</t>
  </si>
  <si>
    <t xml:space="preserve">ARLK-0211</t>
  </si>
  <si>
    <t xml:space="preserve">Oleg.Pavlyk@carlsberg.ua</t>
  </si>
  <si>
    <t xml:space="preserve">AA7226XI</t>
  </si>
  <si>
    <t xml:space="preserve">Часовський Сергій Анатолійович</t>
  </si>
  <si>
    <t xml:space="preserve">02229</t>
  </si>
  <si>
    <t xml:space="preserve">А 0005/1097</t>
  </si>
  <si>
    <t xml:space="preserve">ARMB-0676</t>
  </si>
  <si>
    <t xml:space="preserve">ARLK-0220</t>
  </si>
  <si>
    <t xml:space="preserve">Sergey.Chasovskiy@carlsberg.ua</t>
  </si>
  <si>
    <t xml:space="preserve">AA7217XI</t>
  </si>
  <si>
    <t xml:space="preserve">Ткаченко Євген Анатолійович</t>
  </si>
  <si>
    <t xml:space="preserve">09635</t>
  </si>
  <si>
    <t xml:space="preserve">А 0005/1096</t>
  </si>
  <si>
    <t xml:space="preserve">ARMB-0681</t>
  </si>
  <si>
    <t xml:space="preserve">ARLK-0217</t>
  </si>
  <si>
    <t xml:space="preserve">Evgeniy.Tkachenko@carlsberg.ua</t>
  </si>
  <si>
    <t xml:space="preserve">AA0987TX</t>
  </si>
  <si>
    <t xml:space="preserve">Третяк Юрій Миколайович</t>
  </si>
  <si>
    <t xml:space="preserve">09068</t>
  </si>
  <si>
    <t xml:space="preserve">Винница</t>
  </si>
  <si>
    <t xml:space="preserve">F451833</t>
  </si>
  <si>
    <t xml:space="preserve">ARMB-0637</t>
  </si>
  <si>
    <t xml:space="preserve">ARLK-1121</t>
  </si>
  <si>
    <t xml:space="preserve">Yuriy.Tretyak@carlsberg.ua</t>
  </si>
  <si>
    <t xml:space="preserve">AA1062IH</t>
  </si>
  <si>
    <t xml:space="preserve">Ратинський Вадим Віталійович</t>
  </si>
  <si>
    <t xml:space="preserve">04167</t>
  </si>
  <si>
    <t xml:space="preserve">Тернопіль</t>
  </si>
  <si>
    <t xml:space="preserve">L045450</t>
  </si>
  <si>
    <t xml:space="preserve">ARMB-0641</t>
  </si>
  <si>
    <t xml:space="preserve">ARLK-1122</t>
  </si>
  <si>
    <t xml:space="preserve">Vadym.Ratynskiy@carlsberg.ua</t>
  </si>
  <si>
    <t xml:space="preserve">AA2219TT</t>
  </si>
  <si>
    <t xml:space="preserve">Карманов Станіслав Миколайович</t>
  </si>
  <si>
    <t xml:space="preserve">02492</t>
  </si>
  <si>
    <t xml:space="preserve">А 0005/1077</t>
  </si>
  <si>
    <t xml:space="preserve">ARMB-0654</t>
  </si>
  <si>
    <t xml:space="preserve">ARLK-1113</t>
  </si>
  <si>
    <t xml:space="preserve">Stanislav.Karmanov@carlsberg.ua</t>
  </si>
  <si>
    <t xml:space="preserve">AA3556OA</t>
  </si>
  <si>
    <t xml:space="preserve">Кириченко Юрій Анатолійович</t>
  </si>
  <si>
    <t xml:space="preserve">02521</t>
  </si>
  <si>
    <t xml:space="preserve">А 0005/1069</t>
  </si>
  <si>
    <t xml:space="preserve">ARMB-0650</t>
  </si>
  <si>
    <t xml:space="preserve">ARLK-1128</t>
  </si>
  <si>
    <t xml:space="preserve">Yuriy.Kirichenko@carlsberg.ua</t>
  </si>
  <si>
    <t xml:space="preserve">AA4230PB</t>
  </si>
  <si>
    <t xml:space="preserve">Верхотоуров Віталій Олександрович</t>
  </si>
  <si>
    <t xml:space="preserve">10140</t>
  </si>
  <si>
    <t xml:space="preserve">А 0005/1068</t>
  </si>
  <si>
    <t xml:space="preserve">ARMB-0651</t>
  </si>
  <si>
    <t xml:space="preserve">ARLK-1129</t>
  </si>
  <si>
    <t xml:space="preserve">Vitalii.Verkhoturov@carlsberg.ua</t>
  </si>
  <si>
    <t xml:space="preserve">AA4420HH</t>
  </si>
  <si>
    <t xml:space="preserve">Корнійчук Юлія Ярославівна</t>
  </si>
  <si>
    <t xml:space="preserve">04332</t>
  </si>
  <si>
    <t xml:space="preserve">L045449</t>
  </si>
  <si>
    <t xml:space="preserve">ARMB-0647</t>
  </si>
  <si>
    <t xml:space="preserve">ARLK-1108</t>
  </si>
  <si>
    <t xml:space="preserve">Yuliya.Korniychuk@carlsberg.ua</t>
  </si>
  <si>
    <t xml:space="preserve">AA4687HO</t>
  </si>
  <si>
    <t xml:space="preserve">Матвійчук Олександр Юрійович</t>
  </si>
  <si>
    <t xml:space="preserve">02491</t>
  </si>
  <si>
    <t xml:space="preserve">А 0005/1075</t>
  </si>
  <si>
    <t xml:space="preserve">ARMB-0645</t>
  </si>
  <si>
    <t xml:space="preserve">ARLK-1142</t>
  </si>
  <si>
    <t xml:space="preserve">Alexandr.Matveychuk@carlsberg.ua</t>
  </si>
  <si>
    <t xml:space="preserve">AA4899CX</t>
  </si>
  <si>
    <t xml:space="preserve">Глушку Ігор Костянтинович</t>
  </si>
  <si>
    <t xml:space="preserve">04168</t>
  </si>
  <si>
    <t xml:space="preserve">Чернівці</t>
  </si>
  <si>
    <t xml:space="preserve">L045448</t>
  </si>
  <si>
    <t xml:space="preserve">ARMB-0636</t>
  </si>
  <si>
    <t xml:space="preserve">ARLK-1120</t>
  </si>
  <si>
    <t xml:space="preserve">Igor.Glushku@carlsberg.ua</t>
  </si>
  <si>
    <t xml:space="preserve">AA5156XI</t>
  </si>
  <si>
    <t xml:space="preserve">Єгоров Олексій Геннадійович</t>
  </si>
  <si>
    <t xml:space="preserve">02522</t>
  </si>
  <si>
    <t xml:space="preserve">А 0005/1056</t>
  </si>
  <si>
    <t xml:space="preserve">ARMB-0644</t>
  </si>
  <si>
    <t xml:space="preserve">ARLK-1119</t>
  </si>
  <si>
    <t xml:space="preserve">Alexey.Egorov@carlsberg.ua</t>
  </si>
  <si>
    <t xml:space="preserve">AA5159XI</t>
  </si>
  <si>
    <t xml:space="preserve">Сугоняко Віталій Володимирович</t>
  </si>
  <si>
    <t xml:space="preserve">03739</t>
  </si>
  <si>
    <t xml:space="preserve">А 0005/1058</t>
  </si>
  <si>
    <t xml:space="preserve">ARMВ-0670</t>
  </si>
  <si>
    <t xml:space="preserve">ARLК-0202</t>
  </si>
  <si>
    <t xml:space="preserve">Vitaliy.Sugonyako@carlsberg.ua</t>
  </si>
  <si>
    <t xml:space="preserve">AA5165XI</t>
  </si>
  <si>
    <t xml:space="preserve">Полосухіна Катерина Сергіївна</t>
  </si>
  <si>
    <t xml:space="preserve">02372</t>
  </si>
  <si>
    <t xml:space="preserve">Полтава</t>
  </si>
  <si>
    <t xml:space="preserve">А 0005/1060</t>
  </si>
  <si>
    <t xml:space="preserve">ARMВ-0684</t>
  </si>
  <si>
    <t xml:space="preserve">ARLК-0216</t>
  </si>
  <si>
    <t xml:space="preserve">Kateryna.Polosukhina@carlsberg.ua</t>
  </si>
  <si>
    <t xml:space="preserve">AA5166XI</t>
  </si>
  <si>
    <t xml:space="preserve">Скурчанський Дмитро Васильович</t>
  </si>
  <si>
    <t xml:space="preserve">02025</t>
  </si>
  <si>
    <t xml:space="preserve">А 0005/1055</t>
  </si>
  <si>
    <t xml:space="preserve">ARMВ-0639</t>
  </si>
  <si>
    <t xml:space="preserve">ARLК-1127</t>
  </si>
  <si>
    <t xml:space="preserve">Dmitriy.Skurchanskiy@carlsberg.ua</t>
  </si>
  <si>
    <t xml:space="preserve">AA6399XI</t>
  </si>
  <si>
    <t xml:space="preserve">Мартинович Іван Васильович</t>
  </si>
  <si>
    <t xml:space="preserve">09352</t>
  </si>
  <si>
    <t xml:space="preserve">А 0005/1072</t>
  </si>
  <si>
    <t xml:space="preserve">ARMB-0653</t>
  </si>
  <si>
    <t xml:space="preserve">ARLK-1107</t>
  </si>
  <si>
    <t xml:space="preserve">Ivan.Martinovich@carlsberg.ua</t>
  </si>
  <si>
    <t xml:space="preserve">AA6661TB</t>
  </si>
  <si>
    <t xml:space="preserve">Прокопів Тарас Ігорович</t>
  </si>
  <si>
    <t xml:space="preserve">09087</t>
  </si>
  <si>
    <t xml:space="preserve">L045447</t>
  </si>
  <si>
    <t xml:space="preserve">ARMB-0652</t>
  </si>
  <si>
    <t xml:space="preserve">ARLK-1124</t>
  </si>
  <si>
    <t xml:space="preserve">Taras.Prokopiv@carlsberg.ua</t>
  </si>
  <si>
    <t xml:space="preserve">AA6748XI</t>
  </si>
  <si>
    <t xml:space="preserve">Герович Дмитро Володимирович</t>
  </si>
  <si>
    <t xml:space="preserve">02325</t>
  </si>
  <si>
    <t xml:space="preserve">А 0005/1071</t>
  </si>
  <si>
    <t xml:space="preserve">ARMB-0640</t>
  </si>
  <si>
    <t xml:space="preserve">ARLK-1126</t>
  </si>
  <si>
    <t xml:space="preserve">Dmitriy.Gerovich@carlsberg.ua</t>
  </si>
  <si>
    <t xml:space="preserve">AA6829XI</t>
  </si>
  <si>
    <t xml:space="preserve">02028</t>
  </si>
  <si>
    <t xml:space="preserve">L045445</t>
  </si>
  <si>
    <t xml:space="preserve">ARMВ-0679</t>
  </si>
  <si>
    <t xml:space="preserve">ARLК-0207</t>
  </si>
  <si>
    <t xml:space="preserve">Roman.Branovskiy@carlsberg.ua</t>
  </si>
  <si>
    <t xml:space="preserve">AA6830XI</t>
  </si>
  <si>
    <t xml:space="preserve">Житник Олег Миколайович</t>
  </si>
  <si>
    <t xml:space="preserve">02516</t>
  </si>
  <si>
    <t xml:space="preserve">Путивль</t>
  </si>
  <si>
    <t xml:space="preserve">А 0005/1064</t>
  </si>
  <si>
    <t xml:space="preserve">ARMВ-0678</t>
  </si>
  <si>
    <t xml:space="preserve">ARLК-0198</t>
  </si>
  <si>
    <t xml:space="preserve">Oleg.Zhytnyk@carlsberg.ua</t>
  </si>
  <si>
    <t xml:space="preserve">AA6831XI</t>
  </si>
  <si>
    <t xml:space="preserve">Омельянський Віталій Віталійович</t>
  </si>
  <si>
    <t xml:space="preserve">02517</t>
  </si>
  <si>
    <t xml:space="preserve">А 0005/1063</t>
  </si>
  <si>
    <t xml:space="preserve">ARMВ-0686</t>
  </si>
  <si>
    <t xml:space="preserve">ARLК-0190</t>
  </si>
  <si>
    <t xml:space="preserve">Vitaliy.Omelyanskiy@carlsberg.ua</t>
  </si>
  <si>
    <t xml:space="preserve">AA6832XI</t>
  </si>
  <si>
    <t xml:space="preserve">Вінник Антон Володимирович</t>
  </si>
  <si>
    <t xml:space="preserve">01528</t>
  </si>
  <si>
    <t xml:space="preserve">А 0005/1062</t>
  </si>
  <si>
    <t xml:space="preserve">ARMB-0682</t>
  </si>
  <si>
    <t xml:space="preserve">ARLK-0210</t>
  </si>
  <si>
    <t xml:space="preserve">Anton.Vinnyk@carlsberg.ua</t>
  </si>
  <si>
    <t xml:space="preserve">AA7627MK</t>
  </si>
  <si>
    <t xml:space="preserve">Завадовський Андрій Михайлович</t>
  </si>
  <si>
    <t xml:space="preserve">04146</t>
  </si>
  <si>
    <t xml:space="preserve">ARMB-0666</t>
  </si>
  <si>
    <t xml:space="preserve">ARLK-1117</t>
  </si>
  <si>
    <t xml:space="preserve">Andriy.Zavadovskyy@carlsberg.ua</t>
  </si>
  <si>
    <t xml:space="preserve">AA7732EO</t>
  </si>
  <si>
    <t xml:space="preserve">Чорноіваненко Сергей Васильович</t>
  </si>
  <si>
    <t xml:space="preserve">01456</t>
  </si>
  <si>
    <t xml:space="preserve">А 0005/1070</t>
  </si>
  <si>
    <t xml:space="preserve">ARMB-0655</t>
  </si>
  <si>
    <t xml:space="preserve">ARLK-1109</t>
  </si>
  <si>
    <t xml:space="preserve">Serhii.Chornoivanenko@carlsberg.ua</t>
  </si>
  <si>
    <t xml:space="preserve">AA7852EM</t>
  </si>
  <si>
    <t xml:space="preserve">Гирман Ірина Вікторівна</t>
  </si>
  <si>
    <t xml:space="preserve">09924</t>
  </si>
  <si>
    <t xml:space="preserve">Сумы</t>
  </si>
  <si>
    <t xml:space="preserve">Відділ торгового маркетингу Північно-Східного регіону</t>
  </si>
  <si>
    <t xml:space="preserve">А 0005/1067</t>
  </si>
  <si>
    <t xml:space="preserve">ARMB-0646</t>
  </si>
  <si>
    <t xml:space="preserve">ARLK-1130</t>
  </si>
  <si>
    <t xml:space="preserve">Irina.Girman@carlsberg.ua</t>
  </si>
  <si>
    <t xml:space="preserve">AA7862EM</t>
  </si>
  <si>
    <t xml:space="preserve">Манжос Андрій Олексійович</t>
  </si>
  <si>
    <t xml:space="preserve">01503</t>
  </si>
  <si>
    <t xml:space="preserve">А 0005/1066</t>
  </si>
  <si>
    <t xml:space="preserve">ARMB-0648</t>
  </si>
  <si>
    <t xml:space="preserve">ARLK-1123</t>
  </si>
  <si>
    <t xml:space="preserve">Andrii.Manzhos@carlsberg.ua</t>
  </si>
  <si>
    <t xml:space="preserve">AA8356TH</t>
  </si>
  <si>
    <t xml:space="preserve">Казаков Денис Олександрович</t>
  </si>
  <si>
    <t xml:space="preserve">02031</t>
  </si>
  <si>
    <t xml:space="preserve">L045446</t>
  </si>
  <si>
    <t xml:space="preserve">ARMB-0649</t>
  </si>
  <si>
    <t xml:space="preserve">ARLK-1114</t>
  </si>
  <si>
    <t xml:space="preserve">Denis.Kazakov@carlsberg.ua</t>
  </si>
  <si>
    <t xml:space="preserve">AA8660XE</t>
  </si>
  <si>
    <t xml:space="preserve">Паращук Ганна Геннадіївна</t>
  </si>
  <si>
    <t xml:space="preserve">01532</t>
  </si>
  <si>
    <t xml:space="preserve">Котовск</t>
  </si>
  <si>
    <t xml:space="preserve">А 0005/1065</t>
  </si>
  <si>
    <t xml:space="preserve">ARMB-0643</t>
  </si>
  <si>
    <t xml:space="preserve">ARLK-1136</t>
  </si>
  <si>
    <t xml:space="preserve">Anna.Paraschuk@carlsberg.ua</t>
  </si>
  <si>
    <t xml:space="preserve">AA8669XB</t>
  </si>
  <si>
    <t xml:space="preserve">Кальченко Антон Анатолійович</t>
  </si>
  <si>
    <t xml:space="preserve">02388</t>
  </si>
  <si>
    <t xml:space="preserve">А 0005/1076</t>
  </si>
  <si>
    <t xml:space="preserve">ARMB-0638</t>
  </si>
  <si>
    <t xml:space="preserve">ARLK-1141</t>
  </si>
  <si>
    <t xml:space="preserve">Anton.Kalchenko@carlsberg.ua</t>
  </si>
  <si>
    <t xml:space="preserve">AA9745TM</t>
  </si>
  <si>
    <t xml:space="preserve">Бойко Сергій Сергійович</t>
  </si>
  <si>
    <t xml:space="preserve">00648</t>
  </si>
  <si>
    <t xml:space="preserve">Белгород-Днестровский</t>
  </si>
  <si>
    <t xml:space="preserve">А 0005/1074</t>
  </si>
  <si>
    <t xml:space="preserve">ARMB-0658</t>
  </si>
  <si>
    <t xml:space="preserve">ARLK-1111</t>
  </si>
  <si>
    <t xml:space="preserve">Sergey.Boyko@carlsberg.ua</t>
  </si>
  <si>
    <t xml:space="preserve">AA2768XK</t>
  </si>
  <si>
    <t xml:space="preserve">Орищак Валентина Володимирівна</t>
  </si>
  <si>
    <t xml:space="preserve">01469</t>
  </si>
  <si>
    <t xml:space="preserve">А 0005/1079</t>
  </si>
  <si>
    <t xml:space="preserve">ARMB-0672</t>
  </si>
  <si>
    <t xml:space="preserve">ARLK-0213</t>
  </si>
  <si>
    <t xml:space="preserve">Valentyna.Oryshchak@carlsberg.ua</t>
  </si>
  <si>
    <t xml:space="preserve">AA2783XK</t>
  </si>
  <si>
    <t xml:space="preserve">Ламах Олексій Іванович</t>
  </si>
  <si>
    <t xml:space="preserve">02324</t>
  </si>
  <si>
    <t xml:space="preserve">А 0005/1078</t>
  </si>
  <si>
    <t xml:space="preserve">ARMD-0049</t>
  </si>
  <si>
    <t xml:space="preserve">ARLK1044</t>
  </si>
  <si>
    <t xml:space="preserve">Alexey.Lamakh@carlsberg.ua</t>
  </si>
  <si>
    <t xml:space="preserve">AA2784XK</t>
  </si>
  <si>
    <t xml:space="preserve">Кузук Дмитро Дмитрович</t>
  </si>
  <si>
    <t xml:space="preserve">02508</t>
  </si>
  <si>
    <t xml:space="preserve">Арциз</t>
  </si>
  <si>
    <t xml:space="preserve">А 0005/1080</t>
  </si>
  <si>
    <t xml:space="preserve">ARMD-0045</t>
  </si>
  <si>
    <t xml:space="preserve">ARLK-1055</t>
  </si>
  <si>
    <t xml:space="preserve">Dmitriy.Kuzuk@carlsberg.ua</t>
  </si>
  <si>
    <t xml:space="preserve">AA2785XK</t>
  </si>
  <si>
    <t xml:space="preserve">Янчук Андрій Володимирович</t>
  </si>
  <si>
    <t xml:space="preserve">08606</t>
  </si>
  <si>
    <t xml:space="preserve">Кропивницький</t>
  </si>
  <si>
    <t xml:space="preserve">А 0005/1081</t>
  </si>
  <si>
    <t xml:space="preserve">ARMD-0043</t>
  </si>
  <si>
    <t xml:space="preserve">ARLK-1054</t>
  </si>
  <si>
    <t xml:space="preserve">Andrey.Yanchuk@carlsberg.ua</t>
  </si>
  <si>
    <t xml:space="preserve">AA2796XK</t>
  </si>
  <si>
    <t xml:space="preserve">Хмелевський Євгеній Євгенович</t>
  </si>
  <si>
    <t xml:space="preserve">01462</t>
  </si>
  <si>
    <t xml:space="preserve">ARMB-0673</t>
  </si>
  <si>
    <t xml:space="preserve">ARLK-0214</t>
  </si>
  <si>
    <t xml:space="preserve">Yevhenii.Khmelevskyi@carlsberg.ua</t>
  </si>
  <si>
    <t xml:space="preserve">AA6401XK</t>
  </si>
  <si>
    <t xml:space="preserve">Тимчук Юлія Андріївна</t>
  </si>
  <si>
    <t xml:space="preserve">10056</t>
  </si>
  <si>
    <t xml:space="preserve">Провідний фахівець з розвитку ключових мереж</t>
  </si>
  <si>
    <t xml:space="preserve">ARMD-0070</t>
  </si>
  <si>
    <t xml:space="preserve">ARLK-1053</t>
  </si>
  <si>
    <t xml:space="preserve">Yulia.Tymchuk@carlsberg.ua</t>
  </si>
  <si>
    <t xml:space="preserve">AA6402XK</t>
  </si>
  <si>
    <t xml:space="preserve">Кучерук Анна Сергіївна</t>
  </si>
  <si>
    <t xml:space="preserve">03271</t>
  </si>
  <si>
    <t xml:space="preserve">Відділ торгового маркетингу каналу дистрибуторів</t>
  </si>
  <si>
    <t xml:space="preserve">А 0005/1083</t>
  </si>
  <si>
    <t xml:space="preserve">ARMD-0041</t>
  </si>
  <si>
    <t xml:space="preserve">ARLK-1042</t>
  </si>
  <si>
    <t xml:space="preserve">Kucheruk, Anna &lt;Anna.Kucheruk@carlsberg.ua&gt;</t>
  </si>
  <si>
    <t xml:space="preserve">AA6406XK</t>
  </si>
  <si>
    <t xml:space="preserve">Шальверчук Ірина Віталіївна</t>
  </si>
  <si>
    <t xml:space="preserve">04142</t>
  </si>
  <si>
    <t xml:space="preserve">Хмельницкий</t>
  </si>
  <si>
    <t xml:space="preserve">ARMD-0031</t>
  </si>
  <si>
    <t xml:space="preserve">ARLK-1037</t>
  </si>
  <si>
    <t xml:space="preserve">Irina.Shalverchuk@carlsberg.ua</t>
  </si>
  <si>
    <t xml:space="preserve">AA6407XK</t>
  </si>
  <si>
    <t xml:space="preserve">Казанцев Олександр Юрійович</t>
  </si>
  <si>
    <t xml:space="preserve">01342</t>
  </si>
  <si>
    <t xml:space="preserve">А 0005/1082</t>
  </si>
  <si>
    <t xml:space="preserve">ARMB-0668</t>
  </si>
  <si>
    <t xml:space="preserve">ARLK-0212</t>
  </si>
  <si>
    <t xml:space="preserve">Olexandr.Kazantsev@carlsberg.ua</t>
  </si>
  <si>
    <t xml:space="preserve">AA6408XK</t>
  </si>
  <si>
    <t xml:space="preserve">Поліщук Борис Анатолійович</t>
  </si>
  <si>
    <t xml:space="preserve">01475</t>
  </si>
  <si>
    <t xml:space="preserve">Луцьк</t>
  </si>
  <si>
    <t xml:space="preserve">ARMD-0042</t>
  </si>
  <si>
    <t xml:space="preserve">ARLK-1051</t>
  </si>
  <si>
    <t xml:space="preserve">Borys.Polishchuk@carlsberg.ua</t>
  </si>
  <si>
    <t xml:space="preserve">AA6409XK</t>
  </si>
  <si>
    <t xml:space="preserve">Гумен Андрій Зіновійович</t>
  </si>
  <si>
    <t xml:space="preserve">02115</t>
  </si>
  <si>
    <t xml:space="preserve">ARMD-0051</t>
  </si>
  <si>
    <t xml:space="preserve">ARLK-1036</t>
  </si>
  <si>
    <t xml:space="preserve">Andriy.Gumen@carlsberg.ua</t>
  </si>
  <si>
    <t xml:space="preserve">AA6410XK</t>
  </si>
  <si>
    <t xml:space="preserve">Лашко Вячеслав Богданович</t>
  </si>
  <si>
    <t xml:space="preserve">05317</t>
  </si>
  <si>
    <t xml:space="preserve">ARMB-0667</t>
  </si>
  <si>
    <t xml:space="preserve">ARLK-0228</t>
  </si>
  <si>
    <t xml:space="preserve">Viacheslav.Lashko@carlsberg.ua</t>
  </si>
  <si>
    <t xml:space="preserve">AA6411XK</t>
  </si>
  <si>
    <t xml:space="preserve">Селезньов Денис Алефтинович</t>
  </si>
  <si>
    <t xml:space="preserve">02519</t>
  </si>
  <si>
    <t xml:space="preserve">Павлоград</t>
  </si>
  <si>
    <t xml:space="preserve">А 0005/1084</t>
  </si>
  <si>
    <t xml:space="preserve">ARMD-0048</t>
  </si>
  <si>
    <t xml:space="preserve">ARLK-1043</t>
  </si>
  <si>
    <t xml:space="preserve">Denis.Seleznev@carlsberg.ua</t>
  </si>
  <si>
    <t xml:space="preserve">AA6413XK</t>
  </si>
  <si>
    <t xml:space="preserve">Шляховий Артем Юрійович</t>
  </si>
  <si>
    <t xml:space="preserve">02221</t>
  </si>
  <si>
    <t xml:space="preserve">А 0005/1085</t>
  </si>
  <si>
    <t xml:space="preserve">ARMB-0685</t>
  </si>
  <si>
    <t xml:space="preserve">ARLK-0201</t>
  </si>
  <si>
    <t xml:space="preserve">Artem.Shlyahovoy@carlsberg.ua</t>
  </si>
  <si>
    <t xml:space="preserve">AA6414XK</t>
  </si>
  <si>
    <t xml:space="preserve">Даниленко Сергій Миколайович</t>
  </si>
  <si>
    <t xml:space="preserve">00630</t>
  </si>
  <si>
    <t xml:space="preserve">Фахівець із зовнішньоекономічної діяльності</t>
  </si>
  <si>
    <t xml:space="preserve">Логістика та дистрибуція, м Київ</t>
  </si>
  <si>
    <t xml:space="preserve">ARMB-0671</t>
  </si>
  <si>
    <t xml:space="preserve">ARLK-0221</t>
  </si>
  <si>
    <t xml:space="preserve">Serhii.Danylenko@carlsberg.ua</t>
  </si>
  <si>
    <t xml:space="preserve">AA6415XK</t>
  </si>
  <si>
    <t xml:space="preserve">Прокопчук Михайло Олександрович</t>
  </si>
  <si>
    <t xml:space="preserve">01640</t>
  </si>
  <si>
    <t xml:space="preserve">А 0005/1086</t>
  </si>
  <si>
    <t xml:space="preserve">ARMB-0669</t>
  </si>
  <si>
    <t xml:space="preserve">ARLK-0219</t>
  </si>
  <si>
    <t xml:space="preserve">Mykhailo.Prokopchuk@carlsberg.ua</t>
  </si>
  <si>
    <t xml:space="preserve">AA6416XK</t>
  </si>
  <si>
    <t xml:space="preserve">Костюк Артур Іванович</t>
  </si>
  <si>
    <t xml:space="preserve">04309</t>
  </si>
  <si>
    <t xml:space="preserve">Черннівці</t>
  </si>
  <si>
    <t xml:space="preserve">ARMB-0675</t>
  </si>
  <si>
    <t xml:space="preserve">ARLK-0215</t>
  </si>
  <si>
    <t xml:space="preserve">Artur.Kostyuk@carlsberg.ua</t>
  </si>
  <si>
    <t xml:space="preserve">AA6417XK</t>
  </si>
  <si>
    <t xml:space="preserve">01468</t>
  </si>
  <si>
    <t xml:space="preserve">ARMB-0674</t>
  </si>
  <si>
    <t xml:space="preserve">ARLK-0203</t>
  </si>
  <si>
    <t xml:space="preserve">Igor.Krohmalyuk@carlsberg.ua</t>
  </si>
  <si>
    <t xml:space="preserve">AA6418XK</t>
  </si>
  <si>
    <t xml:space="preserve">Квартюк Вадим Володимирович</t>
  </si>
  <si>
    <t xml:space="preserve">02497</t>
  </si>
  <si>
    <t xml:space="preserve">Кривой Рог</t>
  </si>
  <si>
    <t xml:space="preserve">А 0005/1087</t>
  </si>
  <si>
    <t xml:space="preserve">ARMB-0664</t>
  </si>
  <si>
    <t xml:space="preserve">ARLK-0218</t>
  </si>
  <si>
    <t xml:space="preserve">Vadim.Kvartyuk@carlsberg.ua</t>
  </si>
  <si>
    <t xml:space="preserve">AA5548XT</t>
  </si>
  <si>
    <r>
      <rPr>
        <sz val="10"/>
        <rFont val="Arial Cyr"/>
        <family val="0"/>
        <charset val="204"/>
      </rPr>
      <t xml:space="preserve">VW </t>
    </r>
    <r>
      <rPr>
        <sz val="10"/>
        <rFont val="Times New Roman"/>
        <family val="1"/>
        <charset val="204"/>
      </rPr>
      <t xml:space="preserve">Tiguan Highline 2.0 TSI 4MOTION</t>
    </r>
  </si>
  <si>
    <t xml:space="preserve">Стельмах Юлія Валеріївна</t>
  </si>
  <si>
    <t xml:space="preserve">01517</t>
  </si>
  <si>
    <t xml:space="preserve">Старший директор по роботі з органами державної влади та корпоративних питань</t>
  </si>
  <si>
    <t xml:space="preserve">Департамент корпоративних відносин</t>
  </si>
  <si>
    <t xml:space="preserve">Відділ із звязків з громадськістю</t>
  </si>
  <si>
    <t xml:space="preserve">2a</t>
  </si>
  <si>
    <t xml:space="preserve">4.10.</t>
  </si>
  <si>
    <t xml:space="preserve">ARLC-1393</t>
  </si>
  <si>
    <t xml:space="preserve">ARLM-0119</t>
  </si>
  <si>
    <t xml:space="preserve">Yuliia.Stelmakh@carlsberg.ua</t>
  </si>
  <si>
    <t xml:space="preserve">AA3612EK</t>
  </si>
  <si>
    <t xml:space="preserve">Кравцова Олена Володимирівна</t>
  </si>
  <si>
    <t xml:space="preserve">08497</t>
  </si>
  <si>
    <t xml:space="preserve">Менеджер з навчання та розвитку</t>
  </si>
  <si>
    <t xml:space="preserve">ARMC-1256</t>
  </si>
  <si>
    <t xml:space="preserve">ARLK-1039</t>
  </si>
  <si>
    <t xml:space="preserve">Elena.Kravtsova@carlsberg.ua</t>
  </si>
  <si>
    <t xml:space="preserve">AA3613EK</t>
  </si>
  <si>
    <t xml:space="preserve">Колесник Тимур Олександрович </t>
  </si>
  <si>
    <t xml:space="preserve">01569</t>
  </si>
  <si>
    <t xml:space="preserve">Мережа великих форматів</t>
  </si>
  <si>
    <t xml:space="preserve">ARMD-0037</t>
  </si>
  <si>
    <t xml:space="preserve">ARLK-0779</t>
  </si>
  <si>
    <t xml:space="preserve">Tymur.Kolesnyk@carlsberg.ua</t>
  </si>
  <si>
    <t xml:space="preserve">AA3615EK</t>
  </si>
  <si>
    <t xml:space="preserve">Межерицький Артем Анатолійович</t>
  </si>
  <si>
    <t xml:space="preserve">02168</t>
  </si>
  <si>
    <t xml:space="preserve">А 0005/1094</t>
  </si>
  <si>
    <t xml:space="preserve">ARMA-0998</t>
  </si>
  <si>
    <t xml:space="preserve">ARLK-0348</t>
  </si>
  <si>
    <t xml:space="preserve">Artem.Mezheritskiy@carlsberg.ua</t>
  </si>
  <si>
    <t xml:space="preserve">AA3629EK</t>
  </si>
  <si>
    <t xml:space="preserve">Кукін Олександр Олексійович</t>
  </si>
  <si>
    <t xml:space="preserve">01464</t>
  </si>
  <si>
    <t xml:space="preserve">А 0005/1095</t>
  </si>
  <si>
    <t xml:space="preserve">ARMD-0055</t>
  </si>
  <si>
    <t xml:space="preserve">ARLK-0765</t>
  </si>
  <si>
    <t xml:space="preserve">Oleksandr.Kukin@carlsberg.ua</t>
  </si>
  <si>
    <t xml:space="preserve">AA3634EK</t>
  </si>
  <si>
    <t xml:space="preserve">Горгола Олександр Миколайович</t>
  </si>
  <si>
    <t xml:space="preserve">09996</t>
  </si>
  <si>
    <t xml:space="preserve">А 0005/1093</t>
  </si>
  <si>
    <t xml:space="preserve">ARMD-0059</t>
  </si>
  <si>
    <t xml:space="preserve">ARLK-0766</t>
  </si>
  <si>
    <t xml:space="preserve">Alexander.Gorgola@carlsberg.ua</t>
  </si>
  <si>
    <t xml:space="preserve">AA6329EM</t>
  </si>
  <si>
    <t xml:space="preserve">Олейниченко Лілія Михайлівна</t>
  </si>
  <si>
    <t xml:space="preserve">02500</t>
  </si>
  <si>
    <t xml:space="preserve">А 0005/1105</t>
  </si>
  <si>
    <t xml:space="preserve">ARME-0336</t>
  </si>
  <si>
    <t xml:space="preserve">ARLM-0101</t>
  </si>
  <si>
    <t xml:space="preserve">Liliya.Oleynichenko@carlsberg.ua</t>
  </si>
  <si>
    <t xml:space="preserve">AA6341EM</t>
  </si>
  <si>
    <t xml:space="preserve">Гавриленко Юрій Васильович</t>
  </si>
  <si>
    <t xml:space="preserve">09392</t>
  </si>
  <si>
    <t xml:space="preserve">А 0005/1103</t>
  </si>
  <si>
    <t xml:space="preserve">ARME-0348</t>
  </si>
  <si>
    <t xml:space="preserve">ARKM-0062</t>
  </si>
  <si>
    <t xml:space="preserve">Yuriy.Gavrilenko@carlsberg.ua</t>
  </si>
  <si>
    <t xml:space="preserve">AA6342EM</t>
  </si>
  <si>
    <t xml:space="preserve">Барковський Андрій Олексійович</t>
  </si>
  <si>
    <t xml:space="preserve">03265</t>
  </si>
  <si>
    <t xml:space="preserve">ARME-0341</t>
  </si>
  <si>
    <t xml:space="preserve">ARMB-0005</t>
  </si>
  <si>
    <t xml:space="preserve">Andrey.Barkovsky@carlsberg.ua</t>
  </si>
  <si>
    <t xml:space="preserve">AA6345EM</t>
  </si>
  <si>
    <t xml:space="preserve">Рибитва Станіслав Васильович</t>
  </si>
  <si>
    <t xml:space="preserve">10105</t>
  </si>
  <si>
    <t xml:space="preserve">ARME-0350</t>
  </si>
  <si>
    <t xml:space="preserve">ARKM-0089</t>
  </si>
  <si>
    <t xml:space="preserve">Stanislav.Rybytva@carlsberg.ua</t>
  </si>
  <si>
    <t xml:space="preserve">AA6346EM</t>
  </si>
  <si>
    <t xml:space="preserve">Барчук Володимир Володимирович</t>
  </si>
  <si>
    <t xml:space="preserve">01730</t>
  </si>
  <si>
    <t xml:space="preserve">ARME-0352</t>
  </si>
  <si>
    <t xml:space="preserve">ARKM-0084</t>
  </si>
  <si>
    <t xml:space="preserve">Volodymyr.Barchuk@carlsberg.ua</t>
  </si>
  <si>
    <t xml:space="preserve">AA6347EM</t>
  </si>
  <si>
    <t xml:space="preserve">Ковбасюк Ірина Олегівна</t>
  </si>
  <si>
    <t xml:space="preserve">03420</t>
  </si>
  <si>
    <t xml:space="preserve">Провідний фахівець відділу  продажу</t>
  </si>
  <si>
    <t xml:space="preserve">ARME-0355</t>
  </si>
  <si>
    <t xml:space="preserve">ARKM-0108</t>
  </si>
  <si>
    <t xml:space="preserve">Iryna.Kovbasiuk@carlsberg.ua</t>
  </si>
  <si>
    <t xml:space="preserve">AA6348EM</t>
  </si>
  <si>
    <t xml:space="preserve">Горошко Володимир Олексійович</t>
  </si>
  <si>
    <t xml:space="preserve">10155</t>
  </si>
  <si>
    <t xml:space="preserve">ARME-0346</t>
  </si>
  <si>
    <t xml:space="preserve">ARMB-0006</t>
  </si>
  <si>
    <t xml:space="preserve">Volodymyr.Horoshko@carlsberg.ua</t>
  </si>
  <si>
    <t xml:space="preserve">AA6349EM</t>
  </si>
  <si>
    <t xml:space="preserve">Міщенко Денис Миколайович</t>
  </si>
  <si>
    <t xml:space="preserve">01495</t>
  </si>
  <si>
    <t xml:space="preserve">А 0005/1100</t>
  </si>
  <si>
    <t xml:space="preserve">ARME-0343</t>
  </si>
  <si>
    <t xml:space="preserve">ARMB-0008</t>
  </si>
  <si>
    <t xml:space="preserve">Denys.Mishchenko@carlsberg.ua</t>
  </si>
  <si>
    <t xml:space="preserve">AA6350EM</t>
  </si>
  <si>
    <t xml:space="preserve">Чупахін Сергій Володимирович</t>
  </si>
  <si>
    <t xml:space="preserve">02501</t>
  </si>
  <si>
    <t xml:space="preserve">А 0005/1102</t>
  </si>
  <si>
    <t xml:space="preserve">ARME-0337</t>
  </si>
  <si>
    <t xml:space="preserve">ARKM-0093</t>
  </si>
  <si>
    <t xml:space="preserve">Sergey.Chupakhin@carlsberg.ua</t>
  </si>
  <si>
    <t xml:space="preserve">AA6351EM</t>
  </si>
  <si>
    <t xml:space="preserve">Білецька Олена Михайлівна</t>
  </si>
  <si>
    <t xml:space="preserve">02201</t>
  </si>
  <si>
    <t xml:space="preserve">ARME-0339</t>
  </si>
  <si>
    <t xml:space="preserve">ARMB-0010</t>
  </si>
  <si>
    <t xml:space="preserve">Elena.Beletskaya@carlsberg.ua</t>
  </si>
  <si>
    <t xml:space="preserve">AA6352EM</t>
  </si>
  <si>
    <t xml:space="preserve">Буряк Сергій Вячеславович</t>
  </si>
  <si>
    <t xml:space="preserve">08369</t>
  </si>
  <si>
    <t xml:space="preserve">А 0005/1101</t>
  </si>
  <si>
    <t xml:space="preserve">ARME-0344</t>
  </si>
  <si>
    <t xml:space="preserve">ARLM-0104</t>
  </si>
  <si>
    <t xml:space="preserve">Sergey.Buryak@carlsberg.ua</t>
  </si>
  <si>
    <t xml:space="preserve">AA6353EM</t>
  </si>
  <si>
    <t xml:space="preserve">Майфат Олександр Павлович</t>
  </si>
  <si>
    <t xml:space="preserve">04048</t>
  </si>
  <si>
    <t xml:space="preserve">ARME-0330</t>
  </si>
  <si>
    <t xml:space="preserve">ARLM-0112</t>
  </si>
  <si>
    <t xml:space="preserve">Alexander.Mayfat@carlsberg.ua</t>
  </si>
  <si>
    <t xml:space="preserve">AA6354EM</t>
  </si>
  <si>
    <t xml:space="preserve">Нагорний Олексій Олександрович</t>
  </si>
  <si>
    <t xml:space="preserve">01744</t>
  </si>
  <si>
    <t xml:space="preserve">ARMD-0050</t>
  </si>
  <si>
    <t xml:space="preserve">ARLK-0775</t>
  </si>
  <si>
    <t xml:space="preserve">Oleksii.Nahornyi@carlsberg.ua</t>
  </si>
  <si>
    <t xml:space="preserve">AA6355EM</t>
  </si>
  <si>
    <t xml:space="preserve">Лашко Наталія Костянтинівна</t>
  </si>
  <si>
    <t xml:space="preserve">08153</t>
  </si>
  <si>
    <t xml:space="preserve">Фахівець з розвитку ключових мереж</t>
  </si>
  <si>
    <t xml:space="preserve">ARMD-0038</t>
  </si>
  <si>
    <t xml:space="preserve">ARLK-1045</t>
  </si>
  <si>
    <t xml:space="preserve">Nataliia.Lashko@carlsberg.ua</t>
  </si>
  <si>
    <t xml:space="preserve">AA6357EM</t>
  </si>
  <si>
    <t xml:space="preserve">Ластовецький Павло Вікторович</t>
  </si>
  <si>
    <t xml:space="preserve">04277</t>
  </si>
  <si>
    <t xml:space="preserve">Белая Церковь</t>
  </si>
  <si>
    <t xml:space="preserve">ARMD-0056</t>
  </si>
  <si>
    <t xml:space="preserve">ARLK-0774</t>
  </si>
  <si>
    <t xml:space="preserve">Pavel.Lastovetskiy@carlsberg.ua</t>
  </si>
  <si>
    <t xml:space="preserve">AA6358EM</t>
  </si>
  <si>
    <t xml:space="preserve">Демченко Андрій Григорович</t>
  </si>
  <si>
    <t xml:space="preserve">02401</t>
  </si>
  <si>
    <t xml:space="preserve">Бердянск</t>
  </si>
  <si>
    <t xml:space="preserve">А 0005/1110</t>
  </si>
  <si>
    <t xml:space="preserve">ARME-0347</t>
  </si>
  <si>
    <t xml:space="preserve">ARMB-0002</t>
  </si>
  <si>
    <t xml:space="preserve">Andrey.Demchenko@carlsberg.ua</t>
  </si>
  <si>
    <t xml:space="preserve">AA6359EM</t>
  </si>
  <si>
    <t xml:space="preserve">Марті Анатолій Віталійович</t>
  </si>
  <si>
    <t xml:space="preserve">02534</t>
  </si>
  <si>
    <t xml:space="preserve">А 0005/1109</t>
  </si>
  <si>
    <t xml:space="preserve">ARME-0357</t>
  </si>
  <si>
    <t xml:space="preserve">ARMB-0012</t>
  </si>
  <si>
    <t xml:space="preserve">Anatoliy.Marti@carlsberg.ua</t>
  </si>
  <si>
    <t xml:space="preserve">AA6360EM</t>
  </si>
  <si>
    <t xml:space="preserve">Лунін Артем Олександрович</t>
  </si>
  <si>
    <t xml:space="preserve">02071</t>
  </si>
  <si>
    <t xml:space="preserve">А 0005/1111</t>
  </si>
  <si>
    <t xml:space="preserve">ARMD-0054</t>
  </si>
  <si>
    <t xml:space="preserve">ARLK-0780</t>
  </si>
  <si>
    <t xml:space="preserve">Artem.Lunin@carlsberg.ua</t>
  </si>
  <si>
    <t xml:space="preserve">AA6361EM</t>
  </si>
  <si>
    <t xml:space="preserve">Миронова Галина Костянтинівна</t>
  </si>
  <si>
    <t xml:space="preserve">01463</t>
  </si>
  <si>
    <t xml:space="preserve">ARME-0340</t>
  </si>
  <si>
    <t xml:space="preserve">ARMB-0004</t>
  </si>
  <si>
    <t xml:space="preserve">Halyna.Myronova@carlsberg.ua</t>
  </si>
  <si>
    <t xml:space="preserve">AA6364EM</t>
  </si>
  <si>
    <t xml:space="preserve">Німченко Руслан Олександрович</t>
  </si>
  <si>
    <t xml:space="preserve">02393</t>
  </si>
  <si>
    <t xml:space="preserve">Никополь</t>
  </si>
  <si>
    <t xml:space="preserve">А 0005/1112</t>
  </si>
  <si>
    <t xml:space="preserve">ARME-0338</t>
  </si>
  <si>
    <t xml:space="preserve">ARMB-0003</t>
  </si>
  <si>
    <t xml:space="preserve">Ruslan.Nimchenko@carlsberg.ua</t>
  </si>
  <si>
    <t xml:space="preserve">AA6367EM</t>
  </si>
  <si>
    <t xml:space="preserve">Вакуленко Віктор Володимирович</t>
  </si>
  <si>
    <t xml:space="preserve">01494</t>
  </si>
  <si>
    <t xml:space="preserve">ARME-0342</t>
  </si>
  <si>
    <t xml:space="preserve">ARMB-0011</t>
  </si>
  <si>
    <t xml:space="preserve">Viktor.Vakulenko@carlsberg.ua</t>
  </si>
  <si>
    <t xml:space="preserve">AA6368EM</t>
  </si>
  <si>
    <t xml:space="preserve">Приходько Олександр Леонідович</t>
  </si>
  <si>
    <t xml:space="preserve">09584</t>
  </si>
  <si>
    <t xml:space="preserve">ARME-0354</t>
  </si>
  <si>
    <t xml:space="preserve">ARKM-0080</t>
  </si>
  <si>
    <t xml:space="preserve">Alexander.Prihodko@carlsberg.ua</t>
  </si>
  <si>
    <t xml:space="preserve">AA6369EM</t>
  </si>
  <si>
    <t xml:space="preserve">Глінський Валерій Вікторович</t>
  </si>
  <si>
    <t xml:space="preserve">02527</t>
  </si>
  <si>
    <t xml:space="preserve">Энергодар</t>
  </si>
  <si>
    <t xml:space="preserve">А 0005/1099</t>
  </si>
  <si>
    <t xml:space="preserve">ARME-0321</t>
  </si>
  <si>
    <t xml:space="preserve">ARKM-0608</t>
  </si>
  <si>
    <t xml:space="preserve">Valeriy.Glinskiy@carlsberg.ua</t>
  </si>
  <si>
    <t xml:space="preserve">AA6370EM</t>
  </si>
  <si>
    <t xml:space="preserve">Головізніна Тетяна Дмитрівна</t>
  </si>
  <si>
    <t xml:space="preserve">04246</t>
  </si>
  <si>
    <t xml:space="preserve">ARMD-0035</t>
  </si>
  <si>
    <t xml:space="preserve">ARLK-1040</t>
  </si>
  <si>
    <t xml:space="preserve">Tatyana.Goloviznina@carlsberg.ua</t>
  </si>
  <si>
    <t xml:space="preserve">AA6371EM</t>
  </si>
  <si>
    <t xml:space="preserve">Бутенко Олександр Олександрович</t>
  </si>
  <si>
    <t xml:space="preserve">09842</t>
  </si>
  <si>
    <t xml:space="preserve">А 0005/1104</t>
  </si>
  <si>
    <t xml:space="preserve">ARME-0356</t>
  </si>
  <si>
    <t xml:space="preserve">ARKM-0107</t>
  </si>
  <si>
    <t xml:space="preserve">Alexander.Butenko@carlsberg.ua</t>
  </si>
  <si>
    <t xml:space="preserve">AA6372EM</t>
  </si>
  <si>
    <t xml:space="preserve">Омельницький Віталій Миколайович</t>
  </si>
  <si>
    <t xml:space="preserve">02510</t>
  </si>
  <si>
    <t xml:space="preserve">А 0005/1106</t>
  </si>
  <si>
    <t xml:space="preserve">ARME-0349</t>
  </si>
  <si>
    <t xml:space="preserve">ARKM-0449</t>
  </si>
  <si>
    <t xml:space="preserve">Vitaliy.Omelnitskiy@carlsberg.ua</t>
  </si>
  <si>
    <t xml:space="preserve">AA6374EM</t>
  </si>
  <si>
    <t xml:space="preserve">Сіліна Ганна Миколаївна</t>
  </si>
  <si>
    <t xml:space="preserve">02297</t>
  </si>
  <si>
    <t xml:space="preserve">А 0005/1108</t>
  </si>
  <si>
    <t xml:space="preserve">ARME-0353</t>
  </si>
  <si>
    <t xml:space="preserve">ARKM-0082</t>
  </si>
  <si>
    <t xml:space="preserve">Anna.Silina@carlsberg.ua</t>
  </si>
  <si>
    <t xml:space="preserve">AA6376EM</t>
  </si>
  <si>
    <t xml:space="preserve">Халін Дмитро Сергійович</t>
  </si>
  <si>
    <t xml:space="preserve">01365</t>
  </si>
  <si>
    <t xml:space="preserve">Краматорск</t>
  </si>
  <si>
    <t xml:space="preserve">А 0005/1107</t>
  </si>
  <si>
    <t xml:space="preserve">ARME-0351</t>
  </si>
  <si>
    <t xml:space="preserve">ARKM-0090</t>
  </si>
  <si>
    <t xml:space="preserve">Dmytro.Khalin@carlsberg.ua</t>
  </si>
  <si>
    <t xml:space="preserve">AA5954EK</t>
  </si>
  <si>
    <t xml:space="preserve">VW Caddy Kombi 2.0TDI </t>
  </si>
  <si>
    <t xml:space="preserve">Ганжа Сергій Олександрович</t>
  </si>
  <si>
    <t xml:space="preserve">04432</t>
  </si>
  <si>
    <t xml:space="preserve">Регіональний фахівець</t>
  </si>
  <si>
    <t xml:space="preserve">01.02.219</t>
  </si>
  <si>
    <t xml:space="preserve">ARME-0332</t>
  </si>
  <si>
    <t xml:space="preserve">ARLM-0113</t>
  </si>
  <si>
    <t xml:space="preserve">Sergiy.Ganzha@carlsberg.ua</t>
  </si>
  <si>
    <t xml:space="preserve">AA2249EO</t>
  </si>
  <si>
    <t xml:space="preserve">Пархомчук Костянтин Вікторович</t>
  </si>
  <si>
    <t xml:space="preserve">08160</t>
  </si>
  <si>
    <t xml:space="preserve">Директор з розвитку продaжів</t>
  </si>
  <si>
    <t xml:space="preserve">ARLC-1407</t>
  </si>
  <si>
    <t xml:space="preserve">ARLM-0120</t>
  </si>
  <si>
    <t xml:space="preserve">Konstantin.Parkhomchuk@carlsberg.ua</t>
  </si>
  <si>
    <t xml:space="preserve">AA2265XT</t>
  </si>
  <si>
    <t xml:space="preserve">Гук Юрій Миколайович</t>
  </si>
  <si>
    <t xml:space="preserve">02341</t>
  </si>
  <si>
    <t xml:space="preserve">Старший менеджер з пивовиробництва, енергетики та інновацій</t>
  </si>
  <si>
    <t xml:space="preserve">ARLC-1362</t>
  </si>
  <si>
    <t xml:space="preserve">ARLM-0110</t>
  </si>
  <si>
    <t xml:space="preserve">Yuriy.Guk@carlsberg.ua</t>
  </si>
  <si>
    <t xml:space="preserve">AA7764XM</t>
  </si>
  <si>
    <t xml:space="preserve">Яриш Андрій Володимирович
</t>
  </si>
  <si>
    <t xml:space="preserve">01610</t>
  </si>
  <si>
    <t xml:space="preserve">ARLC-1353</t>
  </si>
  <si>
    <t xml:space="preserve">ARLM-0122</t>
  </si>
  <si>
    <t xml:space="preserve">Andrii.Yarysh@carlsberg.ua</t>
  </si>
  <si>
    <t xml:space="preserve">AA3374KM</t>
  </si>
  <si>
    <t xml:space="preserve">Низелик Іван Станіславович</t>
  </si>
  <si>
    <t xml:space="preserve">70624</t>
  </si>
  <si>
    <t xml:space="preserve">Заступник директора заводу - головний інженер</t>
  </si>
  <si>
    <t xml:space="preserve">Напрям технічний</t>
  </si>
  <si>
    <t xml:space="preserve">4.30.</t>
  </si>
  <si>
    <t xml:space="preserve">ARLC-1348</t>
  </si>
  <si>
    <t xml:space="preserve">ARLM-0109</t>
  </si>
  <si>
    <t xml:space="preserve">Ivan.Nyzelyk@carlsberg.ua</t>
  </si>
  <si>
    <t xml:space="preserve">AA3368KM</t>
  </si>
  <si>
    <t xml:space="preserve">Ахметова Каріна Болібаївна</t>
  </si>
  <si>
    <t xml:space="preserve">03746</t>
  </si>
  <si>
    <t xml:space="preserve">Національний менеджер з маркетингу торгових каналів</t>
  </si>
  <si>
    <t xml:space="preserve">Відділ торгового маркетингу сучасної торгівлі</t>
  </si>
  <si>
    <t xml:space="preserve">ARLC-1355</t>
  </si>
  <si>
    <t xml:space="preserve">ARLM-0129</t>
  </si>
  <si>
    <t xml:space="preserve">Karina.Akhmetova@carlsberg.ua</t>
  </si>
  <si>
    <t xml:space="preserve">KA4918AT</t>
  </si>
  <si>
    <r>
      <rPr>
        <sz val="10"/>
        <rFont val="Arial Cyr"/>
        <family val="0"/>
        <charset val="204"/>
      </rPr>
      <t xml:space="preserve">Renault </t>
    </r>
    <r>
      <rPr>
        <sz val="10"/>
        <color rgb="FF000000"/>
        <rFont val="Times New Roman"/>
        <family val="1"/>
        <charset val="204"/>
      </rPr>
      <t xml:space="preserve">Megane 1.5 dCi Life </t>
    </r>
  </si>
  <si>
    <t xml:space="preserve">6013-OL</t>
  </si>
  <si>
    <t xml:space="preserve">Приймак Олександр Анатолійович</t>
  </si>
  <si>
    <t xml:space="preserve">04304</t>
  </si>
  <si>
    <t xml:space="preserve">ARND-1676</t>
  </si>
  <si>
    <t xml:space="preserve">ARMN-0922</t>
  </si>
  <si>
    <t xml:space="preserve">VF1RFB00265499539</t>
  </si>
  <si>
    <t xml:space="preserve">Oleksandr.Priymak@carlsberg.ua</t>
  </si>
  <si>
    <t xml:space="preserve">KA4916AT</t>
  </si>
  <si>
    <t xml:space="preserve">Дениско Юрій Миколайович</t>
  </si>
  <si>
    <t xml:space="preserve">03755</t>
  </si>
  <si>
    <t xml:space="preserve">ARND-1678</t>
  </si>
  <si>
    <t xml:space="preserve">ARMN-0916</t>
  </si>
  <si>
    <t xml:space="preserve">VF1RFB00665499544</t>
  </si>
  <si>
    <t xml:space="preserve">Yuriy.Denisko@carlsberg.ua</t>
  </si>
  <si>
    <t xml:space="preserve">KA4921AT</t>
  </si>
  <si>
    <t xml:space="preserve">Шумський Віталій Петрович</t>
  </si>
  <si>
    <t xml:space="preserve">06063</t>
  </si>
  <si>
    <t xml:space="preserve">Національний менеджер з розвитку продажів в каналі ХоРеКа</t>
  </si>
  <si>
    <t xml:space="preserve">Напрям по роботі з дистрибуторами</t>
  </si>
  <si>
    <t xml:space="preserve">продажи ХоРеКа офис</t>
  </si>
  <si>
    <t xml:space="preserve">ARND-1677</t>
  </si>
  <si>
    <t xml:space="preserve">ARMN-0904</t>
  </si>
  <si>
    <t xml:space="preserve">VF1RFB00265499542</t>
  </si>
  <si>
    <t xml:space="preserve">Vitaliy.Shumskiy@carlsberg.ua</t>
  </si>
  <si>
    <t xml:space="preserve">KA6856AP</t>
  </si>
  <si>
    <t xml:space="preserve">Козлов Руслан Валентинович</t>
  </si>
  <si>
    <t xml:space="preserve">01283</t>
  </si>
  <si>
    <t xml:space="preserve">Менеджер з інформаційної безпеки</t>
  </si>
  <si>
    <t xml:space="preserve">Відділ інформаційної безпеки</t>
  </si>
  <si>
    <t xml:space="preserve">ARND-0782</t>
  </si>
  <si>
    <t xml:space="preserve">ARMN-0967</t>
  </si>
  <si>
    <t xml:space="preserve">VF1RFB00X65499563</t>
  </si>
  <si>
    <t xml:space="preserve">Ruslan.Kozlov@carlsberg.ua</t>
  </si>
  <si>
    <t xml:space="preserve">KA6853AP</t>
  </si>
  <si>
    <r>
      <rPr>
        <sz val="10"/>
        <rFont val="Arial Cyr"/>
        <family val="0"/>
        <charset val="204"/>
      </rPr>
      <t xml:space="preserve">Renault </t>
    </r>
    <r>
      <rPr>
        <sz val="9"/>
        <color rgb="FF000000"/>
        <rFont val="Times New Roman"/>
        <family val="1"/>
        <charset val="204"/>
      </rPr>
      <t xml:space="preserve">Megane 1.5 dCi ZEN EDC </t>
    </r>
  </si>
  <si>
    <t xml:space="preserve">09089</t>
  </si>
  <si>
    <t xml:space="preserve">Керівник напряму закупівель</t>
  </si>
  <si>
    <t xml:space="preserve">Напрям закупівель</t>
  </si>
  <si>
    <t xml:space="preserve">закупки</t>
  </si>
  <si>
    <t xml:space="preserve">ARND-0749</t>
  </si>
  <si>
    <t xml:space="preserve">ARMN-0800</t>
  </si>
  <si>
    <t xml:space="preserve">VF1RFB00065499541</t>
  </si>
  <si>
    <t xml:space="preserve">Elvira.Burdiyan@carlsberg.ua</t>
  </si>
  <si>
    <t xml:space="preserve">KA4601AX</t>
  </si>
  <si>
    <r>
      <rPr>
        <sz val="10"/>
        <rFont val="Arial Cyr"/>
        <family val="0"/>
        <charset val="204"/>
      </rPr>
      <t xml:space="preserve">Renault Sandero </t>
    </r>
    <r>
      <rPr>
        <sz val="10"/>
        <color rgb="FF000000"/>
        <rFont val="Times New Roman"/>
        <family val="1"/>
        <charset val="204"/>
      </rPr>
      <t xml:space="preserve">1.5 dCi Life+ </t>
    </r>
  </si>
  <si>
    <t xml:space="preserve">Бараніченко Вадим Олексійович</t>
  </si>
  <si>
    <t xml:space="preserve">01516</t>
  </si>
  <si>
    <t xml:space="preserve">ARND-1666</t>
  </si>
  <si>
    <t xml:space="preserve">ARMN-0333</t>
  </si>
  <si>
    <t xml:space="preserve">VF15SRKL465499273</t>
  </si>
  <si>
    <t xml:space="preserve">Vadym.Baranichenko@carlsberg.ua</t>
  </si>
  <si>
    <t xml:space="preserve">KA4602AX</t>
  </si>
  <si>
    <t xml:space="preserve">ARND-1660</t>
  </si>
  <si>
    <t xml:space="preserve">ARMN-0906</t>
  </si>
  <si>
    <t xml:space="preserve">VF15SRKL465499276</t>
  </si>
  <si>
    <t xml:space="preserve">KA4606AX</t>
  </si>
  <si>
    <t xml:space="preserve">Плеша Лівіа Василівна</t>
  </si>
  <si>
    <t xml:space="preserve">04331</t>
  </si>
  <si>
    <t xml:space="preserve">Закарпаття</t>
  </si>
  <si>
    <t xml:space="preserve">ARND-1639</t>
  </si>
  <si>
    <t xml:space="preserve">ARMN-0320</t>
  </si>
  <si>
    <t xml:space="preserve">VF15SRKL465499274</t>
  </si>
  <si>
    <t xml:space="preserve">Livia.Umanska@carlsberg.ua</t>
  </si>
  <si>
    <t xml:space="preserve">KA4609AX</t>
  </si>
  <si>
    <r>
      <rPr>
        <sz val="10"/>
        <rFont val="Arial Cyr"/>
        <family val="0"/>
        <charset val="204"/>
      </rPr>
      <t xml:space="preserve">Renault Sandero </t>
    </r>
    <r>
      <rPr>
        <sz val="10"/>
        <rFont val="Times New Roman"/>
        <family val="1"/>
        <charset val="204"/>
      </rPr>
      <t xml:space="preserve">1.5 dCi Life+ </t>
    </r>
  </si>
  <si>
    <t xml:space="preserve">Боровик Микола Миколайович</t>
  </si>
  <si>
    <t xml:space="preserve">04362</t>
  </si>
  <si>
    <t xml:space="preserve">ARND-1659</t>
  </si>
  <si>
    <t xml:space="preserve">ARMN-0905</t>
  </si>
  <si>
    <t xml:space="preserve">VF15SRKL465499373</t>
  </si>
  <si>
    <t xml:space="preserve">Mykola.Borovyk@carlsberg.ua</t>
  </si>
  <si>
    <t xml:space="preserve">KA4610AX</t>
  </si>
  <si>
    <t xml:space="preserve">Червяков Олексій Вікторович</t>
  </si>
  <si>
    <t xml:space="preserve">02535</t>
  </si>
  <si>
    <t xml:space="preserve">Мелитополь</t>
  </si>
  <si>
    <t xml:space="preserve">ARND-1662</t>
  </si>
  <si>
    <t xml:space="preserve">ARMN-0337</t>
  </si>
  <si>
    <t xml:space="preserve">VF15SRKL465499275</t>
  </si>
  <si>
    <t xml:space="preserve">Alexey.Chervyakov@carlsberg.ua</t>
  </si>
  <si>
    <t xml:space="preserve">KA4625AX</t>
  </si>
  <si>
    <t xml:space="preserve">Радов Олександр Володимирович</t>
  </si>
  <si>
    <t xml:space="preserve">02288</t>
  </si>
  <si>
    <t xml:space="preserve">Логістика і дистрибуція м. Запоріжж</t>
  </si>
  <si>
    <t xml:space="preserve">ARND-1656</t>
  </si>
  <si>
    <t xml:space="preserve">ARMN-0910</t>
  </si>
  <si>
    <t xml:space="preserve">VF15SRKL465499310</t>
  </si>
  <si>
    <t xml:space="preserve">Alexander.Radov@carlsberg.ua</t>
  </si>
  <si>
    <t xml:space="preserve">KA4635AX</t>
  </si>
  <si>
    <t xml:space="preserve">Михайлов Олексій Вікторович</t>
  </si>
  <si>
    <t xml:space="preserve">01395</t>
  </si>
  <si>
    <t xml:space="preserve">ARND-1669</t>
  </si>
  <si>
    <t xml:space="preserve">ARMN-0344</t>
  </si>
  <si>
    <t xml:space="preserve">VF15SRKL465499261</t>
  </si>
  <si>
    <t xml:space="preserve">Oleksii.Mykhailov@carlsberg.ua</t>
  </si>
  <si>
    <t xml:space="preserve">KA4638AX</t>
  </si>
  <si>
    <t xml:space="preserve">Гладченко Ігор Георгійович</t>
  </si>
  <si>
    <t xml:space="preserve">01732</t>
  </si>
  <si>
    <t xml:space="preserve">ARND-1670</t>
  </si>
  <si>
    <t xml:space="preserve">ARMN-0335</t>
  </si>
  <si>
    <t xml:space="preserve">VF15SRKL465499229</t>
  </si>
  <si>
    <t xml:space="preserve">Ihor.Hladchenko@carlsberg.ua</t>
  </si>
  <si>
    <t xml:space="preserve">KA4649AX</t>
  </si>
  <si>
    <t xml:space="preserve">Радько Андрій Миколайович</t>
  </si>
  <si>
    <t xml:space="preserve">10111</t>
  </si>
  <si>
    <t xml:space="preserve">ARND-1657</t>
  </si>
  <si>
    <t xml:space="preserve">ARMN-0896</t>
  </si>
  <si>
    <t xml:space="preserve">VF15SRKL465499228</t>
  </si>
  <si>
    <t xml:space="preserve">Andrii.Radko@carlsberg.ua</t>
  </si>
  <si>
    <t xml:space="preserve">KA6165AP</t>
  </si>
  <si>
    <t xml:space="preserve">Даніалі Педрам</t>
  </si>
  <si>
    <t xml:space="preserve">01734</t>
  </si>
  <si>
    <t xml:space="preserve">ARND-1655</t>
  </si>
  <si>
    <t xml:space="preserve">ARMN-0908</t>
  </si>
  <si>
    <t xml:space="preserve">VF15SRKL465499233</t>
  </si>
  <si>
    <t xml:space="preserve">Pedram.Daniali@carlsberg.ua</t>
  </si>
  <si>
    <t xml:space="preserve">KA6167AP</t>
  </si>
  <si>
    <t xml:space="preserve">Буханець Іван Анатолійович</t>
  </si>
  <si>
    <t xml:space="preserve">10144</t>
  </si>
  <si>
    <t xml:space="preserve">ARND-1641</t>
  </si>
  <si>
    <t xml:space="preserve">ARMN-0330</t>
  </si>
  <si>
    <t xml:space="preserve">VF15SRKL465499313</t>
  </si>
  <si>
    <t xml:space="preserve">Ivan.Bukhanets@carlsberg.ua</t>
  </si>
  <si>
    <t xml:space="preserve">KA6168AP</t>
  </si>
  <si>
    <t xml:space="preserve">Кулик Володимир Зіновійович</t>
  </si>
  <si>
    <t xml:space="preserve">09834</t>
  </si>
  <si>
    <t xml:space="preserve">ARND-1643</t>
  </si>
  <si>
    <t xml:space="preserve">ARMN-0325</t>
  </si>
  <si>
    <t xml:space="preserve">VF15SRKL465499225</t>
  </si>
  <si>
    <t xml:space="preserve">Vladimir.Kulyk@carlsberg.ua</t>
  </si>
  <si>
    <t xml:space="preserve">KA6169AP</t>
  </si>
  <si>
    <t xml:space="preserve">Трохимець Юрій Миколайович</t>
  </si>
  <si>
    <t xml:space="preserve">03264</t>
  </si>
  <si>
    <t xml:space="preserve">ARND-1653</t>
  </si>
  <si>
    <t xml:space="preserve">ARMN-0921</t>
  </si>
  <si>
    <t xml:space="preserve">VF15SRKL465499227</t>
  </si>
  <si>
    <t xml:space="preserve">Yuriy.Trohimets@carlsberg.ua</t>
  </si>
  <si>
    <t xml:space="preserve">KA6174AP</t>
  </si>
  <si>
    <t xml:space="preserve">Хайдарова Олена Миколаївна</t>
  </si>
  <si>
    <t xml:space="preserve">10107</t>
  </si>
  <si>
    <t xml:space="preserve">ARND-1668</t>
  </si>
  <si>
    <t xml:space="preserve">ARMN-0342</t>
  </si>
  <si>
    <t xml:space="preserve">VF15SRKL465499268</t>
  </si>
  <si>
    <t xml:space="preserve">Olena.Khaidarova@carlsberg.ua</t>
  </si>
  <si>
    <t xml:space="preserve">KA6175AP</t>
  </si>
  <si>
    <t xml:space="preserve">Білобородько Сергій Анатолійович</t>
  </si>
  <si>
    <t xml:space="preserve">70085</t>
  </si>
  <si>
    <t xml:space="preserve">ARND-1671</t>
  </si>
  <si>
    <t xml:space="preserve">ARMN-0918</t>
  </si>
  <si>
    <t xml:space="preserve">VF15SRKL465499222</t>
  </si>
  <si>
    <t xml:space="preserve">Sergey.Beloborodko@carlsberg.ua</t>
  </si>
  <si>
    <t xml:space="preserve">KA6176AP</t>
  </si>
  <si>
    <t xml:space="preserve">Дідук Тимофій Валерійович</t>
  </si>
  <si>
    <t xml:space="preserve">04125</t>
  </si>
  <si>
    <t xml:space="preserve">ARND-1642</t>
  </si>
  <si>
    <t xml:space="preserve">ARMN-0331</t>
  </si>
  <si>
    <t xml:space="preserve">VF15SRKL465499238</t>
  </si>
  <si>
    <t xml:space="preserve">Timofey.Diduk@carlsberg.ua</t>
  </si>
  <si>
    <t xml:space="preserve">KA6179AP</t>
  </si>
  <si>
    <t xml:space="preserve">Шамрай Теодор Васильович</t>
  </si>
  <si>
    <t xml:space="preserve">09023</t>
  </si>
  <si>
    <t xml:space="preserve">ARND-1672</t>
  </si>
  <si>
    <t xml:space="preserve">ARMN-0907</t>
  </si>
  <si>
    <t xml:space="preserve">VF15SRKL465499221</t>
  </si>
  <si>
    <t xml:space="preserve">Teodor.Shamray@carlsberg.ua</t>
  </si>
  <si>
    <t xml:space="preserve">KA6182AP</t>
  </si>
  <si>
    <t xml:space="preserve">Шостацький Сергій Анатолійович</t>
  </si>
  <si>
    <t xml:space="preserve">04319</t>
  </si>
  <si>
    <t xml:space="preserve">ARND-1667</t>
  </si>
  <si>
    <t xml:space="preserve">ARMN-0339</t>
  </si>
  <si>
    <t xml:space="preserve">VF15SRKL465499269</t>
  </si>
  <si>
    <t xml:space="preserve">Sergey.Shostatskyy@carlsberg.ua</t>
  </si>
  <si>
    <t xml:space="preserve">KA6184AP</t>
  </si>
  <si>
    <t xml:space="preserve">Онищенко Андрій Миколайович</t>
  </si>
  <si>
    <t xml:space="preserve">02273</t>
  </si>
  <si>
    <t xml:space="preserve">ARND-1651</t>
  </si>
  <si>
    <t xml:space="preserve">ARMN-0909</t>
  </si>
  <si>
    <t xml:space="preserve">VF15SRKL465499240</t>
  </si>
  <si>
    <t xml:space="preserve">Andrey.Onischenko@carlsberg.ua</t>
  </si>
  <si>
    <t xml:space="preserve">KA6186AP</t>
  </si>
  <si>
    <t xml:space="preserve">Максименко Андрій Ігорович</t>
  </si>
  <si>
    <t xml:space="preserve">02540</t>
  </si>
  <si>
    <t xml:space="preserve">ARND-1663</t>
  </si>
  <si>
    <t xml:space="preserve">ARMN-0336</t>
  </si>
  <si>
    <t xml:space="preserve">VF15SRKL465499317</t>
  </si>
  <si>
    <t xml:space="preserve">Andrey.Maksimenko@carlsberg.ua</t>
  </si>
  <si>
    <t xml:space="preserve">KA6187AP</t>
  </si>
  <si>
    <t xml:space="preserve">Тимощук Ігор Миколайович</t>
  </si>
  <si>
    <t xml:space="preserve">04150</t>
  </si>
  <si>
    <t xml:space="preserve">ARND-1661</t>
  </si>
  <si>
    <t xml:space="preserve">ARMN-0334</t>
  </si>
  <si>
    <t xml:space="preserve">VF15SRKL465499263</t>
  </si>
  <si>
    <t xml:space="preserve">Igor.Tymoshchuk@carlsberg.ua</t>
  </si>
  <si>
    <t xml:space="preserve">KA6189AP</t>
  </si>
  <si>
    <t xml:space="preserve">Талапканич Михайло Михайлович</t>
  </si>
  <si>
    <t xml:space="preserve">04143</t>
  </si>
  <si>
    <t xml:space="preserve">ARND-1658</t>
  </si>
  <si>
    <t xml:space="preserve">ARMN-0911</t>
  </si>
  <si>
    <t xml:space="preserve">VF15SRKL465499265</t>
  </si>
  <si>
    <t xml:space="preserve">Mykhaylo.Talapkanych@carlsberg.ua</t>
  </si>
  <si>
    <t xml:space="preserve">KA5014AO</t>
  </si>
  <si>
    <t xml:space="preserve">Губарєв Василь Віталійович</t>
  </si>
  <si>
    <t xml:space="preserve">02442</t>
  </si>
  <si>
    <t xml:space="preserve">ARND-0732</t>
  </si>
  <si>
    <t xml:space="preserve">ARMN-0948</t>
  </si>
  <si>
    <t xml:space="preserve">VF15SRKL465499322</t>
  </si>
  <si>
    <t xml:space="preserve">Vasiliy.Gubarev@carlsberg.ua</t>
  </si>
  <si>
    <t xml:space="preserve">KA5015AO</t>
  </si>
  <si>
    <t xml:space="preserve">Кірпічніков Олександр Геннадійович</t>
  </si>
  <si>
    <t xml:space="preserve">04229</t>
  </si>
  <si>
    <t xml:space="preserve">ARLC-1351</t>
  </si>
  <si>
    <t xml:space="preserve">ARLM-0116</t>
  </si>
  <si>
    <t xml:space="preserve">VF15SRKL465499337</t>
  </si>
  <si>
    <t xml:space="preserve">Alexander.Kirpichnikov@carlsberg.ua</t>
  </si>
  <si>
    <t xml:space="preserve">KA5017AO</t>
  </si>
  <si>
    <t xml:space="preserve">08915</t>
  </si>
  <si>
    <t xml:space="preserve">Провідний фахівець з продажу </t>
  </si>
  <si>
    <t xml:space="preserve">ARMB-0680</t>
  </si>
  <si>
    <t xml:space="preserve">ARLK-0208</t>
  </si>
  <si>
    <t xml:space="preserve">VF15SRKL465499339</t>
  </si>
  <si>
    <t xml:space="preserve">KA5018AO</t>
  </si>
  <si>
    <t xml:space="preserve">Сотник Сергій Васильович</t>
  </si>
  <si>
    <t xml:space="preserve">02523</t>
  </si>
  <si>
    <t xml:space="preserve">ARND-0721</t>
  </si>
  <si>
    <t xml:space="preserve">ARMN-0935</t>
  </si>
  <si>
    <t xml:space="preserve">VF15SRKL465499308</t>
  </si>
  <si>
    <t xml:space="preserve">Sergey.Sotnik@carlsberg.ua</t>
  </si>
  <si>
    <t xml:space="preserve">KA5019AO</t>
  </si>
  <si>
    <t xml:space="preserve">Златов Артем Олександрович </t>
  </si>
  <si>
    <t xml:space="preserve">01474</t>
  </si>
  <si>
    <t xml:space="preserve">ARND-0728</t>
  </si>
  <si>
    <t xml:space="preserve">ARMN-0944</t>
  </si>
  <si>
    <t xml:space="preserve">VF15SRKL465499341</t>
  </si>
  <si>
    <t xml:space="preserve">Artem.Zlatov@carlsberg.ua</t>
  </si>
  <si>
    <t xml:space="preserve">KA5021AO</t>
  </si>
  <si>
    <t xml:space="preserve">03295</t>
  </si>
  <si>
    <t xml:space="preserve">ARND-0722</t>
  </si>
  <si>
    <t xml:space="preserve">ARMN-0936</t>
  </si>
  <si>
    <t xml:space="preserve">VF15SRKL465499316</t>
  </si>
  <si>
    <t xml:space="preserve">Oksana.Silenko@carlsberg.ua</t>
  </si>
  <si>
    <t xml:space="preserve">KA5024AO</t>
  </si>
  <si>
    <t xml:space="preserve">Осташевський Антон Станіславович</t>
  </si>
  <si>
    <t xml:space="preserve">03967</t>
  </si>
  <si>
    <t xml:space="preserve">ARND-0789</t>
  </si>
  <si>
    <t xml:space="preserve">ARMN-0938</t>
  </si>
  <si>
    <t xml:space="preserve">VF15SRKL465499320</t>
  </si>
  <si>
    <t xml:space="preserve">Anton.Ostashevskyy@carlsberg.ua</t>
  </si>
  <si>
    <t xml:space="preserve">KA5025AO</t>
  </si>
  <si>
    <t xml:space="preserve">Пурдіч Євген Ігорович</t>
  </si>
  <si>
    <t xml:space="preserve">00697</t>
  </si>
  <si>
    <t xml:space="preserve">ARND-0738</t>
  </si>
  <si>
    <t xml:space="preserve">ARMN-0952</t>
  </si>
  <si>
    <t xml:space="preserve">VF15SRKL465499267</t>
  </si>
  <si>
    <t xml:space="preserve">Yevhen.Purdich@carlsberg.ua</t>
  </si>
  <si>
    <t xml:space="preserve">KA5026AO</t>
  </si>
  <si>
    <t xml:space="preserve">Мельничук Максим Вікторович</t>
  </si>
  <si>
    <t xml:space="preserve">04233</t>
  </si>
  <si>
    <t xml:space="preserve">ARND-0820</t>
  </si>
  <si>
    <t xml:space="preserve">ARMN-0801</t>
  </si>
  <si>
    <t xml:space="preserve">VF15SRKL465499335</t>
  </si>
  <si>
    <t xml:space="preserve">Maxim.Melnichuk@carlsberg.ua</t>
  </si>
  <si>
    <t xml:space="preserve">KA5028AO</t>
  </si>
  <si>
    <t xml:space="preserve">Гетманський Олександр Іванович </t>
  </si>
  <si>
    <t xml:space="preserve">04198</t>
  </si>
  <si>
    <t xml:space="preserve">ARND-0811</t>
  </si>
  <si>
    <t xml:space="preserve">ARMN-0959</t>
  </si>
  <si>
    <t xml:space="preserve">VF15SRKL465499369</t>
  </si>
  <si>
    <t xml:space="preserve">Olexandr.Getmanskyy@carlsberg.ua</t>
  </si>
  <si>
    <t xml:space="preserve">KA5031AO</t>
  </si>
  <si>
    <t xml:space="preserve">Попик Інна Володимирівна</t>
  </si>
  <si>
    <t xml:space="preserve">03599</t>
  </si>
  <si>
    <t xml:space="preserve">ARND-0816</t>
  </si>
  <si>
    <t xml:space="preserve">ARMN-0797</t>
  </si>
  <si>
    <t xml:space="preserve">VF15SRKL465499271</t>
  </si>
  <si>
    <t xml:space="preserve">Inna.Popyk@carlsberg.ua</t>
  </si>
  <si>
    <t xml:space="preserve">KA5032AO</t>
  </si>
  <si>
    <t xml:space="preserve">Кальчук Сергій Сергійович</t>
  </si>
  <si>
    <t xml:space="preserve">04361</t>
  </si>
  <si>
    <t xml:space="preserve">ARND-0726</t>
  </si>
  <si>
    <t xml:space="preserve">ARMN-0315</t>
  </si>
  <si>
    <t xml:space="preserve">VF15SRKL465499368</t>
  </si>
  <si>
    <t xml:space="preserve">Sergiy.Kalchuk@carlsberg.ua</t>
  </si>
  <si>
    <t xml:space="preserve">KA5033AO</t>
  </si>
  <si>
    <t xml:space="preserve">00394</t>
  </si>
  <si>
    <t xml:space="preserve">ARND-0724</t>
  </si>
  <si>
    <t xml:space="preserve">ARMN-0942</t>
  </si>
  <si>
    <t xml:space="preserve">VF15SRKL465499348</t>
  </si>
  <si>
    <t xml:space="preserve">Olexander.Yarmolych@carlsberg.ua</t>
  </si>
  <si>
    <t xml:space="preserve">KA5035AO</t>
  </si>
  <si>
    <t xml:space="preserve">Лікаренко Анатолій Олександрович</t>
  </si>
  <si>
    <t xml:space="preserve">10103</t>
  </si>
  <si>
    <t xml:space="preserve">ARND-0729</t>
  </si>
  <si>
    <t xml:space="preserve">ARMN-0947</t>
  </si>
  <si>
    <t xml:space="preserve">VF15SRKL465499307</t>
  </si>
  <si>
    <t xml:space="preserve">Anatoliy.Likarenko@carlsberg.ua</t>
  </si>
  <si>
    <t xml:space="preserve">KA5045AO</t>
  </si>
  <si>
    <t xml:space="preserve">Палій Василь Михайлович</t>
  </si>
  <si>
    <t xml:space="preserve">09084</t>
  </si>
  <si>
    <t xml:space="preserve">ARND-0739</t>
  </si>
  <si>
    <t xml:space="preserve">ARMN-0958</t>
  </si>
  <si>
    <t xml:space="preserve">VF15SRKL465499352</t>
  </si>
  <si>
    <t xml:space="preserve">Vasyl.Paliy@carlsberg.ua</t>
  </si>
  <si>
    <t xml:space="preserve">KA5047AO</t>
  </si>
  <si>
    <t xml:space="preserve">Коровін Віталій Андрійович</t>
  </si>
  <si>
    <t xml:space="preserve">02511</t>
  </si>
  <si>
    <t xml:space="preserve">ARND-0813</t>
  </si>
  <si>
    <t xml:space="preserve">ARMN-0395</t>
  </si>
  <si>
    <t xml:space="preserve">VF15SRKL465499350</t>
  </si>
  <si>
    <t xml:space="preserve">Vitaliy.Korovin@carlsberg.ua</t>
  </si>
  <si>
    <t xml:space="preserve">KA5049AO</t>
  </si>
  <si>
    <t xml:space="preserve">Савчук Олександр Володимирович</t>
  </si>
  <si>
    <t xml:space="preserve">02216</t>
  </si>
  <si>
    <t xml:space="preserve">ARND-0740</t>
  </si>
  <si>
    <t xml:space="preserve">ARMN-0957</t>
  </si>
  <si>
    <t xml:space="preserve">VF15SRKL465499315</t>
  </si>
  <si>
    <t xml:space="preserve">Alexander.Savchuk@carlsberg.ua</t>
  </si>
  <si>
    <t xml:space="preserve">KA5052AO</t>
  </si>
  <si>
    <t xml:space="preserve">Курдибаха Наталя Олексіївна</t>
  </si>
  <si>
    <t xml:space="preserve">01728</t>
  </si>
  <si>
    <t xml:space="preserve">ARND-0814</t>
  </si>
  <si>
    <t xml:space="preserve">ARMN-0795</t>
  </si>
  <si>
    <t xml:space="preserve">VF15SRKL465499353</t>
  </si>
  <si>
    <t xml:space="preserve">Natalia.Kurdybakha@carlsberg.ua</t>
  </si>
  <si>
    <t xml:space="preserve">KA5053AO</t>
  </si>
  <si>
    <t xml:space="preserve">Іщенко Олександр Юрійович</t>
  </si>
  <si>
    <t xml:space="preserve">01649</t>
  </si>
  <si>
    <t xml:space="preserve">ARND-0815</t>
  </si>
  <si>
    <t xml:space="preserve">ARMN-0796</t>
  </si>
  <si>
    <t xml:space="preserve">VF15SRKL465499262</t>
  </si>
  <si>
    <t xml:space="preserve">Oleksandr.Ishchenko@carlsberg.ua</t>
  </si>
  <si>
    <t xml:space="preserve">KA5054AO</t>
  </si>
  <si>
    <t xml:space="preserve">Дуплій Наталія Миколаївна</t>
  </si>
  <si>
    <t xml:space="preserve">02123</t>
  </si>
  <si>
    <t xml:space="preserve">ARND-0735</t>
  </si>
  <si>
    <t xml:space="preserve">ARMN-0953</t>
  </si>
  <si>
    <t xml:space="preserve">VF15SRKL465499270</t>
  </si>
  <si>
    <t xml:space="preserve">Natalya.Dupliy@carlsberg.ua</t>
  </si>
  <si>
    <t xml:space="preserve">KA5714AO</t>
  </si>
  <si>
    <t xml:space="preserve">Мельник Олексій Володимирович</t>
  </si>
  <si>
    <t xml:space="preserve">02507</t>
  </si>
  <si>
    <t xml:space="preserve">ARND-0731</t>
  </si>
  <si>
    <t xml:space="preserve">ARMN-0949</t>
  </si>
  <si>
    <t xml:space="preserve">VF15SRKL465499345</t>
  </si>
  <si>
    <t xml:space="preserve">Alexey.Melnik@carlsberg.ua</t>
  </si>
  <si>
    <t xml:space="preserve">KA6758AX</t>
  </si>
  <si>
    <t xml:space="preserve">Гащук Олег Петрович</t>
  </si>
  <si>
    <t xml:space="preserve">04315</t>
  </si>
  <si>
    <t xml:space="preserve">ARND-0733</t>
  </si>
  <si>
    <t xml:space="preserve">ARMN-0950</t>
  </si>
  <si>
    <t xml:space="preserve">VF15SRKL465499306</t>
  </si>
  <si>
    <t xml:space="preserve">Oleg.Gaschuk@carlsberg.ua</t>
  </si>
  <si>
    <t xml:space="preserve">KA6759AX</t>
  </si>
  <si>
    <t xml:space="preserve">Тарасов Ігор Володимирович</t>
  </si>
  <si>
    <t xml:space="preserve">10106</t>
  </si>
  <si>
    <t xml:space="preserve">Кременець</t>
  </si>
  <si>
    <t xml:space="preserve">ARND-0787</t>
  </si>
  <si>
    <t xml:space="preserve">ARMN-0937</t>
  </si>
  <si>
    <t xml:space="preserve">VF15SRKL465499259</t>
  </si>
  <si>
    <t xml:space="preserve">ihor.tarasov@carlsberg.ua</t>
  </si>
  <si>
    <t xml:space="preserve">KA6761AX</t>
  </si>
  <si>
    <t xml:space="preserve">Роботишин Віталій Володимирович</t>
  </si>
  <si>
    <t xml:space="preserve">04321</t>
  </si>
  <si>
    <t xml:space="preserve">ARME-0333</t>
  </si>
  <si>
    <t xml:space="preserve">ARLM-0107</t>
  </si>
  <si>
    <t xml:space="preserve">VF15SRKL465499365</t>
  </si>
  <si>
    <t xml:space="preserve">Vitaliy.Robotyshyn@carlsberg.ua</t>
  </si>
  <si>
    <t xml:space="preserve">KA6762AX</t>
  </si>
  <si>
    <t xml:space="preserve">Логанюк Антон Дмитрович</t>
  </si>
  <si>
    <t xml:space="preserve">02562</t>
  </si>
  <si>
    <t xml:space="preserve">ARND-0737</t>
  </si>
  <si>
    <t xml:space="preserve">ARMN-0960</t>
  </si>
  <si>
    <t xml:space="preserve">VF15SRKL465499372</t>
  </si>
  <si>
    <t xml:space="preserve">Anton.Loganiuk@carlsberg.ua</t>
  </si>
  <si>
    <t xml:space="preserve">KA6763AX</t>
  </si>
  <si>
    <t xml:space="preserve">02315</t>
  </si>
  <si>
    <t xml:space="preserve">ARND-0812</t>
  </si>
  <si>
    <t xml:space="preserve">ARMN-0802</t>
  </si>
  <si>
    <t xml:space="preserve">VF15SRKL465499374</t>
  </si>
  <si>
    <t xml:space="preserve">KA7109AT</t>
  </si>
  <si>
    <t xml:space="preserve">Мартинюк Андрій Васильович</t>
  </si>
  <si>
    <t xml:space="preserve">04195</t>
  </si>
  <si>
    <t xml:space="preserve">ARND-0725</t>
  </si>
  <si>
    <t xml:space="preserve">ARMN-0943</t>
  </si>
  <si>
    <t xml:space="preserve">VF15SRKL465499366</t>
  </si>
  <si>
    <t xml:space="preserve">Andriy.Martynyuk@carlsberg.ua</t>
  </si>
  <si>
    <t xml:space="preserve">KA7114AT</t>
  </si>
  <si>
    <t xml:space="preserve">Гаврик Сергій Іванович</t>
  </si>
  <si>
    <t xml:space="preserve">02549</t>
  </si>
  <si>
    <t xml:space="preserve">ARND-0727</t>
  </si>
  <si>
    <t xml:space="preserve">ARMN-0945</t>
  </si>
  <si>
    <t xml:space="preserve">VF15SRKL465499260</t>
  </si>
  <si>
    <t xml:space="preserve">Sergey.Gavrik@carlsberg.ua</t>
  </si>
  <si>
    <t xml:space="preserve">KA7116AT</t>
  </si>
  <si>
    <t xml:space="preserve">Степанов Сергій Володимирович</t>
  </si>
  <si>
    <t xml:space="preserve">02249</t>
  </si>
  <si>
    <t xml:space="preserve">ARME-0334</t>
  </si>
  <si>
    <t xml:space="preserve">ARLM-0117</t>
  </si>
  <si>
    <t xml:space="preserve">VF15SRKL465499371</t>
  </si>
  <si>
    <t xml:space="preserve">Sergey.Stepanov@carlsberg.ua</t>
  </si>
  <si>
    <t xml:space="preserve">KA7120AT</t>
  </si>
  <si>
    <t xml:space="preserve">Приходько Ігор Валерійович</t>
  </si>
  <si>
    <t xml:space="preserve">01470</t>
  </si>
  <si>
    <t xml:space="preserve">ARND-0790</t>
  </si>
  <si>
    <t xml:space="preserve">ARMN-0940</t>
  </si>
  <si>
    <t xml:space="preserve">VF15SRKL465499319</t>
  </si>
  <si>
    <t xml:space="preserve">Ihor.Prykhodko@carlsberg.ua</t>
  </si>
  <si>
    <t xml:space="preserve">KA3176AT</t>
  </si>
  <si>
    <t xml:space="preserve">Хамітов Роман Григорович </t>
  </si>
  <si>
    <t xml:space="preserve">72580</t>
  </si>
  <si>
    <t xml:space="preserve">Керівник напрямку управління поставками</t>
  </si>
  <si>
    <t xml:space="preserve">Напрям управління поставками</t>
  </si>
  <si>
    <t xml:space="preserve">ARND-0760</t>
  </si>
  <si>
    <t xml:space="preserve">ARMN-0326</t>
  </si>
  <si>
    <t xml:space="preserve">VF1RFB00665499530</t>
  </si>
  <si>
    <t xml:space="preserve">Roman.Hamitov@carlsberg.ua</t>
  </si>
  <si>
    <t xml:space="preserve">KA3178AT</t>
  </si>
  <si>
    <t xml:space="preserve">Маринич Володимир Володимирович</t>
  </si>
  <si>
    <t xml:space="preserve">09078</t>
  </si>
  <si>
    <t xml:space="preserve">Менеджер з розвитку напряму розливної продукції</t>
  </si>
  <si>
    <t xml:space="preserve">ARND-0792</t>
  </si>
  <si>
    <t xml:space="preserve">ARMN-0830</t>
  </si>
  <si>
    <t xml:space="preserve">VF1RFB00465499526</t>
  </si>
  <si>
    <t xml:space="preserve">Vladimir.Marinich@carlsberg.ua</t>
  </si>
  <si>
    <t xml:space="preserve">KA3179AT</t>
  </si>
  <si>
    <t xml:space="preserve">Галас Василь Васильович</t>
  </si>
  <si>
    <t xml:space="preserve">09521</t>
  </si>
  <si>
    <t xml:space="preserve">Менеджер з продажу на території</t>
  </si>
  <si>
    <t xml:space="preserve">ARND-0793</t>
  </si>
  <si>
    <t xml:space="preserve">ARMN-0835</t>
  </si>
  <si>
    <t xml:space="preserve">VF1RFB00365499551</t>
  </si>
  <si>
    <t xml:space="preserve">Vasyl.Galas@carlsberg.ua</t>
  </si>
  <si>
    <t xml:space="preserve">KA3180AT</t>
  </si>
  <si>
    <t xml:space="preserve">Холод Максим Володимирович</t>
  </si>
  <si>
    <t xml:space="preserve">02499</t>
  </si>
  <si>
    <t xml:space="preserve">ARND-0791</t>
  </si>
  <si>
    <t xml:space="preserve">ARMN-0837</t>
  </si>
  <si>
    <t xml:space="preserve">VF1RFB00465499557</t>
  </si>
  <si>
    <t xml:space="preserve">Maxim.Holod@carlsberg.ua</t>
  </si>
  <si>
    <t xml:space="preserve">KA3182AT</t>
  </si>
  <si>
    <t xml:space="preserve">Сироїжко Ірина Олександрівна</t>
  </si>
  <si>
    <t xml:space="preserve">08568</t>
  </si>
  <si>
    <t xml:space="preserve">Менеджер з маркетингу торгових каналів</t>
  </si>
  <si>
    <t xml:space="preserve">ARND-0807</t>
  </si>
  <si>
    <t xml:space="preserve">ARMN-0809</t>
  </si>
  <si>
    <t xml:space="preserve">VF1RFB00965499554</t>
  </si>
  <si>
    <t xml:space="preserve">Irina.Siroezhko@carlsberg.ua</t>
  </si>
  <si>
    <t xml:space="preserve">KA3185AT</t>
  </si>
  <si>
    <t xml:space="preserve">Буянов Володимир Вікторович</t>
  </si>
  <si>
    <t xml:space="preserve">08841</t>
  </si>
  <si>
    <t xml:space="preserve">ARND-1650</t>
  </si>
  <si>
    <t xml:space="preserve">ARMN-0322</t>
  </si>
  <si>
    <t xml:space="preserve">VF1RFB00765499536</t>
  </si>
  <si>
    <t xml:space="preserve">Vladimir.Buyanov@carlsberg.ua</t>
  </si>
  <si>
    <t xml:space="preserve">KA3186AT</t>
  </si>
  <si>
    <t xml:space="preserve">Безчастний Микола Сергійович</t>
  </si>
  <si>
    <t xml:space="preserve">02209</t>
  </si>
  <si>
    <t xml:space="preserve">Менеджер по роботі з ключовими локальними клієнтами </t>
  </si>
  <si>
    <t xml:space="preserve">ARND-0753</t>
  </si>
  <si>
    <t xml:space="preserve">ARMN-0886</t>
  </si>
  <si>
    <t xml:space="preserve">VF1RFB00865499562</t>
  </si>
  <si>
    <t xml:space="preserve">Nikolay.Beschastniy@carlsberg.ua</t>
  </si>
  <si>
    <t xml:space="preserve">KA3189AT</t>
  </si>
  <si>
    <t xml:space="preserve">Хаврона Сергій Петрович</t>
  </si>
  <si>
    <t xml:space="preserve">09187</t>
  </si>
  <si>
    <t xml:space="preserve">ARND-0794</t>
  </si>
  <si>
    <t xml:space="preserve">ARMN-0832</t>
  </si>
  <si>
    <t xml:space="preserve">VF1RFB00965499537</t>
  </si>
  <si>
    <t xml:space="preserve">Sergey.Havrona@carlsberg.ua</t>
  </si>
  <si>
    <t xml:space="preserve">KA3194AT</t>
  </si>
  <si>
    <t xml:space="preserve">Яковлєв Вячеслав Миколайович</t>
  </si>
  <si>
    <t xml:space="preserve">00929</t>
  </si>
  <si>
    <t xml:space="preserve">ARND-1646</t>
  </si>
  <si>
    <t xml:space="preserve">ARMN-0327</t>
  </si>
  <si>
    <t xml:space="preserve">VF1RFB00865499545</t>
  </si>
  <si>
    <t xml:space="preserve">Vyacheslav.Yakovlev@carlsberg.ua</t>
  </si>
  <si>
    <t xml:space="preserve">KA3196AT</t>
  </si>
  <si>
    <t xml:space="preserve">Райкевич Андрій Сергійович</t>
  </si>
  <si>
    <t xml:space="preserve">06647</t>
  </si>
  <si>
    <t xml:space="preserve">Керівник напрямку зворотної тари та вторсировини</t>
  </si>
  <si>
    <t xml:space="preserve">ARND-1645</t>
  </si>
  <si>
    <t xml:space="preserve">ARMN-0343</t>
  </si>
  <si>
    <t xml:space="preserve">VF1RFB00865499531</t>
  </si>
  <si>
    <t xml:space="preserve">Andrii.Raikevych@carlsberg.ua</t>
  </si>
  <si>
    <t xml:space="preserve">KA3198AT</t>
  </si>
  <si>
    <t xml:space="preserve">Макаровець Станіслав Едуардович</t>
  </si>
  <si>
    <t xml:space="preserve">03446</t>
  </si>
  <si>
    <t xml:space="preserve">Майстер з транспорту</t>
  </si>
  <si>
    <t xml:space="preserve">Відділ забезпечення транспортом</t>
  </si>
  <si>
    <t xml:space="preserve">ARND-0806</t>
  </si>
  <si>
    <t xml:space="preserve">ARMN-0817</t>
  </si>
  <si>
    <t xml:space="preserve">VF1RFB00265499559</t>
  </si>
  <si>
    <t xml:space="preserve">Stanislav.Makarovets@carlsberg.ua</t>
  </si>
  <si>
    <t xml:space="preserve">KA3276AT</t>
  </si>
  <si>
    <t xml:space="preserve">Лабек Юрій Олегович</t>
  </si>
  <si>
    <t xml:space="preserve">08379</t>
  </si>
  <si>
    <t xml:space="preserve">ARND-0751</t>
  </si>
  <si>
    <t xml:space="preserve">ARMN-0312</t>
  </si>
  <si>
    <t xml:space="preserve">VF1RFB00365499548</t>
  </si>
  <si>
    <t xml:space="preserve">Yuriy.Labek@carlsberg.ua</t>
  </si>
  <si>
    <t xml:space="preserve">KA3278AT</t>
  </si>
  <si>
    <t xml:space="preserve">Лобанчиков Вадим Олегович</t>
  </si>
  <si>
    <t xml:space="preserve">09638</t>
  </si>
  <si>
    <t xml:space="preserve">ARND-0803</t>
  </si>
  <si>
    <t xml:space="preserve">ARMN-0824</t>
  </si>
  <si>
    <t xml:space="preserve">VF1RFB00265499556</t>
  </si>
  <si>
    <t xml:space="preserve">Vadim.Lobanchikov@carlsberg.ua</t>
  </si>
  <si>
    <t xml:space="preserve">KA3279AT</t>
  </si>
  <si>
    <t xml:space="preserve">Яковенко Юрій Олександрович</t>
  </si>
  <si>
    <t xml:space="preserve">09639</t>
  </si>
  <si>
    <t xml:space="preserve">ARND-0755</t>
  </si>
  <si>
    <t xml:space="preserve">ARMN-0885</t>
  </si>
  <si>
    <t xml:space="preserve">VF1RFB00365499534</t>
  </si>
  <si>
    <t xml:space="preserve">Yuriy.Yakovenko@carlsberg.ua</t>
  </si>
  <si>
    <t xml:space="preserve">KA3281AT</t>
  </si>
  <si>
    <t xml:space="preserve">Кисляк Ігор Ростиславович</t>
  </si>
  <si>
    <t xml:space="preserve">04152</t>
  </si>
  <si>
    <t xml:space="preserve">ARND-0752</t>
  </si>
  <si>
    <t xml:space="preserve">ARMN-0903</t>
  </si>
  <si>
    <t xml:space="preserve">VF1RFB00165499564</t>
  </si>
  <si>
    <t xml:space="preserve">Igor.Kyslyak@carlsberg.ua</t>
  </si>
  <si>
    <t xml:space="preserve">KA3286AT</t>
  </si>
  <si>
    <t xml:space="preserve">Сікотовський Любомир Богданович</t>
  </si>
  <si>
    <t xml:space="preserve">07697</t>
  </si>
  <si>
    <t xml:space="preserve">ARND1644</t>
  </si>
  <si>
    <t xml:space="preserve">ARMN-0338</t>
  </si>
  <si>
    <t xml:space="preserve">VF1RFB00365499525</t>
  </si>
  <si>
    <t xml:space="preserve">Lyubomyr.Sikotovskyy@carlsberg.ua</t>
  </si>
  <si>
    <t xml:space="preserve">KA3287AT</t>
  </si>
  <si>
    <t xml:space="preserve">Заяць Роман Богданович</t>
  </si>
  <si>
    <t xml:space="preserve">02055</t>
  </si>
  <si>
    <t xml:space="preserve">ARND-0799</t>
  </si>
  <si>
    <t xml:space="preserve">ARMN-0819</t>
  </si>
  <si>
    <t xml:space="preserve">VF1RFB00X65499532</t>
  </si>
  <si>
    <t xml:space="preserve">Roman.Zayats@carlsberg.ua</t>
  </si>
  <si>
    <t xml:space="preserve">KA3294AT</t>
  </si>
  <si>
    <t xml:space="preserve">Чаюк Руслан Анатолійович</t>
  </si>
  <si>
    <t xml:space="preserve">02256</t>
  </si>
  <si>
    <t xml:space="preserve">ARND-1647</t>
  </si>
  <si>
    <t xml:space="preserve">ARMN-0328</t>
  </si>
  <si>
    <t xml:space="preserve">VF1RFB00465499543</t>
  </si>
  <si>
    <t xml:space="preserve">Ruslan.Chayuk@carlsberg.ua</t>
  </si>
  <si>
    <t xml:space="preserve">KA3295AT</t>
  </si>
  <si>
    <t xml:space="preserve">Невмержицький Віктор Петрович</t>
  </si>
  <si>
    <t xml:space="preserve">04028</t>
  </si>
  <si>
    <t xml:space="preserve">ARND-0804</t>
  </si>
  <si>
    <t xml:space="preserve">ARMN-0821</t>
  </si>
  <si>
    <t xml:space="preserve">VF1RFB00165499533</t>
  </si>
  <si>
    <t xml:space="preserve">Viktor.Nevmerzhitsky@carlsberg.ua</t>
  </si>
  <si>
    <t xml:space="preserve">KA6761AP</t>
  </si>
  <si>
    <t xml:space="preserve">Воропаєв Руслан Олександрович</t>
  </si>
  <si>
    <t xml:space="preserve">02450</t>
  </si>
  <si>
    <t xml:space="preserve">ARND-1649</t>
  </si>
  <si>
    <t xml:space="preserve">ARMN-0323</t>
  </si>
  <si>
    <t xml:space="preserve">VF1RFB00665499527</t>
  </si>
  <si>
    <t xml:space="preserve">Ruslan.Voropaev@carlsberg.ua</t>
  </si>
  <si>
    <t xml:space="preserve">KA6763AP</t>
  </si>
  <si>
    <t xml:space="preserve">Григор'єв Олег Ігоревич</t>
  </si>
  <si>
    <t xml:space="preserve">02226</t>
  </si>
  <si>
    <t xml:space="preserve">ARND-0795</t>
  </si>
  <si>
    <t xml:space="preserve">ARMN-0834</t>
  </si>
  <si>
    <t xml:space="preserve">VF1RFB00665499558</t>
  </si>
  <si>
    <t xml:space="preserve">Oleg.Grigoryev@carlsberg.ua</t>
  </si>
  <si>
    <t xml:space="preserve">KA6765AP</t>
  </si>
  <si>
    <t xml:space="preserve">Гусєв Денис Олександрович</t>
  </si>
  <si>
    <t xml:space="preserve">07803</t>
  </si>
  <si>
    <t xml:space="preserve">ARND-1648</t>
  </si>
  <si>
    <t xml:space="preserve">ARMN-0329</t>
  </si>
  <si>
    <t xml:space="preserve">VF1RFB00665499561</t>
  </si>
  <si>
    <t xml:space="preserve">Denis.Gusev@carlsberg.ua</t>
  </si>
  <si>
    <t xml:space="preserve">KA6780AP</t>
  </si>
  <si>
    <t xml:space="preserve">Коровяковський Олександр Вікторович</t>
  </si>
  <si>
    <t xml:space="preserve">02091</t>
  </si>
  <si>
    <t xml:space="preserve">ARND-0802</t>
  </si>
  <si>
    <t xml:space="preserve">ARMN-0825</t>
  </si>
  <si>
    <t xml:space="preserve">VF1RFB00765499553</t>
  </si>
  <si>
    <t xml:space="preserve">Alexander.Korovyakovskiy@carlsberg.ua</t>
  </si>
  <si>
    <t xml:space="preserve">KA6781AP</t>
  </si>
  <si>
    <t xml:space="preserve">Бортник Руслан Володимирович</t>
  </si>
  <si>
    <t xml:space="preserve">08377</t>
  </si>
  <si>
    <t xml:space="preserve">Головний інженер</t>
  </si>
  <si>
    <t xml:space="preserve">Служба Головного інженера</t>
  </si>
  <si>
    <t xml:space="preserve">ARND-0805</t>
  </si>
  <si>
    <t xml:space="preserve">ARMN-0822</t>
  </si>
  <si>
    <t xml:space="preserve">VF1RFB00465499560</t>
  </si>
  <si>
    <t xml:space="preserve">Ruslan.Bortnik@carlsberg.ua</t>
  </si>
  <si>
    <t xml:space="preserve">KA6782AP</t>
  </si>
  <si>
    <t xml:space="preserve">Бігайло Володимир Іванович</t>
  </si>
  <si>
    <t xml:space="preserve">02446</t>
  </si>
  <si>
    <t xml:space="preserve">ARND-0754</t>
  </si>
  <si>
    <t xml:space="preserve">ARMN-0899</t>
  </si>
  <si>
    <t xml:space="preserve">VF1RFB00565499549</t>
  </si>
  <si>
    <t xml:space="preserve">Vladimir.Bigaylo@carlsberg.ua</t>
  </si>
  <si>
    <t xml:space="preserve">KA6783AP</t>
  </si>
  <si>
    <t xml:space="preserve">Чабан Іван Васильович</t>
  </si>
  <si>
    <t xml:space="preserve">02340</t>
  </si>
  <si>
    <t xml:space="preserve">ARND-1638</t>
  </si>
  <si>
    <t xml:space="preserve">ARMN-0332</t>
  </si>
  <si>
    <t xml:space="preserve">VF1RFB00865499528</t>
  </si>
  <si>
    <t xml:space="preserve">Ivan.Chaban@carlsberg.ua</t>
  </si>
  <si>
    <t xml:space="preserve">KA6784AP</t>
  </si>
  <si>
    <t xml:space="preserve">Батюшко Вячеслав Станіславович</t>
  </si>
  <si>
    <t xml:space="preserve">08156</t>
  </si>
  <si>
    <t xml:space="preserve">ARND-1636</t>
  </si>
  <si>
    <t xml:space="preserve">ARMN-0901</t>
  </si>
  <si>
    <t xml:space="preserve">VF1RFB00565499552</t>
  </si>
  <si>
    <t xml:space="preserve">Vyacheslav.Batyushko@carlsberg.ua</t>
  </si>
  <si>
    <t xml:space="preserve">KA6785AP</t>
  </si>
  <si>
    <t xml:space="preserve">Заїкін Роман Анатолійович</t>
  </si>
  <si>
    <t xml:space="preserve">02182</t>
  </si>
  <si>
    <t xml:space="preserve">ARND-1637</t>
  </si>
  <si>
    <t xml:space="preserve">ARMN-0318</t>
  </si>
  <si>
    <t xml:space="preserve">VF1RFB00X65499529</t>
  </si>
  <si>
    <t xml:space="preserve">Roman.Zaikin@carlsberg.ua</t>
  </si>
  <si>
    <t xml:space="preserve">KA6791AP</t>
  </si>
  <si>
    <t xml:space="preserve">Миронець Олексій Андрійович</t>
  </si>
  <si>
    <t xml:space="preserve">03833</t>
  </si>
  <si>
    <t xml:space="preserve">Менеджер з розвитку продажів в каналі ХоРеКа</t>
  </si>
  <si>
    <t xml:space="preserve">ARND-0800</t>
  </si>
  <si>
    <t xml:space="preserve">ARMN-0820</t>
  </si>
  <si>
    <t xml:space="preserve">VF1RFB00165499550</t>
  </si>
  <si>
    <t xml:space="preserve">Oleksiy.Myronets@carlsberg.ua</t>
  </si>
  <si>
    <t xml:space="preserve">KA6792AP</t>
  </si>
  <si>
    <t xml:space="preserve">Малишев Андрій Володимирович</t>
  </si>
  <si>
    <t xml:space="preserve">08168</t>
  </si>
  <si>
    <t xml:space="preserve">ARND-0798</t>
  </si>
  <si>
    <t xml:space="preserve">ARMN-0836</t>
  </si>
  <si>
    <t xml:space="preserve">VF1RFB00065499555</t>
  </si>
  <si>
    <t xml:space="preserve">Andrey.Malyshev@carlsberg.ua</t>
  </si>
  <si>
    <t xml:space="preserve">KA6796AP</t>
  </si>
  <si>
    <t xml:space="preserve">Харчишин Ігор Володимирович</t>
  </si>
  <si>
    <t xml:space="preserve">01599</t>
  </si>
  <si>
    <t xml:space="preserve">Менеджер з розвитку продажів каналу ключових мереж</t>
  </si>
  <si>
    <t xml:space="preserve">ARND-0797</t>
  </si>
  <si>
    <t xml:space="preserve">ARMN-0818</t>
  </si>
  <si>
    <t xml:space="preserve">VF1RFB00965499540</t>
  </si>
  <si>
    <t xml:space="preserve">Ihor.Kharchyshyn@carlsberg.ua</t>
  </si>
  <si>
    <t xml:space="preserve">KA6798AP</t>
  </si>
  <si>
    <t xml:space="preserve">Радченко Олександр Миколайович</t>
  </si>
  <si>
    <t xml:space="preserve">00601</t>
  </si>
  <si>
    <t xml:space="preserve">Майстер з ремонту</t>
  </si>
  <si>
    <t xml:space="preserve">ARND-0801</t>
  </si>
  <si>
    <t xml:space="preserve">ARMN-0831</t>
  </si>
  <si>
    <t xml:space="preserve">VF1RFB00965499547</t>
  </si>
  <si>
    <t xml:space="preserve">Alexander.Radchenko@carlsberg.ua</t>
  </si>
  <si>
    <t xml:space="preserve">KA4928AT</t>
  </si>
  <si>
    <t xml:space="preserve">Соловйов Павло Юрійович</t>
  </si>
  <si>
    <t xml:space="preserve">10112</t>
  </si>
  <si>
    <t xml:space="preserve">5.10.</t>
  </si>
  <si>
    <t xml:space="preserve">ARND-1687</t>
  </si>
  <si>
    <t xml:space="preserve">ARMN-0927</t>
  </si>
  <si>
    <t xml:space="preserve">VF15SRKL465499321</t>
  </si>
  <si>
    <t xml:space="preserve">Pavlo.Soloviov@carlsberg.ua</t>
  </si>
  <si>
    <t xml:space="preserve">KA4931AT</t>
  </si>
  <si>
    <t xml:space="preserve">01359</t>
  </si>
  <si>
    <t xml:space="preserve">Виноградів</t>
  </si>
  <si>
    <t xml:space="preserve">ARND-1673</t>
  </si>
  <si>
    <t xml:space="preserve">ARMN-0920</t>
  </si>
  <si>
    <t xml:space="preserve">VF15SRKL465499336</t>
  </si>
  <si>
    <t xml:space="preserve">Volodymyr.Semen@carlsberg.ua</t>
  </si>
  <si>
    <t xml:space="preserve">KA4935AT</t>
  </si>
  <si>
    <t xml:space="preserve">Балик Андрій Деонізович</t>
  </si>
  <si>
    <t xml:space="preserve">09939</t>
  </si>
  <si>
    <t xml:space="preserve">ARND-1675</t>
  </si>
  <si>
    <t xml:space="preserve">ARMN-0933</t>
  </si>
  <si>
    <t xml:space="preserve">VF15SRKL465499340</t>
  </si>
  <si>
    <t xml:space="preserve">Andriy.Balyk@carlsberg.ua</t>
  </si>
  <si>
    <t xml:space="preserve">KA4946AT</t>
  </si>
  <si>
    <t xml:space="preserve">Токарєв Ігор Віталійович</t>
  </si>
  <si>
    <t xml:space="preserve">01715</t>
  </si>
  <si>
    <t xml:space="preserve">ARND-1690</t>
  </si>
  <si>
    <t xml:space="preserve">ARMN-0289</t>
  </si>
  <si>
    <t xml:space="preserve">VF15SRKL465499351</t>
  </si>
  <si>
    <t xml:space="preserve">Ihor.tokariev@carlsberg.ua</t>
  </si>
  <si>
    <t xml:space="preserve">KA4950AT</t>
  </si>
  <si>
    <t xml:space="preserve">Матвіїшин Володимир Петрович</t>
  </si>
  <si>
    <t xml:space="preserve">01407</t>
  </si>
  <si>
    <t xml:space="preserve">ARND-1674</t>
  </si>
  <si>
    <t xml:space="preserve">ARMN-0914</t>
  </si>
  <si>
    <t xml:space="preserve">VF15SRKL465499370</t>
  </si>
  <si>
    <t xml:space="preserve">Volodymyr.Matviishyn@carlsberg.ua</t>
  </si>
  <si>
    <t xml:space="preserve">KA4952AT</t>
  </si>
  <si>
    <t xml:space="preserve">Омельяненко Євгеній Сергійович</t>
  </si>
  <si>
    <t xml:space="preserve">01477</t>
  </si>
  <si>
    <t xml:space="preserve">ARND-1665</t>
  </si>
  <si>
    <t xml:space="preserve">ARMN-0894</t>
  </si>
  <si>
    <t xml:space="preserve">VF15SRKL465499344</t>
  </si>
  <si>
    <t xml:space="preserve">Yevhenii.Omelianenko@carlsberg.ua</t>
  </si>
  <si>
    <t xml:space="preserve">KA4954AT</t>
  </si>
  <si>
    <t xml:space="preserve">Коритко Тарас Петрович</t>
  </si>
  <si>
    <t xml:space="preserve">01332</t>
  </si>
  <si>
    <t xml:space="preserve">ARND-1681</t>
  </si>
  <si>
    <t xml:space="preserve">ARMN-0929</t>
  </si>
  <si>
    <t xml:space="preserve">VF15SRKL465499343</t>
  </si>
  <si>
    <t xml:space="preserve">Taras.Korytko@carlsberg.ua</t>
  </si>
  <si>
    <t xml:space="preserve">KA4960AT</t>
  </si>
  <si>
    <t xml:space="preserve">Ганін Віктор Юрійович</t>
  </si>
  <si>
    <t xml:space="preserve">02135</t>
  </si>
  <si>
    <t xml:space="preserve">Каменець-Подольский</t>
  </si>
  <si>
    <t xml:space="preserve">ARND-1683</t>
  </si>
  <si>
    <t xml:space="preserve">ARMN-0925</t>
  </si>
  <si>
    <t xml:space="preserve">VF15SRKL465499342</t>
  </si>
  <si>
    <t xml:space="preserve">Victor.Ganin@carlsberg.ua</t>
  </si>
  <si>
    <t xml:space="preserve">KA4962AT</t>
  </si>
  <si>
    <t xml:space="preserve">Щиборук Тарас Григорович</t>
  </si>
  <si>
    <t xml:space="preserve">04194</t>
  </si>
  <si>
    <t xml:space="preserve">ARND-1689</t>
  </si>
  <si>
    <t xml:space="preserve">ARMN-0287</t>
  </si>
  <si>
    <t xml:space="preserve">VF15SRKL465499318</t>
  </si>
  <si>
    <t xml:space="preserve">Taras.Shchyboruk@carlsberg.ua</t>
  </si>
  <si>
    <t xml:space="preserve">KA4964AT</t>
  </si>
  <si>
    <t xml:space="preserve">Нечай Юлія Олександрівна</t>
  </si>
  <si>
    <t xml:space="preserve">01605</t>
  </si>
  <si>
    <t xml:space="preserve">ARND-1679</t>
  </si>
  <si>
    <t xml:space="preserve">ARMN-0917</t>
  </si>
  <si>
    <t xml:space="preserve">VF15SRKL465499334</t>
  </si>
  <si>
    <t xml:space="preserve">Yuliia.Nechai@carlsberg.ua</t>
  </si>
  <si>
    <t xml:space="preserve">KA4965AT</t>
  </si>
  <si>
    <t xml:space="preserve">Любачівський Роман Орестович</t>
  </si>
  <si>
    <t xml:space="preserve">09436</t>
  </si>
  <si>
    <t xml:space="preserve">ARND-1680</t>
  </si>
  <si>
    <t xml:space="preserve">ARMN-0915</t>
  </si>
  <si>
    <t xml:space="preserve">VF15SRKL465499338</t>
  </si>
  <si>
    <t xml:space="preserve">Roman.Lybachivskiy@carlsberg.ua</t>
  </si>
  <si>
    <t xml:space="preserve">KA4966AT</t>
  </si>
  <si>
    <t xml:space="preserve">Приставка Олександр Михайлович</t>
  </si>
  <si>
    <t xml:space="preserve">04296</t>
  </si>
  <si>
    <t xml:space="preserve">Провідний фахівець з маркетингу торгових каналів</t>
  </si>
  <si>
    <t xml:space="preserve">ARND-1682</t>
  </si>
  <si>
    <t xml:space="preserve">ARMN-0926</t>
  </si>
  <si>
    <t xml:space="preserve">VF15SRKL465499323</t>
  </si>
  <si>
    <t xml:space="preserve">Oleksandr.Pristavka@carlsberg.ua</t>
  </si>
  <si>
    <t xml:space="preserve">KA7668AO</t>
  </si>
  <si>
    <t xml:space="preserve">Караван Ярослав Ярославович</t>
  </si>
  <si>
    <t xml:space="preserve">10127</t>
  </si>
  <si>
    <t xml:space="preserve">Коломия</t>
  </si>
  <si>
    <t xml:space="preserve">ARND-1685</t>
  </si>
  <si>
    <t xml:space="preserve">ARMN-0924</t>
  </si>
  <si>
    <t xml:space="preserve">VF15SRKL465499324</t>
  </si>
  <si>
    <t xml:space="preserve">yaroslav.karavan@carlsberg.ua</t>
  </si>
  <si>
    <t xml:space="preserve">KA7669AO</t>
  </si>
  <si>
    <t xml:space="preserve">Писаренко Євген Анатолійович</t>
  </si>
  <si>
    <t xml:space="preserve">02416</t>
  </si>
  <si>
    <t xml:space="preserve">ARND-1654</t>
  </si>
  <si>
    <t xml:space="preserve">ARMN-0923</t>
  </si>
  <si>
    <t xml:space="preserve">VF15SRKL465499375</t>
  </si>
  <si>
    <t xml:space="preserve">Yevgeniy.Pisarenko@carlsberg.ua</t>
  </si>
  <si>
    <t xml:space="preserve">KA7674AO</t>
  </si>
  <si>
    <t xml:space="preserve">Тишковський Лев Володимирович</t>
  </si>
  <si>
    <t xml:space="preserve">01747</t>
  </si>
  <si>
    <t xml:space="preserve">Дрогобич</t>
  </si>
  <si>
    <t xml:space="preserve">ARND-1684</t>
  </si>
  <si>
    <t xml:space="preserve">ARMN-0928</t>
  </si>
  <si>
    <t xml:space="preserve">VF15SRKL465499376</t>
  </si>
  <si>
    <t xml:space="preserve">Lev.Tyshkovskyi@carlsberg.ua</t>
  </si>
  <si>
    <t xml:space="preserve">KA7680AO</t>
  </si>
  <si>
    <t xml:space="preserve">Лущенко Сергій Олександрович</t>
  </si>
  <si>
    <t xml:space="preserve">03748</t>
  </si>
  <si>
    <t xml:space="preserve">Коростень</t>
  </si>
  <si>
    <t xml:space="preserve">ARND-1664</t>
  </si>
  <si>
    <t xml:space="preserve">ARMN-0912</t>
  </si>
  <si>
    <t xml:space="preserve">VF15SRKL465499346</t>
  </si>
  <si>
    <t xml:space="preserve">Sergey.Luschenko@carlsberg.ua</t>
  </si>
  <si>
    <t xml:space="preserve">KA7688AO</t>
  </si>
  <si>
    <t xml:space="preserve">Герус Андрій Миколайович</t>
  </si>
  <si>
    <t xml:space="preserve">02458</t>
  </si>
  <si>
    <t xml:space="preserve">ARND-1686</t>
  </si>
  <si>
    <t xml:space="preserve">ARMN-0932</t>
  </si>
  <si>
    <t xml:space="preserve">VF15SRKL465499349</t>
  </si>
  <si>
    <t xml:space="preserve">Andrey.Gerus@carlsberg.ua</t>
  </si>
  <si>
    <t xml:space="preserve">KA7689AO</t>
  </si>
  <si>
    <t xml:space="preserve">Бужинський Олександр Борисович</t>
  </si>
  <si>
    <t xml:space="preserve">09385</t>
  </si>
  <si>
    <t xml:space="preserve">ARND-1652</t>
  </si>
  <si>
    <t xml:space="preserve">ARMN-0913</t>
  </si>
  <si>
    <t xml:space="preserve">VF15SRKL465499347</t>
  </si>
  <si>
    <t xml:space="preserve">Alexander.Buzhinskiy@carlsberg.ua</t>
  </si>
  <si>
    <t xml:space="preserve">KA7692AO</t>
  </si>
  <si>
    <t xml:space="preserve">Чорний Олексій Володимирович</t>
  </si>
  <si>
    <t xml:space="preserve">02224</t>
  </si>
  <si>
    <t xml:space="preserve">ARND-1688</t>
  </si>
  <si>
    <t xml:space="preserve">ARMN-0931</t>
  </si>
  <si>
    <t xml:space="preserve">VF15SRKL465499367</t>
  </si>
  <si>
    <t xml:space="preserve">Alexey.Cherniy@carlsberg.ua</t>
  </si>
  <si>
    <t xml:space="preserve">KA6812AP</t>
  </si>
  <si>
    <t xml:space="preserve">Зарицький Ярослав Михайлович</t>
  </si>
  <si>
    <t xml:space="preserve">09482</t>
  </si>
  <si>
    <t xml:space="preserve">ARND-0783</t>
  </si>
  <si>
    <t xml:space="preserve">ARMN-0676</t>
  </si>
  <si>
    <t xml:space="preserve">VF15SRKL465499266</t>
  </si>
  <si>
    <t xml:space="preserve">Yaroslav.Zaritskyy@carlsberg.ua</t>
  </si>
  <si>
    <t xml:space="preserve">KA6816AP</t>
  </si>
  <si>
    <t xml:space="preserve">Яремчук Олександр Ярославович</t>
  </si>
  <si>
    <t xml:space="preserve">02050</t>
  </si>
  <si>
    <t xml:space="preserve">Ахтырка</t>
  </si>
  <si>
    <t xml:space="preserve">ARND-0810</t>
  </si>
  <si>
    <t xml:space="preserve">ARMN-0826</t>
  </si>
  <si>
    <t xml:space="preserve">VF15SRKL465499272</t>
  </si>
  <si>
    <t xml:space="preserve">Alexander.Yaremchuk@carlsberg.ua</t>
  </si>
  <si>
    <t xml:space="preserve">KA6819AP</t>
  </si>
  <si>
    <t xml:space="preserve">Федоріна Наталія Олександрівна</t>
  </si>
  <si>
    <t xml:space="preserve">00934</t>
  </si>
  <si>
    <t xml:space="preserve">ARND-0785</t>
  </si>
  <si>
    <t xml:space="preserve">ARMN-0965</t>
  </si>
  <si>
    <t xml:space="preserve">VF15SRKL465499237</t>
  </si>
  <si>
    <t xml:space="preserve">Nataliia.Fedorina@carlsberg.ua</t>
  </si>
  <si>
    <t xml:space="preserve">KA6822AP</t>
  </si>
  <si>
    <t xml:space="preserve">Павлюк Юрій Вікторович</t>
  </si>
  <si>
    <t xml:space="preserve">04355</t>
  </si>
  <si>
    <t xml:space="preserve">ARND-0743</t>
  </si>
  <si>
    <t xml:space="preserve">ARMN-0814</t>
  </si>
  <si>
    <t xml:space="preserve">VF15SRKL465499314</t>
  </si>
  <si>
    <t xml:space="preserve">Yuriy.Pavliuk@carlsberg.ua</t>
  </si>
  <si>
    <t xml:space="preserve">KA6823AP</t>
  </si>
  <si>
    <t xml:space="preserve">Басараб Орест Ігорович</t>
  </si>
  <si>
    <t xml:space="preserve">08410</t>
  </si>
  <si>
    <t xml:space="preserve">ARND-0746</t>
  </si>
  <si>
    <t xml:space="preserve">ARMN-0815</t>
  </si>
  <si>
    <t xml:space="preserve">VF15SRKL465499239</t>
  </si>
  <si>
    <t xml:space="preserve">Orest.Basarab@carlsberg.ua</t>
  </si>
  <si>
    <t xml:space="preserve">KA6829AP</t>
  </si>
  <si>
    <t xml:space="preserve">Лінчук Максим Юрійович</t>
  </si>
  <si>
    <t xml:space="preserve">04308</t>
  </si>
  <si>
    <t xml:space="preserve">ARND-0745</t>
  </si>
  <si>
    <t xml:space="preserve">ARMN-0930</t>
  </si>
  <si>
    <t xml:space="preserve">VF15SRKL465499257</t>
  </si>
  <si>
    <t xml:space="preserve">Maksym.Linchuk@carlsberg.ua</t>
  </si>
  <si>
    <t xml:space="preserve">KA6830AP</t>
  </si>
  <si>
    <t xml:space="preserve">Пусєв Віталій Олександрович</t>
  </si>
  <si>
    <t xml:space="preserve">06248</t>
  </si>
  <si>
    <t xml:space="preserve">ARND-0744</t>
  </si>
  <si>
    <t xml:space="preserve">ARMN-0798</t>
  </si>
  <si>
    <t xml:space="preserve">VF15SRKL465499264</t>
  </si>
  <si>
    <t xml:space="preserve">Vitaliy.Pusev@carlsberg.ua</t>
  </si>
  <si>
    <t xml:space="preserve">KA6831AP</t>
  </si>
  <si>
    <t xml:space="preserve">Єрофєєв Ігор Валерійович</t>
  </si>
  <si>
    <t xml:space="preserve">09488</t>
  </si>
  <si>
    <t xml:space="preserve">ARND-0786</t>
  </si>
  <si>
    <t xml:space="preserve">ARMN-0966</t>
  </si>
  <si>
    <t xml:space="preserve">VF15SRKL465499226</t>
  </si>
  <si>
    <t xml:space="preserve">Igor.Erofeev@carlsberg.ua</t>
  </si>
  <si>
    <t xml:space="preserve">KA6832AP</t>
  </si>
  <si>
    <t xml:space="preserve">Стукало Тарас Петрович</t>
  </si>
  <si>
    <t xml:space="preserve">04145</t>
  </si>
  <si>
    <t xml:space="preserve">ARND-0750</t>
  </si>
  <si>
    <t xml:space="preserve">ARMN-0816</t>
  </si>
  <si>
    <t xml:space="preserve">VF15SRKL465499236</t>
  </si>
  <si>
    <t xml:space="preserve">Taras.Stukalo@carlsberg.ua</t>
  </si>
  <si>
    <t xml:space="preserve">KA6836AP</t>
  </si>
  <si>
    <t xml:space="preserve">Єрьомін Вадим Вікторович</t>
  </si>
  <si>
    <t xml:space="preserve">02529</t>
  </si>
  <si>
    <t xml:space="preserve">Курахово</t>
  </si>
  <si>
    <t xml:space="preserve">ARND-0741</t>
  </si>
  <si>
    <t xml:space="preserve">ARMN-0813</t>
  </si>
  <si>
    <t xml:space="preserve">VF15SRKL465499312</t>
  </si>
  <si>
    <t xml:space="preserve">Vadim.Eryomin@carlsberg.ua</t>
  </si>
  <si>
    <t xml:space="preserve">KA6841AP</t>
  </si>
  <si>
    <t xml:space="preserve">Добрянський Роман Романович</t>
  </si>
  <si>
    <t xml:space="preserve">04136</t>
  </si>
  <si>
    <t xml:space="preserve">ARND-0748</t>
  </si>
  <si>
    <t xml:space="preserve">ARMN-0808</t>
  </si>
  <si>
    <t xml:space="preserve">VF15SRKL465499232</t>
  </si>
  <si>
    <t xml:space="preserve">roman.dobryanskiy@carlsberg.ua</t>
  </si>
  <si>
    <t xml:space="preserve">KA6842AP</t>
  </si>
  <si>
    <t xml:space="preserve">Чуйков Олександр Анатолійович
</t>
  </si>
  <si>
    <t xml:space="preserve">01604</t>
  </si>
  <si>
    <t xml:space="preserve">ARND-0781</t>
  </si>
  <si>
    <t xml:space="preserve">ARMN-0964</t>
  </si>
  <si>
    <t xml:space="preserve">VF15SRKL465499311</t>
  </si>
  <si>
    <t xml:space="preserve">Oleksandr.Chuikov@carlsberg.ua</t>
  </si>
  <si>
    <t xml:space="preserve">KA6843AP</t>
  </si>
  <si>
    <t xml:space="preserve">Зеленіна Анна Павлівна</t>
  </si>
  <si>
    <t xml:space="preserve">01496</t>
  </si>
  <si>
    <t xml:space="preserve">ARND-0808</t>
  </si>
  <si>
    <t xml:space="preserve">ARMN-0807</t>
  </si>
  <si>
    <t xml:space="preserve">VF15SRKL465499230</t>
  </si>
  <si>
    <t xml:space="preserve">Anna.Zelenina@carlsberg.ua</t>
  </si>
  <si>
    <t xml:space="preserve">KA6846AP</t>
  </si>
  <si>
    <t xml:space="preserve">Бржиський Роман Васильович</t>
  </si>
  <si>
    <t xml:space="preserve">09422</t>
  </si>
  <si>
    <t xml:space="preserve">ARND-0788</t>
  </si>
  <si>
    <t xml:space="preserve">ARMN-0939</t>
  </si>
  <si>
    <t xml:space="preserve">VF15SRKL465499224</t>
  </si>
  <si>
    <t xml:space="preserve">Roman.Brzhytskiy@carlsberg.ua</t>
  </si>
  <si>
    <t xml:space="preserve">KA6857AP</t>
  </si>
  <si>
    <t xml:space="preserve">Пастушенко Євген Володимирович</t>
  </si>
  <si>
    <t xml:space="preserve">01589</t>
  </si>
  <si>
    <t xml:space="preserve">Первомайск</t>
  </si>
  <si>
    <t xml:space="preserve">ARND-0796</t>
  </si>
  <si>
    <t xml:space="preserve">ARMN-0823</t>
  </si>
  <si>
    <t xml:space="preserve">VF15SRKL465499305</t>
  </si>
  <si>
    <t xml:space="preserve">Yevhen.Pastushenko@carlsberg.ua</t>
  </si>
  <si>
    <t xml:space="preserve">KA6859AP</t>
  </si>
  <si>
    <t xml:space="preserve">Піпа Євгеній Георгійович</t>
  </si>
  <si>
    <t xml:space="preserve">02470</t>
  </si>
  <si>
    <t xml:space="preserve">ARND-0809</t>
  </si>
  <si>
    <t xml:space="preserve">ARMN-0810</t>
  </si>
  <si>
    <t xml:space="preserve">VF15SRKL465499258</t>
  </si>
  <si>
    <t xml:space="preserve">Yevhenii.pipa@carlsberg.ua</t>
  </si>
  <si>
    <t xml:space="preserve">KA6876AP</t>
  </si>
  <si>
    <t xml:space="preserve">Толстой Олексій Дмитрович</t>
  </si>
  <si>
    <t xml:space="preserve">01343</t>
  </si>
  <si>
    <t xml:space="preserve">ARND-0784</t>
  </si>
  <si>
    <t xml:space="preserve">ARMN-0675</t>
  </si>
  <si>
    <t xml:space="preserve">VF15SRKL465499309</t>
  </si>
  <si>
    <t xml:space="preserve">Oleksii.Tolstoi@carlsberg.ua</t>
  </si>
  <si>
    <t xml:space="preserve">KA9068AM</t>
  </si>
  <si>
    <t xml:space="preserve">Топчук Альна Анатоліївна </t>
  </si>
  <si>
    <t xml:space="preserve">01515</t>
  </si>
  <si>
    <t xml:space="preserve">ARND-0747</t>
  </si>
  <si>
    <t xml:space="preserve">ARMN-0811</t>
  </si>
  <si>
    <t xml:space="preserve">VF1RFB00065599459</t>
  </si>
  <si>
    <t xml:space="preserve">Alyona.Topchuk@carlsberg.ua</t>
  </si>
  <si>
    <t xml:space="preserve">KA9069AM</t>
  </si>
  <si>
    <t xml:space="preserve">Ревко Олексій Володимирович</t>
  </si>
  <si>
    <t xml:space="preserve">02459</t>
  </si>
  <si>
    <t xml:space="preserve">Заступнік директора заводу- головний інженер</t>
  </si>
  <si>
    <t xml:space="preserve">ARND-0742</t>
  </si>
  <si>
    <t xml:space="preserve">ARMN-0812</t>
  </si>
  <si>
    <t xml:space="preserve">VF1RFB00X65499546</t>
  </si>
  <si>
    <t xml:space="preserve">Alexey.Revko@carlsberg.ua</t>
  </si>
  <si>
    <t xml:space="preserve">KA5891BA</t>
  </si>
  <si>
    <t xml:space="preserve">Марковський Вадим Миколайович</t>
  </si>
  <si>
    <t xml:space="preserve">02108</t>
  </si>
  <si>
    <t xml:space="preserve">ARNС-0854</t>
  </si>
  <si>
    <t xml:space="preserve">ARMN-0384</t>
  </si>
  <si>
    <t xml:space="preserve">VF1RFB00465866635</t>
  </si>
  <si>
    <t xml:space="preserve">Vadym.Markovskyy@carlsberg.ua</t>
  </si>
  <si>
    <t xml:space="preserve">KA5879BA</t>
  </si>
  <si>
    <t xml:space="preserve">Волчанська Валерія В'ячеславівна</t>
  </si>
  <si>
    <t xml:space="preserve">02277</t>
  </si>
  <si>
    <t xml:space="preserve">Ровно</t>
  </si>
  <si>
    <t xml:space="preserve">ARND-0830</t>
  </si>
  <si>
    <t xml:space="preserve">ARMN-0850</t>
  </si>
  <si>
    <t xml:space="preserve">VF1RFB00065830635</t>
  </si>
  <si>
    <t xml:space="preserve">Valeria.Volchanskaya@carlsberg.ua</t>
  </si>
  <si>
    <t xml:space="preserve">KA5872BA</t>
  </si>
  <si>
    <t xml:space="preserve">Попова Тетяна Василівна</t>
  </si>
  <si>
    <t xml:space="preserve">08060</t>
  </si>
  <si>
    <t xml:space="preserve">ARND-0821</t>
  </si>
  <si>
    <t xml:space="preserve">ARMN-0851</t>
  </si>
  <si>
    <t xml:space="preserve">VF1RFB00465830623</t>
  </si>
  <si>
    <t xml:space="preserve">Tatyana.Popova@carlsberg.ua</t>
  </si>
  <si>
    <t xml:space="preserve">KA5873BA</t>
  </si>
  <si>
    <t xml:space="preserve">Сердюк Павло Васильович</t>
  </si>
  <si>
    <t xml:space="preserve">09390</t>
  </si>
  <si>
    <t xml:space="preserve">ARNC-0869</t>
  </si>
  <si>
    <t xml:space="preserve">ARMN-0873</t>
  </si>
  <si>
    <t xml:space="preserve">VF1RFB00X65599467</t>
  </si>
  <si>
    <t xml:space="preserve">Pavel.Serduk@carlsberg.ua</t>
  </si>
  <si>
    <t xml:space="preserve">KA5869BA</t>
  </si>
  <si>
    <t xml:space="preserve">Карнаух Віктор Іванович</t>
  </si>
  <si>
    <t xml:space="preserve">00343</t>
  </si>
  <si>
    <t xml:space="preserve">Провідний фахівець з безпеки підприємства</t>
  </si>
  <si>
    <t xml:space="preserve">служба безопасности</t>
  </si>
  <si>
    <t xml:space="preserve">ARNC-0870</t>
  </si>
  <si>
    <t xml:space="preserve">ARMN-0849</t>
  </si>
  <si>
    <t xml:space="preserve">VF1RFB00165830658</t>
  </si>
  <si>
    <t xml:space="preserve">Viktor.Karnauh@carlsberg.ua</t>
  </si>
  <si>
    <t xml:space="preserve">KA5867BA</t>
  </si>
  <si>
    <t xml:space="preserve">Калмиков Олександр Сергійович</t>
  </si>
  <si>
    <t xml:space="preserve">09859</t>
  </si>
  <si>
    <t xml:space="preserve">Менеджер з ІТ сервісів</t>
  </si>
  <si>
    <t xml:space="preserve">Відділ сервісів ІТ </t>
  </si>
  <si>
    <t xml:space="preserve">ИТ</t>
  </si>
  <si>
    <t xml:space="preserve">ARNC-2011</t>
  </si>
  <si>
    <t xml:space="preserve">ARMN-0848</t>
  </si>
  <si>
    <t xml:space="preserve">VF1RFB00665866636</t>
  </si>
  <si>
    <t xml:space="preserve">Alexander.Kalmykov@carlsberg.ua</t>
  </si>
  <si>
    <t xml:space="preserve">KA5882BA</t>
  </si>
  <si>
    <t xml:space="preserve">Андрійчук Вадим Іванович</t>
  </si>
  <si>
    <t xml:space="preserve">08022</t>
  </si>
  <si>
    <t xml:space="preserve">Менеджер із забезпечення найманим транспортом</t>
  </si>
  <si>
    <t xml:space="preserve">Напрям транспорта і дистрибуції</t>
  </si>
  <si>
    <t xml:space="preserve">ARND-0829</t>
  </si>
  <si>
    <t xml:space="preserve">ARMN-0852</t>
  </si>
  <si>
    <t xml:space="preserve">VF1RFB00065830621</t>
  </si>
  <si>
    <t xml:space="preserve">Vadim.Andriychuk@carlsberg.ua</t>
  </si>
  <si>
    <t xml:space="preserve">KA5899BA</t>
  </si>
  <si>
    <t xml:space="preserve">Чумаченко Сергій Вікторович</t>
  </si>
  <si>
    <t xml:space="preserve">00977</t>
  </si>
  <si>
    <t xml:space="preserve">Менеджер з власного та лізингового транспорту</t>
  </si>
  <si>
    <t xml:space="preserve">ARND-0822</t>
  </si>
  <si>
    <t xml:space="preserve">ARMN-0853</t>
  </si>
  <si>
    <t xml:space="preserve">VF1RFB00365599455</t>
  </si>
  <si>
    <t xml:space="preserve">Sergiy.Chumachenko@carlsberg.ua</t>
  </si>
  <si>
    <t xml:space="preserve">KA9542AT</t>
  </si>
  <si>
    <t xml:space="preserve">Цуканов Сергій Володимирович</t>
  </si>
  <si>
    <t xml:space="preserve">06245</t>
  </si>
  <si>
    <t xml:space="preserve">Начальник відділу IT бізнес сервісів та інфраструктури</t>
  </si>
  <si>
    <t xml:space="preserve">Відділ ІТ бізнес-сервісів та інфраструктури </t>
  </si>
  <si>
    <t xml:space="preserve">ARNС-0866</t>
  </si>
  <si>
    <t xml:space="preserve">ARMN-0866</t>
  </si>
  <si>
    <t xml:space="preserve">VF1RFB00065599462</t>
  </si>
  <si>
    <t xml:space="preserve">Sergey.Tsukanov@carlsberg.ua</t>
  </si>
  <si>
    <t xml:space="preserve">KA9541AT</t>
  </si>
  <si>
    <t xml:space="preserve">Чаєв Максим Олександрович</t>
  </si>
  <si>
    <t xml:space="preserve">04415</t>
  </si>
  <si>
    <t xml:space="preserve">ARNC-0852</t>
  </si>
  <si>
    <t xml:space="preserve">ARMN-0378</t>
  </si>
  <si>
    <t xml:space="preserve">VF1RFB00465599464</t>
  </si>
  <si>
    <t xml:space="preserve">Maxim.Chaev@carlsberg.ua</t>
  </si>
  <si>
    <t xml:space="preserve">KA9438AT</t>
  </si>
  <si>
    <t xml:space="preserve">Полянський Андрій Юрійович</t>
  </si>
  <si>
    <t xml:space="preserve">07867</t>
  </si>
  <si>
    <t xml:space="preserve">09239</t>
  </si>
  <si>
    <t xml:space="preserve">Головний енергетик</t>
  </si>
  <si>
    <t xml:space="preserve">Служба Головного енергетика</t>
  </si>
  <si>
    <t xml:space="preserve">ARNC-0851</t>
  </si>
  <si>
    <t xml:space="preserve">ARMN-0385</t>
  </si>
  <si>
    <t xml:space="preserve">VF1RFB00165599468</t>
  </si>
  <si>
    <t xml:space="preserve">Andrey.Polyanskiy@carlsberg.ua</t>
  </si>
  <si>
    <t xml:space="preserve">KA9546AT</t>
  </si>
  <si>
    <t xml:space="preserve">Кірсанов Олег Сергійович</t>
  </si>
  <si>
    <t xml:space="preserve">02456</t>
  </si>
  <si>
    <t xml:space="preserve">Менеджера з продажів на території каналу сучасної торгівлі</t>
  </si>
  <si>
    <t xml:space="preserve">ARNC-0864</t>
  </si>
  <si>
    <t xml:space="preserve">ARMN-0871</t>
  </si>
  <si>
    <t xml:space="preserve">VF1RFB00565499535</t>
  </si>
  <si>
    <t xml:space="preserve">Oleg.Kirsanov@carlsberg.ua</t>
  </si>
  <si>
    <t xml:space="preserve">KA9551AT</t>
  </si>
  <si>
    <t xml:space="preserve">Ончул Андрій Васильович</t>
  </si>
  <si>
    <t xml:space="preserve">09038</t>
  </si>
  <si>
    <t xml:space="preserve">ARNC-0857</t>
  </si>
  <si>
    <t xml:space="preserve">ARMN-0375</t>
  </si>
  <si>
    <t xml:space="preserve">VF1RFB00565599456</t>
  </si>
  <si>
    <t xml:space="preserve">Andriy.Onchul@carlsberg.ua</t>
  </si>
  <si>
    <t xml:space="preserve">KA9446AT</t>
  </si>
  <si>
    <t xml:space="preserve">Репецький Олег Віталійович</t>
  </si>
  <si>
    <t xml:space="preserve">09093</t>
  </si>
  <si>
    <t xml:space="preserve">ARNC-0861</t>
  </si>
  <si>
    <t xml:space="preserve">ARMN-0379</t>
  </si>
  <si>
    <t xml:space="preserve">VF1RFB00865830656</t>
  </si>
  <si>
    <t xml:space="preserve">Oleg.Repetskiy@carlsberg.ua</t>
  </si>
  <si>
    <t xml:space="preserve">KA9532AT</t>
  </si>
  <si>
    <t xml:space="preserve">Ганчук Дмитро Вікторович</t>
  </si>
  <si>
    <t xml:space="preserve">07791</t>
  </si>
  <si>
    <t xml:space="preserve">ARND-0818</t>
  </si>
  <si>
    <t xml:space="preserve">ARMN-0794</t>
  </si>
  <si>
    <t xml:space="preserve">VF1RFB00565599473</t>
  </si>
  <si>
    <t xml:space="preserve">Dmitriy.Ganchuk@carlsberg.ua</t>
  </si>
  <si>
    <t xml:space="preserve">KA9534AT</t>
  </si>
  <si>
    <t xml:space="preserve">Волянський Валентин Іванович</t>
  </si>
  <si>
    <t xml:space="preserve">04104</t>
  </si>
  <si>
    <t xml:space="preserve">ARNC-0853</t>
  </si>
  <si>
    <t xml:space="preserve">ARMN-0376</t>
  </si>
  <si>
    <t xml:space="preserve">VF1RFB00565599487</t>
  </si>
  <si>
    <t xml:space="preserve">Valentyn.Volyanskyy@carlsberg.ua</t>
  </si>
  <si>
    <t xml:space="preserve">KA9523AT</t>
  </si>
  <si>
    <r>
      <rPr>
        <sz val="10"/>
        <rFont val="Arial Cyr"/>
        <family val="0"/>
        <charset val="204"/>
      </rPr>
      <t xml:space="preserve">Renault </t>
    </r>
    <r>
      <rPr>
        <sz val="10"/>
        <rFont val="Times New Roman"/>
        <family val="1"/>
        <charset val="204"/>
      </rPr>
      <t xml:space="preserve">Megane 1.5 dCi Life </t>
    </r>
  </si>
  <si>
    <t xml:space="preserve">Чихман Олег Петрович</t>
  </si>
  <si>
    <t xml:space="preserve">09183</t>
  </si>
  <si>
    <t xml:space="preserve">ARND-0817</t>
  </si>
  <si>
    <t xml:space="preserve">ARMN-0787</t>
  </si>
  <si>
    <t xml:space="preserve">VF1RFB00565599490</t>
  </si>
  <si>
    <t xml:space="preserve">Oleg.Chihman@carlsberg.ua</t>
  </si>
  <si>
    <t xml:space="preserve">KA9526AT</t>
  </si>
  <si>
    <t xml:space="preserve">Столяренко Світлана Леонідівна</t>
  </si>
  <si>
    <t xml:space="preserve">02122</t>
  </si>
  <si>
    <t xml:space="preserve">ARNC-0858</t>
  </si>
  <si>
    <t xml:space="preserve">ARMN-0383</t>
  </si>
  <si>
    <t xml:space="preserve">VF1RFB00665599465</t>
  </si>
  <si>
    <t xml:space="preserve">Svetlana.Stolyarenko@carlsberg.ua</t>
  </si>
  <si>
    <t xml:space="preserve">KA9527AT</t>
  </si>
  <si>
    <t xml:space="preserve">Осауленко Ігор Анатолійович</t>
  </si>
  <si>
    <t xml:space="preserve">08242</t>
  </si>
  <si>
    <t xml:space="preserve">Менеджер ОТА</t>
  </si>
  <si>
    <t xml:space="preserve">Відділ торгового аудиту</t>
  </si>
  <si>
    <t xml:space="preserve">ARNC-0874</t>
  </si>
  <si>
    <t xml:space="preserve">ARMN-0387</t>
  </si>
  <si>
    <t xml:space="preserve">VF1RFB00665599482</t>
  </si>
  <si>
    <t xml:space="preserve">Igor.Osaulenko@carlsberg.ua</t>
  </si>
  <si>
    <t xml:space="preserve">KA9506AT</t>
  </si>
  <si>
    <t xml:space="preserve">Памірський Анатолій Євгенович</t>
  </si>
  <si>
    <t xml:space="preserve">02333</t>
  </si>
  <si>
    <t xml:space="preserve">ARND-0859</t>
  </si>
  <si>
    <t xml:space="preserve">ARMN-0382</t>
  </si>
  <si>
    <t xml:space="preserve">VF1RFB00765599457</t>
  </si>
  <si>
    <t xml:space="preserve">Anatoliy.Pamirskiy@carlsberg.ua</t>
  </si>
  <si>
    <t xml:space="preserve">KA9536AT</t>
  </si>
  <si>
    <t xml:space="preserve">Дубінін Костянтин Анатолійович</t>
  </si>
  <si>
    <t xml:space="preserve">09391</t>
  </si>
  <si>
    <t xml:space="preserve">ARNС-0819</t>
  </si>
  <si>
    <t xml:space="preserve">ARMN-0393</t>
  </si>
  <si>
    <t xml:space="preserve">VF1RFB00765599474</t>
  </si>
  <si>
    <t xml:space="preserve">Konstantin.Dubinin@carlsberg.ua</t>
  </si>
  <si>
    <t xml:space="preserve">KA5893BA</t>
  </si>
  <si>
    <t xml:space="preserve">Бендас Олександр Миколайович</t>
  </si>
  <si>
    <t xml:space="preserve">09545</t>
  </si>
  <si>
    <t xml:space="preserve">Менеджер відділу внутрішнього контролю та аудиту</t>
  </si>
  <si>
    <t xml:space="preserve">Відділ фінансів</t>
  </si>
  <si>
    <t xml:space="preserve">ARNC-0883</t>
  </si>
  <si>
    <t xml:space="preserve">ARMN-0391</t>
  </si>
  <si>
    <t xml:space="preserve">VF1RFB00965599461</t>
  </si>
  <si>
    <t xml:space="preserve">Alexandr.Bendas@carlsberg.ua</t>
  </si>
  <si>
    <t xml:space="preserve">KA9513AT</t>
  </si>
  <si>
    <t xml:space="preserve">Пивоваров Сергій Олександрович</t>
  </si>
  <si>
    <t xml:space="preserve">09553</t>
  </si>
  <si>
    <t xml:space="preserve">Відділ продаж Північно-Східного регіону</t>
  </si>
  <si>
    <t xml:space="preserve">ARNC-0878</t>
  </si>
  <si>
    <t xml:space="preserve">ARMN-0386</t>
  </si>
  <si>
    <t xml:space="preserve">VF1RFB00765599488</t>
  </si>
  <si>
    <t xml:space="preserve">Sergey.Pivovarov@carlsberg.ua</t>
  </si>
  <si>
    <t xml:space="preserve">KA9461AT</t>
  </si>
  <si>
    <t xml:space="preserve">Шеретько Олексій Романович</t>
  </si>
  <si>
    <t xml:space="preserve">07116</t>
  </si>
  <si>
    <t xml:space="preserve">ARNC-0873</t>
  </si>
  <si>
    <t xml:space="preserve">ARMN-0392</t>
  </si>
  <si>
    <t xml:space="preserve">VF1RFB00765599491</t>
  </si>
  <si>
    <t xml:space="preserve">Oleksiy.Sheretko@carlsberg.ua</t>
  </si>
  <si>
    <t xml:space="preserve">KA9467AT</t>
  </si>
  <si>
    <t xml:space="preserve">Сьорак Ігор Орестович</t>
  </si>
  <si>
    <t xml:space="preserve">09112</t>
  </si>
  <si>
    <t xml:space="preserve">ARNC-0872</t>
  </si>
  <si>
    <t xml:space="preserve">ARMN-0396</t>
  </si>
  <si>
    <t xml:space="preserve">VF1RFB00865599466</t>
  </si>
  <si>
    <t xml:space="preserve">Igor.Siorak@carlsberg.ua</t>
  </si>
  <si>
    <t xml:space="preserve">KA9468AT</t>
  </si>
  <si>
    <t xml:space="preserve">Комнатний Дмитро Валерійович</t>
  </si>
  <si>
    <t xml:space="preserve">01439</t>
  </si>
  <si>
    <t xml:space="preserve">Провідний менеджер з продажу в ключових мережах</t>
  </si>
  <si>
    <t xml:space="preserve">продажи офис RKA</t>
  </si>
  <si>
    <t xml:space="preserve">ARNC-0860</t>
  </si>
  <si>
    <t xml:space="preserve">ARMN-0381</t>
  </si>
  <si>
    <t xml:space="preserve">VF1RFB00865599483</t>
  </si>
  <si>
    <t xml:space="preserve">Dmytro.Komnatnyi@carlsberg.ua</t>
  </si>
  <si>
    <t xml:space="preserve">KA9426AT</t>
  </si>
  <si>
    <t xml:space="preserve">Маржец Юрій Анатолійович</t>
  </si>
  <si>
    <t xml:space="preserve">02217</t>
  </si>
  <si>
    <t xml:space="preserve">ARNC-0868</t>
  </si>
  <si>
    <t xml:space="preserve">ARMN-0872</t>
  </si>
  <si>
    <t xml:space="preserve">VF1RFB00965599458</t>
  </si>
  <si>
    <t xml:space="preserve">Yuriy.Marzhets@carlsberg.ua</t>
  </si>
  <si>
    <t xml:space="preserve">KA9510AT</t>
  </si>
  <si>
    <t xml:space="preserve">Швидкий Олександр Михайлович</t>
  </si>
  <si>
    <t xml:space="preserve">09349</t>
  </si>
  <si>
    <t xml:space="preserve">ARNC-0855</t>
  </si>
  <si>
    <t xml:space="preserve">ARMN-0377</t>
  </si>
  <si>
    <t xml:space="preserve">VF1RFB00765599460</t>
  </si>
  <si>
    <t xml:space="preserve">Alexander.Shvidkiy@carlsberg.ua</t>
  </si>
  <si>
    <t xml:space="preserve">KA9442AT</t>
  </si>
  <si>
    <t xml:space="preserve">Триконенко Людмила Рудольфівна</t>
  </si>
  <si>
    <t xml:space="preserve">08543</t>
  </si>
  <si>
    <t xml:space="preserve">ARNC-0882</t>
  </si>
  <si>
    <t xml:space="preserve">ARMN-0389</t>
  </si>
  <si>
    <t xml:space="preserve">VF1RFB00965599489</t>
  </si>
  <si>
    <t xml:space="preserve">Lyudmila.Trikonenko@carlsberg.ua</t>
  </si>
  <si>
    <t xml:space="preserve">KA9543AT</t>
  </si>
  <si>
    <t xml:space="preserve">Гімон Іванна Ігорівна</t>
  </si>
  <si>
    <t xml:space="preserve">08537</t>
  </si>
  <si>
    <t xml:space="preserve">ARNC-0856</t>
  </si>
  <si>
    <t xml:space="preserve">ARMN-0374</t>
  </si>
  <si>
    <t xml:space="preserve">VF1RFB00465599481</t>
  </si>
  <si>
    <t xml:space="preserve">Ivanna.Gymon@carlsberg.ua</t>
  </si>
  <si>
    <t xml:space="preserve">KA9436AT</t>
  </si>
  <si>
    <t xml:space="preserve">Хіміч Олександр Миколайович</t>
  </si>
  <si>
    <t xml:space="preserve">03424</t>
  </si>
  <si>
    <t xml:space="preserve">Електротехнічний цех</t>
  </si>
  <si>
    <t xml:space="preserve">ARNC-0862</t>
  </si>
  <si>
    <t xml:space="preserve">ARMN-0867</t>
  </si>
  <si>
    <t xml:space="preserve">VF1RFB00165599471</t>
  </si>
  <si>
    <t xml:space="preserve">alexander.khimich@carlsberg.ua</t>
  </si>
  <si>
    <t xml:space="preserve">KA9460AT</t>
  </si>
  <si>
    <t xml:space="preserve">Гнатів Андрій Богуславович</t>
  </si>
  <si>
    <t xml:space="preserve">06001</t>
  </si>
  <si>
    <t xml:space="preserve">майстер з транспорту</t>
  </si>
  <si>
    <t xml:space="preserve">ARNC-0875</t>
  </si>
  <si>
    <t xml:space="preserve">ARMN-0390</t>
  </si>
  <si>
    <t xml:space="preserve">VF1RFB00165599485</t>
  </si>
  <si>
    <t xml:space="preserve">Andriy.Gnativ@carlsberg.ua</t>
  </si>
  <si>
    <t xml:space="preserve">KA9459AT</t>
  </si>
  <si>
    <t xml:space="preserve">Тимошенко Марина Юріївна</t>
  </si>
  <si>
    <t xml:space="preserve">03712</t>
  </si>
  <si>
    <t xml:space="preserve">ARNC-0881</t>
  </si>
  <si>
    <t xml:space="preserve">ARMN-0380</t>
  </si>
  <si>
    <t xml:space="preserve">VF1RFB00265599463</t>
  </si>
  <si>
    <t xml:space="preserve">Marina.Tymoshenko@carlsberg.ua</t>
  </si>
  <si>
    <t xml:space="preserve">KA5892BA</t>
  </si>
  <si>
    <t xml:space="preserve">Баглай Дмитро Олегович</t>
  </si>
  <si>
    <t xml:space="preserve">03593</t>
  </si>
  <si>
    <t xml:space="preserve">Національний менеджер з розвитку пивних магазинів</t>
  </si>
  <si>
    <t xml:space="preserve">продажи XoPeKa офис</t>
  </si>
  <si>
    <t xml:space="preserve">ARNC-0871</t>
  </si>
  <si>
    <t xml:space="preserve">ARMN-0394</t>
  </si>
  <si>
    <t xml:space="preserve">VF1RFB00265599480</t>
  </si>
  <si>
    <t xml:space="preserve">Dmitriy.Baglay@carlsberg.ua</t>
  </si>
  <si>
    <t xml:space="preserve">KA9447AT</t>
  </si>
  <si>
    <t xml:space="preserve">Бубела Олена Вікторівна</t>
  </si>
  <si>
    <t xml:space="preserve">Менеджер з розвитку національних мереж</t>
  </si>
  <si>
    <t xml:space="preserve">ARNC-0863</t>
  </si>
  <si>
    <t xml:space="preserve">ARMN-0869</t>
  </si>
  <si>
    <t xml:space="preserve">VF1RFB00365599469</t>
  </si>
  <si>
    <t xml:space="preserve">Elena.Bubela@carlsberg.ua</t>
  </si>
  <si>
    <t xml:space="preserve">KA9453AT</t>
  </si>
  <si>
    <t xml:space="preserve">Софина Володимир Володимирович</t>
  </si>
  <si>
    <t xml:space="preserve">03150</t>
  </si>
  <si>
    <t xml:space="preserve">ARNC-0867</t>
  </si>
  <si>
    <t xml:space="preserve">ARMN-0864</t>
  </si>
  <si>
    <t xml:space="preserve">VF1RFB00365599472</t>
  </si>
  <si>
    <t xml:space="preserve">Volodymyr.Sofyna@carlsberg.ua</t>
  </si>
  <si>
    <t xml:space="preserve">KA9431AT</t>
  </si>
  <si>
    <t xml:space="preserve">Трошин Олексій Сергійович</t>
  </si>
  <si>
    <t xml:space="preserve">09854</t>
  </si>
  <si>
    <t xml:space="preserve">ARNC-0865</t>
  </si>
  <si>
    <t xml:space="preserve">ARMN-0870</t>
  </si>
  <si>
    <t xml:space="preserve">VF1RFB00365599486</t>
  </si>
  <si>
    <t xml:space="preserve">Alexey.Troshin@carlsberg.ua</t>
  </si>
  <si>
    <t xml:space="preserve">KA5764BA</t>
  </si>
  <si>
    <t xml:space="preserve">Зульфугаров Юрій Альбертович</t>
  </si>
  <si>
    <t xml:space="preserve">ARNC-0884</t>
  </si>
  <si>
    <t xml:space="preserve">ARMN-0388</t>
  </si>
  <si>
    <t xml:space="preserve">VF1RFB00065499538</t>
  </si>
  <si>
    <t xml:space="preserve">Yuriy.Zulfugarov@carlsberg.ua</t>
  </si>
  <si>
    <t xml:space="preserve">KA5038BB</t>
  </si>
  <si>
    <t xml:space="preserve">Renault Master 2.3 dCi L3H2 MT </t>
  </si>
  <si>
    <t xml:space="preserve">Пазюра Анатолій Михайлович</t>
  </si>
  <si>
    <t xml:space="preserve">09592</t>
  </si>
  <si>
    <t xml:space="preserve">Водій-експедитор</t>
  </si>
  <si>
    <t xml:space="preserve">5.20.</t>
  </si>
  <si>
    <t xml:space="preserve">ARND-0828</t>
  </si>
  <si>
    <t xml:space="preserve">ARMN-0857</t>
  </si>
  <si>
    <t xml:space="preserve">VF1MAFES665866019</t>
  </si>
  <si>
    <t xml:space="preserve">Anatoliy.Pazyra@carlsberg.ua</t>
  </si>
  <si>
    <t xml:space="preserve">KA2668BE</t>
  </si>
  <si>
    <t xml:space="preserve">Гребенюк Роман Володимирович</t>
  </si>
  <si>
    <t xml:space="preserve">02081</t>
  </si>
  <si>
    <r>
      <rPr>
        <sz val="10"/>
        <rFont val="Arial Cyr"/>
        <family val="0"/>
        <charset val="204"/>
      </rPr>
      <t xml:space="preserve">955857</t>
    </r>
    <r>
      <rPr>
        <sz val="9"/>
        <rFont val="Calibri"/>
        <family val="2"/>
        <charset val="204"/>
      </rPr>
      <t xml:space="preserve"> </t>
    </r>
  </si>
  <si>
    <t xml:space="preserve">ARND-0823</t>
  </si>
  <si>
    <t xml:space="preserve">ARMN-0855</t>
  </si>
  <si>
    <t xml:space="preserve">VF1RFB00X65599484</t>
  </si>
  <si>
    <t xml:space="preserve">Roman.Grebenyuk@carlsberg.ua</t>
  </si>
  <si>
    <t xml:space="preserve">KA2679BE</t>
  </si>
  <si>
    <t xml:space="preserve">Надикто Артур Андрійович</t>
  </si>
  <si>
    <t xml:space="preserve">04178</t>
  </si>
  <si>
    <r>
      <rPr>
        <sz val="10"/>
        <rFont val="Arial Cyr"/>
        <family val="0"/>
        <charset val="204"/>
      </rPr>
      <t xml:space="preserve">779141</t>
    </r>
    <r>
      <rPr>
        <sz val="9"/>
        <rFont val="Calibri"/>
        <family val="2"/>
        <charset val="204"/>
      </rPr>
      <t xml:space="preserve"> </t>
    </r>
  </si>
  <si>
    <t xml:space="preserve">ARND-0827</t>
  </si>
  <si>
    <t xml:space="preserve">ARMN-0856</t>
  </si>
  <si>
    <t xml:space="preserve">VF1RFB00X65599470</t>
  </si>
  <si>
    <t xml:space="preserve">Artur.Nadykto@carlsberg.ua</t>
  </si>
  <si>
    <t xml:space="preserve">KA5756BC</t>
  </si>
  <si>
    <t xml:space="preserve">Черкаська Вікторія Вадимівна</t>
  </si>
  <si>
    <t xml:space="preserve">02553</t>
  </si>
  <si>
    <t xml:space="preserve">ARNJ-0207</t>
  </si>
  <si>
    <t xml:space="preserve">ARND-0047</t>
  </si>
  <si>
    <t xml:space="preserve">VF15SRKL465728219</t>
  </si>
  <si>
    <t xml:space="preserve">Viktoriya.Cherkasskaya@carlsberg.ua</t>
  </si>
  <si>
    <t xml:space="preserve">KA5761BC</t>
  </si>
  <si>
    <t xml:space="preserve">Бойко Сергій Миколайович</t>
  </si>
  <si>
    <t xml:space="preserve">09455</t>
  </si>
  <si>
    <t xml:space="preserve">ARND-0834</t>
  </si>
  <si>
    <t xml:space="preserve">ARMN-0845</t>
  </si>
  <si>
    <t xml:space="preserve">VF15SRKL465728188</t>
  </si>
  <si>
    <t xml:space="preserve">Serhii.Boiko@carlsberg.ua</t>
  </si>
  <si>
    <t xml:space="preserve">KA6031BE</t>
  </si>
  <si>
    <t xml:space="preserve">Шаренко Вадим Юрійович.</t>
  </si>
  <si>
    <t xml:space="preserve">01388</t>
  </si>
  <si>
    <t xml:space="preserve">ARNJ-0219</t>
  </si>
  <si>
    <t xml:space="preserve">ARNE-0517</t>
  </si>
  <si>
    <t xml:space="preserve">VF15SRKL465728224</t>
  </si>
  <si>
    <t xml:space="preserve">Vadym.Sharenko@carlsberg.ua</t>
  </si>
  <si>
    <t xml:space="preserve">KA6034BE</t>
  </si>
  <si>
    <t xml:space="preserve">Шарко Костянтин Михайлович</t>
  </si>
  <si>
    <t xml:space="preserve">04340</t>
  </si>
  <si>
    <t xml:space="preserve">ARNJ-0222</t>
  </si>
  <si>
    <t xml:space="preserve">ARNE-0436</t>
  </si>
  <si>
    <t xml:space="preserve">VF15SRKL465728205</t>
  </si>
  <si>
    <t xml:space="preserve">Kostyantyn.Sharko@carlsberg.ua</t>
  </si>
  <si>
    <t xml:space="preserve">KA6038BE</t>
  </si>
  <si>
    <t xml:space="preserve">Долгоп'ят Дмитро Олександрович</t>
  </si>
  <si>
    <t xml:space="preserve">01488</t>
  </si>
  <si>
    <t xml:space="preserve">ARND-0825</t>
  </si>
  <si>
    <t xml:space="preserve">ARMN-0839</t>
  </si>
  <si>
    <t xml:space="preserve">VF15SRKL465728216</t>
  </si>
  <si>
    <t xml:space="preserve">Dmytro.Dolhopiat@carlsberg.ua</t>
  </si>
  <si>
    <t xml:space="preserve">KA6039BE</t>
  </si>
  <si>
    <t xml:space="preserve">Єрмоленко Валентина Петрівна</t>
  </si>
  <si>
    <t xml:space="preserve">02290</t>
  </si>
  <si>
    <t xml:space="preserve">ARND-0826</t>
  </si>
  <si>
    <t xml:space="preserve">ARMN-0838</t>
  </si>
  <si>
    <t xml:space="preserve">VF15SRKL465728191</t>
  </si>
  <si>
    <t xml:space="preserve">Valentina.Ermolenko@carlsberg.ua</t>
  </si>
  <si>
    <t xml:space="preserve">KA6041BE</t>
  </si>
  <si>
    <t xml:space="preserve">Пархоменко Андрій Анатолійович</t>
  </si>
  <si>
    <t xml:space="preserve">03876</t>
  </si>
  <si>
    <t xml:space="preserve">ARND-0831</t>
  </si>
  <si>
    <t xml:space="preserve">ARMN-0841</t>
  </si>
  <si>
    <t xml:space="preserve">VF15SRKL465728226</t>
  </si>
  <si>
    <t xml:space="preserve">Andrey.Parkhomenko@carlsberg.ua</t>
  </si>
  <si>
    <t xml:space="preserve">KA6042BE</t>
  </si>
  <si>
    <t xml:space="preserve">Ракочий Валентин Валерійович</t>
  </si>
  <si>
    <t xml:space="preserve">04192</t>
  </si>
  <si>
    <t xml:space="preserve">ARNJ-0218</t>
  </si>
  <si>
    <t xml:space="preserve">ARND-0038</t>
  </si>
  <si>
    <t xml:space="preserve">VF15SRKL465728215</t>
  </si>
  <si>
    <t xml:space="preserve">valentyn.rakochyi@carlsberg.ua</t>
  </si>
  <si>
    <t xml:space="preserve">KA6044BE</t>
  </si>
  <si>
    <t xml:space="preserve">Романчук Петро Анатолійович</t>
  </si>
  <si>
    <t xml:space="preserve">01670</t>
  </si>
  <si>
    <t xml:space="preserve">ARND-0838</t>
  </si>
  <si>
    <t xml:space="preserve">ARMN-0833</t>
  </si>
  <si>
    <t xml:space="preserve">VF15SRKL465728214</t>
  </si>
  <si>
    <t xml:space="preserve">Petro.Romanchuk@carlsberg.ua</t>
  </si>
  <si>
    <t xml:space="preserve">KA6045BE</t>
  </si>
  <si>
    <t xml:space="preserve">Поляков Микола Миколайович</t>
  </si>
  <si>
    <t xml:space="preserve">04124</t>
  </si>
  <si>
    <t xml:space="preserve">ARNJ-0216</t>
  </si>
  <si>
    <t xml:space="preserve">ARNE-0534</t>
  </si>
  <si>
    <t xml:space="preserve">VF15SRKL465728206</t>
  </si>
  <si>
    <t xml:space="preserve">Nikolay.Polyakov@carlsberg.ua</t>
  </si>
  <si>
    <t xml:space="preserve">KA6047BE</t>
  </si>
  <si>
    <t xml:space="preserve">Ничипорук Тарас Сергійович</t>
  </si>
  <si>
    <t xml:space="preserve">03883</t>
  </si>
  <si>
    <t xml:space="preserve">ARNJ-0211</t>
  </si>
  <si>
    <t xml:space="preserve">ARNE-0519</t>
  </si>
  <si>
    <t xml:space="preserve">VF15SRKL465728189</t>
  </si>
  <si>
    <t xml:space="preserve">Taras.Nychyporuk@carlsberg.ua</t>
  </si>
  <si>
    <t xml:space="preserve">KA6049BE</t>
  </si>
  <si>
    <t xml:space="preserve">Анюк Роман Володимирович</t>
  </si>
  <si>
    <t xml:space="preserve">04123</t>
  </si>
  <si>
    <t xml:space="preserve">Провідний фахівець  з  продажу</t>
  </si>
  <si>
    <t xml:space="preserve">ARND-0837</t>
  </si>
  <si>
    <t xml:space="preserve">ARMN-0846</t>
  </si>
  <si>
    <t xml:space="preserve">VF15SRKL465728221</t>
  </si>
  <si>
    <t xml:space="preserve">Roman.Anyuk@carlsberg.ua</t>
  </si>
  <si>
    <t xml:space="preserve">KA6052BE</t>
  </si>
  <si>
    <t xml:space="preserve">Чижук Роман Михайлович</t>
  </si>
  <si>
    <t xml:space="preserve">01748</t>
  </si>
  <si>
    <t xml:space="preserve">Менеджер агропроекта</t>
  </si>
  <si>
    <t xml:space="preserve">ARNJ-0208</t>
  </si>
  <si>
    <t xml:space="preserve">ARND-0044</t>
  </si>
  <si>
    <t xml:space="preserve">VF15SRKL465728190</t>
  </si>
  <si>
    <t xml:space="preserve">Roman.Chizhuk@carlsberg.ua</t>
  </si>
  <si>
    <t xml:space="preserve">KA6053BE</t>
  </si>
  <si>
    <t xml:space="preserve">Нароженко Олег Володимирович</t>
  </si>
  <si>
    <t xml:space="preserve">01745</t>
  </si>
  <si>
    <t xml:space="preserve">ARND-0839</t>
  </si>
  <si>
    <t xml:space="preserve">ARMN-0843</t>
  </si>
  <si>
    <t xml:space="preserve">VF15SRKL465728220</t>
  </si>
  <si>
    <t xml:space="preserve">Oleg.Narozhenko@carlsberg.ua</t>
  </si>
  <si>
    <t xml:space="preserve">KA6057BE</t>
  </si>
  <si>
    <t xml:space="preserve">Захарчук Віктор Валерійович</t>
  </si>
  <si>
    <t xml:space="preserve">04306</t>
  </si>
  <si>
    <t xml:space="preserve">ARNJ-0203</t>
  </si>
  <si>
    <t xml:space="preserve">ARND-0046</t>
  </si>
  <si>
    <t xml:space="preserve">VF15SRKL465728225</t>
  </si>
  <si>
    <t xml:space="preserve">Viktor.Zakharchuk@carlsberg.ua</t>
  </si>
  <si>
    <t xml:space="preserve">KA6064BE</t>
  </si>
  <si>
    <t xml:space="preserve">03558</t>
  </si>
  <si>
    <t xml:space="preserve">Менеджер з інноваційних та виробничих процесів</t>
  </si>
  <si>
    <t xml:space="preserve">Напрям якості</t>
  </si>
  <si>
    <t xml:space="preserve">Дирекция по качеству</t>
  </si>
  <si>
    <t xml:space="preserve">ARND-0836</t>
  </si>
  <si>
    <t xml:space="preserve">ARMN-0844</t>
  </si>
  <si>
    <t xml:space="preserve">VF15SRKL465728192</t>
  </si>
  <si>
    <t xml:space="preserve">Alexander.Kostenko@carlsberg.ua</t>
  </si>
  <si>
    <t xml:space="preserve">KA6072BE</t>
  </si>
  <si>
    <t xml:space="preserve">Пінчук Олександр Володмирович</t>
  </si>
  <si>
    <t xml:space="preserve">04333</t>
  </si>
  <si>
    <t xml:space="preserve">ARNJ-0221</t>
  </si>
  <si>
    <t xml:space="preserve">ARNE-0435</t>
  </si>
  <si>
    <t xml:space="preserve">VF15SRKL465728217</t>
  </si>
  <si>
    <t xml:space="preserve">Oleksandr.pinchuk@carlsberg.ua</t>
  </si>
  <si>
    <t xml:space="preserve">KA6073BE</t>
  </si>
  <si>
    <t xml:space="preserve">Павлюк Вадим Леонідович</t>
  </si>
  <si>
    <t xml:space="preserve">03654</t>
  </si>
  <si>
    <t xml:space="preserve">ARNJ-0214</t>
  </si>
  <si>
    <t xml:space="preserve">ARNE-0529</t>
  </si>
  <si>
    <t xml:space="preserve">VF15SRKL465728227</t>
  </si>
  <si>
    <t xml:space="preserve">Vadym.Pavlyuk@carlsberg.ua</t>
  </si>
  <si>
    <t xml:space="preserve">KA6076BE</t>
  </si>
  <si>
    <t xml:space="preserve">Круподер Костянтин Олександрович</t>
  </si>
  <si>
    <t xml:space="preserve">04133</t>
  </si>
  <si>
    <t xml:space="preserve">ARND-0840</t>
  </si>
  <si>
    <t xml:space="preserve">ARMN-0840</t>
  </si>
  <si>
    <t xml:space="preserve">VF15SRKL465728232</t>
  </si>
  <si>
    <t xml:space="preserve">Kostyantyn.Krupoder@carlsberg.ua</t>
  </si>
  <si>
    <t xml:space="preserve">KA6079BE</t>
  </si>
  <si>
    <t xml:space="preserve">Ворощук Сергій Васильович</t>
  </si>
  <si>
    <t xml:space="preserve">04334</t>
  </si>
  <si>
    <t xml:space="preserve">ARND-0833</t>
  </si>
  <si>
    <t xml:space="preserve">ARMN-0828</t>
  </si>
  <si>
    <t xml:space="preserve">VF15SRKL465728231</t>
  </si>
  <si>
    <t xml:space="preserve">Sergiy.Voroshchuk@carlsberg.ua</t>
  </si>
  <si>
    <t xml:space="preserve">KA6082BE</t>
  </si>
  <si>
    <t xml:space="preserve">Баско Дмитро Володимирович</t>
  </si>
  <si>
    <t xml:space="preserve">03626</t>
  </si>
  <si>
    <t xml:space="preserve">Аналітик</t>
  </si>
  <si>
    <t xml:space="preserve">ARND-0832</t>
  </si>
  <si>
    <t xml:space="preserve">ARMN-0842</t>
  </si>
  <si>
    <t xml:space="preserve">VF15SRKL465728230</t>
  </si>
  <si>
    <t xml:space="preserve">Dmitriy.Basko@carlsberg.ua</t>
  </si>
  <si>
    <t xml:space="preserve">KA6084BE</t>
  </si>
  <si>
    <t xml:space="preserve">Кумпан Катерина Андріївна</t>
  </si>
  <si>
    <t xml:space="preserve">01534</t>
  </si>
  <si>
    <t xml:space="preserve">Геническ</t>
  </si>
  <si>
    <t xml:space="preserve">ARNJ-0226</t>
  </si>
  <si>
    <t xml:space="preserve">ARNE-0515</t>
  </si>
  <si>
    <t xml:space="preserve">VF15SRKL465728228</t>
  </si>
  <si>
    <t xml:space="preserve">Kateryna.Kumpan@carlsberg.ua</t>
  </si>
  <si>
    <t xml:space="preserve">KA6092BE</t>
  </si>
  <si>
    <t xml:space="preserve">Гаврилець Іван Миколайович</t>
  </si>
  <si>
    <t xml:space="preserve">01579</t>
  </si>
  <si>
    <t xml:space="preserve">ARNJ-0228</t>
  </si>
  <si>
    <t xml:space="preserve">ARNE-0511</t>
  </si>
  <si>
    <t xml:space="preserve">VF15SRKL465728222</t>
  </si>
  <si>
    <t xml:space="preserve">Ivan.Havrylets@carlsberg.ua</t>
  </si>
  <si>
    <t xml:space="preserve">KA6093BE</t>
  </si>
  <si>
    <t xml:space="preserve">Семенюк Олег Леонідович</t>
  </si>
  <si>
    <t xml:space="preserve">04311</t>
  </si>
  <si>
    <t xml:space="preserve">ARNJ-0212</t>
  </si>
  <si>
    <t xml:space="preserve">ARNE-0518</t>
  </si>
  <si>
    <t xml:space="preserve">VF15SRKL465728229</t>
  </si>
  <si>
    <t xml:space="preserve">Oleg.Semenyuk@carlsberg.ua</t>
  </si>
  <si>
    <t xml:space="preserve">KA6094BE</t>
  </si>
  <si>
    <t xml:space="preserve">Жорняк Максим Олександрович</t>
  </si>
  <si>
    <t xml:space="preserve">02559</t>
  </si>
  <si>
    <t xml:space="preserve">ARNJ-0217</t>
  </si>
  <si>
    <t xml:space="preserve">ARNE-0533</t>
  </si>
  <si>
    <t xml:space="preserve">VF15SRKL465728218</t>
  </si>
  <si>
    <t xml:space="preserve">Maksim.Zhornyak@carlsberg.ua</t>
  </si>
  <si>
    <t xml:space="preserve">KA6097BE</t>
  </si>
  <si>
    <t xml:space="preserve">Тотін Євгеній Юрійович</t>
  </si>
  <si>
    <t xml:space="preserve">02056</t>
  </si>
  <si>
    <t xml:space="preserve">ARNJ-0202</t>
  </si>
  <si>
    <t xml:space="preserve">ARND-0048</t>
  </si>
  <si>
    <t xml:space="preserve">VF15SRKL465728223</t>
  </si>
  <si>
    <t xml:space="preserve">Yevgeniy.Totin@carlsberg.ua</t>
  </si>
  <si>
    <t xml:space="preserve">KA6098BE</t>
  </si>
  <si>
    <t xml:space="preserve">Дяченко Едуард Миколайович</t>
  </si>
  <si>
    <t xml:space="preserve">08983</t>
  </si>
  <si>
    <t xml:space="preserve">ARND-0835</t>
  </si>
  <si>
    <t xml:space="preserve">ARMN-0847</t>
  </si>
  <si>
    <t xml:space="preserve">VF15SRKL465728187</t>
  </si>
  <si>
    <t xml:space="preserve">Eduard.Dyachenko@carlsberg.ua</t>
  </si>
  <si>
    <t xml:space="preserve">KA2701BK</t>
  </si>
  <si>
    <t xml:space="preserve">Румянцева Ольга Юріївна</t>
  </si>
  <si>
    <t xml:space="preserve">08850</t>
  </si>
  <si>
    <t xml:space="preserve">Провідний менеджер з розвитку комерційних компетенцій та підтримці ФІТ</t>
  </si>
  <si>
    <t xml:space="preserve">5.30.</t>
  </si>
  <si>
    <t xml:space="preserve">ARNJ-0201</t>
  </si>
  <si>
    <t xml:space="preserve">ARNE-0528</t>
  </si>
  <si>
    <t xml:space="preserve">VF1RFB00866233422</t>
  </si>
  <si>
    <t xml:space="preserve">Olga.Rumyantseva@carlsberg.ua</t>
  </si>
  <si>
    <t xml:space="preserve">KA7416AT</t>
  </si>
  <si>
    <t xml:space="preserve">Когут Павло Володимирович</t>
  </si>
  <si>
    <t xml:space="preserve">00674</t>
  </si>
  <si>
    <t xml:space="preserve">Фахівець по роботі з вторсировиною та зворотною тарою </t>
  </si>
  <si>
    <t xml:space="preserve">ARND-0723</t>
  </si>
  <si>
    <t xml:space="preserve">ARMN-0941</t>
  </si>
  <si>
    <t xml:space="preserve">VF15SRKL465499223</t>
  </si>
  <si>
    <t xml:space="preserve">Pavlo.Kohut@carlsberg.ua</t>
  </si>
  <si>
    <t xml:space="preserve">KA7421AT</t>
  </si>
  <si>
    <t xml:space="preserve">Панасенко Микола Леонідович</t>
  </si>
  <si>
    <t xml:space="preserve">10141</t>
  </si>
  <si>
    <t xml:space="preserve">ARME-0335</t>
  </si>
  <si>
    <t xml:space="preserve">ARLM-0118</t>
  </si>
  <si>
    <t xml:space="preserve">VF15SRKL465499234</t>
  </si>
  <si>
    <t xml:space="preserve">Mykola.Panasenko@carlsberg.ua</t>
  </si>
  <si>
    <t xml:space="preserve">KA7425AT</t>
  </si>
  <si>
    <t xml:space="preserve">Савченко Валентина Михайлівна</t>
  </si>
  <si>
    <t xml:space="preserve">10058</t>
  </si>
  <si>
    <t xml:space="preserve">ARND-0730</t>
  </si>
  <si>
    <t xml:space="preserve">ARMN-0946</t>
  </si>
  <si>
    <t xml:space="preserve">VF15SRKL465499235</t>
  </si>
  <si>
    <t xml:space="preserve">Valentina.Savchenko@carlsberg.ua</t>
  </si>
  <si>
    <t xml:space="preserve">KA7426AT</t>
  </si>
  <si>
    <t xml:space="preserve">Орос Віталій Васильович</t>
  </si>
  <si>
    <t xml:space="preserve">09813</t>
  </si>
  <si>
    <t xml:space="preserve">ARND-0734</t>
  </si>
  <si>
    <t xml:space="preserve">ARMN-0951</t>
  </si>
  <si>
    <t xml:space="preserve">VF15SRKL465499231</t>
  </si>
  <si>
    <t xml:space="preserve">Vitaliy.Oros@carlsberg.ua</t>
  </si>
  <si>
    <t xml:space="preserve">КА4610ВС</t>
  </si>
  <si>
    <t xml:space="preserve">VW Multivan Highline 2.0 TDI 150PS </t>
  </si>
  <si>
    <t xml:space="preserve">Трухан Руслан Юрійович</t>
  </si>
  <si>
    <t xml:space="preserve">01067</t>
  </si>
  <si>
    <t xml:space="preserve">ARND-0055</t>
  </si>
  <si>
    <t xml:space="preserve">ARNJ-0199</t>
  </si>
  <si>
    <t xml:space="preserve">WV2ZZZ7HZMH099063</t>
  </si>
  <si>
    <t xml:space="preserve">Ruslan.Trukhan@carlsberg.ua</t>
  </si>
  <si>
    <t xml:space="preserve">KA2701BH</t>
  </si>
  <si>
    <t xml:space="preserve">VW Tiguan Limited Edition  2.0 TDI 4MOTION</t>
  </si>
  <si>
    <t xml:space="preserve">Носко Валентин Іванович</t>
  </si>
  <si>
    <t xml:space="preserve">08679</t>
  </si>
  <si>
    <t xml:space="preserve">Директор департаменту - Заступник Генерального директора з питань безпеки</t>
  </si>
  <si>
    <t xml:space="preserve">Департамент безпеки</t>
  </si>
  <si>
    <t xml:space="preserve">ARNJ-0213</t>
  </si>
  <si>
    <t xml:space="preserve">ARNE-0516</t>
  </si>
  <si>
    <t xml:space="preserve">WVGZZZ5NZLW910237</t>
  </si>
  <si>
    <t xml:space="preserve">Valentin.Nosko@carlsberg.ua</t>
  </si>
  <si>
    <t xml:space="preserve">KA4319BH</t>
  </si>
  <si>
    <t xml:space="preserve">Кравченко Андрій Сергійович</t>
  </si>
  <si>
    <t xml:space="preserve">05982</t>
  </si>
  <si>
    <t xml:space="preserve">ІТ Директор</t>
  </si>
  <si>
    <t xml:space="preserve">Департамент інформаційних технологій</t>
  </si>
  <si>
    <t xml:space="preserve">ARND-0824</t>
  </si>
  <si>
    <t xml:space="preserve">ARMN-0854</t>
  </si>
  <si>
    <t xml:space="preserve">WVGZZZ5NZLW417016</t>
  </si>
  <si>
    <t xml:space="preserve">Andrey.Kravchenko@carlsberg.ua</t>
  </si>
  <si>
    <t xml:space="preserve">KA6632BH</t>
  </si>
  <si>
    <t xml:space="preserve">Гусєв Владислав Анатолійович</t>
  </si>
  <si>
    <t xml:space="preserve">01661</t>
  </si>
  <si>
    <t xml:space="preserve">Віце-президент з операційної діяльності та клієнтського сервісу</t>
  </si>
  <si>
    <t xml:space="preserve">ARNJ-0215</t>
  </si>
  <si>
    <t xml:space="preserve">ARND-0045</t>
  </si>
  <si>
    <t xml:space="preserve">WVGZZZCRZMD008186</t>
  </si>
  <si>
    <t xml:space="preserve">Vladislav.Gusev@carlsberg.ua</t>
  </si>
  <si>
    <t xml:space="preserve">KA4597CO</t>
  </si>
  <si>
    <t xml:space="preserve">Volkswagen Passat Limousine Elegance 2.0 TSI</t>
  </si>
  <si>
    <t xml:space="preserve">Гринь Тарас Васильович</t>
  </si>
  <si>
    <t xml:space="preserve">08780</t>
  </si>
  <si>
    <t xml:space="preserve">Директор з маркетингу торгових каналів</t>
  </si>
  <si>
    <t xml:space="preserve">Напрям з маркетингу торгових каналів</t>
  </si>
  <si>
    <t xml:space="preserve">354017118103973</t>
  </si>
  <si>
    <t xml:space="preserve">ARNJ-0209</t>
  </si>
  <si>
    <t xml:space="preserve">ARND-0043</t>
  </si>
  <si>
    <t xml:space="preserve">WVWZZZ3CZME073375</t>
  </si>
  <si>
    <t xml:space="preserve">Taras.Grin@carlsberg.ua</t>
  </si>
  <si>
    <t xml:space="preserve">KA4583CO</t>
  </si>
  <si>
    <t xml:space="preserve">Васильєв Сергій Миколайович</t>
  </si>
  <si>
    <t xml:space="preserve">00562</t>
  </si>
  <si>
    <t xml:space="preserve">ARNJ-0220</t>
  </si>
  <si>
    <t xml:space="preserve">ARND-0037</t>
  </si>
  <si>
    <t xml:space="preserve">WVWZZZ3CZME073408</t>
  </si>
  <si>
    <t xml:space="preserve">Sergey.Vasilyev@carlsberg.ua</t>
  </si>
  <si>
    <t xml:space="preserve">KA4582CO</t>
  </si>
  <si>
    <t xml:space="preserve">Чернявська Марія Євгенівна</t>
  </si>
  <si>
    <t xml:space="preserve">03931</t>
  </si>
  <si>
    <t xml:space="preserve">Старший директор з правових питань</t>
  </si>
  <si>
    <t xml:space="preserve">Департамент правових питань</t>
  </si>
  <si>
    <t xml:space="preserve">юр.отдел- офис</t>
  </si>
  <si>
    <t xml:space="preserve">354017117986659</t>
  </si>
  <si>
    <t xml:space="preserve">ARNJ-0205</t>
  </si>
  <si>
    <t xml:space="preserve">ARND-0060</t>
  </si>
  <si>
    <t xml:space="preserve">WVWZZZ3CZME073393</t>
  </si>
  <si>
    <t xml:space="preserve">Mariya.Chernyavskaya@carlsberg.ua</t>
  </si>
  <si>
    <t xml:space="preserve">KA4571CO</t>
  </si>
  <si>
    <t xml:space="preserve">Volkswagen Passat Limousine Business 2.0 TSI</t>
  </si>
  <si>
    <t xml:space="preserve">Шмельов Володимир Володимирович</t>
  </si>
  <si>
    <t xml:space="preserve">02040</t>
  </si>
  <si>
    <t xml:space="preserve">354017117373262</t>
  </si>
  <si>
    <t xml:space="preserve">ARNJ-0191</t>
  </si>
  <si>
    <t xml:space="preserve">ARND-0040</t>
  </si>
  <si>
    <t xml:space="preserve">WVWZZZ3CZME072806</t>
  </si>
  <si>
    <t xml:space="preserve">Vladymyr.Shmelev@carlsberg.ua</t>
  </si>
  <si>
    <t xml:space="preserve">AA9966KI</t>
  </si>
  <si>
    <t xml:space="preserve">Горбуненко Андрій Борисович</t>
  </si>
  <si>
    <t xml:space="preserve">08866</t>
  </si>
  <si>
    <t xml:space="preserve">354017117374377</t>
  </si>
  <si>
    <t xml:space="preserve">ARNJ-0204</t>
  </si>
  <si>
    <t xml:space="preserve">ARND-0041</t>
  </si>
  <si>
    <t xml:space="preserve">WVWZZZ3CZME072449</t>
  </si>
  <si>
    <t xml:space="preserve">Andrey.Gorbunenko@carlsberg.ua</t>
  </si>
  <si>
    <t xml:space="preserve">KA4574CO</t>
  </si>
  <si>
    <t xml:space="preserve">Масний Ігор Олегович</t>
  </si>
  <si>
    <t xml:space="preserve">02077</t>
  </si>
  <si>
    <t xml:space="preserve">ARNJ-0206</t>
  </si>
  <si>
    <t xml:space="preserve">ARND-0039</t>
  </si>
  <si>
    <t xml:space="preserve">WVWZZZ3CZME073009</t>
  </si>
  <si>
    <t xml:space="preserve">Igor.Masnyy@carlsberg.ua</t>
  </si>
  <si>
    <t xml:space="preserve">KA4751CO</t>
  </si>
  <si>
    <t xml:space="preserve">Литвиненко Ігор Станіславович</t>
  </si>
  <si>
    <t xml:space="preserve">01724</t>
  </si>
  <si>
    <t xml:space="preserve">Директор з логістики та клієнтського сервісу</t>
  </si>
  <si>
    <t xml:space="preserve">ARNJ-0198</t>
  </si>
  <si>
    <t xml:space="preserve">ARND-0058</t>
  </si>
  <si>
    <t xml:space="preserve">WVWZZZ3CZME074027</t>
  </si>
  <si>
    <t xml:space="preserve">Ihor.Lytvynenko@carlsberg.ua</t>
  </si>
  <si>
    <t xml:space="preserve">KA7780СХ</t>
  </si>
  <si>
    <t xml:space="preserve"> Volvo XC90 Inscription</t>
  </si>
  <si>
    <t xml:space="preserve">Хайдакін Олег Ігорович</t>
  </si>
  <si>
    <t xml:space="preserve">03906</t>
  </si>
  <si>
    <t xml:space="preserve">Генеральний директор</t>
  </si>
  <si>
    <t xml:space="preserve">Генеральне управління</t>
  </si>
  <si>
    <t xml:space="preserve">Генеральный директор</t>
  </si>
  <si>
    <t xml:space="preserve">1а</t>
  </si>
  <si>
    <t xml:space="preserve">YV1LF06VCN1798883</t>
  </si>
  <si>
    <t xml:space="preserve">KA4729CO</t>
  </si>
  <si>
    <t xml:space="preserve">Беседіна Олена Володимирівна</t>
  </si>
  <si>
    <t xml:space="preserve">02079</t>
  </si>
  <si>
    <t xml:space="preserve">Директор по роботі з дистриб`юторами</t>
  </si>
  <si>
    <t xml:space="preserve">ARNJ-0192</t>
  </si>
  <si>
    <t xml:space="preserve">ARND-0057</t>
  </si>
  <si>
    <t xml:space="preserve">WVWZZZ3CZME073718</t>
  </si>
  <si>
    <t xml:space="preserve">Elena.Besedina@carlsberg.ua</t>
  </si>
  <si>
    <t xml:space="preserve">Принадлежность</t>
  </si>
  <si>
    <t xml:space="preserve">Стоимость. грн</t>
  </si>
  <si>
    <t xml:space="preserve">Курс Евро</t>
  </si>
  <si>
    <t xml:space="preserve">Стоимость авто, Евро</t>
  </si>
  <si>
    <t xml:space="preserve">Месячный платеж Евро (новый).</t>
  </si>
  <si>
    <t xml:space="preserve">Факт возврата факт</t>
  </si>
  <si>
    <t xml:space="preserve">Пробег </t>
  </si>
  <si>
    <t xml:space="preserve">Брендирование</t>
  </si>
  <si>
    <t xml:space="preserve">Спидометр на01.01.2010</t>
  </si>
  <si>
    <t xml:space="preserve">AA3466OI</t>
  </si>
  <si>
    <t xml:space="preserve">VW Touareg  3.0 TDI Extreme Life</t>
  </si>
  <si>
    <t xml:space="preserve">ОТП</t>
  </si>
  <si>
    <t xml:space="preserve">Не закреплён</t>
  </si>
  <si>
    <t xml:space="preserve">00463</t>
  </si>
  <si>
    <t xml:space="preserve">Віце-президент з фінансів</t>
  </si>
  <si>
    <t xml:space="preserve">Киевский офис</t>
  </si>
  <si>
    <t xml:space="preserve">A 0005/879</t>
  </si>
  <si>
    <t xml:space="preserve">AA4503OK</t>
  </si>
  <si>
    <t xml:space="preserve">VW Polo 3d 1.2TDI</t>
  </si>
  <si>
    <t xml:space="preserve">А 0005/793</t>
  </si>
  <si>
    <t xml:space="preserve">AA4521OK</t>
  </si>
  <si>
    <t xml:space="preserve">Южный</t>
  </si>
  <si>
    <t xml:space="preserve">А 0005/785</t>
  </si>
  <si>
    <t xml:space="preserve">AA4529OK</t>
  </si>
  <si>
    <t xml:space="preserve">А 0005/784</t>
  </si>
  <si>
    <t xml:space="preserve">AA4527OK</t>
  </si>
  <si>
    <t xml:space="preserve">А 0005/782</t>
  </si>
  <si>
    <t xml:space="preserve">AA4526OK</t>
  </si>
  <si>
    <t xml:space="preserve">Северо-Западный</t>
  </si>
  <si>
    <t xml:space="preserve">413w</t>
  </si>
  <si>
    <t xml:space="preserve">L043578</t>
  </si>
  <si>
    <t xml:space="preserve">AA4537OK</t>
  </si>
  <si>
    <t xml:space="preserve">А 0005/786</t>
  </si>
  <si>
    <t xml:space="preserve">AA4528OK</t>
  </si>
  <si>
    <t xml:space="preserve">Шкурат Олександра Володимирівна</t>
  </si>
  <si>
    <t xml:space="preserve">А 0005/783</t>
  </si>
  <si>
    <t xml:space="preserve">AA4536OK</t>
  </si>
  <si>
    <t xml:space="preserve">А 0005/794</t>
  </si>
  <si>
    <t xml:space="preserve">AA4513OK</t>
  </si>
  <si>
    <t xml:space="preserve">А 0005/792</t>
  </si>
  <si>
    <t xml:space="preserve">AA4516OK</t>
  </si>
  <si>
    <t xml:space="preserve">Самороднєва Ольга Василівна</t>
  </si>
  <si>
    <t xml:space="preserve">09051</t>
  </si>
  <si>
    <t xml:space="preserve">А 0005/791</t>
  </si>
  <si>
    <t xml:space="preserve">AA4541OK</t>
  </si>
  <si>
    <t xml:space="preserve">А 0005/795</t>
  </si>
  <si>
    <t xml:space="preserve">AA4542OK</t>
  </si>
  <si>
    <t xml:space="preserve">Провідний фахівець по роботі з ключовими клієнтами</t>
  </si>
  <si>
    <t xml:space="preserve">Северо-Восточный</t>
  </si>
  <si>
    <t xml:space="preserve">А 0005/837</t>
  </si>
  <si>
    <t xml:space="preserve">AA4519OK</t>
  </si>
  <si>
    <t xml:space="preserve">L043579</t>
  </si>
  <si>
    <t xml:space="preserve">AA4899OK</t>
  </si>
  <si>
    <t xml:space="preserve">VW Passat 2.0 TDI 6MG</t>
  </si>
  <si>
    <t xml:space="preserve">А 0005/781</t>
  </si>
  <si>
    <t xml:space="preserve">AA4898OK</t>
  </si>
  <si>
    <t xml:space="preserve">A 0005/779</t>
  </si>
  <si>
    <t xml:space="preserve">AA4539OK</t>
  </si>
  <si>
    <t xml:space="preserve">А 0005/787</t>
  </si>
  <si>
    <t xml:space="preserve">AA4897OK</t>
  </si>
  <si>
    <t xml:space="preserve">VW Golf 1.4 TSI 6MG comf</t>
  </si>
  <si>
    <t xml:space="preserve">Варава Олег Володимирович</t>
  </si>
  <si>
    <t xml:space="preserve">00312</t>
  </si>
  <si>
    <t xml:space="preserve">Заступник директора з дистрибуції</t>
  </si>
  <si>
    <t xml:space="preserve">A 0005/778</t>
  </si>
  <si>
    <t xml:space="preserve">AA4829OK</t>
  </si>
  <si>
    <t xml:space="preserve">VW Golf 1.4 TSI 6MG trend</t>
  </si>
  <si>
    <t xml:space="preserve">L043580</t>
  </si>
  <si>
    <t xml:space="preserve">AA4828OK</t>
  </si>
  <si>
    <t xml:space="preserve">Начальник відділу</t>
  </si>
  <si>
    <t xml:space="preserve">A 0005/780</t>
  </si>
  <si>
    <t xml:space="preserve">AA0557OP</t>
  </si>
  <si>
    <t xml:space="preserve">Шутов Андрій Анатолійович</t>
  </si>
  <si>
    <t xml:space="preserve">03863</t>
  </si>
  <si>
    <t xml:space="preserve">А 0005/829</t>
  </si>
  <si>
    <t xml:space="preserve">AA0558OP</t>
  </si>
  <si>
    <t xml:space="preserve">А 0005/817</t>
  </si>
  <si>
    <t xml:space="preserve">AA9890OK</t>
  </si>
  <si>
    <t xml:space="preserve">.2.10</t>
  </si>
  <si>
    <t xml:space="preserve">А 0005/813</t>
  </si>
  <si>
    <t xml:space="preserve">AA9885OK</t>
  </si>
  <si>
    <t xml:space="preserve">L043563</t>
  </si>
  <si>
    <t xml:space="preserve">AA9855OK</t>
  </si>
  <si>
    <t xml:space="preserve">А 0005/816</t>
  </si>
  <si>
    <t xml:space="preserve">AA9892OK</t>
  </si>
  <si>
    <t xml:space="preserve">А 0005/814</t>
  </si>
  <si>
    <t xml:space="preserve">AA9894OK</t>
  </si>
  <si>
    <t xml:space="preserve">L043564</t>
  </si>
  <si>
    <t xml:space="preserve">AA9882OK</t>
  </si>
  <si>
    <t xml:space="preserve">Яценко Сергій Миколайович</t>
  </si>
  <si>
    <t xml:space="preserve">03859</t>
  </si>
  <si>
    <t xml:space="preserve">413W</t>
  </si>
  <si>
    <t xml:space="preserve">А 0005/823</t>
  </si>
  <si>
    <t xml:space="preserve">AA0562OP</t>
  </si>
  <si>
    <t xml:space="preserve">Климко Андрій Васильович</t>
  </si>
  <si>
    <t xml:space="preserve">04317</t>
  </si>
  <si>
    <t xml:space="preserve">А 0005/811</t>
  </si>
  <si>
    <t xml:space="preserve">AA0563OP</t>
  </si>
  <si>
    <t xml:space="preserve">L043562</t>
  </si>
  <si>
    <t xml:space="preserve">AA0559OP</t>
  </si>
  <si>
    <t xml:space="preserve">А 0005/821</t>
  </si>
  <si>
    <t xml:space="preserve">AA0556OP</t>
  </si>
  <si>
    <t xml:space="preserve">А 0005/822</t>
  </si>
  <si>
    <t xml:space="preserve">AA9897OK</t>
  </si>
  <si>
    <t xml:space="preserve">Голіков Ярослав Олександрович</t>
  </si>
  <si>
    <t xml:space="preserve">04155</t>
  </si>
  <si>
    <t xml:space="preserve">L043566</t>
  </si>
  <si>
    <t xml:space="preserve">AA9896OK</t>
  </si>
  <si>
    <t xml:space="preserve">Леськів Назар Романович</t>
  </si>
  <si>
    <t xml:space="preserve">02212</t>
  </si>
  <si>
    <t xml:space="preserve">L043565</t>
  </si>
  <si>
    <t xml:space="preserve">AA0561OP</t>
  </si>
  <si>
    <t xml:space="preserve">Гаврішенко Максим Володимирович</t>
  </si>
  <si>
    <t xml:space="preserve">А 0005/819</t>
  </si>
  <si>
    <t xml:space="preserve">AA9893OK</t>
  </si>
  <si>
    <t xml:space="preserve">Кононенко Олеся Олексіївна</t>
  </si>
  <si>
    <t xml:space="preserve">02367</t>
  </si>
  <si>
    <t xml:space="preserve">Красноармейск</t>
  </si>
  <si>
    <t xml:space="preserve">А 0005/815</t>
  </si>
  <si>
    <t xml:space="preserve">AA9886OK</t>
  </si>
  <si>
    <t xml:space="preserve">А 0005/812</t>
  </si>
  <si>
    <t xml:space="preserve">AA4955OK</t>
  </si>
  <si>
    <t xml:space="preserve">Peugeot 301 1.6HDI Active</t>
  </si>
  <si>
    <t xml:space="preserve">А 0005/788</t>
  </si>
  <si>
    <t xml:space="preserve">AA4959OK</t>
  </si>
  <si>
    <t xml:space="preserve">А 0005/790</t>
  </si>
  <si>
    <t xml:space="preserve">AA4979OK</t>
  </si>
  <si>
    <t xml:space="preserve">А 0005/789</t>
  </si>
  <si>
    <t xml:space="preserve">AA2521OK</t>
  </si>
  <si>
    <t xml:space="preserve">А 0005/798</t>
  </si>
  <si>
    <t xml:space="preserve">AA2538OK</t>
  </si>
  <si>
    <t xml:space="preserve">А 0005/799</t>
  </si>
  <si>
    <t xml:space="preserve">AA2543OK</t>
  </si>
  <si>
    <t xml:space="preserve">Боярчук Олексій Іванович</t>
  </si>
  <si>
    <t xml:space="preserve">03651</t>
  </si>
  <si>
    <t xml:space="preserve">А 0005/818</t>
  </si>
  <si>
    <t xml:space="preserve">AA9872OK</t>
  </si>
  <si>
    <t xml:space="preserve">Газій Богдан Богданович</t>
  </si>
  <si>
    <t xml:space="preserve">04175</t>
  </si>
  <si>
    <t xml:space="preserve">Ужгород</t>
  </si>
  <si>
    <t xml:space="preserve">L043570</t>
  </si>
  <si>
    <t xml:space="preserve">AA9863OK</t>
  </si>
  <si>
    <t xml:space="preserve">А 0005/804</t>
  </si>
  <si>
    <t xml:space="preserve">AA9857OK</t>
  </si>
  <si>
    <t xml:space="preserve">Базилюк Сергій Петрович</t>
  </si>
  <si>
    <t xml:space="preserve">07786</t>
  </si>
  <si>
    <t xml:space="preserve">414w</t>
  </si>
  <si>
    <t xml:space="preserve">L043567</t>
  </si>
  <si>
    <t xml:space="preserve">AA9876OK</t>
  </si>
  <si>
    <t xml:space="preserve">Онішечко Олег Володимирович</t>
  </si>
  <si>
    <t xml:space="preserve">01272</t>
  </si>
  <si>
    <t xml:space="preserve">А 0005/810</t>
  </si>
  <si>
    <t xml:space="preserve">AA9867OK</t>
  </si>
  <si>
    <t xml:space="preserve">Сасюк Дмитро Миколайович</t>
  </si>
  <si>
    <t xml:space="preserve">02538</t>
  </si>
  <si>
    <t xml:space="preserve">А 0005/807</t>
  </si>
  <si>
    <t xml:space="preserve">AA9869OK</t>
  </si>
  <si>
    <t xml:space="preserve">L043569</t>
  </si>
  <si>
    <t xml:space="preserve">AA9875OK</t>
  </si>
  <si>
    <t xml:space="preserve">L043571</t>
  </si>
  <si>
    <t xml:space="preserve">AA9859OK</t>
  </si>
  <si>
    <t xml:space="preserve">L043568</t>
  </si>
  <si>
    <t xml:space="preserve">AA9865OK</t>
  </si>
  <si>
    <t xml:space="preserve">Супрун Віктор Леонідович</t>
  </si>
  <si>
    <t xml:space="preserve">03460</t>
  </si>
  <si>
    <t xml:space="preserve">А 0005/826</t>
  </si>
  <si>
    <t xml:space="preserve">AA9873OK</t>
  </si>
  <si>
    <t xml:space="preserve">А 0005/808</t>
  </si>
  <si>
    <t xml:space="preserve">AA9879OK</t>
  </si>
  <si>
    <t xml:space="preserve">Коженевська Ірина Григорівна</t>
  </si>
  <si>
    <t xml:space="preserve">00539</t>
  </si>
  <si>
    <t xml:space="preserve">А 0005/828</t>
  </si>
  <si>
    <t xml:space="preserve">AA9864OK</t>
  </si>
  <si>
    <t xml:space="preserve">Соловей Олександр Олексійович</t>
  </si>
  <si>
    <t xml:space="preserve">02472</t>
  </si>
  <si>
    <t xml:space="preserve">А 0005/805</t>
  </si>
  <si>
    <t xml:space="preserve">AA9861OK</t>
  </si>
  <si>
    <t xml:space="preserve">А 0005/802</t>
  </si>
  <si>
    <t xml:space="preserve">AA9862OK</t>
  </si>
  <si>
    <t xml:space="preserve">А 0005/803</t>
  </si>
  <si>
    <t xml:space="preserve">AA9871OK</t>
  </si>
  <si>
    <t xml:space="preserve">А 0005/827</t>
  </si>
  <si>
    <t xml:space="preserve">AA9860OK</t>
  </si>
  <si>
    <t xml:space="preserve">Єфімов Артем Євгенович</t>
  </si>
  <si>
    <t xml:space="preserve">08221</t>
  </si>
  <si>
    <t xml:space="preserve">А 0005/801</t>
  </si>
  <si>
    <t xml:space="preserve">AA9858OK</t>
  </si>
  <si>
    <t xml:space="preserve">А 0005/800</t>
  </si>
  <si>
    <t xml:space="preserve">AA7165OP</t>
  </si>
  <si>
    <t xml:space="preserve">VW Polo 3d 1.2TSI</t>
  </si>
  <si>
    <t xml:space="preserve">А 0005/847</t>
  </si>
  <si>
    <t xml:space="preserve">AA7162OP</t>
  </si>
  <si>
    <t xml:space="preserve">Шпирко Ярослав Григорович</t>
  </si>
  <si>
    <t xml:space="preserve">03442</t>
  </si>
  <si>
    <t xml:space="preserve">А 0005/842</t>
  </si>
  <si>
    <t xml:space="preserve">AA7164OP</t>
  </si>
  <si>
    <t xml:space="preserve">А 0005/845</t>
  </si>
  <si>
    <t xml:space="preserve">AA7163OP</t>
  </si>
  <si>
    <t xml:space="preserve">А 0005/846</t>
  </si>
  <si>
    <t xml:space="preserve">AA7161OP</t>
  </si>
  <si>
    <t xml:space="preserve">Кібець Олександр Олександрович</t>
  </si>
  <si>
    <t xml:space="preserve">02493</t>
  </si>
  <si>
    <t xml:space="preserve">Лубны</t>
  </si>
  <si>
    <t xml:space="preserve">А 0005/848</t>
  </si>
  <si>
    <t xml:space="preserve">AA7160OP</t>
  </si>
  <si>
    <t xml:space="preserve">А 0005/843</t>
  </si>
  <si>
    <t xml:space="preserve">AA9064OP</t>
  </si>
  <si>
    <t xml:space="preserve">02.05.2019.</t>
  </si>
  <si>
    <t xml:space="preserve">А 0005/862</t>
  </si>
  <si>
    <t xml:space="preserve">AA7266OP</t>
  </si>
  <si>
    <t xml:space="preserve">Чайка Віталій Борисович</t>
  </si>
  <si>
    <t xml:space="preserve">02557</t>
  </si>
  <si>
    <t xml:space="preserve">А 0005/868</t>
  </si>
  <si>
    <t xml:space="preserve">AA7263OP</t>
  </si>
  <si>
    <t xml:space="preserve">L043598</t>
  </si>
  <si>
    <t xml:space="preserve">AA7265OP</t>
  </si>
  <si>
    <t xml:space="preserve">06.05.2019.</t>
  </si>
  <si>
    <t xml:space="preserve">А 0005/869</t>
  </si>
  <si>
    <t xml:space="preserve">AA9069OP</t>
  </si>
  <si>
    <t xml:space="preserve">L043594</t>
  </si>
  <si>
    <t xml:space="preserve">AA9056OP</t>
  </si>
  <si>
    <t xml:space="preserve">А 0005/866</t>
  </si>
  <si>
    <t xml:space="preserve">AA9063OP</t>
  </si>
  <si>
    <t xml:space="preserve">02477</t>
  </si>
  <si>
    <t xml:space="preserve">А 0005/863</t>
  </si>
  <si>
    <t xml:space="preserve">AA9068OP</t>
  </si>
  <si>
    <t xml:space="preserve">А 0005/858</t>
  </si>
  <si>
    <t xml:space="preserve">AA9062OP</t>
  </si>
  <si>
    <t xml:space="preserve">L043595</t>
  </si>
  <si>
    <t xml:space="preserve">AA7264OP</t>
  </si>
  <si>
    <t xml:space="preserve">L043597</t>
  </si>
  <si>
    <t xml:space="preserve">AA7268OP</t>
  </si>
  <si>
    <t xml:space="preserve">Бородін Іван Сергійович</t>
  </si>
  <si>
    <t xml:space="preserve">04360</t>
  </si>
  <si>
    <t xml:space="preserve">Мукачево</t>
  </si>
  <si>
    <t xml:space="preserve">L043596</t>
  </si>
  <si>
    <t xml:space="preserve">AA0560OP</t>
  </si>
  <si>
    <t xml:space="preserve">А 0005/820</t>
  </si>
  <si>
    <t xml:space="preserve">AA9883OK</t>
  </si>
  <si>
    <t xml:space="preserve">Фахівець з маркетингу  торгових каналів  ХоРеКа</t>
  </si>
  <si>
    <t xml:space="preserve">А 0005/824</t>
  </si>
  <si>
    <t xml:space="preserve">AA9853OK</t>
  </si>
  <si>
    <t xml:space="preserve">Музика Віталій Леонідович</t>
  </si>
  <si>
    <t xml:space="preserve">03200</t>
  </si>
  <si>
    <t xml:space="preserve">А 0005/825</t>
  </si>
  <si>
    <t xml:space="preserve">AA9874OK</t>
  </si>
  <si>
    <t xml:space="preserve">02546</t>
  </si>
  <si>
    <t xml:space="preserve">А 0005/809</t>
  </si>
  <si>
    <t xml:space="preserve">AA9866OK</t>
  </si>
  <si>
    <t xml:space="preserve">А 0005/806</t>
  </si>
  <si>
    <t xml:space="preserve">AA6971OP</t>
  </si>
  <si>
    <t xml:space="preserve">А 0005/852</t>
  </si>
  <si>
    <t xml:space="preserve">AA6976OP</t>
  </si>
  <si>
    <t xml:space="preserve">А 0005/853</t>
  </si>
  <si>
    <t xml:space="preserve">AA6974OP</t>
  </si>
  <si>
    <t xml:space="preserve">Пензенський Геннадій Олександрович</t>
  </si>
  <si>
    <t xml:space="preserve">02116</t>
  </si>
  <si>
    <t xml:space="preserve">А 0005/854</t>
  </si>
  <si>
    <t xml:space="preserve">AA6972OP</t>
  </si>
  <si>
    <t xml:space="preserve">А 0005/855</t>
  </si>
  <si>
    <t xml:space="preserve">AA6973OP</t>
  </si>
  <si>
    <t xml:space="preserve">Брановський Роман Богданович</t>
  </si>
  <si>
    <t xml:space="preserve">L043599</t>
  </si>
  <si>
    <t xml:space="preserve">AA9065OP</t>
  </si>
  <si>
    <t xml:space="preserve">А 0005/861</t>
  </si>
  <si>
    <t xml:space="preserve">AA4538OK</t>
  </si>
  <si>
    <t xml:space="preserve">А 0005/796</t>
  </si>
  <si>
    <t xml:space="preserve">AA7180OP</t>
  </si>
  <si>
    <t xml:space="preserve">VW Touareg  3.0 TDI</t>
  </si>
  <si>
    <t xml:space="preserve">Руднєв Олександр Юрійович</t>
  </si>
  <si>
    <t xml:space="preserve">00075</t>
  </si>
  <si>
    <t xml:space="preserve">Регіональний директор з виробництва</t>
  </si>
  <si>
    <t xml:space="preserve">А 0005/844</t>
  </si>
  <si>
    <t xml:space="preserve">AA9061OP</t>
  </si>
  <si>
    <t xml:space="preserve">А 0005/864</t>
  </si>
  <si>
    <t xml:space="preserve">AA7261OP</t>
  </si>
  <si>
    <t xml:space="preserve">02349</t>
  </si>
  <si>
    <t xml:space="preserve">А 0005/871</t>
  </si>
  <si>
    <t xml:space="preserve">AA7262OP</t>
  </si>
  <si>
    <t xml:space="preserve">Федоренко Ігор Володимирович</t>
  </si>
  <si>
    <t xml:space="preserve">09246</t>
  </si>
  <si>
    <t xml:space="preserve">А 0005/870</t>
  </si>
  <si>
    <t xml:space="preserve">AA9067OP</t>
  </si>
  <si>
    <t xml:space="preserve">00527</t>
  </si>
  <si>
    <t xml:space="preserve">А 0005/859</t>
  </si>
  <si>
    <t xml:space="preserve">AA9066OP</t>
  </si>
  <si>
    <t xml:space="preserve">А 0005/860</t>
  </si>
  <si>
    <t xml:space="preserve">AA9060OP</t>
  </si>
  <si>
    <t xml:space="preserve">А 0005/865</t>
  </si>
  <si>
    <t xml:space="preserve">AA7269OP</t>
  </si>
  <si>
    <t xml:space="preserve">Прокопчук Володимир Вікторович</t>
  </si>
  <si>
    <t xml:space="preserve">00236</t>
  </si>
  <si>
    <t xml:space="preserve">А 0005/867</t>
  </si>
  <si>
    <t xml:space="preserve">AA7267OP</t>
  </si>
  <si>
    <t xml:space="preserve">A 0005/873</t>
  </si>
  <si>
    <t xml:space="preserve">AA6236PC</t>
  </si>
  <si>
    <t xml:space="preserve">Луговська Вероніка Дмитрівна</t>
  </si>
  <si>
    <t xml:space="preserve">00548</t>
  </si>
  <si>
    <t xml:space="preserve">А 0005/872</t>
  </si>
  <si>
    <t xml:space="preserve">AA7173OP</t>
  </si>
  <si>
    <t xml:space="preserve">08565</t>
  </si>
  <si>
    <t xml:space="preserve">Провідний спеціаліст з розвитку національних мереж</t>
  </si>
  <si>
    <t xml:space="preserve">A 0005/883</t>
  </si>
  <si>
    <t xml:space="preserve">AA7155OP</t>
  </si>
  <si>
    <t xml:space="preserve">Павленко Олег Вікторович</t>
  </si>
  <si>
    <t xml:space="preserve">04139</t>
  </si>
  <si>
    <t xml:space="preserve">A 0005/884</t>
  </si>
  <si>
    <t xml:space="preserve">AA4408IA</t>
  </si>
  <si>
    <t xml:space="preserve">А 0005/894</t>
  </si>
  <si>
    <t xml:space="preserve">AA4272AC</t>
  </si>
  <si>
    <t xml:space="preserve">Шевчук Роман Анатолійович</t>
  </si>
  <si>
    <t xml:space="preserve">04147</t>
  </si>
  <si>
    <t xml:space="preserve">L043612</t>
  </si>
  <si>
    <t xml:space="preserve">AA4208HC</t>
  </si>
  <si>
    <t xml:space="preserve">А 0005/889</t>
  </si>
  <si>
    <t xml:space="preserve">AA4297HO</t>
  </si>
  <si>
    <t xml:space="preserve">А 0005/891</t>
  </si>
  <si>
    <t xml:space="preserve">AA4254ME</t>
  </si>
  <si>
    <t xml:space="preserve">Косміна Олександр Віталійович</t>
  </si>
  <si>
    <t xml:space="preserve">02319</t>
  </si>
  <si>
    <t xml:space="preserve">А 0005/888</t>
  </si>
  <si>
    <t xml:space="preserve">AA4248PI</t>
  </si>
  <si>
    <t xml:space="preserve">А 0005/890</t>
  </si>
  <si>
    <t xml:space="preserve">AA7016OP</t>
  </si>
  <si>
    <t xml:space="preserve">Peugeot Partner Passenger B9 1.6 HDI</t>
  </si>
  <si>
    <t xml:space="preserve">2.20.</t>
  </si>
  <si>
    <t xml:space="preserve">20.06.2019.</t>
  </si>
  <si>
    <t xml:space="preserve">А 0005/830</t>
  </si>
  <si>
    <t xml:space="preserve">AA0546OP</t>
  </si>
  <si>
    <t xml:space="preserve">27.06.2019.</t>
  </si>
  <si>
    <t xml:space="preserve">А 0005/834</t>
  </si>
  <si>
    <t xml:space="preserve">AA0536OP</t>
  </si>
  <si>
    <t xml:space="preserve">24.06.2019.</t>
  </si>
  <si>
    <t xml:space="preserve">L043577</t>
  </si>
  <si>
    <t xml:space="preserve">AA6952OP</t>
  </si>
  <si>
    <t xml:space="preserve">А 0005/850</t>
  </si>
  <si>
    <t xml:space="preserve">AA6953OP</t>
  </si>
  <si>
    <t xml:space="preserve">Соколов Олексій Миколайович</t>
  </si>
  <si>
    <t xml:space="preserve">02561</t>
  </si>
  <si>
    <t xml:space="preserve">А 0005/851</t>
  </si>
  <si>
    <t xml:space="preserve">AA7241OP</t>
  </si>
  <si>
    <t xml:space="preserve">А 0005/877</t>
  </si>
  <si>
    <t xml:space="preserve">AA7035OP</t>
  </si>
  <si>
    <t xml:space="preserve">26.06.2019.</t>
  </si>
  <si>
    <t xml:space="preserve">А 0005/832</t>
  </si>
  <si>
    <t xml:space="preserve">AA7554BP</t>
  </si>
  <si>
    <t xml:space="preserve">VW Caddy Kombi 2.0TDI</t>
  </si>
  <si>
    <t xml:space="preserve">2.40.</t>
  </si>
  <si>
    <t xml:space="preserve">A 00005/897</t>
  </si>
  <si>
    <t xml:space="preserve">AA6076MB</t>
  </si>
  <si>
    <t xml:space="preserve">Туригін Юрій Борисович</t>
  </si>
  <si>
    <t xml:space="preserve">03100</t>
  </si>
  <si>
    <t xml:space="preserve">А 0005/895</t>
  </si>
  <si>
    <t xml:space="preserve">AA4223BI</t>
  </si>
  <si>
    <t xml:space="preserve">L043610</t>
  </si>
  <si>
    <t xml:space="preserve">AA4261CH</t>
  </si>
  <si>
    <t xml:space="preserve">А 0005/893</t>
  </si>
  <si>
    <t xml:space="preserve">AA4234PI</t>
  </si>
  <si>
    <t xml:space="preserve">L043611</t>
  </si>
  <si>
    <t xml:space="preserve">AA4254OI</t>
  </si>
  <si>
    <t xml:space="preserve">А 0005/892</t>
  </si>
  <si>
    <t xml:space="preserve">AA2011OK</t>
  </si>
  <si>
    <t xml:space="preserve">А 0005/886</t>
  </si>
  <si>
    <t xml:space="preserve">AA7203OP</t>
  </si>
  <si>
    <t xml:space="preserve">Ситнік Андрій Іванович</t>
  </si>
  <si>
    <t xml:space="preserve">02399</t>
  </si>
  <si>
    <t xml:space="preserve">Лозовая</t>
  </si>
  <si>
    <t xml:space="preserve">A 0005/885</t>
  </si>
  <si>
    <t xml:space="preserve">AA7202OP</t>
  </si>
  <si>
    <t xml:space="preserve">Педан Сергій Олександрович</t>
  </si>
  <si>
    <t xml:space="preserve">03966</t>
  </si>
  <si>
    <t xml:space="preserve">A 0005/882</t>
  </si>
  <si>
    <t xml:space="preserve">AA7243OP</t>
  </si>
  <si>
    <t xml:space="preserve">А 0005/875</t>
  </si>
  <si>
    <t xml:space="preserve">AA7242OP</t>
  </si>
  <si>
    <t xml:space="preserve">11.06.2019.</t>
  </si>
  <si>
    <t xml:space="preserve">А 0005/876</t>
  </si>
  <si>
    <t xml:space="preserve">AA7240OP</t>
  </si>
  <si>
    <t xml:space="preserve">А 0005/878</t>
  </si>
  <si>
    <t xml:space="preserve">AA6940OP</t>
  </si>
  <si>
    <t xml:space="preserve">А 0005/849</t>
  </si>
  <si>
    <t xml:space="preserve">AA7038OP</t>
  </si>
  <si>
    <t xml:space="preserve">А 0005/835</t>
  </si>
  <si>
    <t xml:space="preserve">AA7039OP</t>
  </si>
  <si>
    <t xml:space="preserve">А 0005/833</t>
  </si>
  <si>
    <t xml:space="preserve">AA7041OP</t>
  </si>
  <si>
    <t xml:space="preserve">А 0005/836</t>
  </si>
  <si>
    <t xml:space="preserve">AA7034OP</t>
  </si>
  <si>
    <t xml:space="preserve">А 0005/831</t>
  </si>
  <si>
    <t xml:space="preserve">AA4349KP</t>
  </si>
  <si>
    <t xml:space="preserve">Краска Олег Володимирович</t>
  </si>
  <si>
    <t xml:space="preserve">04158</t>
  </si>
  <si>
    <t xml:space="preserve">L043613</t>
  </si>
  <si>
    <t xml:space="preserve">AA1933OP</t>
  </si>
  <si>
    <t xml:space="preserve">Іванцова Марина Валентинівна</t>
  </si>
  <si>
    <t xml:space="preserve">02482</t>
  </si>
  <si>
    <t xml:space="preserve">Віце-президент з персоналу</t>
  </si>
  <si>
    <t xml:space="preserve">Персонал-офис</t>
  </si>
  <si>
    <t xml:space="preserve">A 0005/880</t>
  </si>
  <si>
    <t xml:space="preserve">AA0573OP</t>
  </si>
  <si>
    <t xml:space="preserve">A 0005/881</t>
  </si>
  <si>
    <t xml:space="preserve">AA1522OT</t>
  </si>
  <si>
    <t xml:space="preserve">VW Golf 1.4 TSI 7 DSG comf</t>
  </si>
  <si>
    <t xml:space="preserve">A 0005/887</t>
  </si>
  <si>
    <t xml:space="preserve">AA7704PI</t>
  </si>
  <si>
    <t xml:space="preserve">А 0005/929 </t>
  </si>
  <si>
    <t xml:space="preserve">AA7602PI</t>
  </si>
  <si>
    <t xml:space="preserve">A 0005/899</t>
  </si>
  <si>
    <t xml:space="preserve">AA7603PI</t>
  </si>
  <si>
    <t xml:space="preserve">A 0005/900</t>
  </si>
  <si>
    <t xml:space="preserve">AA7604PI</t>
  </si>
  <si>
    <t xml:space="preserve">A 0005/901</t>
  </si>
  <si>
    <t xml:space="preserve">AA7605PI</t>
  </si>
  <si>
    <t xml:space="preserve">A 0005/902</t>
  </si>
  <si>
    <t xml:space="preserve">AA7606PI</t>
  </si>
  <si>
    <t xml:space="preserve">A 0005/903</t>
  </si>
  <si>
    <t xml:space="preserve">AA7608PI</t>
  </si>
  <si>
    <t xml:space="preserve">A 0005/904</t>
  </si>
  <si>
    <t xml:space="preserve">AA7609PI</t>
  </si>
  <si>
    <t xml:space="preserve">Тихий Валентин Борисович</t>
  </si>
  <si>
    <t xml:space="preserve">08821</t>
  </si>
  <si>
    <t xml:space="preserve">A 0005/905</t>
  </si>
  <si>
    <t xml:space="preserve">AA7610PI</t>
  </si>
  <si>
    <t xml:space="preserve">Провідний фахівець з продажу в каналі сучасної торгівлі</t>
  </si>
  <si>
    <t xml:space="preserve">02.08.2019.</t>
  </si>
  <si>
    <t xml:space="preserve">A 0005/914</t>
  </si>
  <si>
    <t xml:space="preserve">AA7612PI</t>
  </si>
  <si>
    <t xml:space="preserve">A 0005/906</t>
  </si>
  <si>
    <t xml:space="preserve">AA7613PI</t>
  </si>
  <si>
    <t xml:space="preserve">A 0005/907</t>
  </si>
  <si>
    <t xml:space="preserve">AA7614PI</t>
  </si>
  <si>
    <t xml:space="preserve">Субота Віталій Вікторович</t>
  </si>
  <si>
    <t xml:space="preserve">02293</t>
  </si>
  <si>
    <t xml:space="preserve">A 0005/916</t>
  </si>
  <si>
    <t xml:space="preserve">AA7615PI</t>
  </si>
  <si>
    <t xml:space="preserve">Клименко Руслан Олександрович</t>
  </si>
  <si>
    <t xml:space="preserve">09067</t>
  </si>
  <si>
    <t xml:space="preserve">A 0005/917</t>
  </si>
  <si>
    <t xml:space="preserve">AA7617PI</t>
  </si>
  <si>
    <t xml:space="preserve">Софина Василь Володимирович</t>
  </si>
  <si>
    <t xml:space="preserve">04270</t>
  </si>
  <si>
    <t xml:space="preserve">A 0005/919</t>
  </si>
  <si>
    <t xml:space="preserve">AA7618PI</t>
  </si>
  <si>
    <t xml:space="preserve">A 0005/921</t>
  </si>
  <si>
    <t xml:space="preserve">AA7620PI</t>
  </si>
  <si>
    <t xml:space="preserve">A 0005/909</t>
  </si>
  <si>
    <t xml:space="preserve">AA7621PI</t>
  </si>
  <si>
    <t xml:space="preserve">A 0005/910</t>
  </si>
  <si>
    <t xml:space="preserve">AA7622PI</t>
  </si>
  <si>
    <t xml:space="preserve">A 0005/911</t>
  </si>
  <si>
    <t xml:space="preserve">AA7623PI</t>
  </si>
  <si>
    <t xml:space="preserve">Пругло Олег Петрович</t>
  </si>
  <si>
    <t xml:space="preserve">03223</t>
  </si>
  <si>
    <t xml:space="preserve">A 0005/920</t>
  </si>
  <si>
    <t xml:space="preserve">AA7624PI</t>
  </si>
  <si>
    <t xml:space="preserve">A 0005/912</t>
  </si>
  <si>
    <t xml:space="preserve">AA7627PI</t>
  </si>
  <si>
    <t xml:space="preserve">A 0005/924</t>
  </si>
  <si>
    <t xml:space="preserve">AA7628PI</t>
  </si>
  <si>
    <t xml:space="preserve">Нещимний Євген Олександрович</t>
  </si>
  <si>
    <t xml:space="preserve">04033</t>
  </si>
  <si>
    <t xml:space="preserve">A 0005/925</t>
  </si>
  <si>
    <t xml:space="preserve">AA7630PI</t>
  </si>
  <si>
    <t xml:space="preserve">Мацегора Андрій Васильович</t>
  </si>
  <si>
    <t xml:space="preserve">04253</t>
  </si>
  <si>
    <t xml:space="preserve">A 0005/926</t>
  </si>
  <si>
    <t xml:space="preserve">AA7705PI</t>
  </si>
  <si>
    <t xml:space="preserve">А 0005/928 </t>
  </si>
  <si>
    <t xml:space="preserve">AA7629PI</t>
  </si>
  <si>
    <t xml:space="preserve">Тренер з продажу</t>
  </si>
  <si>
    <t xml:space="preserve">A 0005/927</t>
  </si>
  <si>
    <t xml:space="preserve">AA7563PI</t>
  </si>
  <si>
    <t xml:space="preserve">Труфін Віталій Вікторович</t>
  </si>
  <si>
    <t xml:space="preserve">03482</t>
  </si>
  <si>
    <t xml:space="preserve">Національний юридичний менеджер</t>
  </si>
  <si>
    <t xml:space="preserve">юротдел-офис</t>
  </si>
  <si>
    <t xml:space="preserve">А 0005/930 </t>
  </si>
  <si>
    <t xml:space="preserve">AA7760TT</t>
  </si>
  <si>
    <t xml:space="preserve">VW Passat CC1.8 TSI AKПП DSG</t>
  </si>
  <si>
    <t xml:space="preserve">Піддубна - Смирнова Євгенія Федорівна</t>
  </si>
  <si>
    <t xml:space="preserve">03894</t>
  </si>
  <si>
    <t xml:space="preserve">Старший директор по роботі з органами державної влади та з корпоративних питань</t>
  </si>
  <si>
    <t xml:space="preserve">A 00005/896 </t>
  </si>
  <si>
    <t xml:space="preserve">AA7959PI</t>
  </si>
  <si>
    <t xml:space="preserve">Якуба Олена Вікторівна</t>
  </si>
  <si>
    <t xml:space="preserve">00938</t>
  </si>
  <si>
    <t xml:space="preserve">Національний менеджер з транспорту та дистрибуції</t>
  </si>
  <si>
    <t xml:space="preserve">А 0005/944</t>
  </si>
  <si>
    <t xml:space="preserve">AA7961PI</t>
  </si>
  <si>
    <t xml:space="preserve">LO43646</t>
  </si>
  <si>
    <t xml:space="preserve">AA9446MH</t>
  </si>
  <si>
    <t xml:space="preserve">A0005/966</t>
  </si>
  <si>
    <t xml:space="preserve">AA7749PP</t>
  </si>
  <si>
    <t xml:space="preserve">2а</t>
  </si>
  <si>
    <t xml:space="preserve">F290389</t>
  </si>
  <si>
    <t xml:space="preserve">AA8875BP</t>
  </si>
  <si>
    <t xml:space="preserve">Александрова Галина Павлівна</t>
  </si>
  <si>
    <t xml:space="preserve">00062</t>
  </si>
  <si>
    <t xml:space="preserve">Директор з фінансів та внутрішнього аудиту</t>
  </si>
  <si>
    <t xml:space="preserve">F290430</t>
  </si>
  <si>
    <t xml:space="preserve">AA7166OP</t>
  </si>
  <si>
    <t xml:space="preserve">Національний менеджер з розвитку ключових клієнтів ХоРеКа</t>
  </si>
  <si>
    <t xml:space="preserve">А 0005/841</t>
  </si>
  <si>
    <t xml:space="preserve">AA7601PI</t>
  </si>
  <si>
    <t xml:space="preserve">A 0005/898</t>
  </si>
  <si>
    <t xml:space="preserve">AA7607PI</t>
  </si>
  <si>
    <t xml:space="preserve">A 0005/913</t>
  </si>
  <si>
    <t xml:space="preserve">AA1037OX</t>
  </si>
  <si>
    <t xml:space="preserve">A 0005/939</t>
  </si>
  <si>
    <t xml:space="preserve">AA1039OX</t>
  </si>
  <si>
    <t xml:space="preserve">A 0005/941</t>
  </si>
  <si>
    <t xml:space="preserve">AA1013OX</t>
  </si>
  <si>
    <t xml:space="preserve">А 0005/946</t>
  </si>
  <si>
    <t xml:space="preserve">AA1014OX</t>
  </si>
  <si>
    <t xml:space="preserve">Старобельск</t>
  </si>
  <si>
    <t xml:space="preserve">А 0005/947</t>
  </si>
  <si>
    <t xml:space="preserve">AA1036OX</t>
  </si>
  <si>
    <t xml:space="preserve">Чечин Олексій Іванович</t>
  </si>
  <si>
    <t xml:space="preserve">02018</t>
  </si>
  <si>
    <t xml:space="preserve">A 0005/938</t>
  </si>
  <si>
    <t xml:space="preserve">AA1022OX</t>
  </si>
  <si>
    <t xml:space="preserve">А 0005/951</t>
  </si>
  <si>
    <t xml:space="preserve">AA1032OX</t>
  </si>
  <si>
    <t xml:space="preserve">Менеджер по роботі з ключовими клієнтами</t>
  </si>
  <si>
    <t xml:space="preserve">A 0005/934</t>
  </si>
  <si>
    <t xml:space="preserve">AA1040OX</t>
  </si>
  <si>
    <t xml:space="preserve">A 0005/942</t>
  </si>
  <si>
    <t xml:space="preserve">AA1024OX</t>
  </si>
  <si>
    <t xml:space="preserve">А 0005/953</t>
  </si>
  <si>
    <t xml:space="preserve">AA1026OX</t>
  </si>
  <si>
    <t xml:space="preserve">Залевський Богдан Борисович</t>
  </si>
  <si>
    <t xml:space="preserve">07181</t>
  </si>
  <si>
    <t xml:space="preserve">Менеджер з продажу ХоРеКа у регіоні</t>
  </si>
  <si>
    <t xml:space="preserve">LO43652</t>
  </si>
  <si>
    <t xml:space="preserve">AA1041OX</t>
  </si>
  <si>
    <t xml:space="preserve">Нападайло Ігор Іванович</t>
  </si>
  <si>
    <t xml:space="preserve">08609</t>
  </si>
  <si>
    <t xml:space="preserve">LO43654</t>
  </si>
  <si>
    <t xml:space="preserve">AA1017OX</t>
  </si>
  <si>
    <t xml:space="preserve">LO43650</t>
  </si>
  <si>
    <t xml:space="preserve">AA1019OX</t>
  </si>
  <si>
    <t xml:space="preserve">А 0005/949</t>
  </si>
  <si>
    <t xml:space="preserve">AA1020OX</t>
  </si>
  <si>
    <t xml:space="preserve">Гасенко Юлія Володимирівна</t>
  </si>
  <si>
    <t xml:space="preserve">03389</t>
  </si>
  <si>
    <t xml:space="preserve">A 0005/931</t>
  </si>
  <si>
    <t xml:space="preserve">AA1015OX</t>
  </si>
  <si>
    <t xml:space="preserve">LO43648</t>
  </si>
  <si>
    <t xml:space="preserve">AA1028OX</t>
  </si>
  <si>
    <t xml:space="preserve">Кудлай Сергій Віталійович</t>
  </si>
  <si>
    <t xml:space="preserve">08804</t>
  </si>
  <si>
    <t xml:space="preserve">A 0005/932</t>
  </si>
  <si>
    <t xml:space="preserve">AA1038OX</t>
  </si>
  <si>
    <t xml:space="preserve">A 0005/940</t>
  </si>
  <si>
    <t xml:space="preserve">AA1033OX</t>
  </si>
  <si>
    <t xml:space="preserve">A 0005/935</t>
  </si>
  <si>
    <t xml:space="preserve">AA1030OX</t>
  </si>
  <si>
    <t xml:space="preserve">A 0005/933</t>
  </si>
  <si>
    <t xml:space="preserve">AA1023OX</t>
  </si>
  <si>
    <t xml:space="preserve">А 0005/952</t>
  </si>
  <si>
    <t xml:space="preserve">AA1029OX</t>
  </si>
  <si>
    <t xml:space="preserve">09261</t>
  </si>
  <si>
    <t xml:space="preserve">А 0005/954</t>
  </si>
  <si>
    <t xml:space="preserve">AA1012OX</t>
  </si>
  <si>
    <t xml:space="preserve">Провідний фахівець з управління поставками </t>
  </si>
  <si>
    <t xml:space="preserve">LO43647</t>
  </si>
  <si>
    <t xml:space="preserve">AA1018OX</t>
  </si>
  <si>
    <t xml:space="preserve">А 0005/948</t>
  </si>
  <si>
    <t xml:space="preserve">AA1025OX</t>
  </si>
  <si>
    <t xml:space="preserve">LO43651</t>
  </si>
  <si>
    <t xml:space="preserve">AA1027OX</t>
  </si>
  <si>
    <t xml:space="preserve">LO43653</t>
  </si>
  <si>
    <t xml:space="preserve">AA1031OX</t>
  </si>
  <si>
    <t xml:space="preserve">А 0005/955</t>
  </si>
  <si>
    <t xml:space="preserve">AA1034OX</t>
  </si>
  <si>
    <t xml:space="preserve">A 0005/936</t>
  </si>
  <si>
    <t xml:space="preserve">AA1035OX</t>
  </si>
  <si>
    <t xml:space="preserve">A 0005/937</t>
  </si>
  <si>
    <t xml:space="preserve">AA1021OX</t>
  </si>
  <si>
    <t xml:space="preserve">А 0005/950</t>
  </si>
  <si>
    <t xml:space="preserve">AA8854BP</t>
  </si>
  <si>
    <t xml:space="preserve">F290380</t>
  </si>
  <si>
    <t xml:space="preserve">AA8853BP</t>
  </si>
  <si>
    <t xml:space="preserve">Лабовський Андрій Станіславович</t>
  </si>
  <si>
    <t xml:space="preserve">09973</t>
  </si>
  <si>
    <t xml:space="preserve">F290379</t>
  </si>
  <si>
    <t xml:space="preserve">AA3614MX</t>
  </si>
  <si>
    <t xml:space="preserve">Peugeot 308 Active 1.6HDI MT </t>
  </si>
  <si>
    <t xml:space="preserve">Начальник відділу інформаційної безпеки</t>
  </si>
  <si>
    <t xml:space="preserve">F290488</t>
  </si>
  <si>
    <t xml:space="preserve">AA7167OP</t>
  </si>
  <si>
    <t xml:space="preserve">Менеджер з продажу у каналі сучасної торгівлі </t>
  </si>
  <si>
    <t xml:space="preserve">417W</t>
  </si>
  <si>
    <t xml:space="preserve">А 0005/839</t>
  </si>
  <si>
    <t xml:space="preserve">AA7168OP</t>
  </si>
  <si>
    <t xml:space="preserve">Влодова Наталія Миколаївна</t>
  </si>
  <si>
    <t xml:space="preserve">08256</t>
  </si>
  <si>
    <t xml:space="preserve">Національний менеджер з розвитку каналів продажу</t>
  </si>
  <si>
    <t xml:space="preserve">А 0005/840</t>
  </si>
  <si>
    <t xml:space="preserve">AA7751PP</t>
  </si>
  <si>
    <t xml:space="preserve">Свірідов Володимир Володимирович</t>
  </si>
  <si>
    <t xml:space="preserve">02228</t>
  </si>
  <si>
    <t xml:space="preserve"> А 0005/1006</t>
  </si>
  <si>
    <t xml:space="preserve">AA5794BP</t>
  </si>
  <si>
    <t xml:space="preserve">Окаринський Олег Богданович</t>
  </si>
  <si>
    <t xml:space="preserve">00257</t>
  </si>
  <si>
    <t xml:space="preserve">L043722</t>
  </si>
  <si>
    <t xml:space="preserve">AA7611PI</t>
  </si>
  <si>
    <t xml:space="preserve">Провідний фахівець з продажу у каналі сучасної торгівлі</t>
  </si>
  <si>
    <t xml:space="preserve">A 0005/915</t>
  </si>
  <si>
    <t xml:space="preserve">AA7616PI</t>
  </si>
  <si>
    <t xml:space="preserve">Котьков Ігор Вячиславович</t>
  </si>
  <si>
    <t xml:space="preserve">01482</t>
  </si>
  <si>
    <t xml:space="preserve">Провідний фахівець з розвитку національних мереж</t>
  </si>
  <si>
    <t xml:space="preserve">A 0005/918</t>
  </si>
  <si>
    <t xml:space="preserve">AA7626PI</t>
  </si>
  <si>
    <t xml:space="preserve">A 0005/923</t>
  </si>
  <si>
    <t xml:space="preserve">AA7957PI</t>
  </si>
  <si>
    <t xml:space="preserve">Маковій Микола Павлович</t>
  </si>
  <si>
    <t xml:space="preserve">09305</t>
  </si>
  <si>
    <t xml:space="preserve">A 0005/957</t>
  </si>
  <si>
    <t xml:space="preserve">AA7966PI</t>
  </si>
  <si>
    <t xml:space="preserve">LO43658</t>
  </si>
  <si>
    <t xml:space="preserve">AA7973PI</t>
  </si>
  <si>
    <t xml:space="preserve">A 0005/965</t>
  </si>
  <si>
    <t xml:space="preserve">AA7968PI</t>
  </si>
  <si>
    <t xml:space="preserve">LO43660</t>
  </si>
  <si>
    <t xml:space="preserve">AA7969PI</t>
  </si>
  <si>
    <t xml:space="preserve">A 0005/961</t>
  </si>
  <si>
    <t xml:space="preserve">AA7971PI</t>
  </si>
  <si>
    <t xml:space="preserve">Дубовіков Дмитро Віталійович</t>
  </si>
  <si>
    <t xml:space="preserve">02544</t>
  </si>
  <si>
    <t xml:space="preserve">A 0005/963</t>
  </si>
  <si>
    <t xml:space="preserve">AA7972PI</t>
  </si>
  <si>
    <t xml:space="preserve">LO43661</t>
  </si>
  <si>
    <t xml:space="preserve">AA7960PI</t>
  </si>
  <si>
    <t xml:space="preserve">Бабієц Ганна Василівна</t>
  </si>
  <si>
    <t xml:space="preserve">09354</t>
  </si>
  <si>
    <t xml:space="preserve">A 0005/959</t>
  </si>
  <si>
    <t xml:space="preserve">AA7964PI</t>
  </si>
  <si>
    <t xml:space="preserve">Яценко Олександр Віталійович</t>
  </si>
  <si>
    <t xml:space="preserve">00824</t>
  </si>
  <si>
    <t xml:space="preserve">A 0005/960</t>
  </si>
  <si>
    <t xml:space="preserve">AA5710BP</t>
  </si>
  <si>
    <t xml:space="preserve">Олешко Оксана Григорівна</t>
  </si>
  <si>
    <t xml:space="preserve">04425</t>
  </si>
  <si>
    <t xml:space="preserve">.2.50</t>
  </si>
  <si>
    <t xml:space="preserve">F290383</t>
  </si>
  <si>
    <t xml:space="preserve">AA5711BP</t>
  </si>
  <si>
    <t xml:space="preserve">L043708</t>
  </si>
  <si>
    <t xml:space="preserve">AA5712BP</t>
  </si>
  <si>
    <t xml:space="preserve">А 0005/975</t>
  </si>
  <si>
    <t xml:space="preserve">AA5715BP</t>
  </si>
  <si>
    <t xml:space="preserve">Карпук Юрій Борисович</t>
  </si>
  <si>
    <t xml:space="preserve">04170</t>
  </si>
  <si>
    <t xml:space="preserve">L043711</t>
  </si>
  <si>
    <t xml:space="preserve">AA5714BP</t>
  </si>
  <si>
    <t xml:space="preserve">Семен Володимир Володимирович</t>
  </si>
  <si>
    <t xml:space="preserve">L043710</t>
  </si>
  <si>
    <t xml:space="preserve">AA5716BP</t>
  </si>
  <si>
    <t xml:space="preserve">Уманська Лівіа Василівна</t>
  </si>
  <si>
    <t xml:space="preserve">L043712</t>
  </si>
  <si>
    <t xml:space="preserve">AA5747BP</t>
  </si>
  <si>
    <t xml:space="preserve">L043716</t>
  </si>
  <si>
    <t xml:space="preserve">AA5750BP</t>
  </si>
  <si>
    <t xml:space="preserve">А 0005/977</t>
  </si>
  <si>
    <t xml:space="preserve">AA5752BP</t>
  </si>
  <si>
    <t xml:space="preserve">Омельяненко Євген Сергійович</t>
  </si>
  <si>
    <t xml:space="preserve">04408</t>
  </si>
  <si>
    <t xml:space="preserve">F290384</t>
  </si>
  <si>
    <t xml:space="preserve">AA5753BP</t>
  </si>
  <si>
    <t xml:space="preserve">А 0005/979</t>
  </si>
  <si>
    <t xml:space="preserve">AA5713BP</t>
  </si>
  <si>
    <t xml:space="preserve">Ших Руслан Степанович</t>
  </si>
  <si>
    <t xml:space="preserve">04354</t>
  </si>
  <si>
    <t xml:space="preserve">L043709</t>
  </si>
  <si>
    <t xml:space="preserve">AA5745BP</t>
  </si>
  <si>
    <t xml:space="preserve">L043714</t>
  </si>
  <si>
    <t xml:space="preserve">AA5748BP</t>
  </si>
  <si>
    <t xml:space="preserve">L043717</t>
  </si>
  <si>
    <t xml:space="preserve">AA9044PK</t>
  </si>
  <si>
    <t xml:space="preserve">L043713</t>
  </si>
  <si>
    <t xml:space="preserve">AA7955PI</t>
  </si>
  <si>
    <t xml:space="preserve">LO43655</t>
  </si>
  <si>
    <t xml:space="preserve">AA7956PI</t>
  </si>
  <si>
    <t xml:space="preserve">A 0005/956</t>
  </si>
  <si>
    <t xml:space="preserve">AA7958PI</t>
  </si>
  <si>
    <t xml:space="preserve">A 0005/958</t>
  </si>
  <si>
    <t xml:space="preserve">AA7963PI</t>
  </si>
  <si>
    <t xml:space="preserve">Свістєльніков Ігор Едуардович</t>
  </si>
  <si>
    <t xml:space="preserve">04316</t>
  </si>
  <si>
    <t xml:space="preserve">LO43656</t>
  </si>
  <si>
    <t xml:space="preserve">AA7970PI</t>
  </si>
  <si>
    <t xml:space="preserve">A 0005/962</t>
  </si>
  <si>
    <t xml:space="preserve">AA7965PI</t>
  </si>
  <si>
    <t xml:space="preserve">LO43657</t>
  </si>
  <si>
    <t xml:space="preserve">AA7974PI</t>
  </si>
  <si>
    <t xml:space="preserve">A 0005/964</t>
  </si>
  <si>
    <t xml:space="preserve">AA7954PI</t>
  </si>
  <si>
    <t xml:space="preserve">А 0005/945</t>
  </si>
  <si>
    <t xml:space="preserve">AA0959MK</t>
  </si>
  <si>
    <t xml:space="preserve">01478</t>
  </si>
  <si>
    <t xml:space="preserve">A 0005/967</t>
  </si>
  <si>
    <t xml:space="preserve">AA5723BP</t>
  </si>
  <si>
    <t xml:space="preserve">А 0005/970</t>
  </si>
  <si>
    <t xml:space="preserve">AA5721BP</t>
  </si>
  <si>
    <t xml:space="preserve">А 0005/968</t>
  </si>
  <si>
    <t xml:space="preserve">AA6961MK</t>
  </si>
  <si>
    <t xml:space="preserve">L043677</t>
  </si>
  <si>
    <t xml:space="preserve">AA5735BP</t>
  </si>
  <si>
    <t xml:space="preserve">Калитич Наталія Іванівна</t>
  </si>
  <si>
    <t xml:space="preserve">02180</t>
  </si>
  <si>
    <t xml:space="preserve">L043675</t>
  </si>
  <si>
    <t xml:space="preserve">AA5730BP</t>
  </si>
  <si>
    <t xml:space="preserve">Титов Андрій Ігорович</t>
  </si>
  <si>
    <t xml:space="preserve">02317</t>
  </si>
  <si>
    <t xml:space="preserve">Конотоп</t>
  </si>
  <si>
    <t xml:space="preserve">А 0005/973</t>
  </si>
  <si>
    <t xml:space="preserve">AA5731BP</t>
  </si>
  <si>
    <t xml:space="preserve">L043672</t>
  </si>
  <si>
    <t xml:space="preserve">AA5746BP</t>
  </si>
  <si>
    <t xml:space="preserve">L043715</t>
  </si>
  <si>
    <t xml:space="preserve">AA5796BP</t>
  </si>
  <si>
    <t xml:space="preserve">Суховерський Мирослав Миронович</t>
  </si>
  <si>
    <t xml:space="preserve">04302</t>
  </si>
  <si>
    <t xml:space="preserve">L043723</t>
  </si>
  <si>
    <t xml:space="preserve">AA9176PA</t>
  </si>
  <si>
    <t xml:space="preserve">Бурдіян Ельвіра Станіславівна</t>
  </si>
  <si>
    <t xml:space="preserve">F290487</t>
  </si>
  <si>
    <t xml:space="preserve">AA5749BP</t>
  </si>
  <si>
    <t xml:space="preserve">А 0005/976</t>
  </si>
  <si>
    <t xml:space="preserve">AA7962PI</t>
  </si>
  <si>
    <t xml:space="preserve">продажи офіс </t>
  </si>
  <si>
    <t xml:space="preserve">A 0005/943</t>
  </si>
  <si>
    <t xml:space="preserve">AA5722BP</t>
  </si>
  <si>
    <t xml:space="preserve">А 0005/969</t>
  </si>
  <si>
    <t xml:space="preserve">AA5725BP</t>
  </si>
  <si>
    <t xml:space="preserve">А 0005/972</t>
  </si>
  <si>
    <t xml:space="preserve">AA5726BP</t>
  </si>
  <si>
    <t xml:space="preserve">L043669</t>
  </si>
  <si>
    <t xml:space="preserve">AA5727BP</t>
  </si>
  <si>
    <t xml:space="preserve">Кириленко Антон Юрійович</t>
  </si>
  <si>
    <t xml:space="preserve">04313</t>
  </si>
  <si>
    <t xml:space="preserve">L043670</t>
  </si>
  <si>
    <t xml:space="preserve">AA5728BP</t>
  </si>
  <si>
    <t xml:space="preserve">L043671</t>
  </si>
  <si>
    <t xml:space="preserve">AA5729BP</t>
  </si>
  <si>
    <t xml:space="preserve">F290354</t>
  </si>
  <si>
    <t xml:space="preserve">AA5732BP</t>
  </si>
  <si>
    <t xml:space="preserve">А 0005/974</t>
  </si>
  <si>
    <t xml:space="preserve">AA5733BP</t>
  </si>
  <si>
    <t xml:space="preserve">L043673</t>
  </si>
  <si>
    <t xml:space="preserve">AA5734BP</t>
  </si>
  <si>
    <t xml:space="preserve">Мельник Світлана Миронівна</t>
  </si>
  <si>
    <t xml:space="preserve">04179</t>
  </si>
  <si>
    <t xml:space="preserve">L043674</t>
  </si>
  <si>
    <t xml:space="preserve">AA5736BP</t>
  </si>
  <si>
    <t xml:space="preserve">Маркович Дмитро Володимирович</t>
  </si>
  <si>
    <t xml:space="preserve">01502</t>
  </si>
  <si>
    <t xml:space="preserve">L043676</t>
  </si>
  <si>
    <t xml:space="preserve">AA7967PI</t>
  </si>
  <si>
    <t xml:space="preserve">LO43659</t>
  </si>
  <si>
    <t xml:space="preserve">AA5724BP</t>
  </si>
  <si>
    <t xml:space="preserve">А 0005/971</t>
  </si>
  <si>
    <t xml:space="preserve">AA7751TT</t>
  </si>
  <si>
    <t xml:space="preserve">Силенко Оксана Петрівна</t>
  </si>
  <si>
    <r>
      <rPr>
        <sz val="10"/>
        <rFont val="Arial Cyr"/>
        <family val="0"/>
        <charset val="204"/>
      </rPr>
      <t xml:space="preserve"> </t>
    </r>
    <r>
      <rPr>
        <sz val="10"/>
        <color rgb="FF000000"/>
        <rFont val="Arial"/>
        <family val="2"/>
        <charset val="204"/>
      </rPr>
      <t xml:space="preserve">F290438</t>
    </r>
  </si>
  <si>
    <t xml:space="preserve">AA7750TT</t>
  </si>
  <si>
    <r>
      <rPr>
        <sz val="10"/>
        <rFont val="Arial Cyr"/>
        <family val="0"/>
        <charset val="204"/>
      </rPr>
      <t xml:space="preserve"> </t>
    </r>
    <r>
      <rPr>
        <sz val="10"/>
        <color rgb="FF000000"/>
        <rFont val="Arial"/>
        <family val="2"/>
        <charset val="204"/>
      </rPr>
      <t xml:space="preserve">F290437</t>
    </r>
  </si>
  <si>
    <t xml:space="preserve">AA1016OX</t>
  </si>
  <si>
    <t xml:space="preserve">LO43649</t>
  </si>
  <si>
    <t xml:space="preserve">AA5779BP</t>
  </si>
  <si>
    <t xml:space="preserve">L043724</t>
  </si>
  <si>
    <t xml:space="preserve">AA5782BP</t>
  </si>
  <si>
    <t xml:space="preserve"> А 0005/989</t>
  </si>
  <si>
    <t xml:space="preserve">AA5751BP</t>
  </si>
  <si>
    <t xml:space="preserve">А 0005/978</t>
  </si>
  <si>
    <t xml:space="preserve">AA7558BP</t>
  </si>
  <si>
    <t xml:space="preserve"> F290385</t>
  </si>
  <si>
    <t xml:space="preserve">AA5766BP</t>
  </si>
  <si>
    <t xml:space="preserve">Бідзіля Василь Васильович</t>
  </si>
  <si>
    <t xml:space="preserve">L043719</t>
  </si>
  <si>
    <t xml:space="preserve">AA7550BP</t>
  </si>
  <si>
    <t xml:space="preserve">Регіональний фахівець зі зворотньої тари та вторсировини</t>
  </si>
  <si>
    <t xml:space="preserve">F290441</t>
  </si>
  <si>
    <t xml:space="preserve">AA5772BP</t>
  </si>
  <si>
    <t xml:space="preserve">Паславський Михайло Віталійович</t>
  </si>
  <si>
    <t xml:space="preserve">04193</t>
  </si>
  <si>
    <t xml:space="preserve">  L043734</t>
  </si>
  <si>
    <t xml:space="preserve">AA9918BP</t>
  </si>
  <si>
    <t xml:space="preserve"> L043737</t>
  </si>
  <si>
    <t xml:space="preserve">AA7752PP</t>
  </si>
  <si>
    <t xml:space="preserve"> А 0005/1007</t>
  </si>
  <si>
    <t xml:space="preserve">AA7745TT</t>
  </si>
  <si>
    <t xml:space="preserve">А 0005/993</t>
  </si>
  <si>
    <t xml:space="preserve">AA5773BP</t>
  </si>
  <si>
    <t xml:space="preserve">Наталевич Вадим Петрович</t>
  </si>
  <si>
    <t xml:space="preserve">09591</t>
  </si>
  <si>
    <t xml:space="preserve"> А 0005/1001</t>
  </si>
  <si>
    <t xml:space="preserve">AA5592BP</t>
  </si>
  <si>
    <t xml:space="preserve"> А 0005/1000</t>
  </si>
  <si>
    <t xml:space="preserve">AA7545BP</t>
  </si>
  <si>
    <t xml:space="preserve">  L043735</t>
  </si>
  <si>
    <t xml:space="preserve">AA7736TT</t>
  </si>
  <si>
    <t xml:space="preserve"> А 0005/1005</t>
  </si>
  <si>
    <t xml:space="preserve">AA7758TT</t>
  </si>
  <si>
    <t xml:space="preserve">Фахівець по роботі з національними мережами</t>
  </si>
  <si>
    <t xml:space="preserve">А 0005/996</t>
  </si>
  <si>
    <t xml:space="preserve">AA7882BP</t>
  </si>
  <si>
    <t xml:space="preserve">  L043736</t>
  </si>
  <si>
    <t xml:space="preserve">AA5797BP</t>
  </si>
  <si>
    <t xml:space="preserve"> А 0005/1002</t>
  </si>
  <si>
    <t xml:space="preserve">AA7753PP</t>
  </si>
  <si>
    <t xml:space="preserve">F290442</t>
  </si>
  <si>
    <t xml:space="preserve">AA5504BP</t>
  </si>
  <si>
    <t xml:space="preserve">F290440</t>
  </si>
  <si>
    <t xml:space="preserve">AA5798BP</t>
  </si>
  <si>
    <t xml:space="preserve"> А 0005/1003</t>
  </si>
  <si>
    <t xml:space="preserve">AA7786PP</t>
  </si>
  <si>
    <t xml:space="preserve"> А 0005/997</t>
  </si>
  <si>
    <t xml:space="preserve">AA5799BP</t>
  </si>
  <si>
    <t xml:space="preserve">Довбах Євген Вікторович</t>
  </si>
  <si>
    <t xml:space="preserve">02552</t>
  </si>
  <si>
    <t xml:space="preserve"> А 0005/1004</t>
  </si>
  <si>
    <t xml:space="preserve">AA7748TT</t>
  </si>
  <si>
    <r>
      <rPr>
        <sz val="10"/>
        <rFont val="Arial Cyr"/>
        <family val="0"/>
        <charset val="204"/>
      </rPr>
      <t xml:space="preserve"> </t>
    </r>
    <r>
      <rPr>
        <sz val="10"/>
        <color rgb="FF000000"/>
        <rFont val="Arial"/>
        <family val="2"/>
        <charset val="204"/>
      </rPr>
      <t xml:space="preserve">F290436</t>
    </r>
  </si>
  <si>
    <t xml:space="preserve">AA7746TT</t>
  </si>
  <si>
    <t xml:space="preserve"> А 0005/994</t>
  </si>
  <si>
    <t xml:space="preserve">AA7855BP</t>
  </si>
  <si>
    <t xml:space="preserve">А 0005/1008</t>
  </si>
  <si>
    <t xml:space="preserve">AA7749TT</t>
  </si>
  <si>
    <t xml:space="preserve"> А 0005/995</t>
  </si>
  <si>
    <t xml:space="preserve">AA7748PP</t>
  </si>
  <si>
    <r>
      <rPr>
        <sz val="10"/>
        <rFont val="Arial Cyr"/>
        <family val="0"/>
        <charset val="204"/>
      </rPr>
      <t xml:space="preserve"> </t>
    </r>
    <r>
      <rPr>
        <sz val="10"/>
        <color rgb="FF000000"/>
        <rFont val="Arial"/>
        <family val="2"/>
        <charset val="204"/>
      </rPr>
      <t xml:space="preserve">F290435</t>
    </r>
  </si>
  <si>
    <t xml:space="preserve">AA1029OB</t>
  </si>
  <si>
    <t xml:space="preserve">  L043733</t>
  </si>
  <si>
    <t xml:space="preserve">AA7752TT</t>
  </si>
  <si>
    <r>
      <rPr>
        <sz val="10"/>
        <rFont val="Arial Cyr"/>
        <family val="0"/>
        <charset val="204"/>
      </rPr>
      <t xml:space="preserve"> </t>
    </r>
    <r>
      <rPr>
        <sz val="10"/>
        <color rgb="FF000000"/>
        <rFont val="Arial"/>
        <family val="2"/>
        <charset val="204"/>
      </rPr>
      <t xml:space="preserve">F290433</t>
    </r>
  </si>
  <si>
    <t xml:space="preserve">AA7754TT</t>
  </si>
  <si>
    <t xml:space="preserve">Середа Григорій Васильович</t>
  </si>
  <si>
    <t xml:space="preserve">00830</t>
  </si>
  <si>
    <r>
      <rPr>
        <sz val="10"/>
        <rFont val="Arial Cyr"/>
        <family val="0"/>
        <charset val="204"/>
      </rPr>
      <t xml:space="preserve"> </t>
    </r>
    <r>
      <rPr>
        <sz val="10"/>
        <color rgb="FF000000"/>
        <rFont val="Arial"/>
        <family val="2"/>
        <charset val="204"/>
      </rPr>
      <t xml:space="preserve">F290434</t>
    </r>
  </si>
  <si>
    <t xml:space="preserve">AA7768TT</t>
  </si>
  <si>
    <t xml:space="preserve">Скалдін Вадим Сергійович</t>
  </si>
  <si>
    <t xml:space="preserve">09072</t>
  </si>
  <si>
    <t xml:space="preserve"> А 0005/999</t>
  </si>
  <si>
    <t xml:space="preserve">AA7753TT</t>
  </si>
  <si>
    <t xml:space="preserve">Ярмолич Олександр Миколайович</t>
  </si>
  <si>
    <t xml:space="preserve"> А 0005/998</t>
  </si>
  <si>
    <t xml:space="preserve">AA5542PC</t>
  </si>
  <si>
    <t xml:space="preserve">F290495</t>
  </si>
  <si>
    <t xml:space="preserve">AA5564PC</t>
  </si>
  <si>
    <t xml:space="preserve">Peugeot Expert 2.0HDI Tepee</t>
  </si>
  <si>
    <t xml:space="preserve">Кірпа Олександр Іванович</t>
  </si>
  <si>
    <t xml:space="preserve">03715</t>
  </si>
  <si>
    <t xml:space="preserve">F290496</t>
  </si>
  <si>
    <t xml:space="preserve">AA9559MB</t>
  </si>
  <si>
    <t xml:space="preserve">А 0005/992.</t>
  </si>
  <si>
    <t xml:space="preserve">AA5789BP</t>
  </si>
  <si>
    <t xml:space="preserve">L043727</t>
  </si>
  <si>
    <t xml:space="preserve">AA5547PC</t>
  </si>
  <si>
    <t xml:space="preserve">А 0005/1010</t>
  </si>
  <si>
    <t xml:space="preserve">AA9589MB</t>
  </si>
  <si>
    <t xml:space="preserve">VW Golf Variant 1.4 TSI 7 DSG comf</t>
  </si>
  <si>
    <t xml:space="preserve">Малюга Ольга Вікторівна</t>
  </si>
  <si>
    <t xml:space="preserve">F290458</t>
  </si>
  <si>
    <t xml:space="preserve">AA8393PI</t>
  </si>
  <si>
    <t xml:space="preserve">Артьомов Олексій Станіславович</t>
  </si>
  <si>
    <t xml:space="preserve">01548</t>
  </si>
  <si>
    <t xml:space="preserve">2.60.</t>
  </si>
  <si>
    <r>
      <rPr>
        <sz val="10"/>
        <rFont val="Arial Cyr"/>
        <family val="0"/>
        <charset val="204"/>
      </rPr>
      <t xml:space="preserve"> </t>
    </r>
    <r>
      <rPr>
        <sz val="10"/>
        <color rgb="FF000000"/>
        <rFont val="Arial"/>
        <family val="2"/>
        <charset val="204"/>
      </rPr>
      <t xml:space="preserve">F290423</t>
    </r>
  </si>
  <si>
    <t xml:space="preserve">AA8394PI</t>
  </si>
  <si>
    <t xml:space="preserve">Менеджер з розвитку продажів(DIOT)</t>
  </si>
  <si>
    <r>
      <rPr>
        <sz val="10"/>
        <rFont val="Arial Cyr"/>
        <family val="0"/>
        <charset val="204"/>
      </rPr>
      <t xml:space="preserve">  </t>
    </r>
    <r>
      <rPr>
        <sz val="10"/>
        <color rgb="FF000000"/>
        <rFont val="Arial"/>
        <family val="2"/>
        <charset val="204"/>
      </rPr>
      <t xml:space="preserve">F290424</t>
    </r>
  </si>
  <si>
    <t xml:space="preserve">AA8396PI</t>
  </si>
  <si>
    <r>
      <rPr>
        <sz val="10"/>
        <rFont val="Arial Cyr"/>
        <family val="0"/>
        <charset val="204"/>
      </rPr>
      <t xml:space="preserve">  </t>
    </r>
    <r>
      <rPr>
        <sz val="10"/>
        <color rgb="FF000000"/>
        <rFont val="Arial"/>
        <family val="2"/>
        <charset val="204"/>
      </rPr>
      <t xml:space="preserve">F290425</t>
    </r>
  </si>
  <si>
    <t xml:space="preserve">AA8397PI</t>
  </si>
  <si>
    <t xml:space="preserve">Провідний менеджер з продажу на теріторії</t>
  </si>
  <si>
    <r>
      <rPr>
        <sz val="10"/>
        <rFont val="Arial Cyr"/>
        <family val="0"/>
        <charset val="204"/>
      </rPr>
      <t xml:space="preserve">  </t>
    </r>
    <r>
      <rPr>
        <sz val="10"/>
        <color rgb="FF000000"/>
        <rFont val="Arial"/>
        <family val="2"/>
        <charset val="204"/>
      </rPr>
      <t xml:space="preserve">F290426</t>
    </r>
  </si>
  <si>
    <t xml:space="preserve">AA5780BP</t>
  </si>
  <si>
    <t xml:space="preserve">А 0005/988</t>
  </si>
  <si>
    <t xml:space="preserve">AA5764BP</t>
  </si>
  <si>
    <t xml:space="preserve">А 0005/982</t>
  </si>
  <si>
    <t xml:space="preserve">AA7559BP</t>
  </si>
  <si>
    <t xml:space="preserve"> F290386</t>
  </si>
  <si>
    <t xml:space="preserve">AA5769BP</t>
  </si>
  <si>
    <t xml:space="preserve">Діхтяренко Олена Володимирівна</t>
  </si>
  <si>
    <t xml:space="preserve">02114</t>
  </si>
  <si>
    <t xml:space="preserve">А 0005/985</t>
  </si>
  <si>
    <t xml:space="preserve">AA5765BP</t>
  </si>
  <si>
    <t xml:space="preserve">А 0005/983</t>
  </si>
  <si>
    <t xml:space="preserve">AA5761BP</t>
  </si>
  <si>
    <t xml:space="preserve">Охрім Роман Степанович</t>
  </si>
  <si>
    <t xml:space="preserve">08102</t>
  </si>
  <si>
    <t xml:space="preserve">L043718</t>
  </si>
  <si>
    <t xml:space="preserve">AA5767BP</t>
  </si>
  <si>
    <t xml:space="preserve">Пархоменко Іванна Володимирівна</t>
  </si>
  <si>
    <t xml:space="preserve">04166</t>
  </si>
  <si>
    <t xml:space="preserve"> F290387</t>
  </si>
  <si>
    <t xml:space="preserve">AA5781BP</t>
  </si>
  <si>
    <t xml:space="preserve">Судьїн Олег Андрійович</t>
  </si>
  <si>
    <t xml:space="preserve">10091</t>
  </si>
  <si>
    <t xml:space="preserve">Начальник цеху</t>
  </si>
  <si>
    <t xml:space="preserve">F290367</t>
  </si>
  <si>
    <t xml:space="preserve">AA5790BP</t>
  </si>
  <si>
    <t xml:space="preserve">Трунова Людмила Миколаївна</t>
  </si>
  <si>
    <t xml:space="preserve">02432</t>
  </si>
  <si>
    <t xml:space="preserve">F290368</t>
  </si>
  <si>
    <t xml:space="preserve">AA5783BP</t>
  </si>
  <si>
    <t xml:space="preserve">L043725</t>
  </si>
  <si>
    <t xml:space="preserve">AA5784BP</t>
  </si>
  <si>
    <t xml:space="preserve"> А 0005/990</t>
  </si>
  <si>
    <t xml:space="preserve">AA8370PI</t>
  </si>
  <si>
    <t xml:space="preserve">Білецький Назарій Володимирович</t>
  </si>
  <si>
    <t xml:space="preserve">72805</t>
  </si>
  <si>
    <r>
      <rPr>
        <sz val="10"/>
        <rFont val="Arial Cyr"/>
        <family val="0"/>
        <charset val="204"/>
      </rPr>
      <t xml:space="preserve"> </t>
    </r>
    <r>
      <rPr>
        <sz val="10"/>
        <color rgb="FF000000"/>
        <rFont val="Arial"/>
        <family val="2"/>
        <charset val="204"/>
      </rPr>
      <t xml:space="preserve">L043728</t>
    </r>
  </si>
  <si>
    <t xml:space="preserve">AA5778BP</t>
  </si>
  <si>
    <t xml:space="preserve">Начальник відділу ІТ інфраструктури та підтримки IT сервісів</t>
  </si>
  <si>
    <t xml:space="preserve">А 0005/987</t>
  </si>
  <si>
    <t xml:space="preserve">AA5762BP</t>
  </si>
  <si>
    <t xml:space="preserve">А 0005/980</t>
  </si>
  <si>
    <t xml:space="preserve">AA5770BP</t>
  </si>
  <si>
    <t xml:space="preserve">Менеджер групи підтримки IT сервісов</t>
  </si>
  <si>
    <t xml:space="preserve"> F290388</t>
  </si>
  <si>
    <t xml:space="preserve">AA5763BP</t>
  </si>
  <si>
    <t xml:space="preserve">А 0005/981</t>
  </si>
  <si>
    <t xml:space="preserve">AA5771BP</t>
  </si>
  <si>
    <t xml:space="preserve">А 0005/986</t>
  </si>
  <si>
    <t xml:space="preserve">AA5788BP</t>
  </si>
  <si>
    <t xml:space="preserve">А 0005/991</t>
  </si>
  <si>
    <t xml:space="preserve">AA5843PC</t>
  </si>
  <si>
    <t xml:space="preserve">PEUGEOT Boxer 335 L3H2 2.2HDI</t>
  </si>
  <si>
    <t xml:space="preserve">А 0005/1020</t>
  </si>
  <si>
    <t xml:space="preserve">AA5562PC</t>
  </si>
  <si>
    <t xml:space="preserve">А 0005/1011</t>
  </si>
  <si>
    <t xml:space="preserve">AA5563PC</t>
  </si>
  <si>
    <t xml:space="preserve">А 0005/1012</t>
  </si>
  <si>
    <t xml:space="preserve">AA5541PC</t>
  </si>
  <si>
    <t xml:space="preserve">Рубан Максим Олегович</t>
  </si>
  <si>
    <t xml:space="preserve">08820</t>
  </si>
  <si>
    <t xml:space="preserve">F290493</t>
  </si>
  <si>
    <t xml:space="preserve">AA5548PC</t>
  </si>
  <si>
    <t xml:space="preserve">419w</t>
  </si>
  <si>
    <t xml:space="preserve">LO43787</t>
  </si>
  <si>
    <t xml:space="preserve">AA9989KI</t>
  </si>
  <si>
    <t xml:space="preserve">F290444</t>
  </si>
  <si>
    <t xml:space="preserve">AA5786BP</t>
  </si>
  <si>
    <t xml:space="preserve">F290427</t>
  </si>
  <si>
    <t xml:space="preserve">AA5561PC</t>
  </si>
  <si>
    <t xml:space="preserve">LO43788</t>
  </si>
  <si>
    <t xml:space="preserve">AA5785BP</t>
  </si>
  <si>
    <t xml:space="preserve">L043726</t>
  </si>
  <si>
    <t xml:space="preserve">AA5787BP</t>
  </si>
  <si>
    <t xml:space="preserve">Менеджер з розвитку продажів каналу ключових клієнтів</t>
  </si>
  <si>
    <t xml:space="preserve"> F290382</t>
  </si>
  <si>
    <t xml:space="preserve">AA8392PI</t>
  </si>
  <si>
    <r>
      <rPr>
        <sz val="10"/>
        <rFont val="Arial Cyr"/>
        <family val="0"/>
        <charset val="204"/>
      </rPr>
      <t xml:space="preserve"> </t>
    </r>
    <r>
      <rPr>
        <sz val="10"/>
        <color rgb="FF000000"/>
        <rFont val="Arial"/>
        <family val="2"/>
        <charset val="204"/>
      </rPr>
      <t xml:space="preserve">L043729</t>
    </r>
  </si>
  <si>
    <t xml:space="preserve">AA5768BP</t>
  </si>
  <si>
    <t xml:space="preserve">А 0005/984</t>
  </si>
  <si>
    <t xml:space="preserve">AA5845PC</t>
  </si>
  <si>
    <t xml:space="preserve">F290507</t>
  </si>
  <si>
    <t xml:space="preserve">AA8806PC</t>
  </si>
  <si>
    <t xml:space="preserve">А 0005/1013</t>
  </si>
  <si>
    <t xml:space="preserve">AA8813PC</t>
  </si>
  <si>
    <t xml:space="preserve">L044049</t>
  </si>
  <si>
    <t xml:space="preserve">AA2937PE</t>
  </si>
  <si>
    <t xml:space="preserve">Peugeot 208 1.2 </t>
  </si>
  <si>
    <t xml:space="preserve">2.70.</t>
  </si>
  <si>
    <t xml:space="preserve">LO44146</t>
  </si>
  <si>
    <t xml:space="preserve">AA2940PE</t>
  </si>
  <si>
    <t xml:space="preserve">Скакун Богдан Михайлович</t>
  </si>
  <si>
    <t xml:space="preserve">03852</t>
  </si>
  <si>
    <t xml:space="preserve">F290515</t>
  </si>
  <si>
    <t xml:space="preserve">AA2948PE</t>
  </si>
  <si>
    <t xml:space="preserve">А 0005/1019</t>
  </si>
  <si>
    <t xml:space="preserve">AA2950PE</t>
  </si>
  <si>
    <t xml:space="preserve">Демидас Сергій Григорович</t>
  </si>
  <si>
    <t xml:space="preserve">02234</t>
  </si>
  <si>
    <t xml:space="preserve">LO44152</t>
  </si>
  <si>
    <t xml:space="preserve">AA5617PE</t>
  </si>
  <si>
    <t xml:space="preserve">А 0005/1022</t>
  </si>
  <si>
    <t xml:space="preserve">AA5603PE</t>
  </si>
  <si>
    <t xml:space="preserve">LO44141</t>
  </si>
  <si>
    <t xml:space="preserve">AA5605PE</t>
  </si>
  <si>
    <t xml:space="preserve">Кучерук Віктор Вікторович</t>
  </si>
  <si>
    <t xml:space="preserve">04259</t>
  </si>
  <si>
    <t xml:space="preserve">F290517</t>
  </si>
  <si>
    <t xml:space="preserve">AA5616PE</t>
  </si>
  <si>
    <t xml:space="preserve">А 0005/1021</t>
  </si>
  <si>
    <t xml:space="preserve">AA2943PE</t>
  </si>
  <si>
    <t xml:space="preserve">Миронова Галина Констянтиновна</t>
  </si>
  <si>
    <t xml:space="preserve">F290520</t>
  </si>
  <si>
    <t xml:space="preserve">AA2926PE</t>
  </si>
  <si>
    <t xml:space="preserve">414W</t>
  </si>
  <si>
    <t xml:space="preserve">F290514</t>
  </si>
  <si>
    <t xml:space="preserve">AA2930PE</t>
  </si>
  <si>
    <t xml:space="preserve">А 0005/1015</t>
  </si>
  <si>
    <t xml:space="preserve">AA2934PE</t>
  </si>
  <si>
    <t xml:space="preserve">Раделицький Андрій Петрович</t>
  </si>
  <si>
    <t xml:space="preserve">09590</t>
  </si>
  <si>
    <t xml:space="preserve">LO44144</t>
  </si>
  <si>
    <t xml:space="preserve">AA2938PE</t>
  </si>
  <si>
    <t xml:space="preserve">Рівне, Луцьк</t>
  </si>
  <si>
    <t xml:space="preserve">LO44147</t>
  </si>
  <si>
    <t xml:space="preserve">AA2941PE</t>
  </si>
  <si>
    <t xml:space="preserve">LO44148</t>
  </si>
  <si>
    <t xml:space="preserve">AA2944PE</t>
  </si>
  <si>
    <t xml:space="preserve">LO44149</t>
  </si>
  <si>
    <t xml:space="preserve">AA2945PE</t>
  </si>
  <si>
    <t xml:space="preserve">LO44150</t>
  </si>
  <si>
    <t xml:space="preserve">AA2946PE</t>
  </si>
  <si>
    <t xml:space="preserve">LO44151</t>
  </si>
  <si>
    <t xml:space="preserve">AA2947PE</t>
  </si>
  <si>
    <t xml:space="preserve">А 0005/1018</t>
  </si>
  <si>
    <t xml:space="preserve">AA2949PE</t>
  </si>
  <si>
    <t xml:space="preserve">F290516 </t>
  </si>
  <si>
    <t xml:space="preserve">AA2935PE</t>
  </si>
  <si>
    <t xml:space="preserve">А 0005/1016</t>
  </si>
  <si>
    <t xml:space="preserve">AA2942PE</t>
  </si>
  <si>
    <t xml:space="preserve">А 0005/1017</t>
  </si>
  <si>
    <t xml:space="preserve">AA2936PE</t>
  </si>
  <si>
    <t xml:space="preserve">LO44145</t>
  </si>
  <si>
    <t xml:space="preserve">AA5607PE</t>
  </si>
  <si>
    <t xml:space="preserve">Корбут Сергій Володимирович</t>
  </si>
  <si>
    <t xml:space="preserve">03263</t>
  </si>
  <si>
    <t xml:space="preserve">F290518</t>
  </si>
  <si>
    <t xml:space="preserve">AA5614PE</t>
  </si>
  <si>
    <t xml:space="preserve">F290519</t>
  </si>
  <si>
    <t xml:space="preserve">AA2927PE</t>
  </si>
  <si>
    <t xml:space="preserve">А 0005/1014</t>
  </si>
  <si>
    <t xml:space="preserve">AA2951PE</t>
  </si>
  <si>
    <t xml:space="preserve">LO44153</t>
  </si>
  <si>
    <t xml:space="preserve">AA8460PE</t>
  </si>
  <si>
    <t xml:space="preserve">L044235</t>
  </si>
  <si>
    <t xml:space="preserve">AA5604PE</t>
  </si>
  <si>
    <t xml:space="preserve">Шапошніков Михайло Олександрович</t>
  </si>
  <si>
    <t xml:space="preserve">01509</t>
  </si>
  <si>
    <t xml:space="preserve">LO44142</t>
  </si>
  <si>
    <t xml:space="preserve">AA5746PE</t>
  </si>
  <si>
    <t xml:space="preserve">LO44143</t>
  </si>
  <si>
    <t xml:space="preserve">AA8459PE</t>
  </si>
  <si>
    <t xml:space="preserve">F290572</t>
  </si>
  <si>
    <t xml:space="preserve">AA7238XI</t>
  </si>
  <si>
    <t xml:space="preserve">ARMB-0657</t>
  </si>
  <si>
    <t xml:space="preserve">ARLK-1118</t>
  </si>
  <si>
    <t xml:space="preserve">AA3679XH</t>
  </si>
  <si>
    <t xml:space="preserve">F451788</t>
  </si>
  <si>
    <t xml:space="preserve">ARMA-1004</t>
  </si>
  <si>
    <t xml:space="preserve">ARLK-0138</t>
  </si>
  <si>
    <t xml:space="preserve">AA4639XH</t>
  </si>
  <si>
    <t xml:space="preserve">ARMA-1007</t>
  </si>
  <si>
    <t xml:space="preserve">ARLK-0144</t>
  </si>
  <si>
    <t xml:space="preserve">AA8657XE</t>
  </si>
  <si>
    <t xml:space="preserve">А 0005/1027</t>
  </si>
  <si>
    <t xml:space="preserve">ARMA-0943</t>
  </si>
  <si>
    <t xml:space="preserve">ARLK-0566</t>
  </si>
  <si>
    <t xml:space="preserve">AA3611XH</t>
  </si>
  <si>
    <t xml:space="preserve">ARMA-0999</t>
  </si>
  <si>
    <t xml:space="preserve">ARLK-0353</t>
  </si>
  <si>
    <t xml:space="preserve">AA4635XH</t>
  </si>
  <si>
    <t xml:space="preserve">А 0005/1041</t>
  </si>
  <si>
    <t xml:space="preserve">ARMA-1002</t>
  </si>
  <si>
    <t xml:space="preserve">ARLK-0129</t>
  </si>
  <si>
    <t xml:space="preserve">AA3624XH</t>
  </si>
  <si>
    <t xml:space="preserve">ARMA-1003</t>
  </si>
  <si>
    <t xml:space="preserve">ARLK-0137</t>
  </si>
  <si>
    <t xml:space="preserve">AA3685XH</t>
  </si>
  <si>
    <t xml:space="preserve">А 0005/1037</t>
  </si>
  <si>
    <t xml:space="preserve">ARMA-0985</t>
  </si>
  <si>
    <t xml:space="preserve">ARLK-0361</t>
  </si>
  <si>
    <t xml:space="preserve">AA8673XE</t>
  </si>
  <si>
    <t xml:space="preserve">F451791</t>
  </si>
  <si>
    <t xml:space="preserve">ARMA-0996</t>
  </si>
  <si>
    <t xml:space="preserve">ARLK-0349</t>
  </si>
  <si>
    <t xml:space="preserve">AA8649XE</t>
  </si>
  <si>
    <t xml:space="preserve">ARMA-0986</t>
  </si>
  <si>
    <t xml:space="preserve">ARLK-0363</t>
  </si>
  <si>
    <t xml:space="preserve">AA8690XE</t>
  </si>
  <si>
    <t xml:space="preserve">F451792</t>
  </si>
  <si>
    <t xml:space="preserve">ARMD-0044</t>
  </si>
  <si>
    <t xml:space="preserve">ARLK-0256</t>
  </si>
  <si>
    <t xml:space="preserve">AA4637XH</t>
  </si>
  <si>
    <t xml:space="preserve">F451784</t>
  </si>
  <si>
    <t xml:space="preserve">ARMA-1015</t>
  </si>
  <si>
    <t xml:space="preserve">ARLK-0343</t>
  </si>
  <si>
    <t xml:space="preserve">AA2576XH</t>
  </si>
  <si>
    <t xml:space="preserve">08923</t>
  </si>
  <si>
    <t xml:space="preserve">А 0005/1038</t>
  </si>
  <si>
    <t xml:space="preserve">ARMA-0983</t>
  </si>
  <si>
    <t xml:space="preserve">ARLK-0346</t>
  </si>
  <si>
    <t xml:space="preserve">AA7004BP</t>
  </si>
  <si>
    <t xml:space="preserve">Старший менеджер по роботі з органами державної влади</t>
  </si>
  <si>
    <t xml:space="preserve">4а</t>
  </si>
  <si>
    <t xml:space="preserve">F290381</t>
  </si>
  <si>
    <t xml:space="preserve">AA3205PH</t>
  </si>
  <si>
    <t xml:space="preserve">Соколова Ольга Миколаївна</t>
  </si>
  <si>
    <t xml:space="preserve">02101</t>
  </si>
  <si>
    <t xml:space="preserve">2.80.</t>
  </si>
  <si>
    <t xml:space="preserve">А 0005/1024 </t>
  </si>
  <si>
    <t xml:space="preserve">AA9498PI</t>
  </si>
  <si>
    <r>
      <rPr>
        <sz val="10"/>
        <rFont val="Arial Cyr"/>
        <family val="0"/>
        <charset val="204"/>
      </rPr>
      <t xml:space="preserve">VW </t>
    </r>
    <r>
      <rPr>
        <sz val="10"/>
        <rFont val="Times New Roman"/>
        <family val="1"/>
        <charset val="204"/>
      </rPr>
      <t xml:space="preserve">Tiguan Highline 2.0 TDI 4MOTION</t>
    </r>
  </si>
  <si>
    <t xml:space="preserve">F290574</t>
  </si>
  <si>
    <t xml:space="preserve">AA9766OH</t>
  </si>
  <si>
    <t xml:space="preserve">Віце-президент з операційної діяльності</t>
  </si>
  <si>
    <t xml:space="preserve">F290448 </t>
  </si>
  <si>
    <t xml:space="preserve">AA3212PH</t>
  </si>
  <si>
    <t xml:space="preserve">А 0005/1023 </t>
  </si>
  <si>
    <t xml:space="preserve">AA3206PH</t>
  </si>
  <si>
    <t xml:space="preserve">F290592</t>
  </si>
  <si>
    <t xml:space="preserve">AA4927XC</t>
  </si>
  <si>
    <t xml:space="preserve">4.20.</t>
  </si>
  <si>
    <t xml:space="preserve">ARLC-1347</t>
  </si>
  <si>
    <t xml:space="preserve">ARLM-0121</t>
  </si>
  <si>
    <t xml:space="preserve">AA3289PH</t>
  </si>
  <si>
    <t xml:space="preserve">L044488</t>
  </si>
  <si>
    <t xml:space="preserve">AA3286PH</t>
  </si>
  <si>
    <t xml:space="preserve">L044486</t>
  </si>
  <si>
    <t xml:space="preserve">AA3207PH</t>
  </si>
  <si>
    <t xml:space="preserve">01459</t>
  </si>
  <si>
    <t xml:space="preserve">продажи </t>
  </si>
  <si>
    <t xml:space="preserve">F290593</t>
  </si>
  <si>
    <t xml:space="preserve">AA3290PH</t>
  </si>
  <si>
    <t xml:space="preserve">L044489</t>
  </si>
  <si>
    <t xml:space="preserve">AA3288PH</t>
  </si>
  <si>
    <t xml:space="preserve">F290595</t>
  </si>
  <si>
    <t xml:space="preserve">AA3287PH</t>
  </si>
  <si>
    <t xml:space="preserve">L044487</t>
  </si>
  <si>
    <t xml:space="preserve">AA3285PH</t>
  </si>
  <si>
    <t xml:space="preserve">L044485</t>
  </si>
  <si>
    <t xml:space="preserve">AA3211PH</t>
  </si>
  <si>
    <t xml:space="preserve">F290594</t>
  </si>
  <si>
    <t xml:space="preserve">AA3209PH</t>
  </si>
  <si>
    <t xml:space="preserve">L044484</t>
  </si>
  <si>
    <t xml:space="preserve">AA3291PH</t>
  </si>
  <si>
    <t xml:space="preserve">F290591</t>
  </si>
  <si>
    <t xml:space="preserve">AA9511PI</t>
  </si>
  <si>
    <t xml:space="preserve">VW Passat 1.8 TSI BMT</t>
  </si>
  <si>
    <t xml:space="preserve">Поздняков Олександр Павлович</t>
  </si>
  <si>
    <t xml:space="preserve">00931</t>
  </si>
  <si>
    <t xml:space="preserve">Директор з логістики</t>
  </si>
  <si>
    <t xml:space="preserve">F290573</t>
  </si>
  <si>
    <t xml:space="preserve">AA8874BP</t>
  </si>
  <si>
    <t xml:space="preserve">F290429</t>
  </si>
  <si>
    <t xml:space="preserve">AA4663MO</t>
  </si>
  <si>
    <t xml:space="preserve">к</t>
  </si>
  <si>
    <t xml:space="preserve">LO43741</t>
  </si>
  <si>
    <t xml:space="preserve">А 0005/1009</t>
  </si>
  <si>
    <t xml:space="preserve">AA9979KI</t>
  </si>
  <si>
    <t xml:space="preserve">F290445</t>
  </si>
  <si>
    <t xml:space="preserve">AA5740BP</t>
  </si>
  <si>
    <t xml:space="preserve">Олійнічук Олексій Сергійович</t>
  </si>
  <si>
    <t xml:space="preserve">01305</t>
  </si>
  <si>
    <t xml:space="preserve">Регіональний директор з якості</t>
  </si>
  <si>
    <t xml:space="preserve">L043678</t>
  </si>
  <si>
    <t xml:space="preserve">AA9816PA</t>
  </si>
  <si>
    <t xml:space="preserve">F290490</t>
  </si>
  <si>
    <t xml:space="preserve">AA8873BP</t>
  </si>
  <si>
    <t xml:space="preserve">Козаков Сергій Васильович</t>
  </si>
  <si>
    <t xml:space="preserve">00188</t>
  </si>
  <si>
    <t xml:space="preserve">Директор напрямку ХоРеКа</t>
  </si>
  <si>
    <t xml:space="preserve">Напрям по роботі з ХоРеКа</t>
  </si>
  <si>
    <t xml:space="preserve">продажи XoReKa офис</t>
  </si>
  <si>
    <t xml:space="preserve">F290428</t>
  </si>
  <si>
    <t xml:space="preserve">AA4986PA</t>
  </si>
  <si>
    <t xml:space="preserve">VW Multivan T6 Higline</t>
  </si>
  <si>
    <t xml:space="preserve">F290463</t>
  </si>
  <si>
    <t xml:space="preserve">AA0336XH</t>
  </si>
  <si>
    <t xml:space="preserve">04423</t>
  </si>
  <si>
    <t xml:space="preserve">F451793</t>
  </si>
  <si>
    <t xml:space="preserve">ARMA-1019</t>
  </si>
  <si>
    <t xml:space="preserve">ARLK-0341</t>
  </si>
  <si>
    <t xml:space="preserve">AA2579XH</t>
  </si>
  <si>
    <t xml:space="preserve">F451787</t>
  </si>
  <si>
    <t xml:space="preserve">ARMA-1013</t>
  </si>
  <si>
    <t xml:space="preserve">ARLK-0344</t>
  </si>
  <si>
    <t xml:space="preserve">AA2586XH</t>
  </si>
  <si>
    <t xml:space="preserve">ARMA-0982</t>
  </si>
  <si>
    <t xml:space="preserve">ARLK-0369</t>
  </si>
  <si>
    <t xml:space="preserve">AA3616XH</t>
  </si>
  <si>
    <t xml:space="preserve">А 0005/1047</t>
  </si>
  <si>
    <t xml:space="preserve">ARMA-1017</t>
  </si>
  <si>
    <t xml:space="preserve">ARLK-0336</t>
  </si>
  <si>
    <t xml:space="preserve">AA3625XH</t>
  </si>
  <si>
    <t xml:space="preserve">А 0005/1049</t>
  </si>
  <si>
    <t xml:space="preserve">ARMA-1016</t>
  </si>
  <si>
    <t xml:space="preserve">ARLK-0338</t>
  </si>
  <si>
    <t xml:space="preserve">AA3629XH</t>
  </si>
  <si>
    <t xml:space="preserve">F451789</t>
  </si>
  <si>
    <t xml:space="preserve">ARMA-1197</t>
  </si>
  <si>
    <t xml:space="preserve">ARLK-0133</t>
  </si>
  <si>
    <t xml:space="preserve">AA3681XH</t>
  </si>
  <si>
    <t xml:space="preserve">ARMA-1001</t>
  </si>
  <si>
    <t xml:space="preserve">ARLK-0143</t>
  </si>
  <si>
    <t xml:space="preserve">AA3682XH</t>
  </si>
  <si>
    <t xml:space="preserve">10010</t>
  </si>
  <si>
    <t xml:space="preserve">Фахівець з управління потоками тари</t>
  </si>
  <si>
    <t xml:space="preserve">А 0005/1040</t>
  </si>
  <si>
    <t xml:space="preserve">ARMA-1005</t>
  </si>
  <si>
    <t xml:space="preserve">ARLK-0121</t>
  </si>
  <si>
    <t xml:space="preserve">AA3693XH</t>
  </si>
  <si>
    <t xml:space="preserve">ARMA-0990</t>
  </si>
  <si>
    <t xml:space="preserve">ARLK-0347</t>
  </si>
  <si>
    <t xml:space="preserve">AA4629XH</t>
  </si>
  <si>
    <t xml:space="preserve">ARMA-0991</t>
  </si>
  <si>
    <t xml:space="preserve">ARLK-0351</t>
  </si>
  <si>
    <t xml:space="preserve">AA8656XE</t>
  </si>
  <si>
    <t xml:space="preserve">А 0005/1035</t>
  </si>
  <si>
    <t xml:space="preserve">ARMA-0931</t>
  </si>
  <si>
    <t xml:space="preserve">ARLK-0579</t>
  </si>
  <si>
    <t xml:space="preserve">AA4394AE</t>
  </si>
  <si>
    <t xml:space="preserve">F451832</t>
  </si>
  <si>
    <t xml:space="preserve">ARMB-0665</t>
  </si>
  <si>
    <t xml:space="preserve">ARLK-1098</t>
  </si>
  <si>
    <t xml:space="preserve">AA5158XI</t>
  </si>
  <si>
    <t xml:space="preserve">А 0005/1057</t>
  </si>
  <si>
    <t xml:space="preserve">ARMB-0659</t>
  </si>
  <si>
    <t xml:space="preserve">AA5164XI</t>
  </si>
  <si>
    <t xml:space="preserve">А 0005/1059</t>
  </si>
  <si>
    <t xml:space="preserve">ARMB-0662</t>
  </si>
  <si>
    <t xml:space="preserve">ARLK-1096</t>
  </si>
  <si>
    <t xml:space="preserve">AA6834XI</t>
  </si>
  <si>
    <t xml:space="preserve">А 0005/1061</t>
  </si>
  <si>
    <t xml:space="preserve">ARMB 0642</t>
  </si>
  <si>
    <t xml:space="preserve">ARLK-1125</t>
  </si>
  <si>
    <t xml:space="preserve">AA9345PA</t>
  </si>
  <si>
    <t xml:space="preserve">А 0005/1073</t>
  </si>
  <si>
    <t xml:space="preserve">ARMB-0656</t>
  </si>
  <si>
    <t xml:space="preserve">ARLK-1099</t>
  </si>
  <si>
    <t xml:space="preserve">AA4478EM</t>
  </si>
  <si>
    <t xml:space="preserve">ARME-0328</t>
  </si>
  <si>
    <t xml:space="preserve">ARLM-0105</t>
  </si>
  <si>
    <t xml:space="preserve">AA5742PT</t>
  </si>
  <si>
    <t xml:space="preserve">BMW G30 540i </t>
  </si>
  <si>
    <t xml:space="preserve">Шевченко Євген Вікторович</t>
  </si>
  <si>
    <t xml:space="preserve">02471</t>
  </si>
  <si>
    <t xml:space="preserve">F451508</t>
  </si>
  <si>
    <t xml:space="preserve">AA1862TE</t>
  </si>
  <si>
    <t xml:space="preserve">F451578</t>
  </si>
  <si>
    <t xml:space="preserve">НБУ на15.08.14</t>
  </si>
  <si>
    <t xml:space="preserve">НБУ на17.09.14</t>
  </si>
  <si>
    <t xml:space="preserve">НБУ на20.10.14</t>
  </si>
  <si>
    <t xml:space="preserve">НБУ на20.11.14</t>
  </si>
  <si>
    <t xml:space="preserve">НБУ на20.12.14</t>
  </si>
  <si>
    <t xml:space="preserve">НБУ на20.01.15</t>
  </si>
  <si>
    <t xml:space="preserve">НБУ на19.02.15</t>
  </si>
  <si>
    <t xml:space="preserve">НБУ на19.03.15</t>
  </si>
  <si>
    <t xml:space="preserve">НБУ на20.04.15</t>
  </si>
  <si>
    <t xml:space="preserve">НБУ на20.05.15</t>
  </si>
  <si>
    <t xml:space="preserve">НБУ на22.06.15</t>
  </si>
  <si>
    <t xml:space="preserve">НБУ на20.07.15</t>
  </si>
  <si>
    <t xml:space="preserve">НБУ на18.08.15</t>
  </si>
  <si>
    <t xml:space="preserve">НБУ на20.09.15</t>
  </si>
  <si>
    <t xml:space="preserve">НБУ на18.10.15</t>
  </si>
  <si>
    <t xml:space="preserve">НБУ на18.11.15</t>
  </si>
  <si>
    <t xml:space="preserve">НБУ на17.12.15</t>
  </si>
  <si>
    <t xml:space="preserve">НБУ на19.01.16</t>
  </si>
  <si>
    <t xml:space="preserve">НБУ на19.02.16</t>
  </si>
  <si>
    <t xml:space="preserve">НБУ на18.03.2016</t>
  </si>
  <si>
    <t xml:space="preserve">НБУ на18.04.2016</t>
  </si>
  <si>
    <t xml:space="preserve">НБУ на18.05.2016</t>
  </si>
  <si>
    <t xml:space="preserve">НБУ на18.06.2016</t>
  </si>
  <si>
    <t xml:space="preserve">НБУ на21.07.2016</t>
  </si>
  <si>
    <t xml:space="preserve">НБУ на22.08.2016</t>
  </si>
  <si>
    <t xml:space="preserve">НБУ на22.09.2016</t>
  </si>
  <si>
    <t xml:space="preserve">НБУ на19.10.2016</t>
  </si>
  <si>
    <t xml:space="preserve">НБУ на18.11.2016</t>
  </si>
  <si>
    <t xml:space="preserve">НБУ на22.12.2016</t>
  </si>
  <si>
    <t xml:space="preserve">НБУ на19.01.2017</t>
  </si>
  <si>
    <t xml:space="preserve">НБУ на20.02.2017</t>
  </si>
  <si>
    <t xml:space="preserve">НБУ на20.03.2017</t>
  </si>
  <si>
    <t xml:space="preserve">НБУ на18.05.2017</t>
  </si>
  <si>
    <t xml:space="preserve">НБУ на20.06.2017</t>
  </si>
  <si>
    <t xml:space="preserve">НБУ на20.07.2017</t>
  </si>
  <si>
    <t xml:space="preserve">НБУ на21.08.2017</t>
  </si>
  <si>
    <t xml:space="preserve">Euro=</t>
  </si>
  <si>
    <t xml:space="preserve">$=</t>
  </si>
  <si>
    <t xml:space="preserve">евро</t>
  </si>
  <si>
    <t xml:space="preserve">НБУ на18.08.14</t>
  </si>
  <si>
    <t xml:space="preserve">НБУ на18.09.14</t>
  </si>
  <si>
    <t xml:space="preserve">НБУ на21.10.14</t>
  </si>
  <si>
    <t xml:space="preserve">НБУ на21.11.14</t>
  </si>
  <si>
    <t xml:space="preserve">НБУ на21.12.14</t>
  </si>
  <si>
    <t xml:space="preserve">НБУ на21.01.15</t>
  </si>
  <si>
    <t xml:space="preserve">НБУ на18.02.15</t>
  </si>
  <si>
    <t xml:space="preserve">НБУ на18.03.15</t>
  </si>
  <si>
    <t xml:space="preserve">НБУ на19.11.15</t>
  </si>
  <si>
    <t xml:space="preserve">НБУ на19.08.2016</t>
  </si>
  <si>
    <t xml:space="preserve">НБУ на17.03.2017</t>
  </si>
  <si>
    <t xml:space="preserve">НБУ на18.07.2017</t>
  </si>
  <si>
    <t xml:space="preserve">НБУ на22.02.16</t>
  </si>
  <si>
    <t xml:space="preserve">НБУ на21.04.2016</t>
  </si>
  <si>
    <t xml:space="preserve">НБУ на23.05.2016</t>
  </si>
  <si>
    <t xml:space="preserve">НБУ на22.06.2016</t>
  </si>
  <si>
    <t xml:space="preserve">НБУ на21.09.2016</t>
  </si>
  <si>
    <t xml:space="preserve">НБУ на21.10.2016</t>
  </si>
  <si>
    <t xml:space="preserve">22,03,2021</t>
  </si>
  <si>
    <t xml:space="preserve">19,08,2021</t>
  </si>
  <si>
    <t xml:space="preserve">доллар</t>
  </si>
  <si>
    <t xml:space="preserve">Курс валюты</t>
  </si>
  <si>
    <t xml:space="preserve">Сумма перв. Платежа факт</t>
  </si>
  <si>
    <t xml:space="preserve">Сумма перв. Платежа</t>
  </si>
  <si>
    <t xml:space="preserve">Договор</t>
  </si>
  <si>
    <t xml:space="preserve">сумма договора старая</t>
  </si>
  <si>
    <t xml:space="preserve">сумма договора новая</t>
  </si>
  <si>
    <t xml:space="preserve">сумма договора при $=7.61? Евро=11.2</t>
  </si>
  <si>
    <t xml:space="preserve">на момент заключения контракта</t>
  </si>
  <si>
    <t xml:space="preserve">По новым контрактам</t>
  </si>
  <si>
    <t xml:space="preserve">Доля платежа в грн.</t>
  </si>
  <si>
    <t xml:space="preserve">август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</si>
  <si>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</si>
  <si>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</si>
  <si>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</si>
  <si>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</si>
  <si>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ИТОГО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</si>
  <si>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</si>
  <si>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</si>
  <si>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</si>
  <si>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</si>
  <si>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</si>
  <si>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</si>
  <si>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</si>
  <si>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итого</t>
  </si>
  <si>
    <t xml:space="preserve">Сумма к оплате 85%+15%</t>
  </si>
  <si>
    <t xml:space="preserve">сумма при текущем курсе валюты</t>
  </si>
  <si>
    <r>
      <rPr>
        <sz val="8"/>
        <rFont val="Arial Cyr"/>
        <family val="0"/>
        <charset val="204"/>
      </rPr>
      <t xml:space="preserve">сумма по контракту (курс валюты - зафиксированный в </t>
    </r>
    <r>
      <rPr>
        <sz val="8"/>
        <color rgb="FFFF0000"/>
        <rFont val="Arial Cyr"/>
        <family val="0"/>
        <charset val="204"/>
      </rPr>
      <t xml:space="preserve">новом</t>
    </r>
    <r>
      <rPr>
        <sz val="8"/>
        <rFont val="Arial Cyr"/>
        <family val="0"/>
        <charset val="204"/>
      </rPr>
      <t xml:space="preserve"> контракте)</t>
    </r>
  </si>
  <si>
    <t xml:space="preserve">Общий итог</t>
  </si>
  <si>
    <t xml:space="preserve">Без рекламы</t>
  </si>
  <si>
    <t xml:space="preserve">- all -</t>
  </si>
  <si>
    <t xml:space="preserve">Data</t>
  </si>
  <si>
    <t xml:space="preserve">Сумма с НДС</t>
  </si>
  <si>
    <t xml:space="preserve">Сумма по полю 1/60 первого платежа с НДС</t>
  </si>
  <si>
    <t xml:space="preserve">Total Result</t>
  </si>
  <si>
    <t xml:space="preserve">Количество по полю Гос. Номер</t>
  </si>
  <si>
    <t xml:space="preserve">Центры затрат</t>
  </si>
  <si>
    <t xml:space="preserve">Закрепление</t>
  </si>
  <si>
    <t xml:space="preserve">Итог</t>
  </si>
  <si>
    <t xml:space="preserve">Peugeot 206 X-Line E 3d</t>
  </si>
  <si>
    <t xml:space="preserve">Peugeot 307 Break XS E Auto</t>
  </si>
  <si>
    <t xml:space="preserve">PEUGEOT 307 SW Pack</t>
  </si>
  <si>
    <t xml:space="preserve">СУБАРУ ФОРЕСТЕР</t>
  </si>
  <si>
    <t xml:space="preserve">Киевский офис Итог</t>
  </si>
  <si>
    <t xml:space="preserve">финансы Итог</t>
  </si>
  <si>
    <t xml:space="preserve">Peugeot 206 X-Line E 5d</t>
  </si>
  <si>
    <t xml:space="preserve">Запорожье Итог</t>
  </si>
  <si>
    <t xml:space="preserve">PEUGEOT 406 ST Auto</t>
  </si>
  <si>
    <t xml:space="preserve">ИТ Итог</t>
  </si>
  <si>
    <t xml:space="preserve">PEUGEOT Boxer 350 LH HDI</t>
  </si>
  <si>
    <t xml:space="preserve">PEUGEOT 307 XR</t>
  </si>
  <si>
    <t xml:space="preserve">PEUGEOT 307 XS</t>
  </si>
  <si>
    <t xml:space="preserve">СУБАРУ ЛЕГАСИ</t>
  </si>
  <si>
    <t xml:space="preserve">Киев Итог</t>
  </si>
  <si>
    <t xml:space="preserve">закупки Итог</t>
  </si>
  <si>
    <t xml:space="preserve">Peugeot 206 SW X-Line E</t>
  </si>
  <si>
    <t xml:space="preserve">PEUGEOT 307 SW</t>
  </si>
  <si>
    <t xml:space="preserve">ВОЛЬВО-FL6</t>
  </si>
  <si>
    <t xml:space="preserve">ВОЛЬВО-FL7</t>
  </si>
  <si>
    <t xml:space="preserve">МЕРСЕДЕС 1931</t>
  </si>
  <si>
    <t xml:space="preserve">PEUGEOT 307 SW Pack Auto</t>
  </si>
  <si>
    <t xml:space="preserve">Peugeot 206 XT E 5d</t>
  </si>
  <si>
    <t xml:space="preserve">ГАЗ 2705</t>
  </si>
  <si>
    <t xml:space="preserve">Львов Итог</t>
  </si>
  <si>
    <t xml:space="preserve">Восточный</t>
  </si>
  <si>
    <t xml:space="preserve">МЕРСЕДЕС 1827</t>
  </si>
  <si>
    <t xml:space="preserve">Восточный Итог</t>
  </si>
  <si>
    <t xml:space="preserve">Южный Итог</t>
  </si>
  <si>
    <t xml:space="preserve">Северный</t>
  </si>
  <si>
    <t xml:space="preserve">Северный Итог</t>
  </si>
  <si>
    <t xml:space="preserve">логистика Итог</t>
  </si>
  <si>
    <t xml:space="preserve">PEUGEOT407SV Ex 2,2E</t>
  </si>
  <si>
    <t xml:space="preserve">маркетинг Итог</t>
  </si>
  <si>
    <t xml:space="preserve">продажи</t>
  </si>
  <si>
    <t xml:space="preserve">PEUGEOT Partner Fourgon</t>
  </si>
  <si>
    <t xml:space="preserve">Peugeot 307 Break XR E 5d</t>
  </si>
  <si>
    <t xml:space="preserve">Peugeot 307 Break XS E 5d</t>
  </si>
  <si>
    <t xml:space="preserve">Subaru Outback 2.5 A/T</t>
  </si>
  <si>
    <t xml:space="preserve">Днепропетровск</t>
  </si>
  <si>
    <t xml:space="preserve">Днепропетровск Итог</t>
  </si>
  <si>
    <t xml:space="preserve">ЗАЗ-DAEWOO</t>
  </si>
  <si>
    <t xml:space="preserve">Центральный Итог</t>
  </si>
  <si>
    <t xml:space="preserve">Западный Итог</t>
  </si>
  <si>
    <t xml:space="preserve">продажи Итог</t>
  </si>
  <si>
    <t xml:space="preserve">PEUGEOT 307 XТ Pack</t>
  </si>
  <si>
    <t xml:space="preserve">PEUGEOT Partner Combi</t>
  </si>
  <si>
    <t xml:space="preserve">БОГДАН А-091</t>
  </si>
  <si>
    <t xml:space="preserve">ВОЛЬВО-960 S-90</t>
  </si>
  <si>
    <t xml:space="preserve">TOYOTA Lexus RX 300</t>
  </si>
  <si>
    <t xml:space="preserve">VOLVO XC 90 T6</t>
  </si>
  <si>
    <t xml:space="preserve">PEUGEOT Boxer Minibus</t>
  </si>
  <si>
    <t xml:space="preserve">администрация Итог</t>
  </si>
  <si>
    <t xml:space="preserve">Opel Vectra Elegance C </t>
  </si>
  <si>
    <t xml:space="preserve">PEUGEOT 307 XТ Pack Auto</t>
  </si>
  <si>
    <t xml:space="preserve">ГАЗ 3307 ПУМ-93</t>
  </si>
  <si>
    <t xml:space="preserve">ЗИЛ 433360</t>
  </si>
  <si>
    <t xml:space="preserve">ЗИЛ 433362 КО-520</t>
  </si>
  <si>
    <t xml:space="preserve">ЗИЛ 45085</t>
  </si>
  <si>
    <t xml:space="preserve">ЗИЛ-ММЗ 4502</t>
  </si>
  <si>
    <t xml:space="preserve">PEUGEOT 406 Break ST Auto</t>
  </si>
  <si>
    <t xml:space="preserve">производство Итог</t>
  </si>
  <si>
    <t xml:space="preserve">Количество по полю Марка автомобиля</t>
  </si>
  <si>
    <t xml:space="preserve">(Все)</t>
  </si>
  <si>
    <t xml:space="preserve">Контракт №</t>
  </si>
  <si>
    <t xml:space="preserve">(несколько элементов)</t>
  </si>
  <si>
    <t xml:space="preserve">конец 2003г.</t>
  </si>
  <si>
    <t xml:space="preserve">Количество по полю №</t>
  </si>
  <si>
    <t xml:space="preserve">Донецк</t>
  </si>
  <si>
    <t xml:space="preserve">Луганск</t>
  </si>
  <si>
    <t xml:space="preserve">Севастополь</t>
  </si>
  <si>
    <t xml:space="preserve">Черновцы</t>
  </si>
  <si>
    <t xml:space="preserve">февраль 2004г.</t>
  </si>
  <si>
    <t xml:space="preserve">конец февраля 2004г.</t>
  </si>
  <si>
    <t xml:space="preserve">конец мая 2004г.</t>
  </si>
  <si>
    <t xml:space="preserve">середина августа 2004г.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</si>
</sst>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_-* #,##0.00[$€]_-;\-* #,##0.00[$€]_-;_-* \-??[$€]_-;_-@_-"/>
    <numFmt numFmtId="166" formatCode="0%"/>
    <numFmt numFmtId="167" formatCode="_-* #,##0_р_._-;\-* #,##0_р_._-;_-* \-_р_._-;_-@_-"/>
    <numFmt numFmtId="168" formatCode="_-* #,##0.00_р_._-;\-* #,##0.00_р_._-;_-* \-??_р_._-;_-@_-"/>
    <numFmt numFmtId="169" formatCode="dd\.mm\.yyyy;@"/>
    <numFmt numFmtId="170" formatCode="@"/>
    <numFmt numFmtId="171" formatCode="0"/>
    <numFmt numFmtId="172" formatCode="#,##0"/>
    <numFmt numFmtId="173" formatCode="m/d/yyyy"/>
    <numFmt numFmtId="174" formatCode="0.0"/>
    <numFmt numFmtId="175" formatCode="_-[$$-C09]* #,##0.0000_-;\-[$$-C09]* #,##0.0000_-;_-[$$-C09]* \-????_-;_-@_-"/>
    <numFmt numFmtId="176" formatCode="_-[$$-1009]* #,##0.00000_-;\-[$$-1009]* #,##0.00000_-;_-[$$-1009]* \-?????_-;_-@_-"/>
    <numFmt numFmtId="177" formatCode="_-[$$-1009]* #,##0.00_-;\-[$$-1009]* #,##0.00_-;_-[$$-1009]* \-??_-;_-@_-"/>
    <numFmt numFmtId="178" formatCode="#,##0.00"/>
    <numFmt numFmtId="179" formatCode="_-[$$-409]* #,##0.00_ ;_-[$$-409]* \-#,##0.00\ ;_-[$$-409]* \-??_ ;_-@_ "/>
    <numFmt numFmtId="180" formatCode="0.00"/>
    <numFmt numFmtId="181" formatCode="mmm\-yy"/>
    <numFmt numFmtId="182" formatCode="#,##0.0"/>
    <numFmt numFmtId="183" formatCode="[$$-409]#,##0.000"/>
    <numFmt numFmtId="184" formatCode="0.000000"/>
    <numFmt numFmtId="185" formatCode="0.00%"/>
  </numFmts>
  <fonts count="68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b val="true"/>
      <sz val="12"/>
      <name val="Arial Cyr"/>
      <family val="2"/>
      <charset val="204"/>
    </font>
    <font>
      <sz val="10"/>
      <name val="Arial"/>
      <family val="2"/>
      <charset val="204"/>
    </font>
    <font>
      <sz val="11"/>
      <color rgb="FF333399"/>
      <name val="Calibri"/>
      <family val="2"/>
      <charset val="204"/>
    </font>
    <font>
      <sz val="11"/>
      <color rgb="FF3F3F76"/>
      <name val="Calibri"/>
      <family val="2"/>
      <charset val="204"/>
    </font>
    <font>
      <b val="true"/>
      <sz val="11"/>
      <color rgb="FF333333"/>
      <name val="Calibri"/>
      <family val="2"/>
      <charset val="204"/>
    </font>
    <font>
      <b val="true"/>
      <sz val="11"/>
      <color rgb="FF3F3F3F"/>
      <name val="Calibri"/>
      <family val="2"/>
      <charset val="204"/>
    </font>
    <font>
      <b val="true"/>
      <sz val="11"/>
      <color rgb="FFFF9900"/>
      <name val="Calibri"/>
      <family val="2"/>
      <charset val="204"/>
    </font>
    <font>
      <b val="true"/>
      <sz val="11"/>
      <color rgb="FFFA7D00"/>
      <name val="Calibri"/>
      <family val="2"/>
      <charset val="204"/>
    </font>
    <font>
      <b val="true"/>
      <sz val="15"/>
      <color rgb="FF003366"/>
      <name val="Calibri"/>
      <family val="2"/>
      <charset val="204"/>
    </font>
    <font>
      <b val="true"/>
      <sz val="15"/>
      <color rgb="FF1F497D"/>
      <name val="Calibri"/>
      <family val="2"/>
      <charset val="204"/>
    </font>
    <font>
      <b val="true"/>
      <sz val="13"/>
      <color rgb="FF003366"/>
      <name val="Calibri"/>
      <family val="2"/>
      <charset val="204"/>
    </font>
    <font>
      <b val="true"/>
      <sz val="13"/>
      <color rgb="FF1F497D"/>
      <name val="Calibri"/>
      <family val="2"/>
      <charset val="204"/>
    </font>
    <font>
      <b val="true"/>
      <sz val="11"/>
      <color rgb="FF003366"/>
      <name val="Calibri"/>
      <family val="2"/>
      <charset val="204"/>
    </font>
    <font>
      <b val="true"/>
      <sz val="11"/>
      <color rgb="FF1F497D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9C65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Times New Roman Cyr"/>
      <family val="0"/>
      <charset val="204"/>
    </font>
    <font>
      <sz val="11"/>
      <color rgb="FF800080"/>
      <name val="Calibri"/>
      <family val="2"/>
      <charset val="204"/>
    </font>
    <font>
      <sz val="11"/>
      <color rgb="FF9C0006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i val="true"/>
      <sz val="11"/>
      <color rgb="FF7F7F7F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A7D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6100"/>
      <name val="Calibri"/>
      <family val="2"/>
      <charset val="204"/>
    </font>
    <font>
      <b val="true"/>
      <sz val="10"/>
      <name val="Arial Cyr"/>
      <family val="0"/>
      <charset val="204"/>
    </font>
    <font>
      <b val="true"/>
      <sz val="10"/>
      <name val="Arial Cyr"/>
      <family val="2"/>
      <charset val="204"/>
    </font>
    <font>
      <sz val="10"/>
      <name val="Arial Cyr"/>
      <family val="2"/>
      <charset val="204"/>
    </font>
    <font>
      <sz val="8"/>
      <name val="Arial Cyr"/>
      <family val="0"/>
      <charset val="204"/>
    </font>
    <font>
      <sz val="11"/>
      <name val="Arial Cyr"/>
      <family val="0"/>
      <charset val="204"/>
    </font>
    <font>
      <sz val="10"/>
      <color rgb="FF000000"/>
      <name val="Arial"/>
      <family val="2"/>
      <charset val="204"/>
    </font>
    <font>
      <u val="single"/>
      <sz val="10"/>
      <color rgb="FF0000FF"/>
      <name val="Arial Cyr"/>
      <family val="0"/>
      <charset val="204"/>
    </font>
    <font>
      <sz val="11"/>
      <color rgb="FF000000"/>
      <name val="Roboto Regular"/>
      <family val="0"/>
    </font>
    <font>
      <sz val="11"/>
      <color rgb="FF000000"/>
      <name val="Carlsberg Sans Light"/>
      <family val="2"/>
      <charset val="204"/>
    </font>
    <font>
      <sz val="11"/>
      <color rgb="FFFF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 Cyr"/>
      <family val="0"/>
      <charset val="204"/>
    </font>
    <font>
      <sz val="8"/>
      <name val="Arial Cyr"/>
      <family val="0"/>
    </font>
    <font>
      <sz val="8"/>
      <color rgb="FF000000"/>
      <name val="Arial"/>
      <family val="2"/>
      <charset val="204"/>
    </font>
    <font>
      <sz val="10"/>
      <name val="Times New Roman"/>
      <family val="1"/>
      <charset val="204"/>
    </font>
    <font>
      <sz val="8"/>
      <color rgb="FF000000"/>
      <name val="Arial CYR"/>
      <family val="0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name val="Arial CYR"/>
      <family val="0"/>
    </font>
    <font>
      <sz val="8"/>
      <name val="Times New Roman"/>
      <family val="1"/>
      <charset val="204"/>
    </font>
    <font>
      <sz val="9"/>
      <name val="Calibri"/>
      <family val="2"/>
      <charset val="204"/>
    </font>
    <font>
      <sz val="11"/>
      <name val="Calibri"/>
      <family val="2"/>
      <charset val="204"/>
    </font>
    <font>
      <sz val="8"/>
      <color rgb="FF000000"/>
      <name val="Tahoma"/>
      <family val="2"/>
      <charset val="204"/>
    </font>
    <font>
      <sz val="10"/>
      <color rgb="FFFF0000"/>
      <name val="Arial Cyr"/>
      <family val="0"/>
      <charset val="204"/>
    </font>
    <font>
      <sz val="11"/>
      <name val="Calibri"/>
      <family val="2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8"/>
      <color rgb="FFFF0000"/>
      <name val="Arial Cyr"/>
      <family val="0"/>
      <charset val="204"/>
    </font>
    <font>
      <b val="true"/>
      <sz val="11"/>
      <name val="Arial Cyr"/>
      <family val="0"/>
      <charset val="204"/>
    </font>
    <font>
      <b val="true"/>
      <sz val="11"/>
      <color rgb="FF000000"/>
      <name val="Arial Cyr"/>
      <family val="0"/>
      <charset val="204"/>
    </font>
    <font>
      <b val="true"/>
      <sz val="10"/>
      <color rgb="FF000000"/>
      <name val="Times New Roman"/>
      <family val="1"/>
      <charset val="204"/>
    </font>
  </fonts>
  <fills count="53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97B5D9"/>
        <bgColor rgb="FFA6A1B2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D7E4BD"/>
      </patternFill>
    </fill>
    <fill>
      <patternFill patternType="solid">
        <fgColor rgb="FFA6A1B2"/>
        <bgColor rgb="FF97B5D9"/>
      </patternFill>
    </fill>
    <fill>
      <patternFill patternType="darkGray">
        <fgColor rgb="FF99CCFF"/>
        <bgColor rgb="FF97B5D9"/>
      </patternFill>
    </fill>
    <fill>
      <patternFill patternType="solid">
        <fgColor rgb="FFFAC090"/>
        <bgColor rgb="FFFFCC99"/>
      </patternFill>
    </fill>
    <fill>
      <patternFill patternType="solid">
        <fgColor rgb="FFFFFF99"/>
        <bgColor rgb="FFFFEB9C"/>
      </patternFill>
    </fill>
    <fill>
      <patternFill patternType="solid">
        <fgColor rgb="FF343491"/>
        <bgColor rgb="FF1F497D"/>
      </patternFill>
    </fill>
    <fill>
      <patternFill patternType="solid">
        <fgColor rgb="FF4F81BD"/>
        <bgColor rgb="FF7F738E"/>
      </patternFill>
    </fill>
    <fill>
      <patternFill patternType="solid">
        <fgColor rgb="FFFF0000"/>
        <bgColor rgb="FF87003A"/>
      </patternFill>
    </fill>
    <fill>
      <patternFill patternType="solid">
        <fgColor rgb="FFB44A0F"/>
        <bgColor rgb="FFFF6600"/>
      </patternFill>
    </fill>
    <fill>
      <patternFill patternType="mediumGray">
        <fgColor rgb="FF03931D"/>
        <bgColor rgb="FF4F81BD"/>
      </patternFill>
    </fill>
    <fill>
      <patternFill patternType="solid">
        <fgColor rgb="FF93CF51"/>
        <bgColor rgb="FF99CC00"/>
      </patternFill>
    </fill>
    <fill>
      <patternFill patternType="darkGray">
        <fgColor rgb="FF87003A"/>
        <bgColor rgb="FF343491"/>
      </patternFill>
    </fill>
    <fill>
      <patternFill patternType="solid">
        <fgColor rgb="FF7F738E"/>
        <bgColor rgb="FF808080"/>
      </patternFill>
    </fill>
    <fill>
      <patternFill patternType="solid">
        <fgColor rgb="FF3BC1CA"/>
        <bgColor rgb="FF97B5D9"/>
      </patternFill>
    </fill>
    <fill>
      <patternFill patternType="darkGray">
        <fgColor rgb="FF3BC1CA"/>
        <bgColor rgb="FF4F81BD"/>
      </patternFill>
    </fill>
    <fill>
      <patternFill patternType="solid">
        <fgColor rgb="FFFF6600"/>
        <bgColor rgb="FFFB7D00"/>
      </patternFill>
    </fill>
    <fill>
      <patternFill patternType="solid">
        <fgColor rgb="FFF79646"/>
        <bgColor rgb="FFFF9900"/>
      </patternFill>
    </fill>
    <fill>
      <patternFill patternType="solid">
        <fgColor rgb="FFFFCC99"/>
        <bgColor rgb="FFFAC090"/>
      </patternFill>
    </fill>
    <fill>
      <patternFill patternType="solid">
        <fgColor rgb="FFC0C0C0"/>
        <bgColor rgb="FFBFBFBF"/>
      </patternFill>
    </fill>
    <fill>
      <patternFill patternType="solid">
        <fgColor rgb="FFF2F2F2"/>
        <bgColor rgb="FFEBF1DE"/>
      </patternFill>
    </fill>
    <fill>
      <patternFill patternType="mediumGray">
        <fgColor rgb="FFA6A1B2"/>
        <bgColor rgb="FF808080"/>
      </patternFill>
    </fill>
    <fill>
      <patternFill patternType="solid">
        <fgColor rgb="FFA6A1B2"/>
        <bgColor rgb="FF97B5D9"/>
      </patternFill>
    </fill>
    <fill>
      <patternFill patternType="solid">
        <fgColor rgb="FFFFEB9C"/>
        <bgColor rgb="FFFFFF99"/>
      </patternFill>
    </fill>
    <fill>
      <patternFill patternType="solid">
        <fgColor rgb="FFFF99CC"/>
        <bgColor rgb="FFD99694"/>
      </patternFill>
    </fill>
    <fill>
      <patternFill patternType="solid">
        <fgColor rgb="FFFFC7CE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CCFFCC"/>
        <bgColor rgb="FFC6EFCE"/>
      </patternFill>
    </fill>
    <fill>
      <patternFill patternType="solid">
        <fgColor rgb="FFC6EFCE"/>
        <bgColor rgb="FFCCFFCC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C000"/>
      </patternFill>
    </fill>
    <fill>
      <patternFill patternType="solid">
        <fgColor rgb="FF2E66FF"/>
        <bgColor rgb="FF4F81BD"/>
      </patternFill>
    </fill>
    <fill>
      <patternFill patternType="solid">
        <fgColor rgb="FFFFC000"/>
        <bgColor rgb="FFFF9900"/>
      </patternFill>
    </fill>
    <fill>
      <patternFill patternType="solid">
        <fgColor rgb="FF93CF51"/>
        <bgColor rgb="FF99CC00"/>
      </patternFill>
    </fill>
    <fill>
      <patternFill patternType="darkGray">
        <fgColor rgb="FF03931D"/>
        <bgColor rgb="FF3BC1CA"/>
      </patternFill>
    </fill>
    <fill>
      <patternFill patternType="solid">
        <fgColor rgb="FFBFBFBF"/>
        <bgColor rgb="FFC0C0C0"/>
      </patternFill>
    </fill>
    <fill>
      <patternFill patternType="solid">
        <fgColor rgb="FF99CC00"/>
        <bgColor rgb="FF93CF51"/>
      </patternFill>
    </fill>
    <fill>
      <patternFill patternType="solid">
        <fgColor rgb="FF00FF00"/>
        <bgColor rgb="FF03931D"/>
      </patternFill>
    </fill>
  </fills>
  <borders count="61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38E"/>
      </left>
      <right style="thin">
        <color rgb="FF7F738E"/>
      </right>
      <top style="thin">
        <color rgb="FF7F738E"/>
      </top>
      <bottom style="thin">
        <color rgb="FF7F738E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/>
      <bottom style="thick">
        <color rgb="FF343491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thick">
        <color rgb="FF97B5D9"/>
      </bottom>
      <diagonal/>
    </border>
    <border diagonalUp="false" diagonalDown="false">
      <left/>
      <right/>
      <top/>
      <bottom style="medium">
        <color rgb="FF2E66FF"/>
      </bottom>
      <diagonal/>
    </border>
    <border diagonalUp="false" diagonalDown="false">
      <left/>
      <right/>
      <top/>
      <bottom style="medium">
        <color rgb="FF97B5D9"/>
      </bottom>
      <diagonal/>
    </border>
    <border diagonalUp="false" diagonalDown="false">
      <left/>
      <right/>
      <top style="thin">
        <color rgb="FF343491"/>
      </top>
      <bottom style="double">
        <color rgb="FF343491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A6A1B2"/>
      </left>
      <right style="thin">
        <color rgb="FFA6A1B2"/>
      </right>
      <top style="thin">
        <color rgb="FFA6A1B2"/>
      </top>
      <bottom style="thin">
        <color rgb="FFA6A1B2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double">
        <color rgb="FFFB7D00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>
        <color rgb="FFFFFFFF"/>
      </left>
      <right/>
      <top style="thin"/>
      <bottom/>
      <diagonal/>
    </border>
    <border diagonalUp="false" diagonalDown="false">
      <left style="thin"/>
      <right/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/>
      <diagonal/>
    </border>
  </borders>
  <cellStyleXfs count="11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33" borderId="2" applyFont="true" applyBorder="true" applyAlignment="true" applyProtection="false">
      <alignment horizontal="general" vertical="bottom" textRotation="0" wrapText="false" indent="0" shrinkToFit="false"/>
    </xf>
    <xf numFmtId="164" fontId="9" fillId="33" borderId="3" applyFont="true" applyBorder="true" applyAlignment="true" applyProtection="false">
      <alignment horizontal="general" vertical="bottom" textRotation="0" wrapText="false" indent="0" shrinkToFit="false"/>
    </xf>
    <xf numFmtId="164" fontId="10" fillId="34" borderId="4" applyFont="true" applyBorder="true" applyAlignment="true" applyProtection="false">
      <alignment horizontal="general" vertical="bottom" textRotation="0" wrapText="false" indent="0" shrinkToFit="false"/>
    </xf>
    <xf numFmtId="164" fontId="11" fillId="35" borderId="5" applyFont="true" applyBorder="true" applyAlignment="true" applyProtection="false">
      <alignment horizontal="general" vertical="bottom" textRotation="0" wrapText="false" indent="0" shrinkToFit="false"/>
    </xf>
    <xf numFmtId="164" fontId="12" fillId="34" borderId="2" applyFont="true" applyBorder="true" applyAlignment="true" applyProtection="false">
      <alignment horizontal="general" vertical="bottom" textRotation="0" wrapText="false" indent="0" shrinkToFit="false"/>
    </xf>
    <xf numFmtId="164" fontId="13" fillId="35" borderId="3" applyFont="true" applyBorder="true" applyAlignment="true" applyProtection="false">
      <alignment horizontal="general" vertical="bottom" textRotation="0" wrapText="false" indent="0" shrinkToFit="false"/>
    </xf>
    <xf numFmtId="164" fontId="14" fillId="0" borderId="6" applyFont="true" applyBorder="true" applyAlignment="true" applyProtection="false">
      <alignment horizontal="general" vertical="bottom" textRotation="0" wrapText="false" indent="0" shrinkToFit="false"/>
    </xf>
    <xf numFmtId="164" fontId="15" fillId="0" borderId="7" applyFont="true" applyBorder="true" applyAlignment="true" applyProtection="false">
      <alignment horizontal="general" vertical="bottom" textRotation="0" wrapText="false" indent="0" shrinkToFit="false"/>
    </xf>
    <xf numFmtId="164" fontId="16" fillId="0" borderId="8" applyFont="true" applyBorder="true" applyAlignment="true" applyProtection="false">
      <alignment horizontal="general" vertical="bottom" textRotation="0" wrapText="false" indent="0" shrinkToFit="false"/>
    </xf>
    <xf numFmtId="164" fontId="17" fillId="0" borderId="9" applyFont="true" applyBorder="true" applyAlignment="true" applyProtection="false">
      <alignment horizontal="general" vertical="bottom" textRotation="0" wrapText="false" indent="0" shrinkToFit="false"/>
    </xf>
    <xf numFmtId="164" fontId="18" fillId="0" borderId="10" applyFont="true" applyBorder="true" applyAlignment="true" applyProtection="false">
      <alignment horizontal="general" vertical="bottom" textRotation="0" wrapText="false" indent="0" shrinkToFit="false"/>
    </xf>
    <xf numFmtId="164" fontId="19" fillId="0" borderId="1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12" applyFont="true" applyBorder="true" applyAlignment="true" applyProtection="false">
      <alignment horizontal="general" vertical="bottom" textRotation="0" wrapText="false" indent="0" shrinkToFit="false"/>
    </xf>
    <xf numFmtId="164" fontId="20" fillId="0" borderId="13" applyFont="true" applyBorder="true" applyAlignment="true" applyProtection="false">
      <alignment horizontal="general" vertical="bottom" textRotation="0" wrapText="false" indent="0" shrinkToFit="false"/>
    </xf>
    <xf numFmtId="164" fontId="21" fillId="36" borderId="14" applyFont="true" applyBorder="true" applyAlignment="true" applyProtection="false">
      <alignment horizontal="general" vertical="bottom" textRotation="0" wrapText="false" indent="0" shrinkToFit="false"/>
    </xf>
    <xf numFmtId="164" fontId="21" fillId="37" borderId="15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20" borderId="0" applyFont="true" applyBorder="false" applyAlignment="true" applyProtection="false">
      <alignment horizontal="general" vertical="bottom" textRotation="0" wrapText="false" indent="0" shrinkToFit="false"/>
    </xf>
    <xf numFmtId="164" fontId="24" fillId="38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39" borderId="0" applyFont="true" applyBorder="false" applyAlignment="true" applyProtection="false">
      <alignment horizontal="general" vertical="bottom" textRotation="0" wrapText="false" indent="0" shrinkToFit="false"/>
    </xf>
    <xf numFmtId="164" fontId="29" fillId="4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64" fontId="31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41" borderId="16" applyFont="true" applyBorder="true" applyAlignment="true" applyProtection="false">
      <alignment horizontal="general" vertical="bottom" textRotation="0" wrapText="false" indent="0" shrinkToFit="false"/>
    </xf>
    <xf numFmtId="164" fontId="0" fillId="41" borderId="16" applyFont="true" applyBorder="true" applyAlignment="true" applyProtection="false">
      <alignment horizontal="general" vertical="bottom" textRotation="0" wrapText="false" indent="0" shrinkToFit="false"/>
    </xf>
    <xf numFmtId="164" fontId="0" fillId="41" borderId="17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2" fillId="0" borderId="18" applyFont="true" applyBorder="true" applyAlignment="true" applyProtection="false">
      <alignment horizontal="general" vertical="bottom" textRotation="0" wrapText="false" indent="0" shrinkToFit="false"/>
    </xf>
    <xf numFmtId="164" fontId="33" fillId="0" borderId="19" applyFont="true" applyBorder="tru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5" fillId="42" borderId="0" applyFont="true" applyBorder="false" applyAlignment="true" applyProtection="false">
      <alignment horizontal="general" vertical="bottom" textRotation="0" wrapText="false" indent="0" shrinkToFit="false"/>
    </xf>
    <xf numFmtId="164" fontId="36" fillId="4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37" fillId="0" borderId="0" applyFont="true" applyBorder="false" applyAlignment="true" applyProtection="false">
      <alignment horizontal="left" vertical="bottom" textRotation="0" wrapText="false" indent="0" shrinkToFit="false"/>
    </xf>
    <xf numFmtId="164" fontId="3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4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2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2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2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8" fillId="2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2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2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2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2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2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4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5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37" fillId="4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4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4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0" fillId="44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0" fillId="4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1" fillId="44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2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4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46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2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7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3" fillId="0" borderId="2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8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44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21" xfId="4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8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0" fillId="45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4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3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4" borderId="21" xfId="8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7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1" fillId="44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4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4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8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44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1" xfId="9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2" fillId="4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4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40" fillId="44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4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2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44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0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0" fillId="44" borderId="21" xfId="8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8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0" fillId="44" borderId="21" xfId="8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40" fillId="0" borderId="21" xfId="8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4" borderId="21" xfId="8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9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44" borderId="21" xfId="9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4" borderId="21" xfId="9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44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4" borderId="21" xfId="9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4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4" borderId="2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6" fontId="0" fillId="4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4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44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4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4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44" borderId="2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80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4" borderId="21" xfId="9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4" borderId="21" xfId="9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2" fillId="44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1" fillId="44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40" fillId="44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51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4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0" fillId="44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4" borderId="28" xfId="9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44" borderId="28" xfId="9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4" borderId="28" xfId="9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51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46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4" borderId="28" xfId="9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41" fillId="4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2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44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4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0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51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46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8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4" borderId="21" xfId="8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0" fillId="4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8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0" fillId="4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6" fillId="44" borderId="21" xfId="8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21" xfId="8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1" fillId="0" borderId="21" xfId="8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4" borderId="21" xfId="8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7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3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38" fillId="2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45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5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5" borderId="21" xfId="9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9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8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21" xfId="9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9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9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6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44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3" fontId="6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45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7" fillId="44" borderId="21" xfId="4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8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7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4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4" borderId="21" xfId="9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0" fillId="4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0" fontId="0" fillId="4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4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44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0" fillId="4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4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8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46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1" fillId="4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4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3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0" fillId="3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0" fillId="34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40" fillId="5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0" fillId="4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83" fontId="0" fillId="51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84" fontId="0" fillId="5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6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80" fontId="0" fillId="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45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84" fontId="0" fillId="4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0" fillId="4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0" fillId="4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3" fontId="0" fillId="44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4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48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45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48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0" fillId="4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2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83" fontId="0" fillId="44" borderId="2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80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6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6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48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82" fontId="0" fillId="0" borderId="2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80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65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4" fontId="0" fillId="4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3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38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38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2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4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11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11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11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11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11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11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11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11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11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6" xfId="11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47" xfId="11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11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27" xfId="11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48" xfId="11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49" xfId="11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8" xfId="11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29" xfId="11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50" xfId="11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11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45" xfId="11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46" xfId="11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11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0" fillId="0" borderId="36" xfId="11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24" xfId="11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51" xfId="11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1" fontId="0" fillId="0" borderId="44" xfId="11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38" fillId="44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7" fillId="0" borderId="52" xfId="11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37" fillId="0" borderId="53" xfId="11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37" fillId="0" borderId="54" xfId="11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72" fontId="37" fillId="0" borderId="55" xfId="11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37" fillId="0" borderId="56" xfId="11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4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0" fillId="4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0" fillId="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38" fillId="4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0" fontId="0" fillId="4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— акцент1 2" xfId="21"/>
    <cellStyle name="20% — акцент2 2" xfId="22"/>
    <cellStyle name="20% — акцент3 2" xfId="23"/>
    <cellStyle name="20% — акцент4 2" xfId="24"/>
    <cellStyle name="20% — акцент5 2" xfId="25"/>
    <cellStyle name="20% — акцент6 2" xfId="26"/>
    <cellStyle name="40% — акцент1 2" xfId="27"/>
    <cellStyle name="40% — акцент2 2" xfId="28"/>
    <cellStyle name="40% — акцент3 2" xfId="29"/>
    <cellStyle name="40% — акцент4 2" xfId="30"/>
    <cellStyle name="40% — акцент5 2" xfId="31"/>
    <cellStyle name="40% — акцент6 2" xfId="32"/>
    <cellStyle name="60% — акцент1 2" xfId="33"/>
    <cellStyle name="60% — акцент2 2" xfId="34"/>
    <cellStyle name="60% — акцент3 2" xfId="35"/>
    <cellStyle name="60% — акцент4 2" xfId="36"/>
    <cellStyle name="60% — акцент5 2" xfId="37"/>
    <cellStyle name="60% — акцент6 2" xfId="38"/>
    <cellStyle name="d" xfId="39"/>
    <cellStyle name="Euro" xfId="40"/>
    <cellStyle name="g" xfId="41"/>
    <cellStyle name="g_Invoice GI" xfId="42"/>
    <cellStyle name="Normal_AutoMdl" xfId="43"/>
    <cellStyle name="Normal_CrossWareMoving" xfId="44"/>
    <cellStyle name="Акцент1 2" xfId="45"/>
    <cellStyle name="Акцент1 3" xfId="46"/>
    <cellStyle name="Акцент2 2" xfId="47"/>
    <cellStyle name="Акцент2 3" xfId="48"/>
    <cellStyle name="Акцент3 2" xfId="49"/>
    <cellStyle name="Акцент3 3" xfId="50"/>
    <cellStyle name="Акцент4 2" xfId="51"/>
    <cellStyle name="Акцент4 3" xfId="52"/>
    <cellStyle name="Акцент5 2" xfId="53"/>
    <cellStyle name="Акцент5 3" xfId="54"/>
    <cellStyle name="Акцент6 2" xfId="55"/>
    <cellStyle name="Акцент6 3" xfId="56"/>
    <cellStyle name="Ввод  2" xfId="57"/>
    <cellStyle name="Ввод  3" xfId="58"/>
    <cellStyle name="Вывод 2" xfId="59"/>
    <cellStyle name="Вывод 3" xfId="60"/>
    <cellStyle name="Вычисление 2" xfId="61"/>
    <cellStyle name="Вычисление 3" xfId="62"/>
    <cellStyle name="Заголовок 1 2" xfId="63"/>
    <cellStyle name="Заголовок 1 3" xfId="64"/>
    <cellStyle name="Заголовок 2 2" xfId="65"/>
    <cellStyle name="Заголовок 2 3" xfId="66"/>
    <cellStyle name="Заголовок 3 2" xfId="67"/>
    <cellStyle name="Заголовок 3 3" xfId="68"/>
    <cellStyle name="Заголовок 4 2" xfId="69"/>
    <cellStyle name="Заголовок 4 3" xfId="70"/>
    <cellStyle name="Итог 2" xfId="71"/>
    <cellStyle name="Итог 3" xfId="72"/>
    <cellStyle name="Контрольная ячейка 2" xfId="73"/>
    <cellStyle name="Контрольная ячейка 3" xfId="74"/>
    <cellStyle name="Название 2" xfId="75"/>
    <cellStyle name="Нейтральный 2" xfId="76"/>
    <cellStyle name="Нейтральный 3" xfId="77"/>
    <cellStyle name="Обычный 10" xfId="78"/>
    <cellStyle name="Обычный 11" xfId="79"/>
    <cellStyle name="Обычный 12" xfId="80"/>
    <cellStyle name="Обычный 2" xfId="81"/>
    <cellStyle name="Обычный 2 2" xfId="82"/>
    <cellStyle name="Обычный 2 3" xfId="83"/>
    <cellStyle name="Обычный 3" xfId="84"/>
    <cellStyle name="Обычный 3 2" xfId="85"/>
    <cellStyle name="Обычный 3 3" xfId="86"/>
    <cellStyle name="Обычный 4" xfId="87"/>
    <cellStyle name="Обычный 5" xfId="88"/>
    <cellStyle name="Обычный 5 2" xfId="89"/>
    <cellStyle name="Обычный 6" xfId="90"/>
    <cellStyle name="Обычный 7" xfId="91"/>
    <cellStyle name="Обычный 8" xfId="92"/>
    <cellStyle name="Обычный 9" xfId="93"/>
    <cellStyle name="Плохой 2" xfId="94"/>
    <cellStyle name="Плохой 3" xfId="95"/>
    <cellStyle name="Пояснение 2" xfId="96"/>
    <cellStyle name="Пояснение 3" xfId="97"/>
    <cellStyle name="Примечание 2" xfId="98"/>
    <cellStyle name="Примечание 3" xfId="99"/>
    <cellStyle name="Примечание 4" xfId="100"/>
    <cellStyle name="Процентный 2" xfId="101"/>
    <cellStyle name="Связанная ячейка 2" xfId="102"/>
    <cellStyle name="Связанная ячейка 3" xfId="103"/>
    <cellStyle name="Текст предупреждения 2" xfId="104"/>
    <cellStyle name="Текст предупреждения 3" xfId="105"/>
    <cellStyle name="Тысячи [0]_Inv_GI (2)" xfId="106"/>
    <cellStyle name="Тысячи_Inv_GI (2)" xfId="107"/>
    <cellStyle name="Хороший 2" xfId="108"/>
    <cellStyle name="Хороший 3" xfId="109"/>
    <cellStyle name="Pivot Table Field" xfId="110"/>
    <cellStyle name="Pivot Table Corner" xfId="111"/>
    <cellStyle name="Pivot Table Value" xfId="112"/>
    <cellStyle name="Pivot Table Category" xfId="113"/>
    <cellStyle name="Pivot Table Title" xfId="114"/>
    <cellStyle name="Pivot Table Result" xfId="115"/>
    <cellStyle name="*unknown*" xfId="20" builtinId="8"/>
  </cellStyles>
  <dxfs count="3641"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FFFFFF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FFFFFF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  <dxf>
      <numFmt numFmtId="164" formatCode="General"/>
      <fill>
        <patternFill>
          <bgColor rgb="FF99CCFF"/>
        </patternFill>
      </fill>
    </dxf>
    <dxf>
      <numFmt numFmtId="164" formatCode="General"/>
      <fill>
        <patternFill>
          <bgColor rgb="FFCCFFFF"/>
        </patternFill>
      </fill>
    </dxf>
    <dxf>
      <numFmt numFmtId="164" formatCode="General"/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AC090"/>
      <rgbColor rgb="FFC6EFCE"/>
      <rgbColor rgb="FF87003A"/>
      <rgbColor rgb="FF03931D"/>
      <rgbColor rgb="FFFDEADA"/>
      <rgbColor rgb="FF93CF51"/>
      <rgbColor rgb="FFFCD5B5"/>
      <rgbColor rgb="FFBFBFBF"/>
      <rgbColor rgb="FFC0C0C0"/>
      <rgbColor rgb="FF808080"/>
      <rgbColor rgb="FF97B5D9"/>
      <rgbColor rgb="FFD99694"/>
      <rgbColor rgb="FFFFFFCC"/>
      <rgbColor rgb="FFCCFFFF"/>
      <rgbColor rgb="FFF2DCDB"/>
      <rgbColor rgb="FFF79646"/>
      <rgbColor rgb="FF1F497D"/>
      <rgbColor rgb="FFB9CDE5"/>
      <rgbColor rgb="FFF2F2F2"/>
      <rgbColor rgb="FFFFC7CE"/>
      <rgbColor rgb="FFFFEB9C"/>
      <rgbColor rgb="FFC3D69B"/>
      <rgbColor rgb="FFD7E4BD"/>
      <rgbColor rgb="FFE6E0EC"/>
      <rgbColor rgb="FFE6B9B8"/>
      <rgbColor rgb="FFEBF1DE"/>
      <rgbColor rgb="FFB7DEE8"/>
      <rgbColor rgb="FFDBEEF4"/>
      <rgbColor rgb="FFCCFFCC"/>
      <rgbColor rgb="FFFFFF99"/>
      <rgbColor rgb="FF99CCFF"/>
      <rgbColor rgb="FFFF99CC"/>
      <rgbColor rgb="FFCCC1DA"/>
      <rgbColor rgb="FFFFCC99"/>
      <rgbColor rgb="FF2E66FF"/>
      <rgbColor rgb="FF3BC1CA"/>
      <rgbColor rgb="FF99CC00"/>
      <rgbColor rgb="FFFFC000"/>
      <rgbColor rgb="FFFF9900"/>
      <rgbColor rgb="FFFF6600"/>
      <rgbColor rgb="FF7F738E"/>
      <rgbColor rgb="FFA6A1B2"/>
      <rgbColor rgb="FF003366"/>
      <rgbColor rgb="FF4F81BD"/>
      <rgbColor rgb="FFDCE6F2"/>
      <rgbColor rgb="FF3F3F3F"/>
      <rgbColor rgb="FFB44A0F"/>
      <rgbColor rgb="FFFB7D00"/>
      <rgbColor rgb="FF3434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79" createdVersion="3">
  <cacheSource type="worksheet">
    <worksheetSource ref="A1:AH380" sheet="Список"/>
  </cacheSource>
  <cacheFields count="34">
    <cacheField name="№" numFmtId="0">
      <sharedItems containsSemiMixedTypes="0" containsString="0" containsNumber="1" containsInteger="1" minValue="1" maxValue="379" count="37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</sharedItems>
    </cacheField>
    <cacheField name="Гос. Номер" numFmtId="0">
      <sharedItems count="379">
        <s v="AA0174XI"/>
        <s v="AA0176XI"/>
        <s v="AA0245XH"/>
        <s v="AA0247XH"/>
        <s v="AA0251XH"/>
        <s v="AA0257XH"/>
        <s v="AA0258XH"/>
        <s v="AA0259XH"/>
        <s v="AA0271XH"/>
        <s v="AA0342XH"/>
        <s v="AA0987TX"/>
        <s v="AA1062IH"/>
        <s v="AA1863TE"/>
        <s v="AA2219TT"/>
        <s v="AA2249EO"/>
        <s v="AA2265XT"/>
        <s v="AA2285EM"/>
        <s v="AA2286EM"/>
        <s v="AA2291EM"/>
        <s v="AA2510XH"/>
        <s v="AA2581XH"/>
        <s v="AA2582XH"/>
        <s v="AA2589XH"/>
        <s v="AA2590XH"/>
        <s v="AA2591XH"/>
        <s v="AA2592XH"/>
        <s v="AA2594XH"/>
        <s v="AA2596XH"/>
        <s v="AA2768XK"/>
        <s v="AA2783XK"/>
        <s v="AA2784XK"/>
        <s v="AA2785XK"/>
        <s v="AA2796XK"/>
        <s v="AA3368KM"/>
        <s v="AA3374KM"/>
        <s v="AA3556OA"/>
        <s v="AA3602XH"/>
        <s v="AA3605XH"/>
        <s v="AA3608XH"/>
        <s v="AA3609XH"/>
        <s v="AA3610XH"/>
        <s v="AA3612EK"/>
        <s v="AA3613EK"/>
        <s v="AA3615EK"/>
        <s v="AA3627XH"/>
        <s v="AA3629EK"/>
        <s v="AA3634EK"/>
        <s v="AA3640XH"/>
        <s v="AA3643XH"/>
        <s v="AA3668XH"/>
        <s v="AA3683XH"/>
        <s v="AA3684XH"/>
        <s v="AA3689XH"/>
        <s v="AA3691XH"/>
        <s v="AA3692XH"/>
        <s v="AA3695XH"/>
        <s v="AA4230PB"/>
        <s v="AA4420HH"/>
        <s v="AA4473EM"/>
        <s v="AA4626XH"/>
        <s v="AA4628XH"/>
        <s v="AA4634XH"/>
        <s v="AA4638XH"/>
        <s v="AA4642XH"/>
        <s v="AA4687HO"/>
        <s v="AA4899CX"/>
        <s v="AA5156XI"/>
        <s v="AA5159XI"/>
        <s v="AA5165XI"/>
        <s v="AA5166XI"/>
        <s v="AA5548XT"/>
        <s v="AA5884TB"/>
        <s v="AA5954EK"/>
        <s v="AA5957EK"/>
        <s v="AA6329EM"/>
        <s v="AA6341EM"/>
        <s v="AA6342EM"/>
        <s v="AA6345EM"/>
        <s v="AA6346EM"/>
        <s v="AA6347EM"/>
        <s v="AA6348EM"/>
        <s v="AA6349EM"/>
        <s v="AA6350EM"/>
        <s v="AA6351EM"/>
        <s v="AA6352EM"/>
        <s v="AA6353EM"/>
        <s v="AA6354EM"/>
        <s v="AA6355EM"/>
        <s v="AA6357EM"/>
        <s v="AA6358EM"/>
        <s v="AA6359EM"/>
        <s v="AA6360EM"/>
        <s v="AA6361EM"/>
        <s v="AA6364EM"/>
        <s v="AA6367EM"/>
        <s v="AA6368EM"/>
        <s v="AA6369EM"/>
        <s v="AA6370EM"/>
        <s v="AA6371EM"/>
        <s v="AA6372EM"/>
        <s v="AA6374EM"/>
        <s v="AA6376EM"/>
        <s v="AA6399XI"/>
        <s v="AA6401XK"/>
        <s v="AA6402XK"/>
        <s v="AA6406XK"/>
        <s v="AA6407XK"/>
        <s v="AA6408XK"/>
        <s v="AA6409XK"/>
        <s v="AA6410XK"/>
        <s v="AA6411XK"/>
        <s v="AA6413XK"/>
        <s v="AA6414XK"/>
        <s v="AA6415XK"/>
        <s v="AA6416XK"/>
        <s v="AA6417XK"/>
        <s v="AA6418XK"/>
        <s v="AA6661TB"/>
        <s v="AA6748XI"/>
        <s v="AA6829XI"/>
        <s v="AA6830XI"/>
        <s v="AA6831XI"/>
        <s v="AA6832XI"/>
        <s v="AA6938XK"/>
        <s v="AA6943XK"/>
        <s v="AA6948XK"/>
        <s v="AA6950XK"/>
        <s v="AA6957XK"/>
        <s v="AA6974XK"/>
        <s v="AA6978XK"/>
        <s v="AA6980XK"/>
        <s v="AA6983XK"/>
        <s v="AA6984XK"/>
        <s v="AA6985XK"/>
        <s v="AA6986XK"/>
        <s v="AA6987XK"/>
        <s v="AA6988XK"/>
        <s v="AA6991XK"/>
        <s v="AA6992XK"/>
        <s v="AA7217XI"/>
        <s v="AA7221XI"/>
        <s v="AA7226XI"/>
        <s v="AA7228XI"/>
        <s v="AA7627MK"/>
        <s v="AA7732EO"/>
        <s v="AA7764XM"/>
        <s v="AA7852EM"/>
        <s v="AA7862EM"/>
        <s v="AA8356TH"/>
        <s v="AA8643XE"/>
        <s v="AA8660XE"/>
        <s v="AA8661XE"/>
        <s v="AA8669XB"/>
        <s v="AA8674XE"/>
        <s v="AA8679XE"/>
        <s v="AA8680XE"/>
        <s v="AA8684XE"/>
        <s v="AA8689XE"/>
        <s v="AA8692XE"/>
        <s v="AA8693XE"/>
        <s v="AA9745TM"/>
        <s v="AA9966KI"/>
        <s v="AP2557CA"/>
        <s v="AP2562CA"/>
        <s v="AP2563CA"/>
        <s v="AP2564CA"/>
        <s v="AP8394CI"/>
        <s v="KA2668BE"/>
        <s v="KA2679BE"/>
        <s v="KA2701BH"/>
        <s v="KA2701BK"/>
        <s v="KA3176AT"/>
        <s v="KA3178AT"/>
        <s v="KA3179AT"/>
        <s v="KA3180AT"/>
        <s v="KA3182AT"/>
        <s v="KA3185AT"/>
        <s v="KA3186AT"/>
        <s v="KA3189AT"/>
        <s v="KA3194AT"/>
        <s v="KA3196AT"/>
        <s v="KA3198AT"/>
        <s v="KA3276AT"/>
        <s v="KA3278AT"/>
        <s v="KA3279AT"/>
        <s v="KA3281AT"/>
        <s v="KA3286AT"/>
        <s v="KA3287AT"/>
        <s v="KA3294AT"/>
        <s v="KA3295AT"/>
        <s v="KA4319BH"/>
        <s v="KA4571CO"/>
        <s v="KA4574CO"/>
        <s v="KA4582CO"/>
        <s v="KA4583CO"/>
        <s v="KA4597CO"/>
        <s v="KA4601AX"/>
        <s v="KA4602AX"/>
        <s v="KA4606AX"/>
        <s v="KA4609AX"/>
        <s v="KA4610AX"/>
        <s v="KA4625AX"/>
        <s v="KA4635AX"/>
        <s v="KA4638AX"/>
        <s v="KA4649AX"/>
        <s v="KA4729CO"/>
        <s v="KA4751CO"/>
        <s v="KA4916AT"/>
        <s v="KA4918AT"/>
        <s v="KA4921AT"/>
        <s v="KA4928AT"/>
        <s v="KA4931AT"/>
        <s v="KA4935AT"/>
        <s v="KA4946AT"/>
        <s v="KA4950AT"/>
        <s v="KA4952AT"/>
        <s v="KA4954AT"/>
        <s v="KA4960AT"/>
        <s v="KA4962AT"/>
        <s v="KA4964AT"/>
        <s v="KA4965AT"/>
        <s v="KA4966AT"/>
        <s v="KA5014AO"/>
        <s v="KA5015AO"/>
        <s v="KA5017AO"/>
        <s v="KA5018AO"/>
        <s v="KA5019AO"/>
        <s v="KA5021AO"/>
        <s v="KA5024AO"/>
        <s v="KA5025AO"/>
        <s v="KA5026AO"/>
        <s v="KA5028AO"/>
        <s v="KA5031AO"/>
        <s v="KA5032AO"/>
        <s v="KA5033AO"/>
        <s v="KA5035AO"/>
        <s v="KA5038BB"/>
        <s v="KA5045AO"/>
        <s v="KA5047AO"/>
        <s v="KA5049AO"/>
        <s v="KA5052AO"/>
        <s v="KA5053AO"/>
        <s v="KA5054AO"/>
        <s v="KA5714AO"/>
        <s v="KA5756BC"/>
        <s v="KA5761BC"/>
        <s v="KA5764BA"/>
        <s v="KA5867BA"/>
        <s v="KA5869BA"/>
        <s v="KA5872BA"/>
        <s v="KA5873BA"/>
        <s v="KA5879BA"/>
        <s v="KA5882BA"/>
        <s v="KA5891BA"/>
        <s v="KA5892BA"/>
        <s v="KA5893BA"/>
        <s v="KA5899BA"/>
        <s v="KA6031BE"/>
        <s v="KA6034BE"/>
        <s v="KA6038BE"/>
        <s v="KA6039BE"/>
        <s v="KA6041BE"/>
        <s v="KA6042BE"/>
        <s v="KA6044BE"/>
        <s v="KA6045BE"/>
        <s v="KA6047BE"/>
        <s v="KA6049BE"/>
        <s v="KA6052BE"/>
        <s v="KA6053BE"/>
        <s v="KA6057BE"/>
        <s v="KA6064BE"/>
        <s v="KA6072BE"/>
        <s v="KA6073BE"/>
        <s v="KA6076BE"/>
        <s v="KA6079BE"/>
        <s v="KA6082BE"/>
        <s v="KA6084BE"/>
        <s v="KA6092BE"/>
        <s v="KA6093BE"/>
        <s v="KA6094BE"/>
        <s v="KA6097BE"/>
        <s v="KA6098BE"/>
        <s v="KA6165AP"/>
        <s v="KA6167AP"/>
        <s v="KA6168AP"/>
        <s v="KA6169AP"/>
        <s v="KA6174AP"/>
        <s v="KA6175AP"/>
        <s v="KA6176AP"/>
        <s v="KA6179AP"/>
        <s v="KA6182AP"/>
        <s v="KA6184AP"/>
        <s v="KA6186AP"/>
        <s v="KA6187AP"/>
        <s v="KA6189AP"/>
        <s v="KA6632BH"/>
        <s v="KA6758AX"/>
        <s v="KA6759AX"/>
        <s v="KA6761AP"/>
        <s v="KA6761AX"/>
        <s v="KA6762AX"/>
        <s v="KA6763AP"/>
        <s v="KA6763AX"/>
        <s v="KA6765AP"/>
        <s v="KA6780AP"/>
        <s v="KA6781AP"/>
        <s v="KA6782AP"/>
        <s v="KA6783AP"/>
        <s v="KA6784AP"/>
        <s v="KA6785AP"/>
        <s v="KA6791AP"/>
        <s v="KA6792AP"/>
        <s v="KA6796AP"/>
        <s v="KA6798AP"/>
        <s v="KA6812AP"/>
        <s v="KA6816AP"/>
        <s v="KA6819AP"/>
        <s v="KA6822AP"/>
        <s v="KA6823AP"/>
        <s v="KA6829AP"/>
        <s v="KA6830AP"/>
        <s v="KA6831AP"/>
        <s v="KA6832AP"/>
        <s v="KA6836AP"/>
        <s v="KA6841AP"/>
        <s v="KA6842AP"/>
        <s v="KA6843AP"/>
        <s v="KA6846AP"/>
        <s v="KA6853AP"/>
        <s v="KA6856AP"/>
        <s v="KA6857AP"/>
        <s v="KA6859AP"/>
        <s v="KA6876AP"/>
        <s v="KA7109AT"/>
        <s v="KA7114AT"/>
        <s v="KA7116AT"/>
        <s v="KA7120AT"/>
        <s v="KA7416AT"/>
        <s v="KA7421AT"/>
        <s v="KA7425AT"/>
        <s v="KA7426AT"/>
        <s v="KA7668AO"/>
        <s v="KA7669AO"/>
        <s v="KA7674AO"/>
        <s v="KA7680AO"/>
        <s v="KA7688AO"/>
        <s v="KA7689AO"/>
        <s v="KA7692AO"/>
        <s v="KA7780СХ"/>
        <s v="KA9068AM"/>
        <s v="KA9069AM"/>
        <s v="KA9426AT"/>
        <s v="KA9431AT"/>
        <s v="KA9436AT"/>
        <s v="KA9438AT"/>
        <s v="KA9442AT"/>
        <s v="KA9446AT"/>
        <s v="KA9447AT"/>
        <s v="KA9453AT"/>
        <s v="KA9459AT"/>
        <s v="KA9460AT"/>
        <s v="KA9461AT"/>
        <s v="KA9467AT"/>
        <s v="KA9468AT"/>
        <s v="KA9506AT"/>
        <s v="KA9510AT"/>
        <s v="KA9513AT"/>
        <s v="KA9523AT"/>
        <s v="KA9526AT"/>
        <s v="KA9527AT"/>
        <s v="KA9532AT"/>
        <s v="KA9534AT"/>
        <s v="KA9536AT"/>
        <s v="KA9541AT"/>
        <s v="KA9542AT"/>
        <s v="KA9543AT"/>
        <s v="KA9546AT"/>
        <s v="KA9551AT"/>
        <s v="КА4610ВС"/>
      </sharedItems>
    </cacheField>
    <cacheField name="Марка автомобиля" numFmtId="0">
      <sharedItems count="26">
        <s v=" Volvo XC90 Inscription"/>
        <s v="Peugeot 208 1.2 5d"/>
        <s v="Peugeot 308 Access 92 МКПП"/>
        <s v="Peugeot 308 Active 120 АКПП"/>
        <s v="Peugeot Partner Fourgon B9 1.6 HDI"/>
        <s v="Peugeot Partner Fourgon L1 1.6 HDI"/>
        <s v="Peugeot Rifter Access L1H1 1.6 HDi 90 МКПП "/>
        <s v="Peugeot Traveller Business MK"/>
        <s v="Renault Master 2.3 dCi L3H2 MT "/>
        <s v="Renault Megane 1.5 dCi Life "/>
        <s v="Renault Megane 1.5 dCi ZEN EDC "/>
        <s v="Renault Sandero 1.5 dCi Life+ "/>
        <s v="Volkswagen Passat Limousine Business 2.0 TSI"/>
        <s v="Volkswagen Passat Limousine Elegance 2.0 TSI"/>
        <s v="VW Caddy Kombi 2.0TDI "/>
        <s v="VW Caddy Kombi 2.0TDI DSG"/>
        <s v="VW Multivan Highline 2.0 TDI 150PS "/>
        <s v="VW Passat Elegance"/>
        <s v="VW Passat Executive"/>
        <s v="VW Tiguan Highline 2.0 TSI 4MOTION"/>
        <s v="VW Tiguan Limited Edition  2.0 TDI 4MOTION"/>
        <s v="VW Touareg Ambience 3.0 V6 TDI"/>
        <s v="ЗИЛ 431412"/>
        <s v="ЗІЛ -ММЗ 554М"/>
        <s v="ЗІЛ 433362"/>
        <s v="ЗІЛ МДК 433362-03"/>
      </sharedItems>
    </cacheField>
    <cacheField name="Тип топлива" numFmtId="0">
      <sharedItems count="2">
        <s v="B"/>
        <s v="D"/>
      </sharedItems>
    </cacheField>
    <cacheField name="Норма списания л/100км." numFmtId="0">
      <sharedItems containsSemiMixedTypes="0" containsString="0" containsNumber="1" minValue="4.9" maxValue="73" count="20">
        <n v="4.9"/>
        <n v="5.3"/>
        <n v="5.4"/>
        <n v="5.5"/>
        <n v="5.8"/>
        <n v="6.2"/>
        <n v="6.7"/>
        <n v="6.8"/>
        <n v="7.4"/>
        <n v="9"/>
        <n v="9.1"/>
        <n v="10"/>
        <n v="10.2"/>
        <n v="11.5"/>
        <n v="12.5"/>
        <n v="31"/>
        <n v="34"/>
        <n v="35"/>
        <n v="37"/>
        <n v="73"/>
      </sharedItems>
    </cacheField>
    <cacheField name="Vдв-ля" numFmtId="0">
      <sharedItems containsSemiMixedTypes="0" containsString="0" containsNumber="1" minValue="1.2" maxValue="6" count="7">
        <n v="1.2"/>
        <n v="1.5"/>
        <n v="1.6"/>
        <n v="1.8"/>
        <n v="2"/>
        <n v="2.3"/>
        <n v="6"/>
      </sharedItems>
    </cacheField>
    <cacheField name="СО" numFmtId="0">
      <sharedItems containsString="0" containsBlank="1" containsNumber="1" containsInteger="1" minValue="95" maxValue="221" count="16">
        <n v="95"/>
        <n v="103"/>
        <n v="108"/>
        <n v="109"/>
        <n v="112"/>
        <n v="113"/>
        <n v="126"/>
        <n v="139"/>
        <n v="155"/>
        <n v="158"/>
        <n v="160"/>
        <n v="185"/>
        <n v="193"/>
        <n v="199"/>
        <n v="221"/>
        <m/>
      </sharedItems>
    </cacheField>
    <cacheField name="Год" numFmtId="0">
      <sharedItems containsSemiMixedTypes="0" containsString="0" containsNumber="1" containsInteger="1" minValue="1993" maxValue="2027" count="14">
        <n v="1993"/>
        <n v="1996"/>
        <n v="2001"/>
        <n v="2002"/>
        <n v="2017"/>
        <n v="2019"/>
        <n v="2020"/>
        <n v="2021"/>
        <n v="2022"/>
        <n v="2023"/>
        <n v="2024"/>
        <n v="2025"/>
        <n v="2026"/>
        <n v="2027"/>
      </sharedItems>
    </cacheField>
    <cacheField name="Договор лизинга" numFmtId="0">
      <sharedItems containsMixedTypes="1" containsNumber="1" containsInteger="1" minValue="1451" maxValue="1451" count="4">
        <n v="1451"/>
        <s v="3913-OL"/>
        <s v="6013-OL"/>
        <s v="Славутич"/>
      </sharedItems>
    </cacheField>
    <cacheField name="Тип" numFmtId="0">
      <sharedItems count="7">
        <s v="Вакуумна"/>
        <s v="Вантажна"/>
        <s v="Груз. фургон"/>
        <s v="Дорожня комбінована"/>
        <s v="Легковая"/>
        <s v="Поливомоечная"/>
        <s v="Самоскид"/>
      </sharedItems>
    </cacheField>
    <cacheField name="Фамилия водителя" numFmtId="0">
      <sharedItems count="364">
        <s v="Авер'янов Андрій Сергійович"/>
        <s v="Алексейчук Ігор Анатолійович"/>
        <s v="Андрійчук Вадим Іванович"/>
        <s v="Андрійчук Віталій Іванович"/>
        <s v="Анюк Роман Володимирович"/>
        <s v="Ахметова Каріна Болібаївна"/>
        <s v="Бабінський Сергій Євгенович"/>
        <s v="Баглай Дмитро Олегович"/>
        <s v="Балик Андрій Деонізович"/>
        <s v="Бараніченко Вадим Олексійович"/>
        <s v="Барковський Андрій Олексійович"/>
        <s v="Барчинський Артем Вікторович"/>
        <s v="Барчук Володимир Володимирович"/>
        <s v="Басараб Орест Ігорович"/>
        <s v="Баско Дмитро Володимирович"/>
        <s v="Батюшко Вячеслав Станіславович"/>
        <s v="Башеєв Володимир Вікторович"/>
        <s v="Безчастний Микола Сергійович"/>
        <s v="Бендас Олександр Миколайович"/>
        <s v="Бережецький Юрій Сергійович"/>
        <s v="Беседіна Олена Володимирівна"/>
        <s v="Бігайло Володимир Іванович"/>
        <s v="Біланчук Богдан Андрійович"/>
        <s v="Білецька Олена Михайлівна"/>
        <s v="Білобородько Сергій Анатолійович"/>
        <s v="Білявська Наталя Ігорівна"/>
        <s v="Бойко Володимир Миколайович"/>
        <s v="Бойко Сергій Миколайович"/>
        <s v="Бойко Сергій Сергійович"/>
        <s v="Боровик Микола Миколайович"/>
        <s v="Бортник Руслан Володимирович"/>
        <s v="Бржиський Роман Васильович"/>
        <s v="Бубела Олена Вікторівна"/>
        <s v="Бужинський Олександр Борисович"/>
        <s v="Буряк Сергій Вячеславович"/>
        <s v="Бутенко Олександр Олександрович"/>
        <s v="Буханець Іван Анатолійович"/>
        <s v="Буянов Володимир Вікторович"/>
        <s v="Вакуленко Віктор Володимирович"/>
        <s v="Васильєв Сергій Миколайович"/>
        <s v="Величко Олег Олександрович"/>
        <s v="Верхотоуров Віталій Олександрович"/>
        <s v="Вінник Антон Володимирович"/>
        <s v="Власова Світлана Геннадіївна"/>
        <s v="Волчанська Валерія В'ячеславівна"/>
        <s v="Волянський Валентин Іванович"/>
        <s v="Воропаєв Руслан Олександрович"/>
        <s v="Ворощук Сергій Васильович"/>
        <s v="Гаврик Сергій Іванович"/>
        <s v="Гавриленко Олексій Миколайович"/>
        <s v="Гавриленко Юрій Васильович"/>
        <s v="Гаврилець Іван Миколайович"/>
        <s v="Галас Василь Васильович"/>
        <s v="Ганжа Сергій Олександрович"/>
        <s v="Ганін Віктор Юрійович"/>
        <s v="Ганчук Дмитро Вікторович"/>
        <s v="Гащук Олег Петрович"/>
        <s v="Герович Дмитро Володимирович"/>
        <s v="Герус Андрій Миколайович"/>
        <s v="Гетманський Олександр Іванович "/>
        <s v="Гетун Сергій Леонович"/>
        <s v="Гирман Ірина Вікторівна"/>
        <s v="Гирман Олександр Миколайович"/>
        <s v="Гімон Іванна Ігорівна"/>
        <s v="Гладченко Ігор Георгійович"/>
        <s v="Глінський Валерій Вікторович"/>
        <s v="Глушку Ігор Костянтинович"/>
        <s v="Гнатів Андрій Богуславович"/>
        <s v="Головізніна Тетяна Дмитрівна"/>
        <s v="Гончар Олександра Володимирівна"/>
        <s v="Горбуненко Андрій Борисович"/>
        <s v="Горгола Олександр Миколайович"/>
        <s v="Горошко Володимир Олексійович"/>
        <s v="Горячов Олександр Васильович"/>
        <s v="Гребенюк Роман Володимирович"/>
        <s v="Григор'єв Олег Ігоревич"/>
        <s v="Гринь Тарас Васильович"/>
        <s v="Губарєв Василь Віталійович"/>
        <s v="Гук Юрій Миколайович"/>
        <s v="Гумен Андрій Зіновійович"/>
        <s v="Гусєв Владислав Анатолійович"/>
        <s v="Гусєв Денис Олександрович"/>
        <s v="Давиденко Юрій Миколайович"/>
        <s v="Даниленко Сергій Миколайович"/>
        <s v="Даніалі Педрам"/>
        <s v="Дем’яненко В’ячеслав Віталійович"/>
        <s v="Демченко Андрій Григорович"/>
        <s v="Демченко Олександр Миколайович"/>
        <s v="Дениско Юрій Миколайович"/>
        <s v="Дєріков Сергій Михайлович"/>
        <s v="Дідук Тимофій Валерійович"/>
        <s v="Дмитренко Андрій Михайлович"/>
        <s v="Добрянський Роман Романович"/>
        <s v="Довгоноженко Василь Васильйович"/>
        <s v="Долгоп'ят Дмитро Олександрович"/>
        <s v="Дорошенко Катерина Володимирівна"/>
        <s v="Дубінін Костянтин Анатолійович"/>
        <s v="Дуплій Наталія Миколаївна"/>
        <s v="Дяченко Едуард Миколайович"/>
        <s v="Єгоров Олексій Геннадійович"/>
        <s v="Єрмоленко Валентина Петрівна"/>
        <s v="Єрофєєв Ігор Валерійович"/>
        <s v="Єрьомін Вадим Вікторович"/>
        <s v="Жарик Сергій Олександрович"/>
        <s v="Житник Олег Миколайович"/>
        <s v="Жорняк Максим Олександрович"/>
        <s v="Жук-Притуляк Аліна Миколаївна"/>
        <s v="Завадовський Андрій Михайлович"/>
        <s v="Заїкін Роман Анатолійович"/>
        <s v="Зарицький Ярослав Михайлович"/>
        <s v="Захарчук Віктор Валерійович"/>
        <s v="Заяць Роман Богданович"/>
        <s v="Зеленіна Анна Павлівна"/>
        <s v="Златов Артем Олександрович "/>
        <s v="Зульфугаров Юрій Альбертович"/>
        <s v="Іванов Олександр Олександрович"/>
        <s v="Іванцов Сергій Вікторович"/>
        <s v="Іщенко Олександр Юрійович"/>
        <s v="Казаков Денис Олександрович"/>
        <s v="Казанцев Олександр Юрійович"/>
        <s v="Калмиков Олександр Сергійович"/>
        <s v="Кальченко Антон Анатолійович"/>
        <s v="Кальчук Сергій Сергійович"/>
        <s v="Караван Ярослав Ярославович"/>
        <s v="Карманов Станіслав Миколайович"/>
        <s v="Карнаух Віктор Іванович"/>
        <s v="Качура Ірина Леонідівна"/>
        <s v="Квартюк Вадим Володимирович"/>
        <s v="Кириченко Юрій Анатолійович"/>
        <s v="Кисляк Ігор Ростиславович"/>
        <s v="Кірпічніков Олександр Геннадійович"/>
        <s v="Кірсанов Олег Сергійович"/>
        <s v="Клець Вадим Вікторович"/>
        <s v="Ковбасюк Ірина Олегівна"/>
        <s v="Когут Павло Володимирович"/>
        <s v="Козлов Руслан Валентинович"/>
        <s v="Колесник Тимур Олександрович "/>
        <s v="Коломієць Любов Михайлівна"/>
        <s v="Комнатний Дмитро Валерійович"/>
        <s v="Коритко Тарас Петрович"/>
        <s v="Корнійчук Юлія Ярославівна"/>
        <s v="Коровін Віталій Андрійович"/>
        <s v="Коровяковський Олександр Вікторович"/>
        <s v="Костюк Артур Іванович"/>
        <s v="Кравцова Олена Володимирівна"/>
        <s v="Кравченко Андрій Сергійович"/>
        <s v="Круподер Костянтин Олександрович"/>
        <s v="Крутік Вікторія Анатоліївна"/>
        <s v="Крушинський Володимир Анатолійович"/>
        <s v="Кудь Євген Сергійович"/>
        <s v="Кузук Дмитро Дмитрович"/>
        <s v="Кукін Олександр Олексійович"/>
        <s v="Кукленко Олександр Петрович"/>
        <s v="Кулик Володимир Зіновійович"/>
        <s v="Кумпан Катерина Андріївна"/>
        <s v="Курдибаха Наталя Олексіївна"/>
        <s v="Кучерук Анна Сергіївна"/>
        <s v="Кущинський Роман Володимирович"/>
        <s v="Лабек Юрій Олегович"/>
        <s v="Ламах Олексій Іванович"/>
        <s v="Ластовецький Павло Вікторович"/>
        <s v="Лашко Вячеслав Богданович"/>
        <s v="Лашко Наталія Костянтинівна"/>
        <s v="Лисяк Володимир Ярославович"/>
        <s v="Литвиненко Ігор Станіславович"/>
        <s v="Лікаренко Анатолій Олександрович"/>
        <s v="Лінчук Максим Юрійович"/>
        <s v="Лобанчиков Вадим Олегович"/>
        <s v="Логанюк Антон Дмитрович"/>
        <s v="Ломако Сергій Віталійович"/>
        <s v="Лунін Артем Олександрович"/>
        <s v="Лущенко Сергій Олександрович"/>
        <s v="Любачівський Роман Орестович"/>
        <s v="Майфат Олександр Павлович"/>
        <s v="Макаровець Станіслав Едуардович"/>
        <s v="Максименко Андрій Ігорович"/>
        <s v="Малишев Андрій Володимирович"/>
        <s v="Малюк Руслан Віталійович"/>
        <s v="Манжос Андрій Олексійович"/>
        <s v="Маржец Юрій Анатолійович"/>
        <s v="Маринич Володимир Володимирович"/>
        <s v="Марковський Вадим Миколайович"/>
        <s v="Мартинович Іван Васильович"/>
        <s v="Мартинюк Андрій Васильович"/>
        <s v="Марті Анатолій Віталійович"/>
        <s v="Масний Ігор Олегович"/>
        <s v="Матвіїшин Володимир Петрович"/>
        <s v="Матвійчук Олександр Юрійович"/>
        <s v="Межерицький Артем Анатолійович"/>
        <s v="Мельник Олексій Володимирович"/>
        <s v="Мельник Руслан Васильович"/>
        <s v="Мельничук Максим Вікторович"/>
        <s v="Миронець Олексій Андрійович"/>
        <s v="Миронова Галина Костянтинівна"/>
        <s v="Михайлов Олексій Вікторович"/>
        <s v="Мішкіна Олена Олегівна"/>
        <s v="Міщенко Денис Миколайович"/>
        <s v="Модлицький Геннадій Юрійович"/>
        <s v="Мостипанов Сергій Володимирович"/>
        <s v="Нагорний Олексій Олександрович"/>
        <s v="Надикто Артур Андрійович"/>
        <s v="Наливайко Зоряна Тадеушівна"/>
        <s v="Нароженко Олег Володимирович"/>
        <s v="Не закреплен"/>
        <s v="Невмержицький Віктор Петрович"/>
        <s v="Нечай Юлія Олександрівна"/>
        <s v="Низелик Іван Станіславович"/>
        <s v="Ничипорук Тарас Сергійович"/>
        <s v="Німченко Руслан Олександрович"/>
        <s v="Носко Валентин Іванович"/>
        <s v="Олейниченко Лілія Михайлівна"/>
        <s v="Омельницький Віталій Миколайович"/>
        <s v="Омельяненко Євгеній Сергійович"/>
        <s v="Омельянський Віталій Віталійович"/>
        <s v="Онищенко Андрій Миколайович"/>
        <s v="Ончул Андрій Васильович"/>
        <s v="Орищак Валентина Володимирівна"/>
        <s v="Орос Віталій Васильович"/>
        <s v="Осауленко Ігор Анатолійович"/>
        <s v="Осташевський Антон Станіславович"/>
        <s v="Павлик Олег Васильович"/>
        <s v="Павлюк Вадим Леонідович"/>
        <s v="Павлюк Юрій Вікторович"/>
        <s v="Пазюра Анатолій Михайлович"/>
        <s v="Палій Василь Михайлович"/>
        <s v="Памірський Анатолій Євгенович"/>
        <s v="Панасенко Микола Леонідович"/>
        <s v="Панасенко Роман Євгенійович"/>
        <s v="Паращук Ганна Геннадіївна"/>
        <s v="Парфілов Олег Володимирович"/>
        <s v="Пархоменко Андрій Анатолійович"/>
        <s v="Пархомчук Костянтин Вікторович"/>
        <s v="Пастушенко Євген Володимирович"/>
        <s v="Петришин Андрій Володимирович"/>
        <s v="Пивоваров Сергій Олександрович"/>
        <s v="Пилипенко Євгеній Анатолійович "/>
        <s v="Писаренко Євген Анатолійович"/>
        <s v="Пінчук Олександр Володмирович"/>
        <s v="Піпа Євгеній Георгійович"/>
        <s v="Плеша Лівіа Василівна"/>
        <s v="Покора Ірина Степанівна"/>
        <s v="Поліщук Борис Анатолійович"/>
        <s v="Полосухіна Катерина Сергіївна"/>
        <s v="Поляков Микола Миколайович"/>
        <s v="Полянський Андрій Юрійович"/>
        <s v="Попик Інна Володимирівна"/>
        <s v="Попова Тетяна Василівна"/>
        <s v="Попович Галина Миколаївна"/>
        <s v="Приймак Олександр Анатолійович"/>
        <s v="Приставка Олександр Михайлович"/>
        <s v="Приходько Ігор Валерійович"/>
        <s v="Приходько Олександр Леонідович"/>
        <s v="Прокопів Тарас Ігорович"/>
        <s v="Прокопчук Михайло Олександрович"/>
        <s v="Пуга Віктор Іванович"/>
        <s v="Пурдіч Євген Ігорович"/>
        <s v="Пусєв Віталій Олександрович"/>
        <s v="Радов Олександр Володимирович"/>
        <s v="Радченко Олександр Миколайович"/>
        <s v="Радько Андрій Миколайович"/>
        <s v="Райкевич Андрій Сергійович"/>
        <s v="Ракочий Валентин Валерійович"/>
        <s v="Ратинський Вадим Віталійович"/>
        <s v="Ревко Олексій Володимирович"/>
        <s v="Репецький Олег Віталійович"/>
        <s v="Рибитва Станіслав Васильович"/>
        <s v="Роботишин Віталій Володимирович"/>
        <s v="Розе Андрій Валентинович"/>
        <s v="Романчук Петро Анатолійович"/>
        <s v="Романюк Андрій Олександрович"/>
        <s v="Рудик Тарас Мирославович"/>
        <s v="Рудніцький Максим Валентинович"/>
        <s v="Румянцева Ольга Юріївна"/>
        <s v="Савін Ігор Володимирович"/>
        <s v="Савченко Валентина Михайлівна"/>
        <s v="Савчук Олександр Володимирович"/>
        <s v="Сазанович Андрій Володимирович"/>
        <s v="Селезньов Денис Алефтинович"/>
        <s v="Семенюк Олег Леонідович"/>
        <s v="Сердюк Павло Васильович"/>
        <s v="Сердюченко Вячеслав Анатолійович"/>
        <s v="Сидоренко Денис Анатолійович"/>
        <s v="Сироїжко Ірина Олександрівна"/>
        <s v="Сікотовський Любомир Богданович"/>
        <s v="Сіліна Ганна Миколаївна"/>
        <s v="Скребець Наталія Дмитрівна"/>
        <s v="Скурчанський Дмитро Васильович"/>
        <s v="Соловйов Павло Юрійович"/>
        <s v="Солонець Сергій Васильович"/>
        <s v="Сотник Сергій Васильович"/>
        <s v="Софина Володимир Володимирович"/>
        <s v="Стельмах Юлія Валеріївна"/>
        <s v="Степанов Сергій Володимирович"/>
        <s v="Столяренко Світлана Леонідівна"/>
        <s v="Стукало Тарас Петрович"/>
        <s v="Сугоняко Віталій Володимирович"/>
        <s v="Сьорак Ігор Орестович"/>
        <s v="Сюрьма Вікторія Петрівна"/>
        <s v="Талапканич Михайло Михайлович"/>
        <s v="Тарасов Ігор Володимирович"/>
        <s v="Тимошенко Марина Юріївна"/>
        <s v="Тимощук Ігор Миколайович"/>
        <s v="Тимчук Юлія Андріївна"/>
        <s v="Тишковський Лев Володимирович"/>
        <s v="Тітов Олег Сергійович"/>
        <s v="Ткаченко Євген Анатолійович"/>
        <s v="Токарєв Ігор Віталійович"/>
        <s v="Толстой Олексій Дмитрович"/>
        <s v="Топчук Альна Анатоліївна "/>
        <s v="Тотін Євгеній Юрійович"/>
        <s v="Третяк Юрій Миколайович"/>
        <s v="Тригуб Дмитро Володимирович"/>
        <s v="Триконенко Людмила Рудольфівна"/>
        <s v="Трохимець Юрій Миколайович"/>
        <s v="Трошин Олексій Сергійович"/>
        <s v="Трухан Руслан Юрійович"/>
        <s v="Устимович  Ігор  Миколайович"/>
        <s v="Федоріна Наталія Олександрівна"/>
        <s v="Хаврона Сергій Петрович"/>
        <s v="Хайдакін Олег Ігорович"/>
        <s v="Хайдарова Олена Миколаївна"/>
        <s v="Халемський Віктор Йосипович"/>
        <s v="Халін Дмитро Сергійович"/>
        <s v="Хамітов Роман Григорович "/>
        <s v="Харчишин Ігор Володимирович"/>
        <s v="Химич Тарас Михайлович"/>
        <s v="Хитрейко Микола Дмитрович"/>
        <s v="Хіміч Олександр Миколайович"/>
        <s v="Хмелевський Євгеній Євгенович"/>
        <s v="Ходорівський Юрій Ярославович"/>
        <s v="Холод Максим Володимирович"/>
        <s v="Цуканов Сергій Володимирович"/>
        <s v="Чабан Іван Васильович"/>
        <s v="Чаєв Максим Олександрович"/>
        <s v="Часовський Сергій Анатолійович"/>
        <s v="Чаюк Руслан Анатолійович"/>
        <s v="Червяков Олексій Вікторович"/>
        <s v="Черкаська Вікторія Вадимівна"/>
        <s v="Черкашин Олександр Германович"/>
        <s v="Чернявська Марія Євгенівна"/>
        <s v="Чижук Роман Михайлович"/>
        <s v="Чихман Олег Петрович"/>
        <s v="Чорний Олексій Володимирович"/>
        <s v="Чорноіваненко Сергей Васильович"/>
        <s v="Чуйков Олександр Анатолійович&#10;&#10;&#10;"/>
        <s v="Чумаченко Сергій Вікторович"/>
        <s v="Чупахін Сергій Володимирович"/>
        <s v="Шальверчук Ірина Віталіївна"/>
        <s v="Шамрай Теодор Васильович"/>
        <s v="Шаренко Вадим Юрійович."/>
        <s v="Шарко Костянтин Михайлович"/>
        <s v="Швидкий Олександр Михайлович"/>
        <s v="Шевчук Сергій Олексійович"/>
        <s v="Шеретько Олексій Романович"/>
        <s v="Шляховий Артем Юрійович"/>
        <s v="Шмельов Володимир Володимирович"/>
        <s v="Шостацький Сергій Анатолійович"/>
        <s v="Шумський Віталій Петрович"/>
        <s v="Щиборук Тарас Григорович"/>
        <s v="Яковенко Юрій Олександрович"/>
        <s v="Яковлєв Вячеслав Миколайович"/>
        <s v="Янчук Андрій Володимирович"/>
        <s v="Яремчук Олександр Ярославович"/>
        <s v="Яриш Андрій Володимирович&#10;"/>
      </sharedItems>
    </cacheField>
    <cacheField name="Грейд" numFmtId="0">
      <sharedItems containsBlank="1" count="2">
        <s v="07867"/>
        <m/>
      </sharedItems>
    </cacheField>
    <cacheField name="таб.№" numFmtId="0">
      <sharedItems containsBlank="1" count="373">
        <s v="00039"/>
        <s v="00063"/>
        <s v="00216"/>
        <s v="00343"/>
        <s v="00377"/>
        <s v="00394"/>
        <s v="00405"/>
        <s v="00562"/>
        <s v="00601"/>
        <s v="00622"/>
        <s v="00630"/>
        <s v="00648"/>
        <s v="00674"/>
        <s v="00697"/>
        <s v="00791"/>
        <s v="00806"/>
        <s v="00809"/>
        <s v="00929"/>
        <s v="00934"/>
        <s v="00977"/>
        <s v="01067"/>
        <s v="01283"/>
        <s v="01321"/>
        <s v="01332"/>
        <s v="01342"/>
        <s v="01343"/>
        <s v="01354"/>
        <s v="01359"/>
        <s v="01365"/>
        <s v="01388"/>
        <s v="01395"/>
        <s v="01407"/>
        <s v="01439"/>
        <s v="01446"/>
        <s v="01456"/>
        <s v="01462"/>
        <s v="01463"/>
        <s v="01464"/>
        <s v="01468"/>
        <s v="01469"/>
        <s v="01470"/>
        <s v="01472"/>
        <s v="01474"/>
        <s v="01475"/>
        <s v="01477"/>
        <s v="01485"/>
        <s v="01486"/>
        <s v="01488"/>
        <s v="01494"/>
        <s v="01495"/>
        <s v="01496"/>
        <s v="01503"/>
        <s v="01508"/>
        <s v="01515"/>
        <s v="01516"/>
        <s v="01517"/>
        <s v="01528"/>
        <s v="01532"/>
        <s v="01534"/>
        <s v="01538"/>
        <s v="01569"/>
        <s v="01579"/>
        <s v="01589"/>
        <s v="01599"/>
        <s v="01604"/>
        <s v="01605"/>
        <s v="01610"/>
        <s v="01640"/>
        <s v="01649"/>
        <s v="01661"/>
        <s v="01670"/>
        <s v="01715"/>
        <s v="01724"/>
        <s v="01728"/>
        <s v="01730"/>
        <s v="01732"/>
        <s v="01734"/>
        <s v="01744"/>
        <s v="01745"/>
        <s v="01747"/>
        <s v="01748"/>
        <s v="02025"/>
        <s v="02028"/>
        <s v="02031"/>
        <s v="02040"/>
        <s v="02048"/>
        <s v="02050"/>
        <s v="02055"/>
        <s v="02056"/>
        <s v="02071"/>
        <s v="02077"/>
        <s v="02079"/>
        <s v="02081"/>
        <s v="02083"/>
        <s v="02091"/>
        <s v="02108"/>
        <s v="02110"/>
        <s v="02115"/>
        <s v="02122"/>
        <s v="02123"/>
        <s v="02135"/>
        <s v="02168"/>
        <s v="02174"/>
        <s v="02182"/>
        <s v="02198"/>
        <s v="02201"/>
        <s v="02209"/>
        <s v="02214"/>
        <s v="02216"/>
        <s v="02217"/>
        <s v="02221"/>
        <s v="02224"/>
        <s v="02226"/>
        <s v="02229"/>
        <s v="02248"/>
        <s v="02249"/>
        <s v="02256"/>
        <s v="02273"/>
        <s v="02277"/>
        <s v="02286"/>
        <s v="02288"/>
        <s v="02290"/>
        <s v="02297"/>
        <s v="02315"/>
        <s v="02320"/>
        <s v="02324"/>
        <s v="02325"/>
        <s v="02333"/>
        <s v="02340"/>
        <s v="02341"/>
        <s v="02346"/>
        <s v="02364"/>
        <s v="02372"/>
        <s v="02388"/>
        <s v="02393"/>
        <s v="02401"/>
        <s v="02416"/>
        <s v="02442"/>
        <s v="02446"/>
        <s v="02450"/>
        <s v="02456"/>
        <s v="02458"/>
        <s v="02459"/>
        <s v="02470"/>
        <s v="02473"/>
        <s v="02480"/>
        <s v="02491"/>
        <s v="02492"/>
        <s v="02497"/>
        <s v="02498"/>
        <s v="02499"/>
        <s v="02500"/>
        <s v="02501"/>
        <s v="02505"/>
        <s v="02507"/>
        <s v="02508"/>
        <s v="02510"/>
        <s v="02511"/>
        <s v="02512"/>
        <s v="02516"/>
        <s v="02517"/>
        <s v="02519"/>
        <s v="02521"/>
        <s v="02522"/>
        <s v="02523"/>
        <s v="02527"/>
        <s v="02529"/>
        <s v="02531"/>
        <s v="02534"/>
        <s v="02535"/>
        <s v="02540"/>
        <s v="02549"/>
        <s v="02553"/>
        <s v="02556"/>
        <s v="02559"/>
        <s v="02560"/>
        <s v="02562"/>
        <s v="03128"/>
        <s v="03150"/>
        <s v="03264"/>
        <s v="03265"/>
        <s v="03271"/>
        <s v="03287"/>
        <s v="03295"/>
        <s v="03420"/>
        <s v="03424"/>
        <s v="03446"/>
        <s v="03558"/>
        <s v="03593"/>
        <s v="03599"/>
        <s v="03626"/>
        <s v="03654"/>
        <s v="03712"/>
        <s v="03739"/>
        <s v="03746"/>
        <s v="03748"/>
        <s v="03755"/>
        <s v="03827"/>
        <s v="03833"/>
        <s v="03876"/>
        <s v="03883"/>
        <s v="03906"/>
        <s v="03920"/>
        <s v="03931"/>
        <s v="03939"/>
        <s v="03967"/>
        <s v="03976"/>
        <s v="04028"/>
        <s v="04048"/>
        <s v="04104"/>
        <s v="04108"/>
        <s v="04123"/>
        <s v="04124"/>
        <s v="04125"/>
        <s v="04133"/>
        <s v="04136"/>
        <s v="04142"/>
        <s v="04143"/>
        <s v="04145"/>
        <s v="04146"/>
        <s v="04150"/>
        <s v="04152"/>
        <s v="04167"/>
        <s v="04168"/>
        <s v="04172"/>
        <s v="04178"/>
        <s v="04192"/>
        <s v="04194"/>
        <s v="04195"/>
        <s v="04198"/>
        <s v="04229"/>
        <s v="04233"/>
        <s v="04246"/>
        <s v="04254"/>
        <s v="04264"/>
        <s v="04277"/>
        <s v="04296"/>
        <s v="04299"/>
        <s v="04304"/>
        <s v="04306"/>
        <s v="04308"/>
        <s v="04309"/>
        <s v="04311"/>
        <s v="04315"/>
        <s v="04319"/>
        <s v="04321"/>
        <s v="04325"/>
        <s v="04331"/>
        <s v="04332"/>
        <s v="04333"/>
        <s v="04334"/>
        <s v="04340"/>
        <s v="04355"/>
        <s v="04361"/>
        <s v="04362"/>
        <s v="04364"/>
        <s v="04415"/>
        <s v="04424"/>
        <s v="04432"/>
        <s v="05087"/>
        <s v="05317"/>
        <s v="05695"/>
        <s v="05982"/>
        <s v="06001"/>
        <s v="06063"/>
        <s v="06169"/>
        <s v="06245"/>
        <s v="06248"/>
        <s v="06647"/>
        <s v="06676"/>
        <s v="06704"/>
        <s v="06982"/>
        <s v="07116"/>
        <s v="07194"/>
        <s v="07205"/>
        <s v="07502"/>
        <s v="07697"/>
        <s v="07791"/>
        <s v="07803"/>
        <s v="07875"/>
        <s v="07923"/>
        <s v="08022"/>
        <s v="08060"/>
        <s v="08153"/>
        <s v="08156"/>
        <s v="08160"/>
        <s v="08168"/>
        <s v="08242"/>
        <s v="08318"/>
        <s v="08369"/>
        <s v="08377"/>
        <s v="08379"/>
        <s v="08410"/>
        <s v="08426"/>
        <s v="08477"/>
        <s v="08497"/>
        <s v="08537"/>
        <s v="08543"/>
        <s v="08568"/>
        <s v="08606"/>
        <s v="08679"/>
        <s v="08780"/>
        <s v="08813"/>
        <s v="08841"/>
        <s v="08850"/>
        <s v="08866"/>
        <s v="08887"/>
        <s v="08915"/>
        <s v="08983"/>
        <s v="09023"/>
        <s v="09038"/>
        <s v="09068"/>
        <s v="09078"/>
        <s v="09084"/>
        <s v="09087"/>
        <s v="09089"/>
        <s v="09093"/>
        <s v="09112"/>
        <s v="09131"/>
        <s v="09183"/>
        <s v="09187"/>
        <s v="09190"/>
        <s v="09239"/>
        <s v="09338"/>
        <s v="09349"/>
        <s v="09352"/>
        <s v="09385"/>
        <s v="09390"/>
        <s v="09391"/>
        <s v="09392"/>
        <s v="09422"/>
        <s v="09436"/>
        <s v="09455"/>
        <s v="09482"/>
        <s v="09488"/>
        <s v="09521"/>
        <s v="09545"/>
        <s v="09553"/>
        <s v="09584"/>
        <s v="09592"/>
        <s v="09606"/>
        <s v="09635"/>
        <s v="09638"/>
        <s v="09639"/>
        <s v="09651"/>
        <s v="09813"/>
        <s v="09834"/>
        <s v="09842"/>
        <s v="09854"/>
        <s v="09859"/>
        <s v="09924"/>
        <s v="09939"/>
        <s v="09996"/>
        <s v="10056"/>
        <s v="10058"/>
        <s v="10103"/>
        <s v="10105"/>
        <s v="10106"/>
        <s v="10107"/>
        <s v="10110"/>
        <s v="10111"/>
        <s v="10112"/>
        <s v="10127"/>
        <s v="10132"/>
        <s v="10140"/>
        <s v="10141"/>
        <s v="10144"/>
        <s v="10155"/>
        <s v="70085"/>
        <s v="70624"/>
        <s v="70914"/>
        <s v="72580"/>
        <m/>
      </sharedItems>
    </cacheField>
    <cacheField name="Должность" numFmtId="0">
      <sharedItems count="85">
        <s v=" Менеджер з безпеки та пропускного режиму"/>
        <s v=" Національний менеджер з економічної безпеки"/>
        <s v="Аналітик"/>
        <s v="Віце-президент з маркетингу"/>
        <s v="Віце-президент з операційної діяльності регіону Центральна та Східна Європа"/>
        <s v="Віце-президент з операційної діяльності та клієнтського сервісу"/>
        <s v="Віце-президент з продажу"/>
        <s v="Водій автотранспортних засобів"/>
        <s v="Водій офісний"/>
        <s v="Водій-експедитор"/>
        <s v="Генеральний директор"/>
        <s v="Головний бухгалтер"/>
        <s v="Головний енергетик"/>
        <s v="Головний інженер"/>
        <s v="Директор департаменту - Заступник Генерального директора з питань безпеки"/>
        <s v="Директор з бухгалтерського та податкового обліку"/>
        <s v="Директор з логістики та клієнтського сервісу"/>
        <s v="Директор з маркетингу"/>
        <s v="Директор з маркетингу торгових каналів"/>
        <s v="Директор з розвитку продaжів"/>
        <s v="Директор заводу"/>
        <s v="Директор по роботі з дистриб`юторами"/>
        <s v="Директор по роботі з ключовими клієнтами"/>
        <s v="Заступник директора заводу - головний інженер"/>
        <s v="Інженер з охорони праці"/>
        <s v="ІТ Директор"/>
        <s v="Керівник напрямку зворотної тари та вторсировини"/>
        <s v="Керівник напрямку продажів на експорт"/>
        <s v="Керівник напрямку управління поставками"/>
        <s v="Керівник напряму закупівель"/>
        <s v="Майстер з ремонту"/>
        <s v="Майстер з транспорту"/>
        <s v="Менеджер агропроекта"/>
        <s v="Менеджер відділу внутрішнього контролю та аудиту"/>
        <s v="Менеджер з власного та лізингового транспорту"/>
        <s v="Менеджер з інноваційних та виробничих процесів"/>
        <s v="Менеджер з інформаційної безпеки"/>
        <s v="Менеджер з ІТ сервісів"/>
        <s v="Менеджер з логістики та дистрибуції"/>
        <s v="Менеджер з маркетингу торгових каналів"/>
        <s v="Менеджер з навчання та розвитку"/>
        <s v="Менеджер з продажу в ключових мережах"/>
        <s v="Менеджер з продажу на території"/>
        <s v="Менеджер з розвитку і підтримці ФІТ"/>
        <s v="Менеджер з розвитку ключових мереж"/>
        <s v="Менеджер з розвитку напряму розливної продукції"/>
        <s v="Менеджер з розвитку національних мереж"/>
        <s v="Менеджер з розвитку продажів в каналі ХоРеКа"/>
        <s v="Менеджер з розвитку продажів каналу ключових мереж"/>
        <s v="Менеджер із забезпечення найманим транспортом"/>
        <s v="Менеджер ОТА"/>
        <s v="Менеджер по роботі з ключовими локальними клієнтами "/>
        <s v="Менеджера з продажів на території каналу сучасної торгівлі"/>
        <s v="Національний менеджер з маркетингу торгових каналів"/>
        <s v="Національний менеджер з планування і клієнтського сервісу"/>
        <s v="Національний менеджер з розвитку пивних магазинів"/>
        <s v="Національний менеджер з розвитку продажів в каналі ХоРеКа"/>
        <s v="Національний менеджер з розвитку стратегії продажів"/>
        <s v="Начальник відділу IT бізнес сервісів та інфраструктури"/>
        <s v="Провідний менеджер з продажу в ключових мережах"/>
        <s v="Провідний менеджер з розвитку комерційних компетенцій та підтримці ФІТ"/>
        <s v="Провідний фахівець  з  продажу"/>
        <s v="Провідний фахівець відділу  продажу"/>
        <s v="Провідний фахівець відділу продажу  ХoРеКа"/>
        <s v="Провідний фахівець з  продажу"/>
        <s v="Провідний фахівець з адміністративно-господарської роботи"/>
        <s v="Провідний фахівець з безпеки підприємства"/>
        <s v="Провідний фахівець з експорту"/>
        <s v="Провідний фахівець з маркетингу торгових каналів"/>
        <s v="Провідний фахівець з продажу"/>
        <s v="Провідний фахівець з продажу "/>
        <s v="Провідний фахівець з продажу в ключових мережах"/>
        <s v="Провідний фахівець з розвитку ключових мереж"/>
        <s v="Регіональний менеджер"/>
        <s v="Регіональний фахівець"/>
        <s v="Старший директор з правових питань"/>
        <s v="Старший директор по роботі з органами державної влади та корпоративних питань"/>
        <s v="Старший менеджер з пивовиробництва, енергетики та інновацій"/>
        <s v="Технік кег"/>
        <s v="Фахівець з маркетингу торгових каналів"/>
        <s v="Фахівець з розвитку ключових мереж"/>
        <s v="Фахівець з технічного обслуговування кегового обладнання"/>
        <s v="Фахівець з технічного обслуговування холодильного обладнання"/>
        <s v="Фахівець із зовнішньоекономічної діяльності"/>
        <s v="Фахівець по роботі з вторсировиною та зворотною тарою "/>
      </sharedItems>
    </cacheField>
    <cacheField name="Закрепление (физическое нахождение автомобиля)." numFmtId="0">
      <sharedItems count="53">
        <s v="Арциз"/>
        <s v="Ахтырка"/>
        <s v="Белая Церковь"/>
        <s v="Белгород-Днестровский"/>
        <s v="Бердянск"/>
        <s v="Винница"/>
        <s v="Виноградів"/>
        <s v="Геническ"/>
        <s v="Днепр"/>
        <s v="Дрогобич"/>
        <s v="Житомир"/>
        <s v="Закарпаття"/>
        <s v="Запорожье"/>
        <s v="Измаил"/>
        <s v="Івано-Франківськ"/>
        <s v="Каменець-Подольский"/>
        <s v="Киев"/>
        <s v="Коломия"/>
        <s v="Коростень"/>
        <s v="Котовск"/>
        <s v="Краматорск"/>
        <s v="Кременець"/>
        <s v="Кременчук"/>
        <s v="Кривой Рог"/>
        <s v="Кропивницький"/>
        <s v="Купянск"/>
        <s v="Курахово"/>
        <s v="Луцьк"/>
        <s v="Львів"/>
        <s v="Мариуполь"/>
        <s v="Мелитополь"/>
        <s v="Н.Каховка"/>
        <s v="Николаев"/>
        <s v="Никополь"/>
        <s v="Одесса"/>
        <s v="Павлоград"/>
        <s v="Первомайск"/>
        <s v="Полтава"/>
        <s v="Путивль"/>
        <s v="Рівне"/>
        <s v="Ровно"/>
        <s v="Северодонецк"/>
        <s v="Сумы"/>
        <s v="Тернопіль"/>
        <s v="Умань"/>
        <s v="Харьков"/>
        <s v="Херсон"/>
        <s v="Хмельницкий"/>
        <s v="Черкассы"/>
        <s v="Чернигов"/>
        <s v="Чернівці"/>
        <s v="Черннівці"/>
        <s v="Энергодар"/>
      </sharedItems>
    </cacheField>
    <cacheField name="Подразделение" numFmtId="0">
      <sharedItems count="62">
        <s v="Адміністративно-господарський відділ"/>
        <s v="Адміністративно-господарчий відділ"/>
        <s v="Бухгалтерія"/>
        <s v="Відділ безпеки та пропускного режиму"/>
        <s v="Відділ економічної безпеки"/>
        <s v="Відділ експорту"/>
        <s v="Відділ забезпечення транспортом"/>
        <s v="Відділ інформаційної безпеки"/>
        <s v="Відділ ІТ бізнес-сервісів та інфраструктури "/>
        <s v="Відділ продаж Північно-Східного регіону"/>
        <s v="Відділ продажів Західного регіону"/>
        <s v="Відділ продажів Південно-Східного регіону"/>
        <s v="Відділ продажів Південного регіону"/>
        <s v="Відділ продажів Північно-Східного регіону"/>
        <s v="Відділ продажів Центрального регіону"/>
        <s v="Відділ сервісів ІТ "/>
        <s v="Відділ стратегії продажів"/>
        <s v="Відділ торгового аудиту"/>
        <s v="Відділ торгового маркетингу Західного регіону"/>
        <s v="Відділ торгового маркетингу каналу дистрибуторів"/>
        <s v="Відділ торгового маркетингу Південно-Східного регіону"/>
        <s v="Відділ торгового маркетингу Північно-Східного регіону"/>
        <s v="Відділ торгового маркетингу сучасної торгівлі"/>
        <s v="Відділ торгового маркетингу Центрально-Південного регіону"/>
        <s v="Відділ фінансів"/>
        <s v="Генеральне управління"/>
        <s v="Департамент безпеки"/>
        <s v="Департамент інформаційних технологій"/>
        <s v="Департамент корпоративних відносин"/>
        <s v="Департамент маркетингу"/>
        <s v="Департамент операційної діяльності"/>
        <s v="Департамент правових питань"/>
        <s v="Департамент продаж"/>
        <s v="Електротехнічний цех"/>
        <s v="Западный"/>
        <s v="Запорожье"/>
        <s v="Заступнік директора заводу- головний інженер"/>
        <s v="Лівобережжя"/>
        <s v="Логістика і дистрибуція м. Запоріжж"/>
        <s v="Логістика та дистрибуція, м Київ"/>
        <s v="Логістика та дистрибуція, м.Львів"/>
        <s v="Мережа великих форматів"/>
        <s v="Мережа малих форматів"/>
        <s v="Напрям бухгалтерського та податкового обліку"/>
        <s v="Напрям виробництва, м.Запоріжжя"/>
        <s v="Напрям з маркетингу торгових каналів"/>
        <s v="Напрям закупівель"/>
        <s v="Напрям логістики і дистрибуції"/>
        <s v="Напрям маркетингу ( В.К.)"/>
        <s v="Напрям по роботі з дистрибуторами"/>
        <s v="Напрям по роботі з ключовими мережами"/>
        <s v="Напрям розвитку продажів"/>
        <s v="Напрям технічний"/>
        <s v="Напрям транспорта і дистрибуції"/>
        <s v="Напрям управління поставками"/>
        <s v="Напрям якості"/>
        <s v="Правобережжя"/>
        <s v="Служба Головного енергетика"/>
        <s v="Служба Головного інженера"/>
        <s v="Филиал ( г.Львов)"/>
        <s v="Філія (м.Київ)"/>
        <s v="Центральный"/>
      </sharedItems>
    </cacheField>
    <cacheField name="Территориальная принадлежность (продажи)." numFmtId="0">
      <sharedItems containsString="0" containsBlank="1" containsNumber="1" containsInteger="1" minValue="1000" maxValue="9000" count="27">
        <n v="1000"/>
        <n v="4000"/>
        <n v="6000"/>
        <n v="7010"/>
        <n v="7011"/>
        <n v="7014"/>
        <n v="7020"/>
        <n v="7021"/>
        <n v="7023"/>
        <n v="7030"/>
        <n v="7031"/>
        <n v="7032"/>
        <n v="7040"/>
        <n v="7042"/>
        <n v="7050"/>
        <n v="7060"/>
        <n v="7063"/>
        <n v="7065"/>
        <n v="7070"/>
        <n v="7073"/>
        <n v="7080"/>
        <n v="7081"/>
        <n v="7082"/>
        <n v="7083"/>
        <n v="7900"/>
        <n v="9000"/>
        <m/>
      </sharedItems>
    </cacheField>
    <cacheField name="департамент" numFmtId="0">
      <sharedItems count="27">
        <s v="cлужба безопасности"/>
        <s v="АГВ"/>
        <s v="администрация"/>
        <s v="Відділ із звязків з громадськістю"/>
        <s v="Генеральный директор"/>
        <s v="Дирекция по качеству"/>
        <s v="закупки"/>
        <s v="ИТ"/>
        <s v="логистика"/>
        <s v="маркетинг"/>
        <s v="продажи HoReCa"/>
        <s v="продажи OFF-trade"/>
        <s v="продажи RKA"/>
        <s v="продажи RKA "/>
        <s v="продажи RKA офис"/>
        <s v="продажи XoPeKa"/>
        <s v="продажи XoPeKa офис"/>
        <s v="продажи XoReKa"/>
        <s v="продажи офис"/>
        <s v="продажи офис RKA"/>
        <s v="продажи офис регион"/>
        <s v="продажи ХоРеКа"/>
        <s v="продажи ХоРеКа офис"/>
        <s v="производство"/>
        <s v="служба безопасности"/>
        <s v="финансы"/>
        <s v="юр.отдел- офис"/>
      </sharedItems>
    </cacheField>
    <cacheField name="Центр затрат" numFmtId="0">
      <sharedItems containsString="0" containsBlank="1" containsNumber="1" containsInteger="1" minValue="3480" maxValue="5411" count="47">
        <n v="3480"/>
        <n v="3490"/>
        <n v="3511"/>
        <n v="3519"/>
        <n v="3599"/>
        <n v="3615"/>
        <n v="3690"/>
        <n v="3699"/>
        <n v="4120"/>
        <n v="4130"/>
        <n v="4131"/>
        <n v="4133"/>
        <n v="4134"/>
        <n v="4136"/>
        <n v="4138"/>
        <n v="4140"/>
        <n v="4141"/>
        <n v="4143"/>
        <n v="4144"/>
        <n v="4146"/>
        <n v="4148"/>
        <n v="4170"/>
        <n v="4171"/>
        <n v="4173"/>
        <n v="4174"/>
        <n v="4176"/>
        <n v="4178"/>
        <n v="4190"/>
        <n v="4191"/>
        <n v="4193"/>
        <n v="4194"/>
        <n v="4196"/>
        <n v="4198"/>
        <n v="4230"/>
        <n v="4237"/>
        <n v="4290"/>
        <n v="4390"/>
        <n v="5110"/>
        <n v="5111"/>
        <n v="5210"/>
        <n v="5211"/>
        <n v="5220"/>
        <n v="5221"/>
        <n v="5280"/>
        <n v="5311"/>
        <n v="5411"/>
        <m/>
      </sharedItems>
    </cacheField>
    <cacheField name="пакет" numFmtId="0">
      <sharedItems containsBlank="1" containsMixedTypes="1" containsNumber="1" containsInteger="1" minValue="5" maxValue="5" count="12">
        <n v="5"/>
        <s v="1a"/>
        <s v="1b"/>
        <s v="1а"/>
        <s v="2a"/>
        <s v="2b"/>
        <s v="3b"/>
        <s v="3а"/>
        <s v="4a"/>
        <s v="4b"/>
        <s v="4c"/>
        <m/>
      </sharedItems>
    </cacheField>
    <cacheField name="Стоимость. грн с НДС" numFmtId="0">
      <sharedItems containsString="0" containsBlank="1" containsNumber="1" minValue="341781.23" maxValue="2340894.83" count="38">
        <n v="341781.23"/>
        <n v="388754.81"/>
        <n v="421491.01"/>
        <n v="425034.65"/>
        <n v="449540.84"/>
        <n v="457128.22"/>
        <n v="491388.66"/>
        <n v="495519.96"/>
        <n v="500519.97"/>
        <n v="506005.19"/>
        <n v="508996.38"/>
        <n v="529688.4"/>
        <n v="536104.01"/>
        <n v="540354.81"/>
        <n v="558251.64"/>
        <n v="562945.07"/>
        <n v="565813.91"/>
        <n v="659296.43"/>
        <n v="664839.39"/>
        <n v="769986.33"/>
        <n v="812511"/>
        <n v="840629.66"/>
        <n v="894625.77"/>
        <n v="913530.91"/>
        <n v="925541.78"/>
        <n v="929663.72"/>
        <n v="1034039.83"/>
        <n v="1043973.51"/>
        <n v="1083069.73"/>
        <n v="1084005.77"/>
        <n v="1119394.28"/>
        <n v="1154118.17"/>
        <n v="1533002.23"/>
        <n v="2035799.99"/>
        <n v="2104043.61"/>
        <n v="2197439.82"/>
        <n v="2340894.83"/>
        <m/>
      </sharedItems>
    </cacheField>
    <cacheField name="Курс $" numFmtId="0">
      <sharedItems containsString="0" containsBlank="1" containsNumber="1" minValue="24.4431" maxValue="28.2673" count="24">
        <n v="24.4431"/>
        <n v="25.972011"/>
        <n v="26.3356"/>
        <n v="26.368202"/>
        <n v="26.636246"/>
        <n v="26.687575"/>
        <n v="26.716488"/>
        <n v="26.7633"/>
        <n v="26.77"/>
        <n v="27.0566"/>
        <n v="27.1716"/>
        <n v="27.256311"/>
        <n v="27.717006"/>
        <n v="27.74096"/>
        <n v="27.772064"/>
        <n v="27.790097"/>
        <n v="27.8025"/>
        <n v="27.9003"/>
        <n v="27.948597"/>
        <n v="28.023739"/>
        <n v="28.1206"/>
        <n v="28.13"/>
        <n v="28.2673"/>
        <m/>
      </sharedItems>
    </cacheField>
    <cacheField name="первый платеж грн. С НДС" numFmtId="0">
      <sharedItems containsString="0" containsBlank="1" containsNumber="1" minValue="105261.038843678" maxValue="501458.28" count="52">
        <n v="105261.038843678"/>
        <n v="105317.153580519"/>
        <n v="105726.157894737"/>
        <n v="107198.176513531"/>
        <n v="107198.177253397"/>
        <n v="112232.680998674"/>
        <n v="113754.854736842"/>
        <n v="114094.574285714"/>
        <n v="116067.6690625"/>
        <n v="118428.5088"/>
        <n v="125058.09"/>
        <n v="127797.114545455"/>
        <n v="130400.755812798"/>
        <n v="130470.270290102"/>
        <n v="130672.461123385"/>
        <n v="130976.96"/>
        <n v="132079.313333333"/>
        <n v="134887.9"/>
        <n v="134922.93"/>
        <n v="135784.857136222"/>
        <n v="135784.860671149"/>
        <n v="135784.860983831"/>
        <n v="137058.86"/>
        <n v="138573.842772976"/>
        <n v="140859.27"/>
        <n v="141780.88865549"/>
        <n v="143072.3025"/>
        <n v="145176.713333333"/>
        <n v="147556.203287431"/>
        <n v="151080.128734487"/>
        <n v="154782.49"/>
        <n v="164958.005"/>
        <n v="188663.64"/>
        <n v="194098.113053941"/>
        <n v="198394.35"/>
        <n v="216256.39"/>
        <n v="217118.08"/>
        <n v="226221.456666667"/>
        <n v="230523.6"/>
        <n v="238656.686666667"/>
        <n v="246925.11"/>
        <n v="247739.59"/>
        <n v="250186.583333333"/>
        <n v="252270.685"/>
        <n v="267891.613122937"/>
        <n v="269442.209086825"/>
        <n v="339658.248067548"/>
        <n v="435975.62"/>
        <n v="452101.38547186"/>
        <n v="490919.15"/>
        <n v="501458.28"/>
        <m/>
      </sharedItems>
    </cacheField>
    <cacheField name="Стоимость авто, " numFmtId="0">
      <sharedItems containsString="0" containsBlank="1" containsNumber="1" minValue="13982.7284591562" maxValue="83757.1499564003" count="38">
        <n v="13982.7284591562"/>
        <n v="13982.7285316069"/>
        <n v="15166.9499390376"/>
        <n v="15166.9500633017"/>
        <n v="16877.0343989164"/>
        <n v="17682.1498679907"/>
        <n v="17682.1501227941"/>
        <n v="18701.7284863974"/>
        <n v="18701.7285041586"/>
        <n v="18701.7285985674"/>
        <n v="19444.1498351013"/>
        <n v="20088.1499074767"/>
        <n v="20088.1500098829"/>
        <n v="20088.1501061331"/>
        <n v="20088.1501135345"/>
        <n v="20823.7244034212"/>
        <n v="20823.7244866649"/>
        <n v="23724.1500092641"/>
        <n v="23724.1500857541"/>
        <n v="28763.0306313037"/>
        <n v="30302.8323461048"/>
        <n v="31284.1004110155"/>
        <n v="32213.1538368916"/>
        <n v="32475.3256309989"/>
        <n v="33174.1499590758"/>
        <n v="33392.5597880233"/>
        <n v="36759.3256309989"/>
        <n v="39076.0001278637"/>
        <n v="39076.0006142542"/>
        <n v="39076.0009324579"/>
        <n v="39600.3254644059"/>
        <n v="42343.153847929"/>
        <n v="54945.7256732006"/>
        <n v="72395.3254909212"/>
        <n v="75761.1537262769"/>
        <n v="83439.8996035784"/>
        <n v="83757.1499564003"/>
        <m/>
      </sharedItems>
    </cacheField>
    <cacheField name="Месячный платеж" numFmtId="0">
      <sharedItems containsString="0" containsBlank="1" containsNumber="1" minValue="0" maxValue="1415.51208250429" count="48">
        <n v="0"/>
        <n v="225.179207822937"/>
        <n v="225.184299574979"/>
        <n v="225.185839766642"/>
        <n v="225.185914150898"/>
        <n v="225.186248880052"/>
        <n v="225.187902766538"/>
        <n v="251.64631937053"/>
        <n v="251.65"/>
        <n v="303.500527216911"/>
        <n v="303.51"/>
        <n v="308.755691790321"/>
        <n v="308.757888601181"/>
        <n v="308.760771013184"/>
        <n v="308.762800135826"/>
        <n v="308.763850594679"/>
        <n v="308.763927062732"/>
        <n v="308.764436589467"/>
        <n v="313.298222744599"/>
        <n v="342.37954334673"/>
        <n v="342.400922959854"/>
        <n v="362.182075147129"/>
        <n v="362.2"/>
        <n v="362.21799845059"/>
        <n v="362.218098905644"/>
        <n v="380"/>
        <n v="411.779059281441"/>
        <n v="411.79"/>
        <n v="465.702652222637"/>
        <n v="534.939670436784"/>
        <n v="538.92285815855"/>
        <n v="539.52"/>
        <n v="563.15"/>
        <n v="569.8366531202"/>
        <n v="618.992890152862"/>
        <n v="619.036615712762"/>
        <n v="663.038917760097"/>
        <n v="669.91"/>
        <n v="669.912153124318"/>
        <n v="669.912649021519"/>
        <n v="707.1"/>
        <n v="734.940983025913"/>
        <n v="872.534703927915"/>
        <n v="1144.49051584959"/>
        <n v="1186.58735627284"/>
        <n v="1374.59"/>
        <n v="1415.51208250429"/>
        <m/>
      </sharedItems>
    </cacheField>
    <cacheField name="Контракт" numFmtId="0">
      <sharedItems containsBlank="1" containsMixedTypes="1" containsNumber="1" minValue="2.86" maxValue="5.8" count="54">
        <n v="2.86"/>
        <n v="2.88"/>
        <n v="4.1"/>
        <n v="4.11"/>
        <n v="4.14"/>
        <n v="4.15"/>
        <n v="4.16"/>
        <n v="4.17"/>
        <n v="4.18"/>
        <n v="4.19"/>
        <n v="4.2"/>
        <n v="4.21"/>
        <n v="4.22"/>
        <n v="4.23"/>
        <n v="4.24"/>
        <n v="4.25"/>
        <n v="4.26"/>
        <n v="4.27"/>
        <n v="4.3"/>
        <n v="4.4"/>
        <n v="4.5"/>
        <n v="4.6"/>
        <n v="4.7"/>
        <n v="4.8"/>
        <n v="4.9"/>
        <n v="5.1"/>
        <n v="5.11"/>
        <n v="5.12"/>
        <n v="5.13"/>
        <n v="5.15"/>
        <n v="5.16"/>
        <n v="5.17"/>
        <n v="5.18"/>
        <n v="5.19"/>
        <n v="5.2"/>
        <n v="5.21"/>
        <n v="5.24"/>
        <n v="5.26"/>
        <n v="5.27"/>
        <n v="5.3"/>
        <n v="5.32"/>
        <n v="5.33"/>
        <n v="5.34"/>
        <n v="5.4"/>
        <n v="5.5"/>
        <n v="5.6"/>
        <n v="5.7"/>
        <n v="5.8"/>
        <s v="4.10."/>
        <s v="4.30."/>
        <s v="5.10."/>
        <s v="5.20."/>
        <s v="5.30."/>
        <m/>
      </sharedItems>
    </cacheField>
    <cacheField name="Вид контракта" numFmtId="0">
      <sharedItems containsBlank="1" count="2">
        <s v="оперативный лизинг"/>
        <m/>
      </sharedItems>
    </cacheField>
    <cacheField name="Дата заключения" numFmtId="0">
      <sharedItems containsDate="1" containsBlank="1" containsMixedTypes="1" minDate="2017-07-19T00:00:00" maxDate="2021-11-25T00:00:00" count="25">
        <d v="2017-07-19T00:00:00"/>
        <d v="2017-11-15T00:00:00"/>
        <d v="2018-12-20T00:00:00"/>
        <d v="2019-01-09T00:00:00"/>
        <d v="2019-01-22T00:00:00"/>
        <d v="2019-01-29T00:00:00"/>
        <d v="2019-01-30T00:00:00"/>
        <d v="2019-02-01T00:00:00"/>
        <d v="2019-03-15T00:00:00"/>
        <d v="2019-03-22T00:00:00"/>
        <d v="2019-04-18T00:00:00"/>
        <d v="2019-05-20T00:00:00"/>
        <d v="2020-02-19T00:00:00"/>
        <d v="2020-03-18T00:00:00"/>
        <d v="2020-03-20T00:00:00"/>
        <d v="2020-06-19T00:00:00"/>
        <d v="2020-07-02T00:00:00"/>
        <d v="2020-07-06T00:00:00"/>
        <d v="2020-09-14T00:00:00"/>
        <d v="2020-09-28T00:00:00"/>
        <d v="2020-11-11T00:00:00"/>
        <d v="2020-11-19T00:00:00"/>
        <d v="2021-11-25T00:00:00"/>
        <s v="01.02.219"/>
        <m/>
      </sharedItems>
    </cacheField>
    <cacheField name="Поставка (контракт)" numFmtId="0">
      <sharedItems containsNonDate="0" containsDate="1" containsString="0" containsBlank="1" minDate="2017-12-05T00:00:00" maxDate="2021-10-25T00:00:00" count="39">
        <d v="2017-12-05T00:00:00"/>
        <d v="2017-12-26T00:00:00"/>
        <d v="2019-02-28T00:00:00"/>
        <d v="2019-05-15T00:00:00"/>
        <d v="2019-05-25T00:00:00"/>
        <d v="2019-06-15T00:00:00"/>
        <d v="2019-06-17T00:00:00"/>
        <d v="2019-06-26T00:00:00"/>
        <d v="2019-06-30T00:00:00"/>
        <d v="2019-07-24T00:00:00"/>
        <d v="2019-07-25T00:00:00"/>
        <d v="2019-07-29T00:00:00"/>
        <d v="2019-08-15T00:00:00"/>
        <d v="2019-09-18T00:00:00"/>
        <d v="2019-09-25T00:00:00"/>
        <d v="2020-01-19T00:00:00"/>
        <d v="2020-06-09T00:00:00"/>
        <d v="2020-06-13T00:00:00"/>
        <d v="2020-06-18T00:00:00"/>
        <d v="2020-06-20T00:00:00"/>
        <d v="2020-06-21T00:00:00"/>
        <d v="2020-07-06T00:00:00"/>
        <d v="2020-07-15T00:00:00"/>
        <d v="2020-07-18T00:00:00"/>
        <d v="2020-07-24T00:00:00"/>
        <d v="2020-07-28T00:00:00"/>
        <d v="2020-08-18T00:00:00"/>
        <d v="2020-08-19T00:00:00"/>
        <d v="2020-08-25T00:00:00"/>
        <d v="2020-08-28T00:00:00"/>
        <d v="2020-09-22T00:00:00"/>
        <d v="2020-10-13T00:00:00"/>
        <d v="2020-10-21T00:00:00"/>
        <d v="2020-10-30T00:00:00"/>
        <d v="2020-11-21T00:00:00"/>
        <d v="2020-11-27T00:00:00"/>
        <d v="2020-12-05T00:00:00"/>
        <d v="2021-10-25T00:00:00"/>
        <m/>
      </sharedItems>
    </cacheField>
    <cacheField name="Дата получения" numFmtId="0">
      <sharedItems containsNonDate="0" containsDate="1" containsString="0" containsBlank="1" minDate="2017-12-06T00:00:00" maxDate="2021-10-28T00:00:00" count="54">
        <d v="2017-12-06T00:00:00"/>
        <d v="2017-12-19T00:00:00"/>
        <d v="2019-02-27T00:00:00"/>
        <d v="2019-03-04T00:00:00"/>
        <d v="2019-03-07T00:00:00"/>
        <d v="2019-03-11T00:00:00"/>
        <d v="2019-03-13T00:00:00"/>
        <d v="2019-03-15T00:00:00"/>
        <d v="2019-04-17T00:00:00"/>
        <d v="2019-04-25T00:00:00"/>
        <d v="2019-05-02T00:00:00"/>
        <d v="2019-05-13T00:00:00"/>
        <d v="2019-05-23T00:00:00"/>
        <d v="2019-05-24T00:00:00"/>
        <d v="2019-06-03T00:00:00"/>
        <d v="2019-06-05T00:00:00"/>
        <d v="2019-06-14T00:00:00"/>
        <d v="2019-06-20T00:00:00"/>
        <d v="2019-06-21T00:00:00"/>
        <d v="2019-07-10T00:00:00"/>
        <d v="2019-07-18T00:00:00"/>
        <d v="2019-07-22T00:00:00"/>
        <d v="2019-07-25T00:00:00"/>
        <d v="2019-08-06T00:00:00"/>
        <d v="2019-08-13T00:00:00"/>
        <d v="2019-09-18T00:00:00"/>
        <d v="2020-06-12T00:00:00"/>
        <d v="2020-06-15T00:00:00"/>
        <d v="2020-06-22T00:00:00"/>
        <d v="2020-06-24T00:00:00"/>
        <d v="2020-06-26T00:00:00"/>
        <d v="2020-06-30T00:00:00"/>
        <d v="2020-07-06T00:00:00"/>
        <d v="2020-07-14T00:00:00"/>
        <d v="2020-07-22T00:00:00"/>
        <d v="2020-07-23T00:00:00"/>
        <d v="2020-07-28T00:00:00"/>
        <d v="2020-08-14T00:00:00"/>
        <d v="2020-08-17T00:00:00"/>
        <d v="2020-08-25T00:00:00"/>
        <d v="2020-08-26T00:00:00"/>
        <d v="2020-08-31T00:00:00"/>
        <d v="2020-09-15T00:00:00"/>
        <d v="2020-10-12T00:00:00"/>
        <d v="2020-10-20T00:00:00"/>
        <d v="2020-10-27T00:00:00"/>
        <d v="2020-10-28T00:00:00"/>
        <d v="2020-11-06T00:00:00"/>
        <d v="2020-11-26T00:00:00"/>
        <d v="2021-01-25T00:00:00"/>
        <d v="2021-01-28T00:00:00"/>
        <d v="2021-06-24T00:00:00"/>
        <d v="2021-10-28T00:00:00"/>
        <m/>
      </sharedItems>
    </cacheField>
    <cacheField name="Дата возврата" numFmtId="0">
      <sharedItems containsNonDate="0" containsDate="1" containsString="0" containsBlank="1" minDate="2020-11-05T00:00:00" maxDate="2026-10-28T00:00:00" count="55">
        <d v="2020-11-05T00:00:00"/>
        <d v="2022-12-06T00:00:00"/>
        <d v="2022-12-19T00:00:00"/>
        <d v="2024-02-27T00:00:00"/>
        <d v="2024-03-04T00:00:00"/>
        <d v="2024-03-07T00:00:00"/>
        <d v="2024-03-11T00:00:00"/>
        <d v="2024-03-13T00:00:00"/>
        <d v="2024-03-14T00:00:00"/>
        <d v="2024-04-17T00:00:00"/>
        <d v="2024-04-24T00:00:00"/>
        <d v="2024-05-01T00:00:00"/>
        <d v="2024-05-02T00:00:00"/>
        <d v="2024-05-12T00:00:00"/>
        <d v="2024-05-22T00:00:00"/>
        <d v="2024-05-25T00:00:00"/>
        <d v="2024-06-02T00:00:00"/>
        <d v="2024-06-04T00:00:00"/>
        <d v="2024-06-13T00:00:00"/>
        <d v="2024-06-19T00:00:00"/>
        <d v="2024-06-20T00:00:00"/>
        <d v="2024-07-09T00:00:00"/>
        <d v="2024-07-18T00:00:00"/>
        <d v="2024-07-21T00:00:00"/>
        <d v="2024-07-24T00:00:00"/>
        <d v="2024-08-05T00:00:00"/>
        <d v="2024-08-12T00:00:00"/>
        <d v="2024-09-17T00:00:00"/>
        <d v="2025-06-11T00:00:00"/>
        <d v="2025-06-14T00:00:00"/>
        <d v="2025-06-21T00:00:00"/>
        <d v="2025-06-23T00:00:00"/>
        <d v="2025-06-25T00:00:00"/>
        <d v="2025-06-29T00:00:00"/>
        <d v="2025-07-05T00:00:00"/>
        <d v="2025-07-13T00:00:00"/>
        <d v="2025-07-21T00:00:00"/>
        <d v="2025-07-22T00:00:00"/>
        <d v="2025-08-13T00:00:00"/>
        <d v="2025-08-16T00:00:00"/>
        <d v="2025-08-24T00:00:00"/>
        <d v="2025-08-25T00:00:00"/>
        <d v="2025-08-27T00:00:00"/>
        <d v="2025-08-30T00:00:00"/>
        <d v="2025-09-14T00:00:00"/>
        <d v="2025-10-11T00:00:00"/>
        <d v="2025-10-19T00:00:00"/>
        <d v="2025-10-26T00:00:00"/>
        <d v="2025-10-27T00:00:00"/>
        <d v="2025-11-25T00:00:00"/>
        <d v="2026-01-24T00:00:00"/>
        <d v="2026-01-27T00:00:00"/>
        <d v="2026-06-25T00:00:00"/>
        <d v="2026-10-28T00:00:00"/>
        <m/>
      </sharedItems>
    </cacheField>
    <cacheField name="Факт возврата новый" numFmtId="0">
      <sharedItems containsString="0" containsBlank="1" containsNumber="1" containsInteger="1" minValue="2022" maxValue="2026" count="5">
        <n v="2022"/>
        <n v="2024"/>
        <n v="2025"/>
        <n v="2026"/>
        <m/>
      </sharedItems>
    </cacheField>
    <cacheField name="распределение" numFmtId="0">
      <sharedItems containsString="0" containsBlank="1" containsNumber="1" minValue="8234.48837919387" maxValue="51763.2951402664" count="52">
        <n v="8234.48837919387"/>
        <n v="8234.67457743759"/>
        <n v="8234.73066666666"/>
        <n v="8234.73362021853"/>
        <n v="8234.74586079507"/>
        <n v="8234.80634110842"/>
        <n v="9202.35183218582"/>
        <n v="9202.3524258186"/>
        <n v="9202.35350315218"/>
        <n v="9202.38303209051"/>
        <n v="11098.5893795843"/>
        <n v="11098.6037347045"/>
        <n v="11099.0075251557"/>
        <n v="11290.763125"/>
        <n v="11290.84"/>
        <n v="11290.9491308727"/>
        <n v="11291.023333047"/>
        <n v="11291.0617468566"/>
        <n v="11291.0645431862"/>
        <n v="11291.08"/>
        <n v="11291.0831758656"/>
        <n v="11456.8773882581"/>
        <n v="12520.3405688292"/>
        <n v="12521.1223913497"/>
        <n v="13244.4914332253"/>
        <n v="13245.1491829838"/>
        <n v="13245.2612265441"/>
        <n v="13245.8"/>
        <n v="13245.8050981402"/>
        <n v="13892.3426940868"/>
        <n v="15058.1837072393"/>
        <n v="15058.5374919457"/>
        <n v="17030.0940080687"/>
        <n v="19561.9948323346"/>
        <n v="19707.6544308567"/>
        <n v="19729.4549711586"/>
        <n v="20593.5866666667"/>
        <n v="20838.1286332914"/>
        <n v="22635.7"/>
        <n v="22637.3023853537"/>
        <n v="24246.4049680019"/>
        <n v="24497.6666666667"/>
        <n v="24497.7495627419"/>
        <n v="24497.7676970083"/>
        <n v="25857.8978588913"/>
        <n v="26875.7628318814"/>
        <n v="31907.36"/>
        <n v="41852.4158778973"/>
        <n v="43391.8383965988"/>
        <n v="50267"/>
        <n v="51763.2951402664"/>
        <m/>
      </sharedItems>
    </cacheField>
    <cacheField name="1/60 первого платежа с НДС" numFmtId="0">
      <sharedItems containsString="0" containsBlank="1" containsNumber="1" minValue="1754.35064739464" maxValue="8357.638" count="52">
        <n v="1754.35064739464"/>
        <n v="1755.28589300866"/>
        <n v="1762.10263157895"/>
        <n v="1786.63627522552"/>
        <n v="1786.63628755661"/>
        <n v="1870.54468331123"/>
        <n v="1895.91424561404"/>
        <n v="1901.57623809524"/>
        <n v="1934.46115104167"/>
        <n v="1973.80848"/>
        <n v="2084.3015"/>
        <n v="2129.95190909091"/>
        <n v="2173.34593021331"/>
        <n v="2174.50450483504"/>
        <n v="2177.87435205641"/>
        <n v="2182.94933333333"/>
        <n v="2201.32188888889"/>
        <n v="2248.13166666667"/>
        <n v="2248.7155"/>
        <n v="2263.08095227036"/>
        <n v="2263.08101118581"/>
        <n v="2263.08101639719"/>
        <n v="2284.31433333333"/>
        <n v="2309.56404621628"/>
        <n v="2347.6545"/>
        <n v="2363.01481092483"/>
        <n v="2384.538375"/>
        <n v="2419.61188888889"/>
        <n v="2459.27005479051"/>
        <n v="2518.00214557479"/>
        <n v="2579.70816666667"/>
        <n v="2749.30008333333"/>
        <n v="3144.394"/>
        <n v="3234.96855089902"/>
        <n v="3306.5725"/>
        <n v="3604.27316666667"/>
        <n v="3618.63466666667"/>
        <n v="3770.35761111111"/>
        <n v="3842.06"/>
        <n v="3977.61144444444"/>
        <n v="4115.4185"/>
        <n v="4128.99316666667"/>
        <n v="4169.77638888889"/>
        <n v="4204.51141666667"/>
        <n v="4464.86021871562"/>
        <n v="4490.70348478041"/>
        <n v="5660.97080112579"/>
        <n v="7266.26033333333"/>
        <n v="7535.02309119767"/>
        <n v="8181.98583333333"/>
        <n v="8357.638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9">
  <r>
    <x v="0"/>
    <x v="166"/>
    <x v="22"/>
    <x v="0"/>
    <x v="19"/>
    <x v="6"/>
    <x v="15"/>
    <x v="1"/>
    <x v="3"/>
    <x v="5"/>
    <x v="254"/>
    <x v="1"/>
    <x v="288"/>
    <x v="7"/>
    <x v="12"/>
    <x v="35"/>
    <x v="26"/>
    <x v="23"/>
    <x v="46"/>
    <x v="11"/>
    <x v="37"/>
    <x v="23"/>
    <x v="51"/>
    <x v="37"/>
    <x v="0"/>
    <x v="53"/>
    <x v="1"/>
    <x v="24"/>
    <x v="38"/>
    <x v="53"/>
    <x v="54"/>
    <x v="4"/>
    <x v="51"/>
    <x v="51"/>
  </r>
  <r>
    <x v="1"/>
    <x v="163"/>
    <x v="25"/>
    <x v="0"/>
    <x v="16"/>
    <x v="6"/>
    <x v="15"/>
    <x v="3"/>
    <x v="3"/>
    <x v="3"/>
    <x v="326"/>
    <x v="1"/>
    <x v="370"/>
    <x v="7"/>
    <x v="28"/>
    <x v="34"/>
    <x v="26"/>
    <x v="1"/>
    <x v="46"/>
    <x v="11"/>
    <x v="37"/>
    <x v="23"/>
    <x v="51"/>
    <x v="37"/>
    <x v="47"/>
    <x v="53"/>
    <x v="1"/>
    <x v="24"/>
    <x v="38"/>
    <x v="53"/>
    <x v="54"/>
    <x v="4"/>
    <x v="51"/>
    <x v="51"/>
  </r>
  <r>
    <x v="2"/>
    <x v="164"/>
    <x v="23"/>
    <x v="0"/>
    <x v="18"/>
    <x v="6"/>
    <x v="15"/>
    <x v="0"/>
    <x v="3"/>
    <x v="6"/>
    <x v="326"/>
    <x v="1"/>
    <x v="370"/>
    <x v="7"/>
    <x v="28"/>
    <x v="34"/>
    <x v="26"/>
    <x v="23"/>
    <x v="46"/>
    <x v="11"/>
    <x v="37"/>
    <x v="23"/>
    <x v="51"/>
    <x v="37"/>
    <x v="47"/>
    <x v="53"/>
    <x v="1"/>
    <x v="24"/>
    <x v="38"/>
    <x v="53"/>
    <x v="54"/>
    <x v="4"/>
    <x v="51"/>
    <x v="51"/>
  </r>
  <r>
    <x v="3"/>
    <x v="162"/>
    <x v="24"/>
    <x v="0"/>
    <x v="15"/>
    <x v="6"/>
    <x v="15"/>
    <x v="0"/>
    <x v="3"/>
    <x v="1"/>
    <x v="326"/>
    <x v="1"/>
    <x v="370"/>
    <x v="7"/>
    <x v="28"/>
    <x v="34"/>
    <x v="26"/>
    <x v="23"/>
    <x v="46"/>
    <x v="11"/>
    <x v="37"/>
    <x v="23"/>
    <x v="51"/>
    <x v="37"/>
    <x v="47"/>
    <x v="53"/>
    <x v="1"/>
    <x v="24"/>
    <x v="38"/>
    <x v="53"/>
    <x v="54"/>
    <x v="4"/>
    <x v="51"/>
    <x v="51"/>
  </r>
  <r>
    <x v="4"/>
    <x v="165"/>
    <x v="24"/>
    <x v="0"/>
    <x v="17"/>
    <x v="6"/>
    <x v="15"/>
    <x v="2"/>
    <x v="3"/>
    <x v="0"/>
    <x v="326"/>
    <x v="1"/>
    <x v="370"/>
    <x v="7"/>
    <x v="28"/>
    <x v="34"/>
    <x v="26"/>
    <x v="23"/>
    <x v="46"/>
    <x v="11"/>
    <x v="37"/>
    <x v="23"/>
    <x v="51"/>
    <x v="37"/>
    <x v="47"/>
    <x v="53"/>
    <x v="1"/>
    <x v="24"/>
    <x v="38"/>
    <x v="53"/>
    <x v="54"/>
    <x v="4"/>
    <x v="51"/>
    <x v="51"/>
  </r>
  <r>
    <x v="5"/>
    <x v="71"/>
    <x v="7"/>
    <x v="1"/>
    <x v="8"/>
    <x v="4"/>
    <x v="9"/>
    <x v="4"/>
    <x v="0"/>
    <x v="4"/>
    <x v="163"/>
    <x v="1"/>
    <x v="321"/>
    <x v="7"/>
    <x v="28"/>
    <x v="0"/>
    <x v="0"/>
    <x v="2"/>
    <x v="44"/>
    <x v="10"/>
    <x v="20"/>
    <x v="1"/>
    <x v="51"/>
    <x v="21"/>
    <x v="40"/>
    <x v="0"/>
    <x v="0"/>
    <x v="0"/>
    <x v="0"/>
    <x v="0"/>
    <x v="1"/>
    <x v="0"/>
    <x v="44"/>
    <x v="51"/>
  </r>
  <r>
    <x v="6"/>
    <x v="12"/>
    <x v="4"/>
    <x v="1"/>
    <x v="4"/>
    <x v="2"/>
    <x v="7"/>
    <x v="4"/>
    <x v="0"/>
    <x v="2"/>
    <x v="325"/>
    <x v="1"/>
    <x v="96"/>
    <x v="81"/>
    <x v="28"/>
    <x v="10"/>
    <x v="24"/>
    <x v="21"/>
    <x v="20"/>
    <x v="10"/>
    <x v="4"/>
    <x v="4"/>
    <x v="51"/>
    <x v="4"/>
    <x v="25"/>
    <x v="1"/>
    <x v="0"/>
    <x v="1"/>
    <x v="1"/>
    <x v="1"/>
    <x v="2"/>
    <x v="0"/>
    <x v="29"/>
    <x v="51"/>
  </r>
  <r>
    <x v="7"/>
    <x v="8"/>
    <x v="18"/>
    <x v="0"/>
    <x v="12"/>
    <x v="3"/>
    <x v="10"/>
    <x v="5"/>
    <x v="1"/>
    <x v="4"/>
    <x v="190"/>
    <x v="1"/>
    <x v="279"/>
    <x v="20"/>
    <x v="16"/>
    <x v="60"/>
    <x v="1"/>
    <x v="23"/>
    <x v="7"/>
    <x v="5"/>
    <x v="28"/>
    <x v="12"/>
    <x v="41"/>
    <x v="27"/>
    <x v="37"/>
    <x v="2"/>
    <x v="0"/>
    <x v="2"/>
    <x v="2"/>
    <x v="2"/>
    <x v="3"/>
    <x v="1"/>
    <x v="41"/>
    <x v="41"/>
  </r>
  <r>
    <x v="8"/>
    <x v="7"/>
    <x v="18"/>
    <x v="0"/>
    <x v="12"/>
    <x v="3"/>
    <x v="10"/>
    <x v="5"/>
    <x v="1"/>
    <x v="4"/>
    <x v="22"/>
    <x v="1"/>
    <x v="0"/>
    <x v="20"/>
    <x v="28"/>
    <x v="59"/>
    <x v="2"/>
    <x v="23"/>
    <x v="7"/>
    <x v="5"/>
    <x v="28"/>
    <x v="12"/>
    <x v="41"/>
    <x v="27"/>
    <x v="37"/>
    <x v="2"/>
    <x v="0"/>
    <x v="2"/>
    <x v="2"/>
    <x v="2"/>
    <x v="3"/>
    <x v="1"/>
    <x v="41"/>
    <x v="41"/>
  </r>
  <r>
    <x v="9"/>
    <x v="6"/>
    <x v="18"/>
    <x v="0"/>
    <x v="12"/>
    <x v="3"/>
    <x v="10"/>
    <x v="5"/>
    <x v="1"/>
    <x v="4"/>
    <x v="132"/>
    <x v="1"/>
    <x v="259"/>
    <x v="27"/>
    <x v="16"/>
    <x v="5"/>
    <x v="0"/>
    <x v="18"/>
    <x v="8"/>
    <x v="8"/>
    <x v="28"/>
    <x v="12"/>
    <x v="41"/>
    <x v="27"/>
    <x v="37"/>
    <x v="2"/>
    <x v="0"/>
    <x v="2"/>
    <x v="2"/>
    <x v="2"/>
    <x v="3"/>
    <x v="1"/>
    <x v="41"/>
    <x v="41"/>
  </r>
  <r>
    <x v="10"/>
    <x v="153"/>
    <x v="7"/>
    <x v="1"/>
    <x v="8"/>
    <x v="4"/>
    <x v="9"/>
    <x v="5"/>
    <x v="1"/>
    <x v="4"/>
    <x v="197"/>
    <x v="1"/>
    <x v="197"/>
    <x v="8"/>
    <x v="16"/>
    <x v="1"/>
    <x v="0"/>
    <x v="2"/>
    <x v="44"/>
    <x v="10"/>
    <x v="25"/>
    <x v="19"/>
    <x v="35"/>
    <x v="24"/>
    <x v="31"/>
    <x v="10"/>
    <x v="0"/>
    <x v="3"/>
    <x v="2"/>
    <x v="2"/>
    <x v="3"/>
    <x v="1"/>
    <x v="35"/>
    <x v="35"/>
  </r>
  <r>
    <x v="11"/>
    <x v="3"/>
    <x v="17"/>
    <x v="1"/>
    <x v="5"/>
    <x v="4"/>
    <x v="8"/>
    <x v="5"/>
    <x v="1"/>
    <x v="4"/>
    <x v="103"/>
    <x v="1"/>
    <x v="114"/>
    <x v="73"/>
    <x v="34"/>
    <x v="12"/>
    <x v="0"/>
    <x v="20"/>
    <x v="31"/>
    <x v="7"/>
    <x v="24"/>
    <x v="12"/>
    <x v="36"/>
    <x v="25"/>
    <x v="32"/>
    <x v="18"/>
    <x v="0"/>
    <x v="2"/>
    <x v="2"/>
    <x v="5"/>
    <x v="6"/>
    <x v="1"/>
    <x v="36"/>
    <x v="36"/>
  </r>
  <r>
    <x v="12"/>
    <x v="4"/>
    <x v="17"/>
    <x v="1"/>
    <x v="5"/>
    <x v="4"/>
    <x v="8"/>
    <x v="5"/>
    <x v="1"/>
    <x v="4"/>
    <x v="26"/>
    <x v="1"/>
    <x v="280"/>
    <x v="73"/>
    <x v="28"/>
    <x v="10"/>
    <x v="0"/>
    <x v="20"/>
    <x v="32"/>
    <x v="7"/>
    <x v="24"/>
    <x v="12"/>
    <x v="36"/>
    <x v="25"/>
    <x v="32"/>
    <x v="18"/>
    <x v="0"/>
    <x v="2"/>
    <x v="2"/>
    <x v="5"/>
    <x v="6"/>
    <x v="1"/>
    <x v="36"/>
    <x v="36"/>
  </r>
  <r>
    <x v="13"/>
    <x v="5"/>
    <x v="17"/>
    <x v="1"/>
    <x v="5"/>
    <x v="4"/>
    <x v="8"/>
    <x v="5"/>
    <x v="1"/>
    <x v="4"/>
    <x v="157"/>
    <x v="1"/>
    <x v="107"/>
    <x v="57"/>
    <x v="16"/>
    <x v="16"/>
    <x v="0"/>
    <x v="20"/>
    <x v="27"/>
    <x v="7"/>
    <x v="24"/>
    <x v="12"/>
    <x v="36"/>
    <x v="25"/>
    <x v="32"/>
    <x v="18"/>
    <x v="0"/>
    <x v="2"/>
    <x v="2"/>
    <x v="5"/>
    <x v="6"/>
    <x v="1"/>
    <x v="36"/>
    <x v="36"/>
  </r>
  <r>
    <x v="14"/>
    <x v="9"/>
    <x v="1"/>
    <x v="0"/>
    <x v="6"/>
    <x v="0"/>
    <x v="2"/>
    <x v="5"/>
    <x v="1"/>
    <x v="4"/>
    <x v="247"/>
    <x v="1"/>
    <x v="210"/>
    <x v="79"/>
    <x v="14"/>
    <x v="18"/>
    <x v="25"/>
    <x v="11"/>
    <x v="9"/>
    <x v="9"/>
    <x v="3"/>
    <x v="19"/>
    <x v="9"/>
    <x v="3"/>
    <x v="8"/>
    <x v="19"/>
    <x v="0"/>
    <x v="3"/>
    <x v="2"/>
    <x v="7"/>
    <x v="8"/>
    <x v="1"/>
    <x v="9"/>
    <x v="9"/>
  </r>
  <r>
    <x v="15"/>
    <x v="19"/>
    <x v="1"/>
    <x v="0"/>
    <x v="6"/>
    <x v="0"/>
    <x v="2"/>
    <x v="5"/>
    <x v="1"/>
    <x v="4"/>
    <x v="203"/>
    <x v="1"/>
    <x v="255"/>
    <x v="69"/>
    <x v="10"/>
    <x v="14"/>
    <x v="10"/>
    <x v="11"/>
    <x v="11"/>
    <x v="9"/>
    <x v="3"/>
    <x v="19"/>
    <x v="9"/>
    <x v="3"/>
    <x v="8"/>
    <x v="19"/>
    <x v="0"/>
    <x v="3"/>
    <x v="2"/>
    <x v="7"/>
    <x v="8"/>
    <x v="1"/>
    <x v="9"/>
    <x v="9"/>
  </r>
  <r>
    <x v="16"/>
    <x v="23"/>
    <x v="1"/>
    <x v="0"/>
    <x v="6"/>
    <x v="0"/>
    <x v="2"/>
    <x v="5"/>
    <x v="1"/>
    <x v="4"/>
    <x v="106"/>
    <x v="1"/>
    <x v="153"/>
    <x v="79"/>
    <x v="34"/>
    <x v="23"/>
    <x v="25"/>
    <x v="12"/>
    <x v="21"/>
    <x v="9"/>
    <x v="3"/>
    <x v="19"/>
    <x v="9"/>
    <x v="3"/>
    <x v="8"/>
    <x v="19"/>
    <x v="0"/>
    <x v="3"/>
    <x v="2"/>
    <x v="7"/>
    <x v="8"/>
    <x v="1"/>
    <x v="9"/>
    <x v="9"/>
  </r>
  <r>
    <x v="17"/>
    <x v="26"/>
    <x v="1"/>
    <x v="0"/>
    <x v="6"/>
    <x v="0"/>
    <x v="2"/>
    <x v="5"/>
    <x v="1"/>
    <x v="4"/>
    <x v="85"/>
    <x v="1"/>
    <x v="359"/>
    <x v="69"/>
    <x v="45"/>
    <x v="13"/>
    <x v="13"/>
    <x v="11"/>
    <x v="12"/>
    <x v="9"/>
    <x v="3"/>
    <x v="19"/>
    <x v="9"/>
    <x v="3"/>
    <x v="8"/>
    <x v="19"/>
    <x v="0"/>
    <x v="3"/>
    <x v="2"/>
    <x v="7"/>
    <x v="8"/>
    <x v="1"/>
    <x v="9"/>
    <x v="9"/>
  </r>
  <r>
    <x v="18"/>
    <x v="36"/>
    <x v="1"/>
    <x v="0"/>
    <x v="6"/>
    <x v="0"/>
    <x v="2"/>
    <x v="5"/>
    <x v="1"/>
    <x v="4"/>
    <x v="270"/>
    <x v="1"/>
    <x v="224"/>
    <x v="69"/>
    <x v="14"/>
    <x v="10"/>
    <x v="23"/>
    <x v="11"/>
    <x v="14"/>
    <x v="9"/>
    <x v="3"/>
    <x v="19"/>
    <x v="9"/>
    <x v="3"/>
    <x v="8"/>
    <x v="19"/>
    <x v="0"/>
    <x v="3"/>
    <x v="2"/>
    <x v="7"/>
    <x v="8"/>
    <x v="1"/>
    <x v="9"/>
    <x v="9"/>
  </r>
  <r>
    <x v="19"/>
    <x v="37"/>
    <x v="1"/>
    <x v="0"/>
    <x v="6"/>
    <x v="0"/>
    <x v="2"/>
    <x v="5"/>
    <x v="1"/>
    <x v="4"/>
    <x v="316"/>
    <x v="1"/>
    <x v="363"/>
    <x v="69"/>
    <x v="10"/>
    <x v="14"/>
    <x v="10"/>
    <x v="11"/>
    <x v="11"/>
    <x v="9"/>
    <x v="3"/>
    <x v="19"/>
    <x v="9"/>
    <x v="3"/>
    <x v="8"/>
    <x v="19"/>
    <x v="0"/>
    <x v="3"/>
    <x v="2"/>
    <x v="7"/>
    <x v="8"/>
    <x v="1"/>
    <x v="9"/>
    <x v="9"/>
  </r>
  <r>
    <x v="20"/>
    <x v="40"/>
    <x v="1"/>
    <x v="0"/>
    <x v="6"/>
    <x v="0"/>
    <x v="2"/>
    <x v="5"/>
    <x v="1"/>
    <x v="4"/>
    <x v="69"/>
    <x v="1"/>
    <x v="130"/>
    <x v="79"/>
    <x v="8"/>
    <x v="20"/>
    <x v="25"/>
    <x v="12"/>
    <x v="21"/>
    <x v="9"/>
    <x v="3"/>
    <x v="19"/>
    <x v="9"/>
    <x v="3"/>
    <x v="8"/>
    <x v="19"/>
    <x v="0"/>
    <x v="3"/>
    <x v="2"/>
    <x v="4"/>
    <x v="5"/>
    <x v="1"/>
    <x v="9"/>
    <x v="9"/>
  </r>
  <r>
    <x v="21"/>
    <x v="44"/>
    <x v="1"/>
    <x v="0"/>
    <x v="6"/>
    <x v="0"/>
    <x v="2"/>
    <x v="5"/>
    <x v="1"/>
    <x v="4"/>
    <x v="152"/>
    <x v="1"/>
    <x v="93"/>
    <x v="71"/>
    <x v="45"/>
    <x v="37"/>
    <x v="0"/>
    <x v="12"/>
    <x v="24"/>
    <x v="9"/>
    <x v="3"/>
    <x v="19"/>
    <x v="9"/>
    <x v="3"/>
    <x v="8"/>
    <x v="19"/>
    <x v="0"/>
    <x v="3"/>
    <x v="2"/>
    <x v="7"/>
    <x v="8"/>
    <x v="1"/>
    <x v="9"/>
    <x v="9"/>
  </r>
  <r>
    <x v="22"/>
    <x v="47"/>
    <x v="1"/>
    <x v="0"/>
    <x v="6"/>
    <x v="0"/>
    <x v="2"/>
    <x v="5"/>
    <x v="1"/>
    <x v="4"/>
    <x v="116"/>
    <x v="1"/>
    <x v="175"/>
    <x v="64"/>
    <x v="41"/>
    <x v="13"/>
    <x v="13"/>
    <x v="11"/>
    <x v="12"/>
    <x v="9"/>
    <x v="3"/>
    <x v="19"/>
    <x v="9"/>
    <x v="3"/>
    <x v="8"/>
    <x v="19"/>
    <x v="0"/>
    <x v="3"/>
    <x v="2"/>
    <x v="7"/>
    <x v="8"/>
    <x v="1"/>
    <x v="9"/>
    <x v="9"/>
  </r>
  <r>
    <x v="23"/>
    <x v="48"/>
    <x v="1"/>
    <x v="0"/>
    <x v="6"/>
    <x v="0"/>
    <x v="2"/>
    <x v="5"/>
    <x v="1"/>
    <x v="4"/>
    <x v="43"/>
    <x v="1"/>
    <x v="173"/>
    <x v="79"/>
    <x v="34"/>
    <x v="23"/>
    <x v="25"/>
    <x v="21"/>
    <x v="15"/>
    <x v="9"/>
    <x v="3"/>
    <x v="19"/>
    <x v="9"/>
    <x v="3"/>
    <x v="8"/>
    <x v="19"/>
    <x v="0"/>
    <x v="3"/>
    <x v="2"/>
    <x v="7"/>
    <x v="8"/>
    <x v="1"/>
    <x v="9"/>
    <x v="9"/>
  </r>
  <r>
    <x v="24"/>
    <x v="49"/>
    <x v="1"/>
    <x v="0"/>
    <x v="6"/>
    <x v="0"/>
    <x v="2"/>
    <x v="5"/>
    <x v="1"/>
    <x v="4"/>
    <x v="89"/>
    <x v="1"/>
    <x v="45"/>
    <x v="69"/>
    <x v="46"/>
    <x v="12"/>
    <x v="15"/>
    <x v="11"/>
    <x v="13"/>
    <x v="9"/>
    <x v="3"/>
    <x v="19"/>
    <x v="9"/>
    <x v="3"/>
    <x v="8"/>
    <x v="19"/>
    <x v="0"/>
    <x v="3"/>
    <x v="2"/>
    <x v="7"/>
    <x v="8"/>
    <x v="1"/>
    <x v="9"/>
    <x v="9"/>
  </r>
  <r>
    <x v="25"/>
    <x v="50"/>
    <x v="1"/>
    <x v="0"/>
    <x v="6"/>
    <x v="0"/>
    <x v="2"/>
    <x v="5"/>
    <x v="1"/>
    <x v="4"/>
    <x v="25"/>
    <x v="1"/>
    <x v="124"/>
    <x v="79"/>
    <x v="34"/>
    <x v="23"/>
    <x v="25"/>
    <x v="11"/>
    <x v="9"/>
    <x v="9"/>
    <x v="3"/>
    <x v="19"/>
    <x v="9"/>
    <x v="3"/>
    <x v="8"/>
    <x v="19"/>
    <x v="0"/>
    <x v="3"/>
    <x v="2"/>
    <x v="6"/>
    <x v="7"/>
    <x v="1"/>
    <x v="9"/>
    <x v="9"/>
  </r>
  <r>
    <x v="26"/>
    <x v="51"/>
    <x v="1"/>
    <x v="0"/>
    <x v="6"/>
    <x v="0"/>
    <x v="2"/>
    <x v="5"/>
    <x v="1"/>
    <x v="4"/>
    <x v="87"/>
    <x v="1"/>
    <x v="257"/>
    <x v="69"/>
    <x v="44"/>
    <x v="14"/>
    <x v="9"/>
    <x v="11"/>
    <x v="11"/>
    <x v="9"/>
    <x v="3"/>
    <x v="19"/>
    <x v="9"/>
    <x v="3"/>
    <x v="8"/>
    <x v="19"/>
    <x v="0"/>
    <x v="3"/>
    <x v="2"/>
    <x v="7"/>
    <x v="8"/>
    <x v="1"/>
    <x v="9"/>
    <x v="9"/>
  </r>
  <r>
    <x v="27"/>
    <x v="52"/>
    <x v="1"/>
    <x v="0"/>
    <x v="6"/>
    <x v="0"/>
    <x v="2"/>
    <x v="5"/>
    <x v="1"/>
    <x v="4"/>
    <x v="233"/>
    <x v="1"/>
    <x v="294"/>
    <x v="69"/>
    <x v="14"/>
    <x v="10"/>
    <x v="23"/>
    <x v="11"/>
    <x v="14"/>
    <x v="9"/>
    <x v="3"/>
    <x v="19"/>
    <x v="9"/>
    <x v="3"/>
    <x v="8"/>
    <x v="19"/>
    <x v="0"/>
    <x v="3"/>
    <x v="2"/>
    <x v="7"/>
    <x v="8"/>
    <x v="1"/>
    <x v="9"/>
    <x v="9"/>
  </r>
  <r>
    <x v="28"/>
    <x v="53"/>
    <x v="1"/>
    <x v="0"/>
    <x v="6"/>
    <x v="0"/>
    <x v="2"/>
    <x v="5"/>
    <x v="1"/>
    <x v="4"/>
    <x v="73"/>
    <x v="1"/>
    <x v="149"/>
    <x v="69"/>
    <x v="31"/>
    <x v="12"/>
    <x v="15"/>
    <x v="11"/>
    <x v="13"/>
    <x v="9"/>
    <x v="3"/>
    <x v="19"/>
    <x v="9"/>
    <x v="3"/>
    <x v="8"/>
    <x v="19"/>
    <x v="0"/>
    <x v="3"/>
    <x v="2"/>
    <x v="7"/>
    <x v="8"/>
    <x v="1"/>
    <x v="9"/>
    <x v="9"/>
  </r>
  <r>
    <x v="29"/>
    <x v="54"/>
    <x v="1"/>
    <x v="0"/>
    <x v="6"/>
    <x v="0"/>
    <x v="2"/>
    <x v="5"/>
    <x v="1"/>
    <x v="4"/>
    <x v="297"/>
    <x v="1"/>
    <x v="102"/>
    <x v="63"/>
    <x v="34"/>
    <x v="12"/>
    <x v="0"/>
    <x v="10"/>
    <x v="19"/>
    <x v="9"/>
    <x v="3"/>
    <x v="19"/>
    <x v="9"/>
    <x v="3"/>
    <x v="8"/>
    <x v="19"/>
    <x v="0"/>
    <x v="3"/>
    <x v="2"/>
    <x v="7"/>
    <x v="8"/>
    <x v="1"/>
    <x v="9"/>
    <x v="9"/>
  </r>
  <r>
    <x v="30"/>
    <x v="55"/>
    <x v="1"/>
    <x v="0"/>
    <x v="6"/>
    <x v="0"/>
    <x v="2"/>
    <x v="5"/>
    <x v="1"/>
    <x v="4"/>
    <x v="137"/>
    <x v="1"/>
    <x v="246"/>
    <x v="71"/>
    <x v="14"/>
    <x v="56"/>
    <x v="0"/>
    <x v="12"/>
    <x v="26"/>
    <x v="9"/>
    <x v="3"/>
    <x v="19"/>
    <x v="9"/>
    <x v="3"/>
    <x v="8"/>
    <x v="19"/>
    <x v="0"/>
    <x v="3"/>
    <x v="2"/>
    <x v="7"/>
    <x v="8"/>
    <x v="1"/>
    <x v="9"/>
    <x v="9"/>
  </r>
  <r>
    <x v="31"/>
    <x v="59"/>
    <x v="1"/>
    <x v="0"/>
    <x v="6"/>
    <x v="0"/>
    <x v="2"/>
    <x v="5"/>
    <x v="1"/>
    <x v="4"/>
    <x v="149"/>
    <x v="1"/>
    <x v="131"/>
    <x v="69"/>
    <x v="25"/>
    <x v="13"/>
    <x v="13"/>
    <x v="11"/>
    <x v="12"/>
    <x v="9"/>
    <x v="3"/>
    <x v="19"/>
    <x v="9"/>
    <x v="3"/>
    <x v="8"/>
    <x v="19"/>
    <x v="0"/>
    <x v="3"/>
    <x v="2"/>
    <x v="7"/>
    <x v="8"/>
    <x v="1"/>
    <x v="9"/>
    <x v="9"/>
  </r>
  <r>
    <x v="32"/>
    <x v="60"/>
    <x v="1"/>
    <x v="0"/>
    <x v="6"/>
    <x v="0"/>
    <x v="2"/>
    <x v="5"/>
    <x v="1"/>
    <x v="4"/>
    <x v="201"/>
    <x v="1"/>
    <x v="26"/>
    <x v="79"/>
    <x v="39"/>
    <x v="23"/>
    <x v="25"/>
    <x v="12"/>
    <x v="21"/>
    <x v="9"/>
    <x v="3"/>
    <x v="19"/>
    <x v="9"/>
    <x v="3"/>
    <x v="8"/>
    <x v="19"/>
    <x v="0"/>
    <x v="3"/>
    <x v="2"/>
    <x v="7"/>
    <x v="8"/>
    <x v="1"/>
    <x v="9"/>
    <x v="9"/>
  </r>
  <r>
    <x v="33"/>
    <x v="61"/>
    <x v="1"/>
    <x v="0"/>
    <x v="6"/>
    <x v="0"/>
    <x v="2"/>
    <x v="5"/>
    <x v="1"/>
    <x v="4"/>
    <x v="329"/>
    <x v="1"/>
    <x v="46"/>
    <x v="69"/>
    <x v="28"/>
    <x v="10"/>
    <x v="21"/>
    <x v="11"/>
    <x v="14"/>
    <x v="9"/>
    <x v="3"/>
    <x v="19"/>
    <x v="9"/>
    <x v="3"/>
    <x v="8"/>
    <x v="19"/>
    <x v="0"/>
    <x v="3"/>
    <x v="2"/>
    <x v="7"/>
    <x v="8"/>
    <x v="1"/>
    <x v="9"/>
    <x v="9"/>
  </r>
  <r>
    <x v="34"/>
    <x v="62"/>
    <x v="1"/>
    <x v="0"/>
    <x v="6"/>
    <x v="0"/>
    <x v="2"/>
    <x v="5"/>
    <x v="1"/>
    <x v="4"/>
    <x v="40"/>
    <x v="1"/>
    <x v="167"/>
    <x v="69"/>
    <x v="29"/>
    <x v="11"/>
    <x v="14"/>
    <x v="11"/>
    <x v="10"/>
    <x v="9"/>
    <x v="3"/>
    <x v="19"/>
    <x v="9"/>
    <x v="3"/>
    <x v="8"/>
    <x v="19"/>
    <x v="0"/>
    <x v="3"/>
    <x v="2"/>
    <x v="7"/>
    <x v="8"/>
    <x v="1"/>
    <x v="9"/>
    <x v="9"/>
  </r>
  <r>
    <x v="35"/>
    <x v="63"/>
    <x v="1"/>
    <x v="0"/>
    <x v="6"/>
    <x v="0"/>
    <x v="2"/>
    <x v="5"/>
    <x v="1"/>
    <x v="4"/>
    <x v="62"/>
    <x v="1"/>
    <x v="145"/>
    <x v="69"/>
    <x v="22"/>
    <x v="13"/>
    <x v="12"/>
    <x v="11"/>
    <x v="18"/>
    <x v="9"/>
    <x v="3"/>
    <x v="19"/>
    <x v="9"/>
    <x v="3"/>
    <x v="8"/>
    <x v="19"/>
    <x v="0"/>
    <x v="3"/>
    <x v="2"/>
    <x v="7"/>
    <x v="8"/>
    <x v="1"/>
    <x v="9"/>
    <x v="9"/>
  </r>
  <r>
    <x v="36"/>
    <x v="149"/>
    <x v="1"/>
    <x v="0"/>
    <x v="6"/>
    <x v="0"/>
    <x v="2"/>
    <x v="5"/>
    <x v="1"/>
    <x v="4"/>
    <x v="198"/>
    <x v="1"/>
    <x v="158"/>
    <x v="69"/>
    <x v="32"/>
    <x v="12"/>
    <x v="0"/>
    <x v="10"/>
    <x v="19"/>
    <x v="9"/>
    <x v="3"/>
    <x v="19"/>
    <x v="9"/>
    <x v="3"/>
    <x v="8"/>
    <x v="19"/>
    <x v="0"/>
    <x v="3"/>
    <x v="2"/>
    <x v="4"/>
    <x v="5"/>
    <x v="1"/>
    <x v="9"/>
    <x v="9"/>
  </r>
  <r>
    <x v="37"/>
    <x v="151"/>
    <x v="1"/>
    <x v="0"/>
    <x v="6"/>
    <x v="0"/>
    <x v="2"/>
    <x v="5"/>
    <x v="1"/>
    <x v="4"/>
    <x v="11"/>
    <x v="1"/>
    <x v="144"/>
    <x v="71"/>
    <x v="34"/>
    <x v="56"/>
    <x v="0"/>
    <x v="13"/>
    <x v="25"/>
    <x v="9"/>
    <x v="3"/>
    <x v="19"/>
    <x v="9"/>
    <x v="3"/>
    <x v="8"/>
    <x v="19"/>
    <x v="0"/>
    <x v="3"/>
    <x v="2"/>
    <x v="7"/>
    <x v="8"/>
    <x v="1"/>
    <x v="9"/>
    <x v="9"/>
  </r>
  <r>
    <x v="38"/>
    <x v="154"/>
    <x v="1"/>
    <x v="0"/>
    <x v="6"/>
    <x v="0"/>
    <x v="2"/>
    <x v="5"/>
    <x v="1"/>
    <x v="4"/>
    <x v="82"/>
    <x v="1"/>
    <x v="52"/>
    <x v="69"/>
    <x v="14"/>
    <x v="10"/>
    <x v="23"/>
    <x v="11"/>
    <x v="14"/>
    <x v="9"/>
    <x v="3"/>
    <x v="19"/>
    <x v="9"/>
    <x v="3"/>
    <x v="8"/>
    <x v="19"/>
    <x v="0"/>
    <x v="3"/>
    <x v="2"/>
    <x v="4"/>
    <x v="5"/>
    <x v="1"/>
    <x v="9"/>
    <x v="9"/>
  </r>
  <r>
    <x v="39"/>
    <x v="158"/>
    <x v="1"/>
    <x v="0"/>
    <x v="6"/>
    <x v="0"/>
    <x v="2"/>
    <x v="5"/>
    <x v="1"/>
    <x v="4"/>
    <x v="280"/>
    <x v="1"/>
    <x v="104"/>
    <x v="69"/>
    <x v="13"/>
    <x v="12"/>
    <x v="17"/>
    <x v="11"/>
    <x v="13"/>
    <x v="9"/>
    <x v="3"/>
    <x v="19"/>
    <x v="9"/>
    <x v="3"/>
    <x v="8"/>
    <x v="19"/>
    <x v="0"/>
    <x v="3"/>
    <x v="2"/>
    <x v="4"/>
    <x v="5"/>
    <x v="1"/>
    <x v="9"/>
    <x v="9"/>
  </r>
  <r>
    <x v="40"/>
    <x v="159"/>
    <x v="1"/>
    <x v="0"/>
    <x v="6"/>
    <x v="0"/>
    <x v="2"/>
    <x v="5"/>
    <x v="1"/>
    <x v="4"/>
    <x v="227"/>
    <x v="1"/>
    <x v="6"/>
    <x v="69"/>
    <x v="49"/>
    <x v="13"/>
    <x v="11"/>
    <x v="11"/>
    <x v="12"/>
    <x v="9"/>
    <x v="3"/>
    <x v="19"/>
    <x v="9"/>
    <x v="3"/>
    <x v="8"/>
    <x v="19"/>
    <x v="0"/>
    <x v="3"/>
    <x v="2"/>
    <x v="4"/>
    <x v="5"/>
    <x v="1"/>
    <x v="9"/>
    <x v="9"/>
  </r>
  <r>
    <x v="41"/>
    <x v="2"/>
    <x v="21"/>
    <x v="1"/>
    <x v="14"/>
    <x v="4"/>
    <x v="12"/>
    <x v="5"/>
    <x v="1"/>
    <x v="4"/>
    <x v="6"/>
    <x v="1"/>
    <x v="2"/>
    <x v="4"/>
    <x v="16"/>
    <x v="30"/>
    <x v="0"/>
    <x v="23"/>
    <x v="6"/>
    <x v="1"/>
    <x v="36"/>
    <x v="18"/>
    <x v="49"/>
    <x v="36"/>
    <x v="45"/>
    <x v="20"/>
    <x v="0"/>
    <x v="4"/>
    <x v="2"/>
    <x v="2"/>
    <x v="3"/>
    <x v="1"/>
    <x v="49"/>
    <x v="49"/>
  </r>
  <r>
    <x v="42"/>
    <x v="24"/>
    <x v="2"/>
    <x v="1"/>
    <x v="3"/>
    <x v="2"/>
    <x v="0"/>
    <x v="5"/>
    <x v="1"/>
    <x v="4"/>
    <x v="338"/>
    <x v="1"/>
    <x v="306"/>
    <x v="0"/>
    <x v="16"/>
    <x v="3"/>
    <x v="0"/>
    <x v="0"/>
    <x v="45"/>
    <x v="8"/>
    <x v="15"/>
    <x v="19"/>
    <x v="27"/>
    <x v="11"/>
    <x v="22"/>
    <x v="21"/>
    <x v="0"/>
    <x v="3"/>
    <x v="2"/>
    <x v="5"/>
    <x v="6"/>
    <x v="1"/>
    <x v="25"/>
    <x v="27"/>
  </r>
  <r>
    <x v="43"/>
    <x v="22"/>
    <x v="2"/>
    <x v="1"/>
    <x v="3"/>
    <x v="2"/>
    <x v="0"/>
    <x v="5"/>
    <x v="1"/>
    <x v="4"/>
    <x v="311"/>
    <x v="1"/>
    <x v="265"/>
    <x v="38"/>
    <x v="28"/>
    <x v="40"/>
    <x v="0"/>
    <x v="8"/>
    <x v="35"/>
    <x v="8"/>
    <x v="15"/>
    <x v="19"/>
    <x v="27"/>
    <x v="11"/>
    <x v="22"/>
    <x v="21"/>
    <x v="0"/>
    <x v="3"/>
    <x v="2"/>
    <x v="5"/>
    <x v="6"/>
    <x v="1"/>
    <x v="25"/>
    <x v="27"/>
  </r>
  <r>
    <x v="44"/>
    <x v="20"/>
    <x v="2"/>
    <x v="1"/>
    <x v="3"/>
    <x v="2"/>
    <x v="0"/>
    <x v="5"/>
    <x v="1"/>
    <x v="4"/>
    <x v="240"/>
    <x v="1"/>
    <x v="41"/>
    <x v="41"/>
    <x v="34"/>
    <x v="56"/>
    <x v="0"/>
    <x v="14"/>
    <x v="25"/>
    <x v="8"/>
    <x v="15"/>
    <x v="19"/>
    <x v="27"/>
    <x v="11"/>
    <x v="22"/>
    <x v="21"/>
    <x v="0"/>
    <x v="3"/>
    <x v="2"/>
    <x v="5"/>
    <x v="6"/>
    <x v="1"/>
    <x v="25"/>
    <x v="27"/>
  </r>
  <r>
    <x v="45"/>
    <x v="21"/>
    <x v="2"/>
    <x v="1"/>
    <x v="3"/>
    <x v="2"/>
    <x v="0"/>
    <x v="5"/>
    <x v="1"/>
    <x v="4"/>
    <x v="203"/>
    <x v="1"/>
    <x v="261"/>
    <x v="38"/>
    <x v="16"/>
    <x v="47"/>
    <x v="25"/>
    <x v="11"/>
    <x v="9"/>
    <x v="6"/>
    <x v="15"/>
    <x v="19"/>
    <x v="27"/>
    <x v="11"/>
    <x v="22"/>
    <x v="21"/>
    <x v="0"/>
    <x v="3"/>
    <x v="2"/>
    <x v="5"/>
    <x v="6"/>
    <x v="1"/>
    <x v="25"/>
    <x v="27"/>
  </r>
  <r>
    <x v="46"/>
    <x v="27"/>
    <x v="2"/>
    <x v="1"/>
    <x v="3"/>
    <x v="2"/>
    <x v="0"/>
    <x v="5"/>
    <x v="1"/>
    <x v="4"/>
    <x v="16"/>
    <x v="1"/>
    <x v="85"/>
    <x v="24"/>
    <x v="12"/>
    <x v="44"/>
    <x v="0"/>
    <x v="23"/>
    <x v="7"/>
    <x v="0"/>
    <x v="15"/>
    <x v="19"/>
    <x v="27"/>
    <x v="11"/>
    <x v="22"/>
    <x v="21"/>
    <x v="0"/>
    <x v="3"/>
    <x v="2"/>
    <x v="5"/>
    <x v="6"/>
    <x v="1"/>
    <x v="25"/>
    <x v="27"/>
  </r>
  <r>
    <x v="47"/>
    <x v="25"/>
    <x v="2"/>
    <x v="1"/>
    <x v="3"/>
    <x v="2"/>
    <x v="0"/>
    <x v="5"/>
    <x v="1"/>
    <x v="4"/>
    <x v="49"/>
    <x v="1"/>
    <x v="33"/>
    <x v="44"/>
    <x v="16"/>
    <x v="42"/>
    <x v="0"/>
    <x v="14"/>
    <x v="21"/>
    <x v="8"/>
    <x v="15"/>
    <x v="19"/>
    <x v="27"/>
    <x v="11"/>
    <x v="22"/>
    <x v="21"/>
    <x v="0"/>
    <x v="3"/>
    <x v="2"/>
    <x v="5"/>
    <x v="6"/>
    <x v="1"/>
    <x v="25"/>
    <x v="27"/>
  </r>
  <r>
    <x v="48"/>
    <x v="39"/>
    <x v="3"/>
    <x v="1"/>
    <x v="3"/>
    <x v="2"/>
    <x v="0"/>
    <x v="5"/>
    <x v="1"/>
    <x v="4"/>
    <x v="0"/>
    <x v="1"/>
    <x v="344"/>
    <x v="54"/>
    <x v="16"/>
    <x v="47"/>
    <x v="0"/>
    <x v="8"/>
    <x v="35"/>
    <x v="6"/>
    <x v="18"/>
    <x v="19"/>
    <x v="31"/>
    <x v="18"/>
    <x v="27"/>
    <x v="22"/>
    <x v="0"/>
    <x v="3"/>
    <x v="2"/>
    <x v="5"/>
    <x v="6"/>
    <x v="1"/>
    <x v="31"/>
    <x v="31"/>
  </r>
  <r>
    <x v="49"/>
    <x v="38"/>
    <x v="3"/>
    <x v="1"/>
    <x v="3"/>
    <x v="2"/>
    <x v="0"/>
    <x v="5"/>
    <x v="1"/>
    <x v="4"/>
    <x v="95"/>
    <x v="1"/>
    <x v="1"/>
    <x v="11"/>
    <x v="12"/>
    <x v="2"/>
    <x v="0"/>
    <x v="25"/>
    <x v="42"/>
    <x v="6"/>
    <x v="18"/>
    <x v="19"/>
    <x v="31"/>
    <x v="18"/>
    <x v="27"/>
    <x v="22"/>
    <x v="0"/>
    <x v="3"/>
    <x v="2"/>
    <x v="5"/>
    <x v="6"/>
    <x v="1"/>
    <x v="31"/>
    <x v="31"/>
  </r>
  <r>
    <x v="50"/>
    <x v="155"/>
    <x v="5"/>
    <x v="1"/>
    <x v="4"/>
    <x v="2"/>
    <x v="3"/>
    <x v="5"/>
    <x v="1"/>
    <x v="2"/>
    <x v="169"/>
    <x v="1"/>
    <x v="204"/>
    <x v="78"/>
    <x v="16"/>
    <x v="14"/>
    <x v="24"/>
    <x v="17"/>
    <x v="17"/>
    <x v="10"/>
    <x v="7"/>
    <x v="19"/>
    <x v="16"/>
    <x v="6"/>
    <x v="10"/>
    <x v="23"/>
    <x v="0"/>
    <x v="3"/>
    <x v="2"/>
    <x v="3"/>
    <x v="4"/>
    <x v="1"/>
    <x v="12"/>
    <x v="16"/>
  </r>
  <r>
    <x v="51"/>
    <x v="157"/>
    <x v="5"/>
    <x v="1"/>
    <x v="4"/>
    <x v="2"/>
    <x v="3"/>
    <x v="5"/>
    <x v="1"/>
    <x v="2"/>
    <x v="229"/>
    <x v="1"/>
    <x v="206"/>
    <x v="82"/>
    <x v="16"/>
    <x v="14"/>
    <x v="24"/>
    <x v="11"/>
    <x v="11"/>
    <x v="10"/>
    <x v="7"/>
    <x v="19"/>
    <x v="16"/>
    <x v="6"/>
    <x v="10"/>
    <x v="23"/>
    <x v="0"/>
    <x v="3"/>
    <x v="2"/>
    <x v="5"/>
    <x v="6"/>
    <x v="1"/>
    <x v="12"/>
    <x v="16"/>
  </r>
  <r>
    <x v="52"/>
    <x v="156"/>
    <x v="5"/>
    <x v="1"/>
    <x v="4"/>
    <x v="2"/>
    <x v="6"/>
    <x v="5"/>
    <x v="1"/>
    <x v="2"/>
    <x v="115"/>
    <x v="1"/>
    <x v="271"/>
    <x v="81"/>
    <x v="12"/>
    <x v="11"/>
    <x v="24"/>
    <x v="17"/>
    <x v="16"/>
    <x v="10"/>
    <x v="7"/>
    <x v="19"/>
    <x v="16"/>
    <x v="6"/>
    <x v="10"/>
    <x v="23"/>
    <x v="0"/>
    <x v="3"/>
    <x v="2"/>
    <x v="5"/>
    <x v="6"/>
    <x v="1"/>
    <x v="12"/>
    <x v="16"/>
  </r>
  <r>
    <x v="53"/>
    <x v="0"/>
    <x v="21"/>
    <x v="1"/>
    <x v="14"/>
    <x v="4"/>
    <x v="12"/>
    <x v="5"/>
    <x v="1"/>
    <x v="4"/>
    <x v="126"/>
    <x v="1"/>
    <x v="237"/>
    <x v="3"/>
    <x v="16"/>
    <x v="29"/>
    <x v="0"/>
    <x v="9"/>
    <x v="36"/>
    <x v="2"/>
    <x v="34"/>
    <x v="14"/>
    <x v="47"/>
    <x v="34"/>
    <x v="44"/>
    <x v="24"/>
    <x v="0"/>
    <x v="6"/>
    <x v="4"/>
    <x v="11"/>
    <x v="13"/>
    <x v="1"/>
    <x v="48"/>
    <x v="47"/>
  </r>
  <r>
    <x v="54"/>
    <x v="1"/>
    <x v="21"/>
    <x v="1"/>
    <x v="14"/>
    <x v="4"/>
    <x v="12"/>
    <x v="5"/>
    <x v="1"/>
    <x v="4"/>
    <x v="321"/>
    <x v="1"/>
    <x v="4"/>
    <x v="6"/>
    <x v="16"/>
    <x v="32"/>
    <x v="0"/>
    <x v="18"/>
    <x v="27"/>
    <x v="2"/>
    <x v="34"/>
    <x v="14"/>
    <x v="47"/>
    <x v="34"/>
    <x v="44"/>
    <x v="24"/>
    <x v="0"/>
    <x v="6"/>
    <x v="4"/>
    <x v="13"/>
    <x v="15"/>
    <x v="1"/>
    <x v="48"/>
    <x v="47"/>
  </r>
  <r>
    <x v="55"/>
    <x v="16"/>
    <x v="18"/>
    <x v="0"/>
    <x v="12"/>
    <x v="3"/>
    <x v="10"/>
    <x v="5"/>
    <x v="1"/>
    <x v="4"/>
    <x v="285"/>
    <x v="1"/>
    <x v="323"/>
    <x v="15"/>
    <x v="16"/>
    <x v="43"/>
    <x v="0"/>
    <x v="25"/>
    <x v="41"/>
    <x v="5"/>
    <x v="29"/>
    <x v="13"/>
    <x v="39"/>
    <x v="28"/>
    <x v="39"/>
    <x v="4"/>
    <x v="0"/>
    <x v="7"/>
    <x v="4"/>
    <x v="19"/>
    <x v="21"/>
    <x v="1"/>
    <x v="43"/>
    <x v="39"/>
  </r>
  <r>
    <x v="56"/>
    <x v="18"/>
    <x v="18"/>
    <x v="0"/>
    <x v="12"/>
    <x v="3"/>
    <x v="10"/>
    <x v="5"/>
    <x v="1"/>
    <x v="4"/>
    <x v="195"/>
    <x v="1"/>
    <x v="22"/>
    <x v="22"/>
    <x v="16"/>
    <x v="50"/>
    <x v="0"/>
    <x v="14"/>
    <x v="21"/>
    <x v="5"/>
    <x v="29"/>
    <x v="13"/>
    <x v="39"/>
    <x v="28"/>
    <x v="39"/>
    <x v="4"/>
    <x v="0"/>
    <x v="7"/>
    <x v="4"/>
    <x v="19"/>
    <x v="21"/>
    <x v="1"/>
    <x v="43"/>
    <x v="39"/>
  </r>
  <r>
    <x v="57"/>
    <x v="17"/>
    <x v="18"/>
    <x v="0"/>
    <x v="12"/>
    <x v="3"/>
    <x v="10"/>
    <x v="5"/>
    <x v="1"/>
    <x v="4"/>
    <x v="147"/>
    <x v="1"/>
    <x v="59"/>
    <x v="17"/>
    <x v="16"/>
    <x v="48"/>
    <x v="0"/>
    <x v="9"/>
    <x v="36"/>
    <x v="5"/>
    <x v="29"/>
    <x v="13"/>
    <x v="39"/>
    <x v="28"/>
    <x v="39"/>
    <x v="4"/>
    <x v="0"/>
    <x v="7"/>
    <x v="4"/>
    <x v="19"/>
    <x v="21"/>
    <x v="1"/>
    <x v="43"/>
    <x v="39"/>
  </r>
  <r>
    <x v="58"/>
    <x v="73"/>
    <x v="15"/>
    <x v="1"/>
    <x v="7"/>
    <x v="4"/>
    <x v="9"/>
    <x v="5"/>
    <x v="1"/>
    <x v="4"/>
    <x v="273"/>
    <x v="1"/>
    <x v="177"/>
    <x v="1"/>
    <x v="16"/>
    <x v="4"/>
    <x v="0"/>
    <x v="0"/>
    <x v="45"/>
    <x v="10"/>
    <x v="22"/>
    <x v="14"/>
    <x v="34"/>
    <x v="22"/>
    <x v="33"/>
    <x v="5"/>
    <x v="0"/>
    <x v="6"/>
    <x v="10"/>
    <x v="20"/>
    <x v="22"/>
    <x v="1"/>
    <x v="37"/>
    <x v="34"/>
  </r>
  <r>
    <x v="59"/>
    <x v="137"/>
    <x v="5"/>
    <x v="1"/>
    <x v="2"/>
    <x v="2"/>
    <x v="6"/>
    <x v="5"/>
    <x v="1"/>
    <x v="2"/>
    <x v="235"/>
    <x v="1"/>
    <x v="273"/>
    <x v="78"/>
    <x v="12"/>
    <x v="11"/>
    <x v="24"/>
    <x v="21"/>
    <x v="16"/>
    <x v="10"/>
    <x v="6"/>
    <x v="15"/>
    <x v="11"/>
    <x v="5"/>
    <x v="9"/>
    <x v="6"/>
    <x v="0"/>
    <x v="5"/>
    <x v="5"/>
    <x v="17"/>
    <x v="19"/>
    <x v="1"/>
    <x v="10"/>
    <x v="11"/>
  </r>
  <r>
    <x v="60"/>
    <x v="136"/>
    <x v="5"/>
    <x v="1"/>
    <x v="2"/>
    <x v="2"/>
    <x v="6"/>
    <x v="5"/>
    <x v="1"/>
    <x v="2"/>
    <x v="267"/>
    <x v="1"/>
    <x v="119"/>
    <x v="82"/>
    <x v="45"/>
    <x v="13"/>
    <x v="24"/>
    <x v="11"/>
    <x v="12"/>
    <x v="10"/>
    <x v="6"/>
    <x v="15"/>
    <x v="11"/>
    <x v="5"/>
    <x v="9"/>
    <x v="6"/>
    <x v="0"/>
    <x v="5"/>
    <x v="5"/>
    <x v="17"/>
    <x v="19"/>
    <x v="1"/>
    <x v="10"/>
    <x v="11"/>
  </r>
  <r>
    <x v="61"/>
    <x v="138"/>
    <x v="5"/>
    <x v="1"/>
    <x v="2"/>
    <x v="2"/>
    <x v="6"/>
    <x v="5"/>
    <x v="1"/>
    <x v="2"/>
    <x v="271"/>
    <x v="1"/>
    <x v="9"/>
    <x v="78"/>
    <x v="16"/>
    <x v="14"/>
    <x v="24"/>
    <x v="21"/>
    <x v="17"/>
    <x v="10"/>
    <x v="6"/>
    <x v="15"/>
    <x v="11"/>
    <x v="5"/>
    <x v="9"/>
    <x v="6"/>
    <x v="0"/>
    <x v="5"/>
    <x v="5"/>
    <x v="17"/>
    <x v="19"/>
    <x v="1"/>
    <x v="10"/>
    <x v="11"/>
  </r>
  <r>
    <x v="62"/>
    <x v="132"/>
    <x v="5"/>
    <x v="1"/>
    <x v="2"/>
    <x v="2"/>
    <x v="6"/>
    <x v="5"/>
    <x v="1"/>
    <x v="2"/>
    <x v="3"/>
    <x v="1"/>
    <x v="293"/>
    <x v="78"/>
    <x v="12"/>
    <x v="11"/>
    <x v="24"/>
    <x v="15"/>
    <x v="16"/>
    <x v="10"/>
    <x v="6"/>
    <x v="15"/>
    <x v="11"/>
    <x v="5"/>
    <x v="9"/>
    <x v="6"/>
    <x v="0"/>
    <x v="5"/>
    <x v="5"/>
    <x v="17"/>
    <x v="19"/>
    <x v="1"/>
    <x v="10"/>
    <x v="11"/>
  </r>
  <r>
    <x v="63"/>
    <x v="135"/>
    <x v="5"/>
    <x v="1"/>
    <x v="2"/>
    <x v="2"/>
    <x v="6"/>
    <x v="5"/>
    <x v="1"/>
    <x v="2"/>
    <x v="148"/>
    <x v="1"/>
    <x v="202"/>
    <x v="78"/>
    <x v="16"/>
    <x v="14"/>
    <x v="24"/>
    <x v="17"/>
    <x v="17"/>
    <x v="10"/>
    <x v="6"/>
    <x v="15"/>
    <x v="11"/>
    <x v="5"/>
    <x v="9"/>
    <x v="6"/>
    <x v="0"/>
    <x v="5"/>
    <x v="5"/>
    <x v="17"/>
    <x v="19"/>
    <x v="1"/>
    <x v="10"/>
    <x v="11"/>
  </r>
  <r>
    <x v="64"/>
    <x v="129"/>
    <x v="5"/>
    <x v="1"/>
    <x v="2"/>
    <x v="2"/>
    <x v="6"/>
    <x v="5"/>
    <x v="1"/>
    <x v="2"/>
    <x v="288"/>
    <x v="1"/>
    <x v="233"/>
    <x v="82"/>
    <x v="16"/>
    <x v="14"/>
    <x v="24"/>
    <x v="11"/>
    <x v="11"/>
    <x v="10"/>
    <x v="6"/>
    <x v="15"/>
    <x v="11"/>
    <x v="5"/>
    <x v="9"/>
    <x v="6"/>
    <x v="0"/>
    <x v="5"/>
    <x v="5"/>
    <x v="17"/>
    <x v="19"/>
    <x v="1"/>
    <x v="10"/>
    <x v="11"/>
  </r>
  <r>
    <x v="65"/>
    <x v="131"/>
    <x v="5"/>
    <x v="1"/>
    <x v="2"/>
    <x v="2"/>
    <x v="6"/>
    <x v="5"/>
    <x v="1"/>
    <x v="2"/>
    <x v="276"/>
    <x v="1"/>
    <x v="270"/>
    <x v="81"/>
    <x v="16"/>
    <x v="14"/>
    <x v="24"/>
    <x v="21"/>
    <x v="17"/>
    <x v="10"/>
    <x v="6"/>
    <x v="15"/>
    <x v="11"/>
    <x v="5"/>
    <x v="9"/>
    <x v="6"/>
    <x v="0"/>
    <x v="5"/>
    <x v="5"/>
    <x v="14"/>
    <x v="16"/>
    <x v="1"/>
    <x v="10"/>
    <x v="11"/>
  </r>
  <r>
    <x v="66"/>
    <x v="134"/>
    <x v="5"/>
    <x v="1"/>
    <x v="2"/>
    <x v="2"/>
    <x v="6"/>
    <x v="5"/>
    <x v="1"/>
    <x v="2"/>
    <x v="91"/>
    <x v="1"/>
    <x v="234"/>
    <x v="78"/>
    <x v="16"/>
    <x v="14"/>
    <x v="24"/>
    <x v="17"/>
    <x v="17"/>
    <x v="10"/>
    <x v="6"/>
    <x v="15"/>
    <x v="11"/>
    <x v="5"/>
    <x v="9"/>
    <x v="6"/>
    <x v="0"/>
    <x v="5"/>
    <x v="5"/>
    <x v="14"/>
    <x v="16"/>
    <x v="1"/>
    <x v="10"/>
    <x v="11"/>
  </r>
  <r>
    <x v="67"/>
    <x v="133"/>
    <x v="5"/>
    <x v="1"/>
    <x v="2"/>
    <x v="2"/>
    <x v="6"/>
    <x v="5"/>
    <x v="1"/>
    <x v="2"/>
    <x v="1"/>
    <x v="1"/>
    <x v="14"/>
    <x v="78"/>
    <x v="16"/>
    <x v="61"/>
    <x v="24"/>
    <x v="15"/>
    <x v="17"/>
    <x v="10"/>
    <x v="6"/>
    <x v="15"/>
    <x v="11"/>
    <x v="5"/>
    <x v="9"/>
    <x v="6"/>
    <x v="0"/>
    <x v="5"/>
    <x v="5"/>
    <x v="14"/>
    <x v="16"/>
    <x v="1"/>
    <x v="10"/>
    <x v="11"/>
  </r>
  <r>
    <x v="68"/>
    <x v="130"/>
    <x v="5"/>
    <x v="1"/>
    <x v="2"/>
    <x v="2"/>
    <x v="6"/>
    <x v="5"/>
    <x v="1"/>
    <x v="2"/>
    <x v="352"/>
    <x v="1"/>
    <x v="318"/>
    <x v="78"/>
    <x v="16"/>
    <x v="14"/>
    <x v="24"/>
    <x v="21"/>
    <x v="17"/>
    <x v="10"/>
    <x v="6"/>
    <x v="15"/>
    <x v="11"/>
    <x v="5"/>
    <x v="9"/>
    <x v="6"/>
    <x v="0"/>
    <x v="5"/>
    <x v="5"/>
    <x v="14"/>
    <x v="16"/>
    <x v="1"/>
    <x v="10"/>
    <x v="11"/>
  </r>
  <r>
    <x v="69"/>
    <x v="128"/>
    <x v="5"/>
    <x v="1"/>
    <x v="2"/>
    <x v="2"/>
    <x v="6"/>
    <x v="5"/>
    <x v="1"/>
    <x v="2"/>
    <x v="19"/>
    <x v="1"/>
    <x v="302"/>
    <x v="71"/>
    <x v="48"/>
    <x v="56"/>
    <x v="0"/>
    <x v="13"/>
    <x v="23"/>
    <x v="9"/>
    <x v="6"/>
    <x v="15"/>
    <x v="11"/>
    <x v="5"/>
    <x v="9"/>
    <x v="6"/>
    <x v="0"/>
    <x v="5"/>
    <x v="5"/>
    <x v="17"/>
    <x v="19"/>
    <x v="1"/>
    <x v="10"/>
    <x v="11"/>
  </r>
  <r>
    <x v="70"/>
    <x v="58"/>
    <x v="5"/>
    <x v="1"/>
    <x v="2"/>
    <x v="2"/>
    <x v="6"/>
    <x v="5"/>
    <x v="1"/>
    <x v="2"/>
    <x v="177"/>
    <x v="1"/>
    <x v="274"/>
    <x v="69"/>
    <x v="16"/>
    <x v="14"/>
    <x v="8"/>
    <x v="11"/>
    <x v="11"/>
    <x v="9"/>
    <x v="6"/>
    <x v="15"/>
    <x v="10"/>
    <x v="5"/>
    <x v="9"/>
    <x v="7"/>
    <x v="0"/>
    <x v="5"/>
    <x v="11"/>
    <x v="22"/>
    <x v="24"/>
    <x v="1"/>
    <x v="11"/>
    <x v="10"/>
  </r>
  <r>
    <x v="71"/>
    <x v="123"/>
    <x v="6"/>
    <x v="1"/>
    <x v="3"/>
    <x v="2"/>
    <x v="6"/>
    <x v="5"/>
    <x v="1"/>
    <x v="4"/>
    <x v="60"/>
    <x v="1"/>
    <x v="16"/>
    <x v="8"/>
    <x v="12"/>
    <x v="1"/>
    <x v="0"/>
    <x v="2"/>
    <x v="44"/>
    <x v="10"/>
    <x v="13"/>
    <x v="15"/>
    <x v="22"/>
    <x v="10"/>
    <x v="18"/>
    <x v="8"/>
    <x v="0"/>
    <x v="5"/>
    <x v="5"/>
    <x v="16"/>
    <x v="18"/>
    <x v="1"/>
    <x v="21"/>
    <x v="22"/>
  </r>
  <r>
    <x v="72"/>
    <x v="124"/>
    <x v="6"/>
    <x v="1"/>
    <x v="3"/>
    <x v="2"/>
    <x v="6"/>
    <x v="5"/>
    <x v="1"/>
    <x v="4"/>
    <x v="269"/>
    <x v="1"/>
    <x v="15"/>
    <x v="8"/>
    <x v="16"/>
    <x v="1"/>
    <x v="0"/>
    <x v="2"/>
    <x v="44"/>
    <x v="10"/>
    <x v="13"/>
    <x v="15"/>
    <x v="22"/>
    <x v="10"/>
    <x v="18"/>
    <x v="8"/>
    <x v="0"/>
    <x v="5"/>
    <x v="5"/>
    <x v="15"/>
    <x v="17"/>
    <x v="1"/>
    <x v="21"/>
    <x v="22"/>
  </r>
  <r>
    <x v="73"/>
    <x v="126"/>
    <x v="6"/>
    <x v="1"/>
    <x v="3"/>
    <x v="2"/>
    <x v="6"/>
    <x v="5"/>
    <x v="1"/>
    <x v="4"/>
    <x v="163"/>
    <x v="1"/>
    <x v="321"/>
    <x v="7"/>
    <x v="28"/>
    <x v="0"/>
    <x v="0"/>
    <x v="2"/>
    <x v="44"/>
    <x v="10"/>
    <x v="13"/>
    <x v="15"/>
    <x v="22"/>
    <x v="10"/>
    <x v="18"/>
    <x v="8"/>
    <x v="0"/>
    <x v="5"/>
    <x v="5"/>
    <x v="16"/>
    <x v="18"/>
    <x v="1"/>
    <x v="21"/>
    <x v="22"/>
  </r>
  <r>
    <x v="74"/>
    <x v="125"/>
    <x v="6"/>
    <x v="1"/>
    <x v="3"/>
    <x v="2"/>
    <x v="6"/>
    <x v="5"/>
    <x v="1"/>
    <x v="4"/>
    <x v="304"/>
    <x v="1"/>
    <x v="182"/>
    <x v="65"/>
    <x v="16"/>
    <x v="1"/>
    <x v="0"/>
    <x v="2"/>
    <x v="44"/>
    <x v="10"/>
    <x v="13"/>
    <x v="15"/>
    <x v="22"/>
    <x v="10"/>
    <x v="18"/>
    <x v="8"/>
    <x v="0"/>
    <x v="5"/>
    <x v="5"/>
    <x v="15"/>
    <x v="17"/>
    <x v="1"/>
    <x v="21"/>
    <x v="22"/>
  </r>
  <r>
    <x v="75"/>
    <x v="127"/>
    <x v="6"/>
    <x v="1"/>
    <x v="3"/>
    <x v="2"/>
    <x v="6"/>
    <x v="5"/>
    <x v="1"/>
    <x v="4"/>
    <x v="93"/>
    <x v="1"/>
    <x v="269"/>
    <x v="8"/>
    <x v="12"/>
    <x v="1"/>
    <x v="0"/>
    <x v="2"/>
    <x v="44"/>
    <x v="10"/>
    <x v="13"/>
    <x v="15"/>
    <x v="22"/>
    <x v="10"/>
    <x v="18"/>
    <x v="8"/>
    <x v="0"/>
    <x v="5"/>
    <x v="5"/>
    <x v="15"/>
    <x v="17"/>
    <x v="1"/>
    <x v="21"/>
    <x v="22"/>
  </r>
  <r>
    <x v="76"/>
    <x v="142"/>
    <x v="2"/>
    <x v="1"/>
    <x v="3"/>
    <x v="2"/>
    <x v="0"/>
    <x v="5"/>
    <x v="1"/>
    <x v="4"/>
    <x v="281"/>
    <x v="1"/>
    <x v="340"/>
    <x v="67"/>
    <x v="12"/>
    <x v="5"/>
    <x v="0"/>
    <x v="18"/>
    <x v="8"/>
    <x v="0"/>
    <x v="14"/>
    <x v="15"/>
    <x v="26"/>
    <x v="13"/>
    <x v="21"/>
    <x v="9"/>
    <x v="0"/>
    <x v="5"/>
    <x v="3"/>
    <x v="10"/>
    <x v="11"/>
    <x v="1"/>
    <x v="24"/>
    <x v="26"/>
  </r>
  <r>
    <x v="77"/>
    <x v="140"/>
    <x v="2"/>
    <x v="1"/>
    <x v="3"/>
    <x v="2"/>
    <x v="0"/>
    <x v="5"/>
    <x v="1"/>
    <x v="4"/>
    <x v="220"/>
    <x v="1"/>
    <x v="275"/>
    <x v="43"/>
    <x v="28"/>
    <x v="51"/>
    <x v="25"/>
    <x v="18"/>
    <x v="9"/>
    <x v="8"/>
    <x v="14"/>
    <x v="15"/>
    <x v="26"/>
    <x v="13"/>
    <x v="21"/>
    <x v="9"/>
    <x v="0"/>
    <x v="5"/>
    <x v="3"/>
    <x v="10"/>
    <x v="11"/>
    <x v="1"/>
    <x v="24"/>
    <x v="26"/>
  </r>
  <r>
    <x v="78"/>
    <x v="141"/>
    <x v="2"/>
    <x v="1"/>
    <x v="3"/>
    <x v="2"/>
    <x v="0"/>
    <x v="5"/>
    <x v="1"/>
    <x v="4"/>
    <x v="334"/>
    <x v="1"/>
    <x v="113"/>
    <x v="41"/>
    <x v="12"/>
    <x v="37"/>
    <x v="0"/>
    <x v="12"/>
    <x v="22"/>
    <x v="8"/>
    <x v="14"/>
    <x v="15"/>
    <x v="26"/>
    <x v="13"/>
    <x v="21"/>
    <x v="9"/>
    <x v="0"/>
    <x v="5"/>
    <x v="3"/>
    <x v="10"/>
    <x v="11"/>
    <x v="1"/>
    <x v="24"/>
    <x v="26"/>
  </r>
  <r>
    <x v="79"/>
    <x v="139"/>
    <x v="2"/>
    <x v="1"/>
    <x v="3"/>
    <x v="2"/>
    <x v="0"/>
    <x v="5"/>
    <x v="1"/>
    <x v="4"/>
    <x v="305"/>
    <x v="1"/>
    <x v="341"/>
    <x v="41"/>
    <x v="12"/>
    <x v="37"/>
    <x v="0"/>
    <x v="12"/>
    <x v="22"/>
    <x v="8"/>
    <x v="14"/>
    <x v="15"/>
    <x v="26"/>
    <x v="13"/>
    <x v="21"/>
    <x v="9"/>
    <x v="0"/>
    <x v="5"/>
    <x v="3"/>
    <x v="10"/>
    <x v="11"/>
    <x v="1"/>
    <x v="24"/>
    <x v="26"/>
  </r>
  <r>
    <x v="80"/>
    <x v="10"/>
    <x v="1"/>
    <x v="0"/>
    <x v="6"/>
    <x v="0"/>
    <x v="2"/>
    <x v="5"/>
    <x v="1"/>
    <x v="4"/>
    <x v="310"/>
    <x v="1"/>
    <x v="311"/>
    <x v="69"/>
    <x v="5"/>
    <x v="14"/>
    <x v="10"/>
    <x v="11"/>
    <x v="11"/>
    <x v="9"/>
    <x v="2"/>
    <x v="15"/>
    <x v="8"/>
    <x v="2"/>
    <x v="7"/>
    <x v="11"/>
    <x v="0"/>
    <x v="5"/>
    <x v="3"/>
    <x v="10"/>
    <x v="12"/>
    <x v="1"/>
    <x v="8"/>
    <x v="8"/>
  </r>
  <r>
    <x v="81"/>
    <x v="11"/>
    <x v="1"/>
    <x v="0"/>
    <x v="6"/>
    <x v="0"/>
    <x v="2"/>
    <x v="5"/>
    <x v="1"/>
    <x v="4"/>
    <x v="262"/>
    <x v="1"/>
    <x v="222"/>
    <x v="79"/>
    <x v="43"/>
    <x v="18"/>
    <x v="25"/>
    <x v="10"/>
    <x v="15"/>
    <x v="9"/>
    <x v="2"/>
    <x v="15"/>
    <x v="8"/>
    <x v="2"/>
    <x v="7"/>
    <x v="11"/>
    <x v="0"/>
    <x v="5"/>
    <x v="3"/>
    <x v="9"/>
    <x v="10"/>
    <x v="1"/>
    <x v="8"/>
    <x v="8"/>
  </r>
  <r>
    <x v="82"/>
    <x v="13"/>
    <x v="1"/>
    <x v="0"/>
    <x v="6"/>
    <x v="0"/>
    <x v="2"/>
    <x v="5"/>
    <x v="1"/>
    <x v="4"/>
    <x v="124"/>
    <x v="1"/>
    <x v="147"/>
    <x v="64"/>
    <x v="45"/>
    <x v="13"/>
    <x v="13"/>
    <x v="11"/>
    <x v="12"/>
    <x v="9"/>
    <x v="2"/>
    <x v="15"/>
    <x v="8"/>
    <x v="2"/>
    <x v="7"/>
    <x v="11"/>
    <x v="0"/>
    <x v="5"/>
    <x v="3"/>
    <x v="10"/>
    <x v="12"/>
    <x v="1"/>
    <x v="8"/>
    <x v="8"/>
  </r>
  <r>
    <x v="83"/>
    <x v="35"/>
    <x v="1"/>
    <x v="0"/>
    <x v="6"/>
    <x v="0"/>
    <x v="2"/>
    <x v="5"/>
    <x v="1"/>
    <x v="4"/>
    <x v="128"/>
    <x v="1"/>
    <x v="162"/>
    <x v="64"/>
    <x v="45"/>
    <x v="13"/>
    <x v="13"/>
    <x v="11"/>
    <x v="12"/>
    <x v="9"/>
    <x v="2"/>
    <x v="15"/>
    <x v="8"/>
    <x v="2"/>
    <x v="7"/>
    <x v="11"/>
    <x v="0"/>
    <x v="5"/>
    <x v="3"/>
    <x v="9"/>
    <x v="10"/>
    <x v="1"/>
    <x v="8"/>
    <x v="8"/>
  </r>
  <r>
    <x v="84"/>
    <x v="56"/>
    <x v="1"/>
    <x v="0"/>
    <x v="6"/>
    <x v="0"/>
    <x v="2"/>
    <x v="5"/>
    <x v="1"/>
    <x v="4"/>
    <x v="41"/>
    <x v="1"/>
    <x v="364"/>
    <x v="69"/>
    <x v="45"/>
    <x v="13"/>
    <x v="13"/>
    <x v="11"/>
    <x v="12"/>
    <x v="9"/>
    <x v="2"/>
    <x v="15"/>
    <x v="8"/>
    <x v="2"/>
    <x v="7"/>
    <x v="11"/>
    <x v="0"/>
    <x v="5"/>
    <x v="3"/>
    <x v="9"/>
    <x v="10"/>
    <x v="1"/>
    <x v="8"/>
    <x v="8"/>
  </r>
  <r>
    <x v="85"/>
    <x v="57"/>
    <x v="1"/>
    <x v="0"/>
    <x v="6"/>
    <x v="0"/>
    <x v="2"/>
    <x v="5"/>
    <x v="1"/>
    <x v="4"/>
    <x v="140"/>
    <x v="1"/>
    <x v="248"/>
    <x v="79"/>
    <x v="39"/>
    <x v="23"/>
    <x v="25"/>
    <x v="10"/>
    <x v="15"/>
    <x v="9"/>
    <x v="2"/>
    <x v="15"/>
    <x v="8"/>
    <x v="2"/>
    <x v="7"/>
    <x v="11"/>
    <x v="0"/>
    <x v="5"/>
    <x v="3"/>
    <x v="9"/>
    <x v="10"/>
    <x v="1"/>
    <x v="8"/>
    <x v="8"/>
  </r>
  <r>
    <x v="86"/>
    <x v="64"/>
    <x v="1"/>
    <x v="0"/>
    <x v="6"/>
    <x v="0"/>
    <x v="2"/>
    <x v="5"/>
    <x v="1"/>
    <x v="4"/>
    <x v="187"/>
    <x v="1"/>
    <x v="146"/>
    <x v="69"/>
    <x v="34"/>
    <x v="12"/>
    <x v="17"/>
    <x v="21"/>
    <x v="13"/>
    <x v="9"/>
    <x v="2"/>
    <x v="15"/>
    <x v="8"/>
    <x v="2"/>
    <x v="7"/>
    <x v="11"/>
    <x v="0"/>
    <x v="5"/>
    <x v="3"/>
    <x v="10"/>
    <x v="12"/>
    <x v="1"/>
    <x v="8"/>
    <x v="8"/>
  </r>
  <r>
    <x v="87"/>
    <x v="65"/>
    <x v="1"/>
    <x v="0"/>
    <x v="6"/>
    <x v="0"/>
    <x v="2"/>
    <x v="5"/>
    <x v="1"/>
    <x v="4"/>
    <x v="66"/>
    <x v="1"/>
    <x v="223"/>
    <x v="69"/>
    <x v="50"/>
    <x v="10"/>
    <x v="20"/>
    <x v="11"/>
    <x v="14"/>
    <x v="9"/>
    <x v="2"/>
    <x v="15"/>
    <x v="8"/>
    <x v="2"/>
    <x v="7"/>
    <x v="11"/>
    <x v="0"/>
    <x v="5"/>
    <x v="3"/>
    <x v="9"/>
    <x v="10"/>
    <x v="1"/>
    <x v="8"/>
    <x v="8"/>
  </r>
  <r>
    <x v="88"/>
    <x v="66"/>
    <x v="1"/>
    <x v="0"/>
    <x v="6"/>
    <x v="0"/>
    <x v="2"/>
    <x v="5"/>
    <x v="1"/>
    <x v="4"/>
    <x v="99"/>
    <x v="1"/>
    <x v="163"/>
    <x v="69"/>
    <x v="34"/>
    <x v="12"/>
    <x v="17"/>
    <x v="11"/>
    <x v="13"/>
    <x v="9"/>
    <x v="2"/>
    <x v="15"/>
    <x v="8"/>
    <x v="2"/>
    <x v="7"/>
    <x v="11"/>
    <x v="0"/>
    <x v="5"/>
    <x v="3"/>
    <x v="8"/>
    <x v="9"/>
    <x v="1"/>
    <x v="8"/>
    <x v="8"/>
  </r>
  <r>
    <x v="89"/>
    <x v="67"/>
    <x v="1"/>
    <x v="0"/>
    <x v="6"/>
    <x v="0"/>
    <x v="2"/>
    <x v="5"/>
    <x v="1"/>
    <x v="4"/>
    <x v="295"/>
    <x v="1"/>
    <x v="193"/>
    <x v="69"/>
    <x v="49"/>
    <x v="13"/>
    <x v="11"/>
    <x v="11"/>
    <x v="18"/>
    <x v="9"/>
    <x v="2"/>
    <x v="15"/>
    <x v="8"/>
    <x v="2"/>
    <x v="7"/>
    <x v="11"/>
    <x v="0"/>
    <x v="5"/>
    <x v="3"/>
    <x v="8"/>
    <x v="9"/>
    <x v="1"/>
    <x v="8"/>
    <x v="8"/>
  </r>
  <r>
    <x v="90"/>
    <x v="68"/>
    <x v="1"/>
    <x v="0"/>
    <x v="6"/>
    <x v="0"/>
    <x v="2"/>
    <x v="5"/>
    <x v="1"/>
    <x v="4"/>
    <x v="242"/>
    <x v="1"/>
    <x v="132"/>
    <x v="69"/>
    <x v="37"/>
    <x v="13"/>
    <x v="12"/>
    <x v="11"/>
    <x v="12"/>
    <x v="9"/>
    <x v="2"/>
    <x v="15"/>
    <x v="8"/>
    <x v="2"/>
    <x v="7"/>
    <x v="11"/>
    <x v="0"/>
    <x v="5"/>
    <x v="3"/>
    <x v="8"/>
    <x v="9"/>
    <x v="1"/>
    <x v="8"/>
    <x v="8"/>
  </r>
  <r>
    <x v="91"/>
    <x v="69"/>
    <x v="1"/>
    <x v="0"/>
    <x v="6"/>
    <x v="0"/>
    <x v="2"/>
    <x v="5"/>
    <x v="1"/>
    <x v="4"/>
    <x v="286"/>
    <x v="1"/>
    <x v="81"/>
    <x v="71"/>
    <x v="34"/>
    <x v="56"/>
    <x v="0"/>
    <x v="12"/>
    <x v="25"/>
    <x v="9"/>
    <x v="2"/>
    <x v="15"/>
    <x v="8"/>
    <x v="2"/>
    <x v="7"/>
    <x v="11"/>
    <x v="0"/>
    <x v="5"/>
    <x v="3"/>
    <x v="8"/>
    <x v="9"/>
    <x v="1"/>
    <x v="8"/>
    <x v="8"/>
  </r>
  <r>
    <x v="92"/>
    <x v="102"/>
    <x v="1"/>
    <x v="0"/>
    <x v="6"/>
    <x v="0"/>
    <x v="2"/>
    <x v="5"/>
    <x v="1"/>
    <x v="4"/>
    <x v="182"/>
    <x v="1"/>
    <x v="325"/>
    <x v="69"/>
    <x v="37"/>
    <x v="13"/>
    <x v="12"/>
    <x v="11"/>
    <x v="12"/>
    <x v="9"/>
    <x v="2"/>
    <x v="15"/>
    <x v="8"/>
    <x v="2"/>
    <x v="7"/>
    <x v="11"/>
    <x v="0"/>
    <x v="5"/>
    <x v="3"/>
    <x v="10"/>
    <x v="12"/>
    <x v="1"/>
    <x v="8"/>
    <x v="8"/>
  </r>
  <r>
    <x v="93"/>
    <x v="117"/>
    <x v="1"/>
    <x v="0"/>
    <x v="6"/>
    <x v="0"/>
    <x v="2"/>
    <x v="5"/>
    <x v="1"/>
    <x v="4"/>
    <x v="252"/>
    <x v="1"/>
    <x v="314"/>
    <x v="69"/>
    <x v="14"/>
    <x v="10"/>
    <x v="23"/>
    <x v="11"/>
    <x v="14"/>
    <x v="9"/>
    <x v="2"/>
    <x v="15"/>
    <x v="8"/>
    <x v="2"/>
    <x v="7"/>
    <x v="11"/>
    <x v="0"/>
    <x v="5"/>
    <x v="3"/>
    <x v="9"/>
    <x v="10"/>
    <x v="1"/>
    <x v="8"/>
    <x v="8"/>
  </r>
  <r>
    <x v="94"/>
    <x v="118"/>
    <x v="1"/>
    <x v="0"/>
    <x v="6"/>
    <x v="0"/>
    <x v="2"/>
    <x v="5"/>
    <x v="1"/>
    <x v="4"/>
    <x v="57"/>
    <x v="1"/>
    <x v="126"/>
    <x v="69"/>
    <x v="45"/>
    <x v="13"/>
    <x v="13"/>
    <x v="11"/>
    <x v="12"/>
    <x v="9"/>
    <x v="2"/>
    <x v="15"/>
    <x v="8"/>
    <x v="2"/>
    <x v="7"/>
    <x v="11"/>
    <x v="0"/>
    <x v="5"/>
    <x v="3"/>
    <x v="10"/>
    <x v="12"/>
    <x v="1"/>
    <x v="8"/>
    <x v="8"/>
  </r>
  <r>
    <x v="95"/>
    <x v="119"/>
    <x v="1"/>
    <x v="0"/>
    <x v="6"/>
    <x v="0"/>
    <x v="2"/>
    <x v="5"/>
    <x v="1"/>
    <x v="4"/>
    <x v="203"/>
    <x v="1"/>
    <x v="82"/>
    <x v="71"/>
    <x v="28"/>
    <x v="56"/>
    <x v="0"/>
    <x v="12"/>
    <x v="26"/>
    <x v="9"/>
    <x v="2"/>
    <x v="15"/>
    <x v="8"/>
    <x v="2"/>
    <x v="7"/>
    <x v="11"/>
    <x v="0"/>
    <x v="5"/>
    <x v="3"/>
    <x v="8"/>
    <x v="9"/>
    <x v="1"/>
    <x v="8"/>
    <x v="8"/>
  </r>
  <r>
    <x v="96"/>
    <x v="120"/>
    <x v="1"/>
    <x v="0"/>
    <x v="6"/>
    <x v="0"/>
    <x v="2"/>
    <x v="5"/>
    <x v="1"/>
    <x v="4"/>
    <x v="104"/>
    <x v="1"/>
    <x v="159"/>
    <x v="69"/>
    <x v="38"/>
    <x v="13"/>
    <x v="11"/>
    <x v="11"/>
    <x v="12"/>
    <x v="9"/>
    <x v="2"/>
    <x v="15"/>
    <x v="8"/>
    <x v="2"/>
    <x v="7"/>
    <x v="11"/>
    <x v="0"/>
    <x v="5"/>
    <x v="3"/>
    <x v="8"/>
    <x v="9"/>
    <x v="1"/>
    <x v="8"/>
    <x v="8"/>
  </r>
  <r>
    <x v="97"/>
    <x v="121"/>
    <x v="1"/>
    <x v="0"/>
    <x v="6"/>
    <x v="0"/>
    <x v="2"/>
    <x v="5"/>
    <x v="1"/>
    <x v="4"/>
    <x v="213"/>
    <x v="1"/>
    <x v="160"/>
    <x v="69"/>
    <x v="29"/>
    <x v="11"/>
    <x v="14"/>
    <x v="11"/>
    <x v="10"/>
    <x v="9"/>
    <x v="2"/>
    <x v="15"/>
    <x v="8"/>
    <x v="2"/>
    <x v="7"/>
    <x v="11"/>
    <x v="0"/>
    <x v="5"/>
    <x v="3"/>
    <x v="8"/>
    <x v="9"/>
    <x v="1"/>
    <x v="8"/>
    <x v="8"/>
  </r>
  <r>
    <x v="98"/>
    <x v="122"/>
    <x v="1"/>
    <x v="0"/>
    <x v="6"/>
    <x v="0"/>
    <x v="2"/>
    <x v="5"/>
    <x v="1"/>
    <x v="4"/>
    <x v="42"/>
    <x v="1"/>
    <x v="56"/>
    <x v="69"/>
    <x v="45"/>
    <x v="13"/>
    <x v="13"/>
    <x v="11"/>
    <x v="12"/>
    <x v="9"/>
    <x v="2"/>
    <x v="15"/>
    <x v="8"/>
    <x v="2"/>
    <x v="7"/>
    <x v="11"/>
    <x v="0"/>
    <x v="5"/>
    <x v="3"/>
    <x v="8"/>
    <x v="9"/>
    <x v="1"/>
    <x v="8"/>
    <x v="8"/>
  </r>
  <r>
    <x v="99"/>
    <x v="143"/>
    <x v="1"/>
    <x v="0"/>
    <x v="6"/>
    <x v="0"/>
    <x v="2"/>
    <x v="5"/>
    <x v="1"/>
    <x v="4"/>
    <x v="107"/>
    <x v="1"/>
    <x v="219"/>
    <x v="69"/>
    <x v="14"/>
    <x v="10"/>
    <x v="23"/>
    <x v="11"/>
    <x v="14"/>
    <x v="9"/>
    <x v="2"/>
    <x v="15"/>
    <x v="8"/>
    <x v="2"/>
    <x v="7"/>
    <x v="11"/>
    <x v="0"/>
    <x v="5"/>
    <x v="3"/>
    <x v="10"/>
    <x v="12"/>
    <x v="1"/>
    <x v="8"/>
    <x v="8"/>
  </r>
  <r>
    <x v="100"/>
    <x v="144"/>
    <x v="1"/>
    <x v="0"/>
    <x v="6"/>
    <x v="0"/>
    <x v="2"/>
    <x v="5"/>
    <x v="1"/>
    <x v="4"/>
    <x v="343"/>
    <x v="1"/>
    <x v="34"/>
    <x v="69"/>
    <x v="34"/>
    <x v="12"/>
    <x v="17"/>
    <x v="11"/>
    <x v="13"/>
    <x v="9"/>
    <x v="2"/>
    <x v="15"/>
    <x v="8"/>
    <x v="2"/>
    <x v="7"/>
    <x v="11"/>
    <x v="0"/>
    <x v="5"/>
    <x v="3"/>
    <x v="10"/>
    <x v="12"/>
    <x v="1"/>
    <x v="8"/>
    <x v="8"/>
  </r>
  <r>
    <x v="101"/>
    <x v="146"/>
    <x v="1"/>
    <x v="0"/>
    <x v="6"/>
    <x v="0"/>
    <x v="2"/>
    <x v="5"/>
    <x v="1"/>
    <x v="4"/>
    <x v="61"/>
    <x v="1"/>
    <x v="350"/>
    <x v="79"/>
    <x v="42"/>
    <x v="21"/>
    <x v="25"/>
    <x v="11"/>
    <x v="9"/>
    <x v="9"/>
    <x v="2"/>
    <x v="15"/>
    <x v="8"/>
    <x v="2"/>
    <x v="7"/>
    <x v="11"/>
    <x v="0"/>
    <x v="5"/>
    <x v="3"/>
    <x v="9"/>
    <x v="10"/>
    <x v="1"/>
    <x v="8"/>
    <x v="8"/>
  </r>
  <r>
    <x v="102"/>
    <x v="147"/>
    <x v="1"/>
    <x v="0"/>
    <x v="6"/>
    <x v="0"/>
    <x v="2"/>
    <x v="5"/>
    <x v="1"/>
    <x v="4"/>
    <x v="178"/>
    <x v="1"/>
    <x v="51"/>
    <x v="71"/>
    <x v="32"/>
    <x v="56"/>
    <x v="0"/>
    <x v="12"/>
    <x v="25"/>
    <x v="9"/>
    <x v="2"/>
    <x v="15"/>
    <x v="8"/>
    <x v="2"/>
    <x v="7"/>
    <x v="11"/>
    <x v="0"/>
    <x v="5"/>
    <x v="3"/>
    <x v="9"/>
    <x v="10"/>
    <x v="1"/>
    <x v="8"/>
    <x v="8"/>
  </r>
  <r>
    <x v="103"/>
    <x v="148"/>
    <x v="1"/>
    <x v="0"/>
    <x v="6"/>
    <x v="0"/>
    <x v="2"/>
    <x v="5"/>
    <x v="1"/>
    <x v="4"/>
    <x v="118"/>
    <x v="1"/>
    <x v="83"/>
    <x v="64"/>
    <x v="50"/>
    <x v="10"/>
    <x v="20"/>
    <x v="17"/>
    <x v="20"/>
    <x v="9"/>
    <x v="2"/>
    <x v="15"/>
    <x v="8"/>
    <x v="2"/>
    <x v="7"/>
    <x v="11"/>
    <x v="0"/>
    <x v="5"/>
    <x v="3"/>
    <x v="9"/>
    <x v="10"/>
    <x v="1"/>
    <x v="8"/>
    <x v="8"/>
  </r>
  <r>
    <x v="104"/>
    <x v="150"/>
    <x v="1"/>
    <x v="0"/>
    <x v="6"/>
    <x v="0"/>
    <x v="2"/>
    <x v="5"/>
    <x v="1"/>
    <x v="4"/>
    <x v="228"/>
    <x v="1"/>
    <x v="57"/>
    <x v="69"/>
    <x v="19"/>
    <x v="12"/>
    <x v="17"/>
    <x v="11"/>
    <x v="13"/>
    <x v="9"/>
    <x v="2"/>
    <x v="15"/>
    <x v="8"/>
    <x v="2"/>
    <x v="7"/>
    <x v="11"/>
    <x v="0"/>
    <x v="5"/>
    <x v="3"/>
    <x v="9"/>
    <x v="10"/>
    <x v="1"/>
    <x v="8"/>
    <x v="8"/>
  </r>
  <r>
    <x v="105"/>
    <x v="152"/>
    <x v="1"/>
    <x v="0"/>
    <x v="6"/>
    <x v="0"/>
    <x v="2"/>
    <x v="5"/>
    <x v="1"/>
    <x v="4"/>
    <x v="121"/>
    <x v="1"/>
    <x v="133"/>
    <x v="64"/>
    <x v="32"/>
    <x v="12"/>
    <x v="16"/>
    <x v="11"/>
    <x v="13"/>
    <x v="9"/>
    <x v="2"/>
    <x v="15"/>
    <x v="8"/>
    <x v="2"/>
    <x v="7"/>
    <x v="11"/>
    <x v="0"/>
    <x v="5"/>
    <x v="3"/>
    <x v="10"/>
    <x v="12"/>
    <x v="1"/>
    <x v="8"/>
    <x v="8"/>
  </r>
  <r>
    <x v="106"/>
    <x v="160"/>
    <x v="1"/>
    <x v="0"/>
    <x v="6"/>
    <x v="0"/>
    <x v="2"/>
    <x v="5"/>
    <x v="1"/>
    <x v="4"/>
    <x v="28"/>
    <x v="1"/>
    <x v="11"/>
    <x v="64"/>
    <x v="3"/>
    <x v="12"/>
    <x v="17"/>
    <x v="11"/>
    <x v="13"/>
    <x v="9"/>
    <x v="2"/>
    <x v="15"/>
    <x v="8"/>
    <x v="2"/>
    <x v="7"/>
    <x v="11"/>
    <x v="0"/>
    <x v="5"/>
    <x v="3"/>
    <x v="10"/>
    <x v="12"/>
    <x v="1"/>
    <x v="8"/>
    <x v="8"/>
  </r>
  <r>
    <x v="107"/>
    <x v="28"/>
    <x v="1"/>
    <x v="0"/>
    <x v="6"/>
    <x v="0"/>
    <x v="2"/>
    <x v="5"/>
    <x v="1"/>
    <x v="4"/>
    <x v="216"/>
    <x v="1"/>
    <x v="39"/>
    <x v="71"/>
    <x v="46"/>
    <x v="56"/>
    <x v="0"/>
    <x v="12"/>
    <x v="25"/>
    <x v="9"/>
    <x v="2"/>
    <x v="15"/>
    <x v="6"/>
    <x v="2"/>
    <x v="7"/>
    <x v="12"/>
    <x v="0"/>
    <x v="5"/>
    <x v="6"/>
    <x v="12"/>
    <x v="14"/>
    <x v="1"/>
    <x v="7"/>
    <x v="6"/>
  </r>
  <r>
    <x v="108"/>
    <x v="29"/>
    <x v="1"/>
    <x v="0"/>
    <x v="6"/>
    <x v="0"/>
    <x v="2"/>
    <x v="5"/>
    <x v="1"/>
    <x v="4"/>
    <x v="159"/>
    <x v="1"/>
    <x v="125"/>
    <x v="69"/>
    <x v="42"/>
    <x v="13"/>
    <x v="11"/>
    <x v="11"/>
    <x v="12"/>
    <x v="9"/>
    <x v="2"/>
    <x v="15"/>
    <x v="6"/>
    <x v="2"/>
    <x v="7"/>
    <x v="12"/>
    <x v="0"/>
    <x v="5"/>
    <x v="6"/>
    <x v="12"/>
    <x v="14"/>
    <x v="1"/>
    <x v="7"/>
    <x v="6"/>
  </r>
  <r>
    <x v="109"/>
    <x v="30"/>
    <x v="1"/>
    <x v="0"/>
    <x v="6"/>
    <x v="0"/>
    <x v="2"/>
    <x v="5"/>
    <x v="1"/>
    <x v="4"/>
    <x v="150"/>
    <x v="1"/>
    <x v="155"/>
    <x v="64"/>
    <x v="0"/>
    <x v="12"/>
    <x v="17"/>
    <x v="11"/>
    <x v="13"/>
    <x v="9"/>
    <x v="2"/>
    <x v="15"/>
    <x v="6"/>
    <x v="2"/>
    <x v="7"/>
    <x v="12"/>
    <x v="0"/>
    <x v="5"/>
    <x v="6"/>
    <x v="12"/>
    <x v="14"/>
    <x v="1"/>
    <x v="7"/>
    <x v="6"/>
  </r>
  <r>
    <x v="110"/>
    <x v="31"/>
    <x v="1"/>
    <x v="0"/>
    <x v="6"/>
    <x v="0"/>
    <x v="2"/>
    <x v="5"/>
    <x v="1"/>
    <x v="4"/>
    <x v="361"/>
    <x v="1"/>
    <x v="299"/>
    <x v="69"/>
    <x v="24"/>
    <x v="11"/>
    <x v="5"/>
    <x v="11"/>
    <x v="10"/>
    <x v="9"/>
    <x v="2"/>
    <x v="15"/>
    <x v="6"/>
    <x v="2"/>
    <x v="7"/>
    <x v="12"/>
    <x v="0"/>
    <x v="5"/>
    <x v="6"/>
    <x v="12"/>
    <x v="14"/>
    <x v="1"/>
    <x v="7"/>
    <x v="6"/>
  </r>
  <r>
    <x v="111"/>
    <x v="32"/>
    <x v="1"/>
    <x v="0"/>
    <x v="6"/>
    <x v="0"/>
    <x v="2"/>
    <x v="5"/>
    <x v="1"/>
    <x v="4"/>
    <x v="328"/>
    <x v="1"/>
    <x v="35"/>
    <x v="71"/>
    <x v="16"/>
    <x v="56"/>
    <x v="0"/>
    <x v="12"/>
    <x v="23"/>
    <x v="9"/>
    <x v="2"/>
    <x v="15"/>
    <x v="6"/>
    <x v="2"/>
    <x v="7"/>
    <x v="12"/>
    <x v="0"/>
    <x v="5"/>
    <x v="6"/>
    <x v="12"/>
    <x v="14"/>
    <x v="1"/>
    <x v="7"/>
    <x v="6"/>
  </r>
  <r>
    <x v="112"/>
    <x v="103"/>
    <x v="1"/>
    <x v="0"/>
    <x v="6"/>
    <x v="0"/>
    <x v="2"/>
    <x v="5"/>
    <x v="1"/>
    <x v="4"/>
    <x v="302"/>
    <x v="1"/>
    <x v="353"/>
    <x v="72"/>
    <x v="16"/>
    <x v="42"/>
    <x v="0"/>
    <x v="12"/>
    <x v="21"/>
    <x v="9"/>
    <x v="2"/>
    <x v="15"/>
    <x v="6"/>
    <x v="2"/>
    <x v="7"/>
    <x v="12"/>
    <x v="0"/>
    <x v="5"/>
    <x v="6"/>
    <x v="12"/>
    <x v="14"/>
    <x v="1"/>
    <x v="7"/>
    <x v="6"/>
  </r>
  <r>
    <x v="113"/>
    <x v="104"/>
    <x v="1"/>
    <x v="0"/>
    <x v="6"/>
    <x v="0"/>
    <x v="2"/>
    <x v="5"/>
    <x v="1"/>
    <x v="4"/>
    <x v="156"/>
    <x v="1"/>
    <x v="181"/>
    <x v="79"/>
    <x v="5"/>
    <x v="19"/>
    <x v="25"/>
    <x v="11"/>
    <x v="9"/>
    <x v="9"/>
    <x v="2"/>
    <x v="15"/>
    <x v="6"/>
    <x v="2"/>
    <x v="7"/>
    <x v="12"/>
    <x v="0"/>
    <x v="5"/>
    <x v="6"/>
    <x v="12"/>
    <x v="14"/>
    <x v="1"/>
    <x v="7"/>
    <x v="6"/>
  </r>
  <r>
    <x v="114"/>
    <x v="105"/>
    <x v="1"/>
    <x v="0"/>
    <x v="6"/>
    <x v="0"/>
    <x v="2"/>
    <x v="5"/>
    <x v="1"/>
    <x v="4"/>
    <x v="347"/>
    <x v="1"/>
    <x v="216"/>
    <x v="69"/>
    <x v="47"/>
    <x v="10"/>
    <x v="20"/>
    <x v="11"/>
    <x v="14"/>
    <x v="9"/>
    <x v="2"/>
    <x v="15"/>
    <x v="6"/>
    <x v="2"/>
    <x v="7"/>
    <x v="12"/>
    <x v="0"/>
    <x v="5"/>
    <x v="6"/>
    <x v="12"/>
    <x v="14"/>
    <x v="1"/>
    <x v="7"/>
    <x v="6"/>
  </r>
  <r>
    <x v="115"/>
    <x v="106"/>
    <x v="1"/>
    <x v="0"/>
    <x v="6"/>
    <x v="0"/>
    <x v="2"/>
    <x v="5"/>
    <x v="1"/>
    <x v="4"/>
    <x v="119"/>
    <x v="1"/>
    <x v="24"/>
    <x v="64"/>
    <x v="37"/>
    <x v="13"/>
    <x v="12"/>
    <x v="11"/>
    <x v="12"/>
    <x v="9"/>
    <x v="2"/>
    <x v="15"/>
    <x v="6"/>
    <x v="2"/>
    <x v="7"/>
    <x v="12"/>
    <x v="0"/>
    <x v="5"/>
    <x v="6"/>
    <x v="12"/>
    <x v="14"/>
    <x v="1"/>
    <x v="7"/>
    <x v="6"/>
  </r>
  <r>
    <x v="116"/>
    <x v="107"/>
    <x v="1"/>
    <x v="0"/>
    <x v="6"/>
    <x v="0"/>
    <x v="2"/>
    <x v="5"/>
    <x v="1"/>
    <x v="4"/>
    <x v="241"/>
    <x v="1"/>
    <x v="43"/>
    <x v="71"/>
    <x v="27"/>
    <x v="56"/>
    <x v="0"/>
    <x v="12"/>
    <x v="23"/>
    <x v="9"/>
    <x v="2"/>
    <x v="15"/>
    <x v="6"/>
    <x v="2"/>
    <x v="7"/>
    <x v="12"/>
    <x v="0"/>
    <x v="5"/>
    <x v="6"/>
    <x v="12"/>
    <x v="14"/>
    <x v="1"/>
    <x v="7"/>
    <x v="6"/>
  </r>
  <r>
    <x v="117"/>
    <x v="108"/>
    <x v="1"/>
    <x v="0"/>
    <x v="6"/>
    <x v="0"/>
    <x v="2"/>
    <x v="5"/>
    <x v="1"/>
    <x v="4"/>
    <x v="79"/>
    <x v="1"/>
    <x v="97"/>
    <x v="71"/>
    <x v="43"/>
    <x v="56"/>
    <x v="0"/>
    <x v="13"/>
    <x v="26"/>
    <x v="9"/>
    <x v="2"/>
    <x v="15"/>
    <x v="6"/>
    <x v="2"/>
    <x v="7"/>
    <x v="12"/>
    <x v="0"/>
    <x v="5"/>
    <x v="6"/>
    <x v="12"/>
    <x v="14"/>
    <x v="1"/>
    <x v="7"/>
    <x v="6"/>
  </r>
  <r>
    <x v="118"/>
    <x v="109"/>
    <x v="1"/>
    <x v="0"/>
    <x v="6"/>
    <x v="0"/>
    <x v="2"/>
    <x v="5"/>
    <x v="1"/>
    <x v="4"/>
    <x v="161"/>
    <x v="1"/>
    <x v="260"/>
    <x v="71"/>
    <x v="16"/>
    <x v="56"/>
    <x v="0"/>
    <x v="12"/>
    <x v="23"/>
    <x v="9"/>
    <x v="2"/>
    <x v="15"/>
    <x v="6"/>
    <x v="2"/>
    <x v="7"/>
    <x v="12"/>
    <x v="0"/>
    <x v="5"/>
    <x v="6"/>
    <x v="12"/>
    <x v="14"/>
    <x v="1"/>
    <x v="7"/>
    <x v="6"/>
  </r>
  <r>
    <x v="119"/>
    <x v="110"/>
    <x v="1"/>
    <x v="0"/>
    <x v="6"/>
    <x v="0"/>
    <x v="2"/>
    <x v="5"/>
    <x v="1"/>
    <x v="4"/>
    <x v="277"/>
    <x v="1"/>
    <x v="161"/>
    <x v="69"/>
    <x v="35"/>
    <x v="11"/>
    <x v="0"/>
    <x v="12"/>
    <x v="22"/>
    <x v="9"/>
    <x v="2"/>
    <x v="15"/>
    <x v="6"/>
    <x v="2"/>
    <x v="7"/>
    <x v="12"/>
    <x v="0"/>
    <x v="5"/>
    <x v="6"/>
    <x v="12"/>
    <x v="14"/>
    <x v="1"/>
    <x v="7"/>
    <x v="6"/>
  </r>
  <r>
    <x v="120"/>
    <x v="111"/>
    <x v="1"/>
    <x v="0"/>
    <x v="6"/>
    <x v="0"/>
    <x v="2"/>
    <x v="5"/>
    <x v="1"/>
    <x v="4"/>
    <x v="354"/>
    <x v="1"/>
    <x v="110"/>
    <x v="69"/>
    <x v="31"/>
    <x v="12"/>
    <x v="15"/>
    <x v="11"/>
    <x v="13"/>
    <x v="9"/>
    <x v="2"/>
    <x v="15"/>
    <x v="6"/>
    <x v="2"/>
    <x v="7"/>
    <x v="12"/>
    <x v="0"/>
    <x v="5"/>
    <x v="6"/>
    <x v="12"/>
    <x v="14"/>
    <x v="1"/>
    <x v="7"/>
    <x v="6"/>
  </r>
  <r>
    <x v="121"/>
    <x v="112"/>
    <x v="1"/>
    <x v="0"/>
    <x v="6"/>
    <x v="0"/>
    <x v="2"/>
    <x v="5"/>
    <x v="1"/>
    <x v="4"/>
    <x v="83"/>
    <x v="1"/>
    <x v="10"/>
    <x v="83"/>
    <x v="16"/>
    <x v="39"/>
    <x v="0"/>
    <x v="8"/>
    <x v="0"/>
    <x v="9"/>
    <x v="2"/>
    <x v="15"/>
    <x v="6"/>
    <x v="2"/>
    <x v="7"/>
    <x v="12"/>
    <x v="0"/>
    <x v="5"/>
    <x v="6"/>
    <x v="12"/>
    <x v="14"/>
    <x v="1"/>
    <x v="7"/>
    <x v="6"/>
  </r>
  <r>
    <x v="122"/>
    <x v="113"/>
    <x v="1"/>
    <x v="0"/>
    <x v="6"/>
    <x v="0"/>
    <x v="2"/>
    <x v="5"/>
    <x v="1"/>
    <x v="4"/>
    <x v="253"/>
    <x v="1"/>
    <x v="67"/>
    <x v="69"/>
    <x v="46"/>
    <x v="12"/>
    <x v="15"/>
    <x v="11"/>
    <x v="13"/>
    <x v="9"/>
    <x v="2"/>
    <x v="15"/>
    <x v="6"/>
    <x v="2"/>
    <x v="7"/>
    <x v="12"/>
    <x v="0"/>
    <x v="5"/>
    <x v="6"/>
    <x v="12"/>
    <x v="14"/>
    <x v="1"/>
    <x v="7"/>
    <x v="6"/>
  </r>
  <r>
    <x v="123"/>
    <x v="114"/>
    <x v="1"/>
    <x v="0"/>
    <x v="6"/>
    <x v="0"/>
    <x v="2"/>
    <x v="5"/>
    <x v="1"/>
    <x v="4"/>
    <x v="143"/>
    <x v="1"/>
    <x v="241"/>
    <x v="69"/>
    <x v="51"/>
    <x v="14"/>
    <x v="20"/>
    <x v="11"/>
    <x v="14"/>
    <x v="9"/>
    <x v="2"/>
    <x v="15"/>
    <x v="6"/>
    <x v="2"/>
    <x v="7"/>
    <x v="12"/>
    <x v="0"/>
    <x v="5"/>
    <x v="6"/>
    <x v="12"/>
    <x v="14"/>
    <x v="1"/>
    <x v="7"/>
    <x v="6"/>
  </r>
  <r>
    <x v="124"/>
    <x v="115"/>
    <x v="1"/>
    <x v="0"/>
    <x v="6"/>
    <x v="0"/>
    <x v="2"/>
    <x v="5"/>
    <x v="1"/>
    <x v="4"/>
    <x v="203"/>
    <x v="1"/>
    <x v="38"/>
    <x v="69"/>
    <x v="16"/>
    <x v="14"/>
    <x v="8"/>
    <x v="11"/>
    <x v="11"/>
    <x v="9"/>
    <x v="2"/>
    <x v="15"/>
    <x v="6"/>
    <x v="2"/>
    <x v="7"/>
    <x v="12"/>
    <x v="0"/>
    <x v="5"/>
    <x v="6"/>
    <x v="12"/>
    <x v="14"/>
    <x v="1"/>
    <x v="7"/>
    <x v="6"/>
  </r>
  <r>
    <x v="125"/>
    <x v="116"/>
    <x v="1"/>
    <x v="0"/>
    <x v="6"/>
    <x v="0"/>
    <x v="2"/>
    <x v="5"/>
    <x v="1"/>
    <x v="4"/>
    <x v="127"/>
    <x v="1"/>
    <x v="148"/>
    <x v="64"/>
    <x v="23"/>
    <x v="11"/>
    <x v="5"/>
    <x v="11"/>
    <x v="10"/>
    <x v="9"/>
    <x v="2"/>
    <x v="15"/>
    <x v="6"/>
    <x v="2"/>
    <x v="7"/>
    <x v="12"/>
    <x v="0"/>
    <x v="5"/>
    <x v="6"/>
    <x v="12"/>
    <x v="14"/>
    <x v="1"/>
    <x v="7"/>
    <x v="6"/>
  </r>
  <r>
    <x v="126"/>
    <x v="70"/>
    <x v="19"/>
    <x v="1"/>
    <x v="12"/>
    <x v="4"/>
    <x v="11"/>
    <x v="5"/>
    <x v="1"/>
    <x v="4"/>
    <x v="291"/>
    <x v="1"/>
    <x v="55"/>
    <x v="76"/>
    <x v="16"/>
    <x v="28"/>
    <x v="0"/>
    <x v="3"/>
    <x v="37"/>
    <x v="4"/>
    <x v="31"/>
    <x v="11"/>
    <x v="40"/>
    <x v="31"/>
    <x v="41"/>
    <x v="48"/>
    <x v="0"/>
    <x v="9"/>
    <x v="8"/>
    <x v="23"/>
    <x v="25"/>
    <x v="1"/>
    <x v="45"/>
    <x v="40"/>
  </r>
  <r>
    <x v="127"/>
    <x v="41"/>
    <x v="2"/>
    <x v="1"/>
    <x v="3"/>
    <x v="2"/>
    <x v="0"/>
    <x v="5"/>
    <x v="1"/>
    <x v="4"/>
    <x v="144"/>
    <x v="1"/>
    <x v="295"/>
    <x v="40"/>
    <x v="16"/>
    <x v="14"/>
    <x v="0"/>
    <x v="18"/>
    <x v="29"/>
    <x v="8"/>
    <x v="12"/>
    <x v="5"/>
    <x v="24"/>
    <x v="12"/>
    <x v="23"/>
    <x v="3"/>
    <x v="0"/>
    <x v="10"/>
    <x v="7"/>
    <x v="18"/>
    <x v="20"/>
    <x v="1"/>
    <x v="28"/>
    <x v="24"/>
  </r>
  <r>
    <x v="128"/>
    <x v="42"/>
    <x v="2"/>
    <x v="1"/>
    <x v="3"/>
    <x v="2"/>
    <x v="0"/>
    <x v="5"/>
    <x v="1"/>
    <x v="4"/>
    <x v="136"/>
    <x v="1"/>
    <x v="60"/>
    <x v="72"/>
    <x v="16"/>
    <x v="41"/>
    <x v="0"/>
    <x v="14"/>
    <x v="21"/>
    <x v="8"/>
    <x v="12"/>
    <x v="5"/>
    <x v="24"/>
    <x v="12"/>
    <x v="23"/>
    <x v="3"/>
    <x v="0"/>
    <x v="10"/>
    <x v="7"/>
    <x v="18"/>
    <x v="20"/>
    <x v="1"/>
    <x v="28"/>
    <x v="24"/>
  </r>
  <r>
    <x v="129"/>
    <x v="43"/>
    <x v="2"/>
    <x v="1"/>
    <x v="3"/>
    <x v="2"/>
    <x v="0"/>
    <x v="5"/>
    <x v="1"/>
    <x v="4"/>
    <x v="188"/>
    <x v="1"/>
    <x v="101"/>
    <x v="40"/>
    <x v="12"/>
    <x v="11"/>
    <x v="0"/>
    <x v="18"/>
    <x v="28"/>
    <x v="8"/>
    <x v="12"/>
    <x v="5"/>
    <x v="24"/>
    <x v="12"/>
    <x v="23"/>
    <x v="3"/>
    <x v="0"/>
    <x v="10"/>
    <x v="7"/>
    <x v="18"/>
    <x v="20"/>
    <x v="1"/>
    <x v="28"/>
    <x v="24"/>
  </r>
  <r>
    <x v="130"/>
    <x v="45"/>
    <x v="2"/>
    <x v="1"/>
    <x v="3"/>
    <x v="2"/>
    <x v="0"/>
    <x v="5"/>
    <x v="1"/>
    <x v="4"/>
    <x v="151"/>
    <x v="1"/>
    <x v="37"/>
    <x v="40"/>
    <x v="34"/>
    <x v="50"/>
    <x v="0"/>
    <x v="12"/>
    <x v="21"/>
    <x v="8"/>
    <x v="12"/>
    <x v="5"/>
    <x v="24"/>
    <x v="12"/>
    <x v="23"/>
    <x v="3"/>
    <x v="0"/>
    <x v="10"/>
    <x v="7"/>
    <x v="18"/>
    <x v="20"/>
    <x v="1"/>
    <x v="28"/>
    <x v="24"/>
  </r>
  <r>
    <x v="131"/>
    <x v="46"/>
    <x v="2"/>
    <x v="1"/>
    <x v="3"/>
    <x v="2"/>
    <x v="0"/>
    <x v="5"/>
    <x v="1"/>
    <x v="4"/>
    <x v="71"/>
    <x v="1"/>
    <x v="352"/>
    <x v="41"/>
    <x v="16"/>
    <x v="37"/>
    <x v="0"/>
    <x v="12"/>
    <x v="24"/>
    <x v="8"/>
    <x v="12"/>
    <x v="5"/>
    <x v="24"/>
    <x v="12"/>
    <x v="23"/>
    <x v="3"/>
    <x v="0"/>
    <x v="10"/>
    <x v="7"/>
    <x v="18"/>
    <x v="20"/>
    <x v="1"/>
    <x v="28"/>
    <x v="24"/>
  </r>
  <r>
    <x v="132"/>
    <x v="74"/>
    <x v="1"/>
    <x v="0"/>
    <x v="6"/>
    <x v="0"/>
    <x v="2"/>
    <x v="5"/>
    <x v="1"/>
    <x v="4"/>
    <x v="210"/>
    <x v="1"/>
    <x v="151"/>
    <x v="69"/>
    <x v="23"/>
    <x v="11"/>
    <x v="5"/>
    <x v="11"/>
    <x v="10"/>
    <x v="9"/>
    <x v="2"/>
    <x v="15"/>
    <x v="7"/>
    <x v="2"/>
    <x v="7"/>
    <x v="13"/>
    <x v="0"/>
    <x v="5"/>
    <x v="9"/>
    <x v="21"/>
    <x v="23"/>
    <x v="1"/>
    <x v="6"/>
    <x v="7"/>
  </r>
  <r>
    <x v="133"/>
    <x v="75"/>
    <x v="1"/>
    <x v="0"/>
    <x v="6"/>
    <x v="0"/>
    <x v="2"/>
    <x v="5"/>
    <x v="1"/>
    <x v="4"/>
    <x v="50"/>
    <x v="1"/>
    <x v="329"/>
    <x v="71"/>
    <x v="8"/>
    <x v="37"/>
    <x v="0"/>
    <x v="13"/>
    <x v="22"/>
    <x v="9"/>
    <x v="2"/>
    <x v="15"/>
    <x v="7"/>
    <x v="2"/>
    <x v="7"/>
    <x v="13"/>
    <x v="0"/>
    <x v="5"/>
    <x v="9"/>
    <x v="21"/>
    <x v="23"/>
    <x v="1"/>
    <x v="6"/>
    <x v="7"/>
  </r>
  <r>
    <x v="134"/>
    <x v="76"/>
    <x v="1"/>
    <x v="0"/>
    <x v="6"/>
    <x v="0"/>
    <x v="2"/>
    <x v="5"/>
    <x v="1"/>
    <x v="4"/>
    <x v="10"/>
    <x v="1"/>
    <x v="180"/>
    <x v="71"/>
    <x v="16"/>
    <x v="37"/>
    <x v="0"/>
    <x v="13"/>
    <x v="23"/>
    <x v="9"/>
    <x v="2"/>
    <x v="15"/>
    <x v="7"/>
    <x v="2"/>
    <x v="7"/>
    <x v="13"/>
    <x v="0"/>
    <x v="5"/>
    <x v="9"/>
    <x v="21"/>
    <x v="23"/>
    <x v="1"/>
    <x v="6"/>
    <x v="7"/>
  </r>
  <r>
    <x v="135"/>
    <x v="77"/>
    <x v="1"/>
    <x v="0"/>
    <x v="6"/>
    <x v="0"/>
    <x v="2"/>
    <x v="5"/>
    <x v="1"/>
    <x v="4"/>
    <x v="265"/>
    <x v="1"/>
    <x v="356"/>
    <x v="69"/>
    <x v="16"/>
    <x v="14"/>
    <x v="9"/>
    <x v="11"/>
    <x v="11"/>
    <x v="9"/>
    <x v="2"/>
    <x v="15"/>
    <x v="7"/>
    <x v="2"/>
    <x v="7"/>
    <x v="13"/>
    <x v="0"/>
    <x v="5"/>
    <x v="9"/>
    <x v="21"/>
    <x v="23"/>
    <x v="1"/>
    <x v="6"/>
    <x v="7"/>
  </r>
  <r>
    <x v="136"/>
    <x v="78"/>
    <x v="1"/>
    <x v="0"/>
    <x v="6"/>
    <x v="0"/>
    <x v="2"/>
    <x v="5"/>
    <x v="1"/>
    <x v="4"/>
    <x v="12"/>
    <x v="1"/>
    <x v="74"/>
    <x v="69"/>
    <x v="5"/>
    <x v="14"/>
    <x v="10"/>
    <x v="11"/>
    <x v="11"/>
    <x v="9"/>
    <x v="2"/>
    <x v="15"/>
    <x v="7"/>
    <x v="2"/>
    <x v="7"/>
    <x v="13"/>
    <x v="0"/>
    <x v="5"/>
    <x v="9"/>
    <x v="21"/>
    <x v="23"/>
    <x v="1"/>
    <x v="6"/>
    <x v="7"/>
  </r>
  <r>
    <x v="137"/>
    <x v="79"/>
    <x v="1"/>
    <x v="0"/>
    <x v="6"/>
    <x v="0"/>
    <x v="2"/>
    <x v="5"/>
    <x v="1"/>
    <x v="4"/>
    <x v="133"/>
    <x v="1"/>
    <x v="184"/>
    <x v="62"/>
    <x v="5"/>
    <x v="14"/>
    <x v="10"/>
    <x v="11"/>
    <x v="11"/>
    <x v="9"/>
    <x v="2"/>
    <x v="15"/>
    <x v="7"/>
    <x v="2"/>
    <x v="7"/>
    <x v="13"/>
    <x v="0"/>
    <x v="5"/>
    <x v="9"/>
    <x v="21"/>
    <x v="23"/>
    <x v="1"/>
    <x v="6"/>
    <x v="7"/>
  </r>
  <r>
    <x v="138"/>
    <x v="80"/>
    <x v="1"/>
    <x v="0"/>
    <x v="6"/>
    <x v="0"/>
    <x v="2"/>
    <x v="5"/>
    <x v="1"/>
    <x v="4"/>
    <x v="72"/>
    <x v="1"/>
    <x v="367"/>
    <x v="71"/>
    <x v="16"/>
    <x v="56"/>
    <x v="0"/>
    <x v="12"/>
    <x v="23"/>
    <x v="9"/>
    <x v="2"/>
    <x v="15"/>
    <x v="7"/>
    <x v="2"/>
    <x v="7"/>
    <x v="13"/>
    <x v="0"/>
    <x v="5"/>
    <x v="9"/>
    <x v="21"/>
    <x v="23"/>
    <x v="1"/>
    <x v="6"/>
    <x v="7"/>
  </r>
  <r>
    <x v="139"/>
    <x v="81"/>
    <x v="1"/>
    <x v="0"/>
    <x v="6"/>
    <x v="0"/>
    <x v="2"/>
    <x v="5"/>
    <x v="1"/>
    <x v="4"/>
    <x v="196"/>
    <x v="1"/>
    <x v="49"/>
    <x v="69"/>
    <x v="8"/>
    <x v="11"/>
    <x v="3"/>
    <x v="11"/>
    <x v="10"/>
    <x v="9"/>
    <x v="2"/>
    <x v="15"/>
    <x v="7"/>
    <x v="2"/>
    <x v="7"/>
    <x v="13"/>
    <x v="0"/>
    <x v="5"/>
    <x v="9"/>
    <x v="21"/>
    <x v="23"/>
    <x v="1"/>
    <x v="6"/>
    <x v="7"/>
  </r>
  <r>
    <x v="140"/>
    <x v="82"/>
    <x v="1"/>
    <x v="0"/>
    <x v="6"/>
    <x v="0"/>
    <x v="2"/>
    <x v="5"/>
    <x v="1"/>
    <x v="4"/>
    <x v="346"/>
    <x v="1"/>
    <x v="152"/>
    <x v="69"/>
    <x v="23"/>
    <x v="11"/>
    <x v="5"/>
    <x v="11"/>
    <x v="10"/>
    <x v="9"/>
    <x v="2"/>
    <x v="15"/>
    <x v="7"/>
    <x v="2"/>
    <x v="7"/>
    <x v="13"/>
    <x v="0"/>
    <x v="5"/>
    <x v="9"/>
    <x v="21"/>
    <x v="23"/>
    <x v="1"/>
    <x v="6"/>
    <x v="7"/>
  </r>
  <r>
    <x v="141"/>
    <x v="83"/>
    <x v="1"/>
    <x v="0"/>
    <x v="6"/>
    <x v="0"/>
    <x v="2"/>
    <x v="5"/>
    <x v="1"/>
    <x v="4"/>
    <x v="23"/>
    <x v="1"/>
    <x v="105"/>
    <x v="79"/>
    <x v="45"/>
    <x v="21"/>
    <x v="25"/>
    <x v="11"/>
    <x v="9"/>
    <x v="9"/>
    <x v="2"/>
    <x v="15"/>
    <x v="7"/>
    <x v="2"/>
    <x v="7"/>
    <x v="13"/>
    <x v="0"/>
    <x v="5"/>
    <x v="9"/>
    <x v="21"/>
    <x v="23"/>
    <x v="1"/>
    <x v="6"/>
    <x v="7"/>
  </r>
  <r>
    <x v="142"/>
    <x v="84"/>
    <x v="1"/>
    <x v="0"/>
    <x v="6"/>
    <x v="0"/>
    <x v="2"/>
    <x v="5"/>
    <x v="1"/>
    <x v="4"/>
    <x v="34"/>
    <x v="1"/>
    <x v="289"/>
    <x v="71"/>
    <x v="8"/>
    <x v="37"/>
    <x v="0"/>
    <x v="12"/>
    <x v="22"/>
    <x v="9"/>
    <x v="2"/>
    <x v="15"/>
    <x v="7"/>
    <x v="2"/>
    <x v="7"/>
    <x v="13"/>
    <x v="0"/>
    <x v="5"/>
    <x v="9"/>
    <x v="21"/>
    <x v="23"/>
    <x v="1"/>
    <x v="6"/>
    <x v="7"/>
  </r>
  <r>
    <x v="143"/>
    <x v="85"/>
    <x v="1"/>
    <x v="0"/>
    <x v="6"/>
    <x v="0"/>
    <x v="2"/>
    <x v="5"/>
    <x v="1"/>
    <x v="4"/>
    <x v="173"/>
    <x v="1"/>
    <x v="208"/>
    <x v="72"/>
    <x v="16"/>
    <x v="56"/>
    <x v="0"/>
    <x v="12"/>
    <x v="23"/>
    <x v="9"/>
    <x v="2"/>
    <x v="15"/>
    <x v="7"/>
    <x v="2"/>
    <x v="7"/>
    <x v="13"/>
    <x v="0"/>
    <x v="5"/>
    <x v="9"/>
    <x v="21"/>
    <x v="23"/>
    <x v="1"/>
    <x v="6"/>
    <x v="7"/>
  </r>
  <r>
    <x v="144"/>
    <x v="86"/>
    <x v="1"/>
    <x v="0"/>
    <x v="6"/>
    <x v="0"/>
    <x v="2"/>
    <x v="5"/>
    <x v="1"/>
    <x v="4"/>
    <x v="199"/>
    <x v="1"/>
    <x v="77"/>
    <x v="69"/>
    <x v="16"/>
    <x v="14"/>
    <x v="8"/>
    <x v="11"/>
    <x v="11"/>
    <x v="9"/>
    <x v="2"/>
    <x v="15"/>
    <x v="7"/>
    <x v="2"/>
    <x v="7"/>
    <x v="13"/>
    <x v="0"/>
    <x v="5"/>
    <x v="9"/>
    <x v="21"/>
    <x v="23"/>
    <x v="1"/>
    <x v="6"/>
    <x v="7"/>
  </r>
  <r>
    <x v="145"/>
    <x v="87"/>
    <x v="1"/>
    <x v="0"/>
    <x v="6"/>
    <x v="0"/>
    <x v="2"/>
    <x v="5"/>
    <x v="1"/>
    <x v="4"/>
    <x v="162"/>
    <x v="1"/>
    <x v="283"/>
    <x v="80"/>
    <x v="16"/>
    <x v="37"/>
    <x v="0"/>
    <x v="12"/>
    <x v="23"/>
    <x v="9"/>
    <x v="2"/>
    <x v="15"/>
    <x v="7"/>
    <x v="2"/>
    <x v="7"/>
    <x v="13"/>
    <x v="0"/>
    <x v="5"/>
    <x v="9"/>
    <x v="21"/>
    <x v="23"/>
    <x v="1"/>
    <x v="6"/>
    <x v="7"/>
  </r>
  <r>
    <x v="146"/>
    <x v="88"/>
    <x v="1"/>
    <x v="0"/>
    <x v="6"/>
    <x v="0"/>
    <x v="2"/>
    <x v="5"/>
    <x v="1"/>
    <x v="4"/>
    <x v="160"/>
    <x v="1"/>
    <x v="235"/>
    <x v="69"/>
    <x v="2"/>
    <x v="14"/>
    <x v="6"/>
    <x v="11"/>
    <x v="11"/>
    <x v="9"/>
    <x v="2"/>
    <x v="15"/>
    <x v="7"/>
    <x v="2"/>
    <x v="7"/>
    <x v="13"/>
    <x v="0"/>
    <x v="5"/>
    <x v="9"/>
    <x v="21"/>
    <x v="23"/>
    <x v="1"/>
    <x v="6"/>
    <x v="7"/>
  </r>
  <r>
    <x v="147"/>
    <x v="89"/>
    <x v="1"/>
    <x v="0"/>
    <x v="6"/>
    <x v="0"/>
    <x v="2"/>
    <x v="5"/>
    <x v="1"/>
    <x v="4"/>
    <x v="86"/>
    <x v="1"/>
    <x v="135"/>
    <x v="69"/>
    <x v="4"/>
    <x v="11"/>
    <x v="4"/>
    <x v="11"/>
    <x v="10"/>
    <x v="9"/>
    <x v="2"/>
    <x v="15"/>
    <x v="7"/>
    <x v="2"/>
    <x v="7"/>
    <x v="13"/>
    <x v="0"/>
    <x v="5"/>
    <x v="9"/>
    <x v="21"/>
    <x v="23"/>
    <x v="1"/>
    <x v="6"/>
    <x v="7"/>
  </r>
  <r>
    <x v="148"/>
    <x v="90"/>
    <x v="1"/>
    <x v="0"/>
    <x v="6"/>
    <x v="0"/>
    <x v="2"/>
    <x v="5"/>
    <x v="1"/>
    <x v="4"/>
    <x v="184"/>
    <x v="1"/>
    <x v="168"/>
    <x v="69"/>
    <x v="12"/>
    <x v="11"/>
    <x v="4"/>
    <x v="11"/>
    <x v="10"/>
    <x v="9"/>
    <x v="2"/>
    <x v="15"/>
    <x v="7"/>
    <x v="2"/>
    <x v="7"/>
    <x v="13"/>
    <x v="0"/>
    <x v="5"/>
    <x v="9"/>
    <x v="21"/>
    <x v="23"/>
    <x v="1"/>
    <x v="6"/>
    <x v="7"/>
  </r>
  <r>
    <x v="149"/>
    <x v="91"/>
    <x v="1"/>
    <x v="0"/>
    <x v="6"/>
    <x v="0"/>
    <x v="2"/>
    <x v="5"/>
    <x v="1"/>
    <x v="4"/>
    <x v="170"/>
    <x v="1"/>
    <x v="89"/>
    <x v="69"/>
    <x v="8"/>
    <x v="11"/>
    <x v="3"/>
    <x v="11"/>
    <x v="10"/>
    <x v="9"/>
    <x v="2"/>
    <x v="15"/>
    <x v="7"/>
    <x v="2"/>
    <x v="7"/>
    <x v="13"/>
    <x v="0"/>
    <x v="5"/>
    <x v="9"/>
    <x v="21"/>
    <x v="23"/>
    <x v="1"/>
    <x v="6"/>
    <x v="7"/>
  </r>
  <r>
    <x v="150"/>
    <x v="92"/>
    <x v="1"/>
    <x v="0"/>
    <x v="6"/>
    <x v="0"/>
    <x v="2"/>
    <x v="5"/>
    <x v="1"/>
    <x v="4"/>
    <x v="193"/>
    <x v="1"/>
    <x v="36"/>
    <x v="71"/>
    <x v="16"/>
    <x v="37"/>
    <x v="0"/>
    <x v="12"/>
    <x v="23"/>
    <x v="9"/>
    <x v="2"/>
    <x v="15"/>
    <x v="7"/>
    <x v="2"/>
    <x v="7"/>
    <x v="13"/>
    <x v="0"/>
    <x v="5"/>
    <x v="9"/>
    <x v="21"/>
    <x v="23"/>
    <x v="1"/>
    <x v="6"/>
    <x v="7"/>
  </r>
  <r>
    <x v="151"/>
    <x v="93"/>
    <x v="1"/>
    <x v="0"/>
    <x v="6"/>
    <x v="0"/>
    <x v="2"/>
    <x v="5"/>
    <x v="1"/>
    <x v="4"/>
    <x v="208"/>
    <x v="1"/>
    <x v="134"/>
    <x v="69"/>
    <x v="33"/>
    <x v="11"/>
    <x v="5"/>
    <x v="11"/>
    <x v="10"/>
    <x v="9"/>
    <x v="2"/>
    <x v="15"/>
    <x v="7"/>
    <x v="2"/>
    <x v="7"/>
    <x v="13"/>
    <x v="0"/>
    <x v="5"/>
    <x v="9"/>
    <x v="21"/>
    <x v="23"/>
    <x v="1"/>
    <x v="6"/>
    <x v="7"/>
  </r>
  <r>
    <x v="152"/>
    <x v="94"/>
    <x v="1"/>
    <x v="0"/>
    <x v="6"/>
    <x v="0"/>
    <x v="2"/>
    <x v="5"/>
    <x v="1"/>
    <x v="4"/>
    <x v="38"/>
    <x v="1"/>
    <x v="48"/>
    <x v="71"/>
    <x v="16"/>
    <x v="56"/>
    <x v="0"/>
    <x v="12"/>
    <x v="23"/>
    <x v="9"/>
    <x v="2"/>
    <x v="15"/>
    <x v="7"/>
    <x v="2"/>
    <x v="7"/>
    <x v="13"/>
    <x v="0"/>
    <x v="5"/>
    <x v="9"/>
    <x v="21"/>
    <x v="23"/>
    <x v="1"/>
    <x v="6"/>
    <x v="7"/>
  </r>
  <r>
    <x v="153"/>
    <x v="95"/>
    <x v="1"/>
    <x v="0"/>
    <x v="6"/>
    <x v="0"/>
    <x v="2"/>
    <x v="5"/>
    <x v="1"/>
    <x v="4"/>
    <x v="251"/>
    <x v="1"/>
    <x v="338"/>
    <x v="69"/>
    <x v="2"/>
    <x v="14"/>
    <x v="6"/>
    <x v="11"/>
    <x v="11"/>
    <x v="9"/>
    <x v="2"/>
    <x v="15"/>
    <x v="7"/>
    <x v="2"/>
    <x v="7"/>
    <x v="13"/>
    <x v="0"/>
    <x v="5"/>
    <x v="9"/>
    <x v="21"/>
    <x v="23"/>
    <x v="1"/>
    <x v="6"/>
    <x v="7"/>
  </r>
  <r>
    <x v="154"/>
    <x v="96"/>
    <x v="1"/>
    <x v="0"/>
    <x v="6"/>
    <x v="0"/>
    <x v="2"/>
    <x v="5"/>
    <x v="1"/>
    <x v="4"/>
    <x v="65"/>
    <x v="1"/>
    <x v="165"/>
    <x v="40"/>
    <x v="52"/>
    <x v="11"/>
    <x v="4"/>
    <x v="11"/>
    <x v="10"/>
    <x v="9"/>
    <x v="2"/>
    <x v="15"/>
    <x v="7"/>
    <x v="2"/>
    <x v="7"/>
    <x v="13"/>
    <x v="0"/>
    <x v="5"/>
    <x v="9"/>
    <x v="21"/>
    <x v="23"/>
    <x v="1"/>
    <x v="6"/>
    <x v="7"/>
  </r>
  <r>
    <x v="155"/>
    <x v="97"/>
    <x v="1"/>
    <x v="0"/>
    <x v="6"/>
    <x v="0"/>
    <x v="2"/>
    <x v="5"/>
    <x v="1"/>
    <x v="4"/>
    <x v="68"/>
    <x v="1"/>
    <x v="232"/>
    <x v="69"/>
    <x v="16"/>
    <x v="14"/>
    <x v="8"/>
    <x v="11"/>
    <x v="11"/>
    <x v="9"/>
    <x v="2"/>
    <x v="15"/>
    <x v="7"/>
    <x v="2"/>
    <x v="7"/>
    <x v="13"/>
    <x v="0"/>
    <x v="5"/>
    <x v="9"/>
    <x v="21"/>
    <x v="23"/>
    <x v="1"/>
    <x v="6"/>
    <x v="7"/>
  </r>
  <r>
    <x v="156"/>
    <x v="98"/>
    <x v="1"/>
    <x v="0"/>
    <x v="6"/>
    <x v="0"/>
    <x v="2"/>
    <x v="5"/>
    <x v="1"/>
    <x v="4"/>
    <x v="35"/>
    <x v="1"/>
    <x v="347"/>
    <x v="69"/>
    <x v="12"/>
    <x v="11"/>
    <x v="4"/>
    <x v="11"/>
    <x v="10"/>
    <x v="9"/>
    <x v="2"/>
    <x v="15"/>
    <x v="7"/>
    <x v="2"/>
    <x v="7"/>
    <x v="13"/>
    <x v="0"/>
    <x v="5"/>
    <x v="9"/>
    <x v="21"/>
    <x v="23"/>
    <x v="1"/>
    <x v="6"/>
    <x v="7"/>
  </r>
  <r>
    <x v="157"/>
    <x v="99"/>
    <x v="1"/>
    <x v="0"/>
    <x v="6"/>
    <x v="0"/>
    <x v="2"/>
    <x v="5"/>
    <x v="1"/>
    <x v="4"/>
    <x v="211"/>
    <x v="1"/>
    <x v="156"/>
    <x v="69"/>
    <x v="8"/>
    <x v="11"/>
    <x v="3"/>
    <x v="11"/>
    <x v="10"/>
    <x v="9"/>
    <x v="2"/>
    <x v="15"/>
    <x v="7"/>
    <x v="2"/>
    <x v="7"/>
    <x v="13"/>
    <x v="0"/>
    <x v="5"/>
    <x v="9"/>
    <x v="21"/>
    <x v="23"/>
    <x v="1"/>
    <x v="6"/>
    <x v="7"/>
  </r>
  <r>
    <x v="158"/>
    <x v="100"/>
    <x v="1"/>
    <x v="0"/>
    <x v="6"/>
    <x v="0"/>
    <x v="2"/>
    <x v="5"/>
    <x v="1"/>
    <x v="4"/>
    <x v="284"/>
    <x v="1"/>
    <x v="122"/>
    <x v="79"/>
    <x v="12"/>
    <x v="21"/>
    <x v="25"/>
    <x v="21"/>
    <x v="15"/>
    <x v="9"/>
    <x v="2"/>
    <x v="15"/>
    <x v="7"/>
    <x v="2"/>
    <x v="7"/>
    <x v="13"/>
    <x v="0"/>
    <x v="5"/>
    <x v="9"/>
    <x v="21"/>
    <x v="23"/>
    <x v="1"/>
    <x v="6"/>
    <x v="7"/>
  </r>
  <r>
    <x v="159"/>
    <x v="101"/>
    <x v="1"/>
    <x v="0"/>
    <x v="6"/>
    <x v="0"/>
    <x v="2"/>
    <x v="5"/>
    <x v="1"/>
    <x v="4"/>
    <x v="322"/>
    <x v="1"/>
    <x v="28"/>
    <x v="69"/>
    <x v="20"/>
    <x v="11"/>
    <x v="14"/>
    <x v="11"/>
    <x v="10"/>
    <x v="9"/>
    <x v="2"/>
    <x v="15"/>
    <x v="7"/>
    <x v="2"/>
    <x v="7"/>
    <x v="13"/>
    <x v="0"/>
    <x v="5"/>
    <x v="9"/>
    <x v="21"/>
    <x v="23"/>
    <x v="1"/>
    <x v="6"/>
    <x v="7"/>
  </r>
  <r>
    <x v="160"/>
    <x v="72"/>
    <x v="14"/>
    <x v="1"/>
    <x v="7"/>
    <x v="4"/>
    <x v="9"/>
    <x v="5"/>
    <x v="1"/>
    <x v="4"/>
    <x v="53"/>
    <x v="1"/>
    <x v="258"/>
    <x v="74"/>
    <x v="16"/>
    <x v="4"/>
    <x v="0"/>
    <x v="0"/>
    <x v="45"/>
    <x v="10"/>
    <x v="21"/>
    <x v="13"/>
    <x v="32"/>
    <x v="20"/>
    <x v="29"/>
    <x v="14"/>
    <x v="0"/>
    <x v="23"/>
    <x v="10"/>
    <x v="20"/>
    <x v="22"/>
    <x v="1"/>
    <x v="33"/>
    <x v="32"/>
  </r>
  <r>
    <x v="161"/>
    <x v="14"/>
    <x v="18"/>
    <x v="0"/>
    <x v="12"/>
    <x v="3"/>
    <x v="10"/>
    <x v="5"/>
    <x v="1"/>
    <x v="4"/>
    <x v="231"/>
    <x v="1"/>
    <x v="285"/>
    <x v="19"/>
    <x v="16"/>
    <x v="51"/>
    <x v="0"/>
    <x v="18"/>
    <x v="27"/>
    <x v="5"/>
    <x v="27"/>
    <x v="6"/>
    <x v="38"/>
    <x v="29"/>
    <x v="38"/>
    <x v="15"/>
    <x v="0"/>
    <x v="8"/>
    <x v="13"/>
    <x v="25"/>
    <x v="27"/>
    <x v="1"/>
    <x v="42"/>
    <x v="38"/>
  </r>
  <r>
    <x v="162"/>
    <x v="15"/>
    <x v="3"/>
    <x v="1"/>
    <x v="3"/>
    <x v="2"/>
    <x v="0"/>
    <x v="5"/>
    <x v="1"/>
    <x v="4"/>
    <x v="78"/>
    <x v="1"/>
    <x v="129"/>
    <x v="77"/>
    <x v="16"/>
    <x v="30"/>
    <x v="0"/>
    <x v="23"/>
    <x v="6"/>
    <x v="6"/>
    <x v="17"/>
    <x v="15"/>
    <x v="30"/>
    <x v="17"/>
    <x v="26"/>
    <x v="16"/>
    <x v="0"/>
    <x v="5"/>
    <x v="12"/>
    <x v="24"/>
    <x v="26"/>
    <x v="1"/>
    <x v="30"/>
    <x v="30"/>
  </r>
  <r>
    <x v="163"/>
    <x v="145"/>
    <x v="2"/>
    <x v="1"/>
    <x v="3"/>
    <x v="2"/>
    <x v="0"/>
    <x v="5"/>
    <x v="1"/>
    <x v="4"/>
    <x v="363"/>
    <x v="1"/>
    <x v="66"/>
    <x v="44"/>
    <x v="8"/>
    <x v="41"/>
    <x v="0"/>
    <x v="12"/>
    <x v="22"/>
    <x v="8"/>
    <x v="11"/>
    <x v="3"/>
    <x v="18"/>
    <x v="14"/>
    <x v="24"/>
    <x v="17"/>
    <x v="0"/>
    <x v="11"/>
    <x v="14"/>
    <x v="25"/>
    <x v="27"/>
    <x v="1"/>
    <x v="27"/>
    <x v="18"/>
  </r>
  <r>
    <x v="164"/>
    <x v="34"/>
    <x v="2"/>
    <x v="1"/>
    <x v="3"/>
    <x v="2"/>
    <x v="0"/>
    <x v="5"/>
    <x v="1"/>
    <x v="4"/>
    <x v="206"/>
    <x v="1"/>
    <x v="369"/>
    <x v="23"/>
    <x v="28"/>
    <x v="52"/>
    <x v="2"/>
    <x v="23"/>
    <x v="2"/>
    <x v="8"/>
    <x v="14"/>
    <x v="15"/>
    <x v="17"/>
    <x v="13"/>
    <x v="21"/>
    <x v="49"/>
    <x v="0"/>
    <x v="5"/>
    <x v="13"/>
    <x v="25"/>
    <x v="27"/>
    <x v="1"/>
    <x v="26"/>
    <x v="17"/>
  </r>
  <r>
    <x v="165"/>
    <x v="33"/>
    <x v="2"/>
    <x v="1"/>
    <x v="3"/>
    <x v="2"/>
    <x v="0"/>
    <x v="5"/>
    <x v="1"/>
    <x v="4"/>
    <x v="5"/>
    <x v="1"/>
    <x v="194"/>
    <x v="53"/>
    <x v="16"/>
    <x v="22"/>
    <x v="25"/>
    <x v="12"/>
    <x v="21"/>
    <x v="8"/>
    <x v="14"/>
    <x v="15"/>
    <x v="17"/>
    <x v="13"/>
    <x v="21"/>
    <x v="49"/>
    <x v="0"/>
    <x v="5"/>
    <x v="13"/>
    <x v="25"/>
    <x v="27"/>
    <x v="1"/>
    <x v="26"/>
    <x v="17"/>
  </r>
  <r>
    <x v="166"/>
    <x v="208"/>
    <x v="9"/>
    <x v="1"/>
    <x v="1"/>
    <x v="1"/>
    <x v="5"/>
    <x v="6"/>
    <x v="2"/>
    <x v="4"/>
    <x v="248"/>
    <x v="1"/>
    <x v="238"/>
    <x v="41"/>
    <x v="39"/>
    <x v="56"/>
    <x v="0"/>
    <x v="12"/>
    <x v="23"/>
    <x v="8"/>
    <x v="5"/>
    <x v="0"/>
    <x v="15"/>
    <x v="8"/>
    <x v="14"/>
    <x v="25"/>
    <x v="0"/>
    <x v="12"/>
    <x v="17"/>
    <x v="26"/>
    <x v="28"/>
    <x v="2"/>
    <x v="16"/>
    <x v="15"/>
  </r>
  <r>
    <x v="167"/>
    <x v="207"/>
    <x v="9"/>
    <x v="1"/>
    <x v="1"/>
    <x v="1"/>
    <x v="5"/>
    <x v="6"/>
    <x v="2"/>
    <x v="4"/>
    <x v="88"/>
    <x v="1"/>
    <x v="196"/>
    <x v="41"/>
    <x v="16"/>
    <x v="56"/>
    <x v="0"/>
    <x v="12"/>
    <x v="23"/>
    <x v="8"/>
    <x v="5"/>
    <x v="0"/>
    <x v="15"/>
    <x v="8"/>
    <x v="14"/>
    <x v="25"/>
    <x v="0"/>
    <x v="12"/>
    <x v="17"/>
    <x v="26"/>
    <x v="28"/>
    <x v="2"/>
    <x v="16"/>
    <x v="15"/>
  </r>
  <r>
    <x v="168"/>
    <x v="209"/>
    <x v="9"/>
    <x v="1"/>
    <x v="1"/>
    <x v="1"/>
    <x v="5"/>
    <x v="6"/>
    <x v="2"/>
    <x v="4"/>
    <x v="357"/>
    <x v="1"/>
    <x v="264"/>
    <x v="56"/>
    <x v="16"/>
    <x v="49"/>
    <x v="0"/>
    <x v="22"/>
    <x v="15"/>
    <x v="8"/>
    <x v="5"/>
    <x v="0"/>
    <x v="15"/>
    <x v="8"/>
    <x v="14"/>
    <x v="25"/>
    <x v="0"/>
    <x v="12"/>
    <x v="17"/>
    <x v="26"/>
    <x v="28"/>
    <x v="2"/>
    <x v="16"/>
    <x v="15"/>
  </r>
  <r>
    <x v="169"/>
    <x v="329"/>
    <x v="9"/>
    <x v="1"/>
    <x v="1"/>
    <x v="1"/>
    <x v="5"/>
    <x v="6"/>
    <x v="2"/>
    <x v="4"/>
    <x v="135"/>
    <x v="1"/>
    <x v="21"/>
    <x v="36"/>
    <x v="16"/>
    <x v="7"/>
    <x v="0"/>
    <x v="25"/>
    <x v="39"/>
    <x v="8"/>
    <x v="5"/>
    <x v="0"/>
    <x v="13"/>
    <x v="8"/>
    <x v="17"/>
    <x v="39"/>
    <x v="0"/>
    <x v="12"/>
    <x v="21"/>
    <x v="32"/>
    <x v="34"/>
    <x v="2"/>
    <x v="20"/>
    <x v="13"/>
  </r>
  <r>
    <x v="170"/>
    <x v="328"/>
    <x v="10"/>
    <x v="1"/>
    <x v="1"/>
    <x v="1"/>
    <x v="5"/>
    <x v="6"/>
    <x v="2"/>
    <x v="4"/>
    <x v="203"/>
    <x v="1"/>
    <x v="315"/>
    <x v="29"/>
    <x v="16"/>
    <x v="46"/>
    <x v="0"/>
    <x v="6"/>
    <x v="1"/>
    <x v="6"/>
    <x v="10"/>
    <x v="0"/>
    <x v="25"/>
    <x v="16"/>
    <x v="20"/>
    <x v="43"/>
    <x v="0"/>
    <x v="12"/>
    <x v="21"/>
    <x v="32"/>
    <x v="34"/>
    <x v="2"/>
    <x v="23"/>
    <x v="25"/>
  </r>
  <r>
    <x v="171"/>
    <x v="196"/>
    <x v="11"/>
    <x v="1"/>
    <x v="0"/>
    <x v="1"/>
    <x v="1"/>
    <x v="6"/>
    <x v="2"/>
    <x v="4"/>
    <x v="9"/>
    <x v="1"/>
    <x v="54"/>
    <x v="71"/>
    <x v="16"/>
    <x v="56"/>
    <x v="0"/>
    <x v="13"/>
    <x v="23"/>
    <x v="9"/>
    <x v="0"/>
    <x v="0"/>
    <x v="0"/>
    <x v="0"/>
    <x v="4"/>
    <x v="45"/>
    <x v="0"/>
    <x v="12"/>
    <x v="19"/>
    <x v="28"/>
    <x v="30"/>
    <x v="2"/>
    <x v="3"/>
    <x v="0"/>
  </r>
  <r>
    <x v="172"/>
    <x v="197"/>
    <x v="11"/>
    <x v="1"/>
    <x v="0"/>
    <x v="1"/>
    <x v="1"/>
    <x v="6"/>
    <x v="2"/>
    <x v="4"/>
    <x v="203"/>
    <x v="1"/>
    <x v="372"/>
    <x v="72"/>
    <x v="16"/>
    <x v="41"/>
    <x v="0"/>
    <x v="12"/>
    <x v="21"/>
    <x v="9"/>
    <x v="0"/>
    <x v="0"/>
    <x v="0"/>
    <x v="0"/>
    <x v="4"/>
    <x v="45"/>
    <x v="0"/>
    <x v="12"/>
    <x v="19"/>
    <x v="28"/>
    <x v="30"/>
    <x v="2"/>
    <x v="3"/>
    <x v="0"/>
  </r>
  <r>
    <x v="173"/>
    <x v="198"/>
    <x v="11"/>
    <x v="1"/>
    <x v="0"/>
    <x v="1"/>
    <x v="1"/>
    <x v="6"/>
    <x v="2"/>
    <x v="4"/>
    <x v="239"/>
    <x v="1"/>
    <x v="247"/>
    <x v="79"/>
    <x v="11"/>
    <x v="18"/>
    <x v="25"/>
    <x v="11"/>
    <x v="9"/>
    <x v="9"/>
    <x v="0"/>
    <x v="0"/>
    <x v="0"/>
    <x v="0"/>
    <x v="4"/>
    <x v="45"/>
    <x v="0"/>
    <x v="12"/>
    <x v="19"/>
    <x v="28"/>
    <x v="30"/>
    <x v="2"/>
    <x v="3"/>
    <x v="0"/>
  </r>
  <r>
    <x v="174"/>
    <x v="199"/>
    <x v="11"/>
    <x v="1"/>
    <x v="0"/>
    <x v="1"/>
    <x v="1"/>
    <x v="6"/>
    <x v="2"/>
    <x v="4"/>
    <x v="29"/>
    <x v="1"/>
    <x v="254"/>
    <x v="79"/>
    <x v="39"/>
    <x v="19"/>
    <x v="25"/>
    <x v="17"/>
    <x v="15"/>
    <x v="9"/>
    <x v="0"/>
    <x v="0"/>
    <x v="0"/>
    <x v="0"/>
    <x v="4"/>
    <x v="45"/>
    <x v="0"/>
    <x v="12"/>
    <x v="19"/>
    <x v="28"/>
    <x v="30"/>
    <x v="2"/>
    <x v="3"/>
    <x v="0"/>
  </r>
  <r>
    <x v="175"/>
    <x v="200"/>
    <x v="11"/>
    <x v="1"/>
    <x v="0"/>
    <x v="1"/>
    <x v="1"/>
    <x v="6"/>
    <x v="2"/>
    <x v="4"/>
    <x v="336"/>
    <x v="1"/>
    <x v="169"/>
    <x v="69"/>
    <x v="30"/>
    <x v="11"/>
    <x v="4"/>
    <x v="11"/>
    <x v="10"/>
    <x v="9"/>
    <x v="0"/>
    <x v="0"/>
    <x v="0"/>
    <x v="0"/>
    <x v="4"/>
    <x v="45"/>
    <x v="0"/>
    <x v="12"/>
    <x v="19"/>
    <x v="28"/>
    <x v="30"/>
    <x v="2"/>
    <x v="3"/>
    <x v="0"/>
  </r>
  <r>
    <x v="176"/>
    <x v="201"/>
    <x v="11"/>
    <x v="1"/>
    <x v="0"/>
    <x v="1"/>
    <x v="1"/>
    <x v="6"/>
    <x v="2"/>
    <x v="4"/>
    <x v="257"/>
    <x v="1"/>
    <x v="120"/>
    <x v="83"/>
    <x v="12"/>
    <x v="38"/>
    <x v="0"/>
    <x v="8"/>
    <x v="0"/>
    <x v="9"/>
    <x v="0"/>
    <x v="0"/>
    <x v="0"/>
    <x v="0"/>
    <x v="4"/>
    <x v="45"/>
    <x v="0"/>
    <x v="12"/>
    <x v="19"/>
    <x v="28"/>
    <x v="30"/>
    <x v="2"/>
    <x v="3"/>
    <x v="0"/>
  </r>
  <r>
    <x v="177"/>
    <x v="202"/>
    <x v="11"/>
    <x v="1"/>
    <x v="0"/>
    <x v="1"/>
    <x v="1"/>
    <x v="6"/>
    <x v="2"/>
    <x v="4"/>
    <x v="194"/>
    <x v="1"/>
    <x v="30"/>
    <x v="62"/>
    <x v="16"/>
    <x v="14"/>
    <x v="6"/>
    <x v="11"/>
    <x v="11"/>
    <x v="9"/>
    <x v="0"/>
    <x v="0"/>
    <x v="0"/>
    <x v="0"/>
    <x v="4"/>
    <x v="45"/>
    <x v="0"/>
    <x v="12"/>
    <x v="19"/>
    <x v="28"/>
    <x v="30"/>
    <x v="2"/>
    <x v="3"/>
    <x v="0"/>
  </r>
  <r>
    <x v="178"/>
    <x v="203"/>
    <x v="11"/>
    <x v="1"/>
    <x v="0"/>
    <x v="1"/>
    <x v="1"/>
    <x v="6"/>
    <x v="2"/>
    <x v="4"/>
    <x v="64"/>
    <x v="1"/>
    <x v="75"/>
    <x v="69"/>
    <x v="48"/>
    <x v="14"/>
    <x v="9"/>
    <x v="11"/>
    <x v="11"/>
    <x v="9"/>
    <x v="0"/>
    <x v="0"/>
    <x v="0"/>
    <x v="0"/>
    <x v="4"/>
    <x v="45"/>
    <x v="0"/>
    <x v="12"/>
    <x v="19"/>
    <x v="28"/>
    <x v="30"/>
    <x v="2"/>
    <x v="3"/>
    <x v="0"/>
  </r>
  <r>
    <x v="179"/>
    <x v="204"/>
    <x v="11"/>
    <x v="1"/>
    <x v="0"/>
    <x v="1"/>
    <x v="1"/>
    <x v="6"/>
    <x v="2"/>
    <x v="4"/>
    <x v="259"/>
    <x v="1"/>
    <x v="360"/>
    <x v="69"/>
    <x v="48"/>
    <x v="14"/>
    <x v="8"/>
    <x v="11"/>
    <x v="11"/>
    <x v="9"/>
    <x v="0"/>
    <x v="0"/>
    <x v="0"/>
    <x v="0"/>
    <x v="4"/>
    <x v="45"/>
    <x v="0"/>
    <x v="12"/>
    <x v="19"/>
    <x v="28"/>
    <x v="30"/>
    <x v="2"/>
    <x v="3"/>
    <x v="0"/>
  </r>
  <r>
    <x v="180"/>
    <x v="282"/>
    <x v="11"/>
    <x v="1"/>
    <x v="0"/>
    <x v="1"/>
    <x v="1"/>
    <x v="6"/>
    <x v="2"/>
    <x v="4"/>
    <x v="84"/>
    <x v="1"/>
    <x v="76"/>
    <x v="71"/>
    <x v="16"/>
    <x v="56"/>
    <x v="0"/>
    <x v="12"/>
    <x v="23"/>
    <x v="9"/>
    <x v="0"/>
    <x v="0"/>
    <x v="0"/>
    <x v="0"/>
    <x v="4"/>
    <x v="45"/>
    <x v="0"/>
    <x v="12"/>
    <x v="19"/>
    <x v="28"/>
    <x v="30"/>
    <x v="2"/>
    <x v="3"/>
    <x v="0"/>
  </r>
  <r>
    <x v="181"/>
    <x v="283"/>
    <x v="11"/>
    <x v="1"/>
    <x v="0"/>
    <x v="1"/>
    <x v="1"/>
    <x v="6"/>
    <x v="2"/>
    <x v="4"/>
    <x v="36"/>
    <x v="1"/>
    <x v="366"/>
    <x v="69"/>
    <x v="22"/>
    <x v="13"/>
    <x v="12"/>
    <x v="11"/>
    <x v="12"/>
    <x v="9"/>
    <x v="0"/>
    <x v="0"/>
    <x v="0"/>
    <x v="0"/>
    <x v="4"/>
    <x v="45"/>
    <x v="0"/>
    <x v="12"/>
    <x v="19"/>
    <x v="28"/>
    <x v="30"/>
    <x v="2"/>
    <x v="3"/>
    <x v="0"/>
  </r>
  <r>
    <x v="182"/>
    <x v="284"/>
    <x v="11"/>
    <x v="1"/>
    <x v="0"/>
    <x v="1"/>
    <x v="1"/>
    <x v="6"/>
    <x v="2"/>
    <x v="4"/>
    <x v="153"/>
    <x v="1"/>
    <x v="346"/>
    <x v="69"/>
    <x v="27"/>
    <x v="14"/>
    <x v="19"/>
    <x v="11"/>
    <x v="11"/>
    <x v="9"/>
    <x v="0"/>
    <x v="0"/>
    <x v="0"/>
    <x v="0"/>
    <x v="4"/>
    <x v="45"/>
    <x v="0"/>
    <x v="12"/>
    <x v="19"/>
    <x v="28"/>
    <x v="30"/>
    <x v="2"/>
    <x v="3"/>
    <x v="0"/>
  </r>
  <r>
    <x v="183"/>
    <x v="285"/>
    <x v="11"/>
    <x v="1"/>
    <x v="0"/>
    <x v="1"/>
    <x v="1"/>
    <x v="6"/>
    <x v="2"/>
    <x v="4"/>
    <x v="313"/>
    <x v="1"/>
    <x v="179"/>
    <x v="69"/>
    <x v="48"/>
    <x v="14"/>
    <x v="9"/>
    <x v="11"/>
    <x v="11"/>
    <x v="9"/>
    <x v="0"/>
    <x v="0"/>
    <x v="0"/>
    <x v="0"/>
    <x v="4"/>
    <x v="45"/>
    <x v="0"/>
    <x v="12"/>
    <x v="19"/>
    <x v="28"/>
    <x v="30"/>
    <x v="2"/>
    <x v="3"/>
    <x v="0"/>
  </r>
  <r>
    <x v="184"/>
    <x v="286"/>
    <x v="11"/>
    <x v="1"/>
    <x v="0"/>
    <x v="1"/>
    <x v="1"/>
    <x v="6"/>
    <x v="2"/>
    <x v="4"/>
    <x v="320"/>
    <x v="1"/>
    <x v="358"/>
    <x v="62"/>
    <x v="41"/>
    <x v="13"/>
    <x v="13"/>
    <x v="11"/>
    <x v="12"/>
    <x v="9"/>
    <x v="0"/>
    <x v="0"/>
    <x v="0"/>
    <x v="0"/>
    <x v="4"/>
    <x v="45"/>
    <x v="0"/>
    <x v="12"/>
    <x v="19"/>
    <x v="28"/>
    <x v="30"/>
    <x v="2"/>
    <x v="3"/>
    <x v="0"/>
  </r>
  <r>
    <x v="185"/>
    <x v="287"/>
    <x v="11"/>
    <x v="1"/>
    <x v="0"/>
    <x v="1"/>
    <x v="1"/>
    <x v="6"/>
    <x v="2"/>
    <x v="4"/>
    <x v="24"/>
    <x v="1"/>
    <x v="368"/>
    <x v="83"/>
    <x v="28"/>
    <x v="40"/>
    <x v="0"/>
    <x v="8"/>
    <x v="0"/>
    <x v="9"/>
    <x v="0"/>
    <x v="0"/>
    <x v="0"/>
    <x v="0"/>
    <x v="4"/>
    <x v="45"/>
    <x v="0"/>
    <x v="12"/>
    <x v="19"/>
    <x v="28"/>
    <x v="30"/>
    <x v="2"/>
    <x v="3"/>
    <x v="0"/>
  </r>
  <r>
    <x v="186"/>
    <x v="288"/>
    <x v="11"/>
    <x v="1"/>
    <x v="0"/>
    <x v="1"/>
    <x v="1"/>
    <x v="6"/>
    <x v="2"/>
    <x v="4"/>
    <x v="90"/>
    <x v="1"/>
    <x v="213"/>
    <x v="69"/>
    <x v="39"/>
    <x v="10"/>
    <x v="20"/>
    <x v="11"/>
    <x v="14"/>
    <x v="9"/>
    <x v="0"/>
    <x v="0"/>
    <x v="0"/>
    <x v="0"/>
    <x v="4"/>
    <x v="45"/>
    <x v="0"/>
    <x v="12"/>
    <x v="19"/>
    <x v="28"/>
    <x v="30"/>
    <x v="2"/>
    <x v="3"/>
    <x v="0"/>
  </r>
  <r>
    <x v="187"/>
    <x v="289"/>
    <x v="11"/>
    <x v="1"/>
    <x v="0"/>
    <x v="1"/>
    <x v="1"/>
    <x v="6"/>
    <x v="2"/>
    <x v="4"/>
    <x v="348"/>
    <x v="1"/>
    <x v="309"/>
    <x v="69"/>
    <x v="27"/>
    <x v="14"/>
    <x v="19"/>
    <x v="21"/>
    <x v="11"/>
    <x v="9"/>
    <x v="0"/>
    <x v="0"/>
    <x v="0"/>
    <x v="0"/>
    <x v="4"/>
    <x v="45"/>
    <x v="0"/>
    <x v="12"/>
    <x v="19"/>
    <x v="28"/>
    <x v="30"/>
    <x v="2"/>
    <x v="3"/>
    <x v="0"/>
  </r>
  <r>
    <x v="188"/>
    <x v="290"/>
    <x v="11"/>
    <x v="1"/>
    <x v="0"/>
    <x v="1"/>
    <x v="1"/>
    <x v="6"/>
    <x v="2"/>
    <x v="4"/>
    <x v="356"/>
    <x v="1"/>
    <x v="244"/>
    <x v="71"/>
    <x v="47"/>
    <x v="56"/>
    <x v="0"/>
    <x v="12"/>
    <x v="23"/>
    <x v="9"/>
    <x v="0"/>
    <x v="0"/>
    <x v="0"/>
    <x v="0"/>
    <x v="4"/>
    <x v="45"/>
    <x v="0"/>
    <x v="12"/>
    <x v="19"/>
    <x v="28"/>
    <x v="30"/>
    <x v="2"/>
    <x v="3"/>
    <x v="0"/>
  </r>
  <r>
    <x v="189"/>
    <x v="291"/>
    <x v="11"/>
    <x v="1"/>
    <x v="0"/>
    <x v="1"/>
    <x v="1"/>
    <x v="6"/>
    <x v="2"/>
    <x v="4"/>
    <x v="214"/>
    <x v="1"/>
    <x v="117"/>
    <x v="69"/>
    <x v="24"/>
    <x v="11"/>
    <x v="5"/>
    <x v="11"/>
    <x v="10"/>
    <x v="9"/>
    <x v="0"/>
    <x v="0"/>
    <x v="0"/>
    <x v="0"/>
    <x v="4"/>
    <x v="45"/>
    <x v="0"/>
    <x v="12"/>
    <x v="19"/>
    <x v="28"/>
    <x v="30"/>
    <x v="2"/>
    <x v="3"/>
    <x v="0"/>
  </r>
  <r>
    <x v="190"/>
    <x v="292"/>
    <x v="11"/>
    <x v="1"/>
    <x v="0"/>
    <x v="1"/>
    <x v="1"/>
    <x v="6"/>
    <x v="2"/>
    <x v="4"/>
    <x v="175"/>
    <x v="1"/>
    <x v="170"/>
    <x v="69"/>
    <x v="34"/>
    <x v="12"/>
    <x v="0"/>
    <x v="12"/>
    <x v="25"/>
    <x v="9"/>
    <x v="0"/>
    <x v="0"/>
    <x v="0"/>
    <x v="0"/>
    <x v="4"/>
    <x v="45"/>
    <x v="0"/>
    <x v="12"/>
    <x v="19"/>
    <x v="28"/>
    <x v="30"/>
    <x v="2"/>
    <x v="3"/>
    <x v="0"/>
  </r>
  <r>
    <x v="191"/>
    <x v="293"/>
    <x v="11"/>
    <x v="1"/>
    <x v="0"/>
    <x v="1"/>
    <x v="1"/>
    <x v="6"/>
    <x v="2"/>
    <x v="4"/>
    <x v="301"/>
    <x v="1"/>
    <x v="220"/>
    <x v="69"/>
    <x v="39"/>
    <x v="14"/>
    <x v="19"/>
    <x v="11"/>
    <x v="11"/>
    <x v="9"/>
    <x v="0"/>
    <x v="0"/>
    <x v="0"/>
    <x v="0"/>
    <x v="4"/>
    <x v="45"/>
    <x v="0"/>
    <x v="12"/>
    <x v="19"/>
    <x v="28"/>
    <x v="30"/>
    <x v="2"/>
    <x v="3"/>
    <x v="0"/>
  </r>
  <r>
    <x v="192"/>
    <x v="294"/>
    <x v="11"/>
    <x v="1"/>
    <x v="0"/>
    <x v="1"/>
    <x v="1"/>
    <x v="6"/>
    <x v="2"/>
    <x v="4"/>
    <x v="298"/>
    <x v="1"/>
    <x v="217"/>
    <x v="69"/>
    <x v="11"/>
    <x v="10"/>
    <x v="22"/>
    <x v="11"/>
    <x v="14"/>
    <x v="9"/>
    <x v="0"/>
    <x v="0"/>
    <x v="0"/>
    <x v="0"/>
    <x v="4"/>
    <x v="45"/>
    <x v="0"/>
    <x v="12"/>
    <x v="19"/>
    <x v="28"/>
    <x v="30"/>
    <x v="2"/>
    <x v="3"/>
    <x v="0"/>
  </r>
  <r>
    <x v="193"/>
    <x v="222"/>
    <x v="11"/>
    <x v="1"/>
    <x v="0"/>
    <x v="1"/>
    <x v="1"/>
    <x v="6"/>
    <x v="2"/>
    <x v="4"/>
    <x v="77"/>
    <x v="1"/>
    <x v="137"/>
    <x v="71"/>
    <x v="8"/>
    <x v="37"/>
    <x v="0"/>
    <x v="12"/>
    <x v="22"/>
    <x v="9"/>
    <x v="0"/>
    <x v="0"/>
    <x v="3"/>
    <x v="0"/>
    <x v="3"/>
    <x v="46"/>
    <x v="0"/>
    <x v="12"/>
    <x v="24"/>
    <x v="34"/>
    <x v="36"/>
    <x v="2"/>
    <x v="2"/>
    <x v="3"/>
  </r>
  <r>
    <x v="194"/>
    <x v="223"/>
    <x v="11"/>
    <x v="1"/>
    <x v="0"/>
    <x v="1"/>
    <x v="1"/>
    <x v="6"/>
    <x v="2"/>
    <x v="4"/>
    <x v="130"/>
    <x v="1"/>
    <x v="230"/>
    <x v="64"/>
    <x v="48"/>
    <x v="14"/>
    <x v="9"/>
    <x v="11"/>
    <x v="11"/>
    <x v="9"/>
    <x v="0"/>
    <x v="0"/>
    <x v="3"/>
    <x v="0"/>
    <x v="3"/>
    <x v="46"/>
    <x v="0"/>
    <x v="12"/>
    <x v="24"/>
    <x v="35"/>
    <x v="37"/>
    <x v="2"/>
    <x v="2"/>
    <x v="3"/>
  </r>
  <r>
    <x v="195"/>
    <x v="224"/>
    <x v="11"/>
    <x v="1"/>
    <x v="0"/>
    <x v="1"/>
    <x v="1"/>
    <x v="6"/>
    <x v="2"/>
    <x v="4"/>
    <x v="203"/>
    <x v="1"/>
    <x v="307"/>
    <x v="70"/>
    <x v="16"/>
    <x v="14"/>
    <x v="7"/>
    <x v="11"/>
    <x v="11"/>
    <x v="9"/>
    <x v="0"/>
    <x v="0"/>
    <x v="3"/>
    <x v="0"/>
    <x v="3"/>
    <x v="46"/>
    <x v="0"/>
    <x v="12"/>
    <x v="24"/>
    <x v="35"/>
    <x v="37"/>
    <x v="2"/>
    <x v="2"/>
    <x v="3"/>
  </r>
  <r>
    <x v="196"/>
    <x v="225"/>
    <x v="11"/>
    <x v="1"/>
    <x v="0"/>
    <x v="1"/>
    <x v="1"/>
    <x v="6"/>
    <x v="2"/>
    <x v="4"/>
    <x v="289"/>
    <x v="1"/>
    <x v="164"/>
    <x v="79"/>
    <x v="23"/>
    <x v="21"/>
    <x v="25"/>
    <x v="11"/>
    <x v="9"/>
    <x v="9"/>
    <x v="0"/>
    <x v="0"/>
    <x v="3"/>
    <x v="0"/>
    <x v="3"/>
    <x v="46"/>
    <x v="0"/>
    <x v="12"/>
    <x v="24"/>
    <x v="35"/>
    <x v="37"/>
    <x v="2"/>
    <x v="2"/>
    <x v="3"/>
  </r>
  <r>
    <x v="197"/>
    <x v="226"/>
    <x v="11"/>
    <x v="1"/>
    <x v="0"/>
    <x v="1"/>
    <x v="1"/>
    <x v="6"/>
    <x v="2"/>
    <x v="4"/>
    <x v="113"/>
    <x v="1"/>
    <x v="42"/>
    <x v="71"/>
    <x v="12"/>
    <x v="37"/>
    <x v="0"/>
    <x v="12"/>
    <x v="22"/>
    <x v="9"/>
    <x v="0"/>
    <x v="0"/>
    <x v="3"/>
    <x v="0"/>
    <x v="3"/>
    <x v="46"/>
    <x v="0"/>
    <x v="12"/>
    <x v="24"/>
    <x v="34"/>
    <x v="36"/>
    <x v="2"/>
    <x v="2"/>
    <x v="3"/>
  </r>
  <r>
    <x v="198"/>
    <x v="227"/>
    <x v="11"/>
    <x v="1"/>
    <x v="0"/>
    <x v="1"/>
    <x v="1"/>
    <x v="6"/>
    <x v="2"/>
    <x v="4"/>
    <x v="203"/>
    <x v="1"/>
    <x v="183"/>
    <x v="72"/>
    <x v="16"/>
    <x v="41"/>
    <x v="0"/>
    <x v="12"/>
    <x v="21"/>
    <x v="9"/>
    <x v="0"/>
    <x v="0"/>
    <x v="3"/>
    <x v="0"/>
    <x v="3"/>
    <x v="46"/>
    <x v="0"/>
    <x v="12"/>
    <x v="24"/>
    <x v="34"/>
    <x v="36"/>
    <x v="2"/>
    <x v="2"/>
    <x v="3"/>
  </r>
  <r>
    <x v="199"/>
    <x v="228"/>
    <x v="11"/>
    <x v="1"/>
    <x v="0"/>
    <x v="1"/>
    <x v="1"/>
    <x v="6"/>
    <x v="2"/>
    <x v="4"/>
    <x v="219"/>
    <x v="1"/>
    <x v="205"/>
    <x v="79"/>
    <x v="48"/>
    <x v="23"/>
    <x v="25"/>
    <x v="11"/>
    <x v="9"/>
    <x v="9"/>
    <x v="0"/>
    <x v="0"/>
    <x v="3"/>
    <x v="0"/>
    <x v="3"/>
    <x v="46"/>
    <x v="0"/>
    <x v="12"/>
    <x v="24"/>
    <x v="34"/>
    <x v="36"/>
    <x v="2"/>
    <x v="2"/>
    <x v="3"/>
  </r>
  <r>
    <x v="200"/>
    <x v="229"/>
    <x v="11"/>
    <x v="1"/>
    <x v="0"/>
    <x v="1"/>
    <x v="1"/>
    <x v="6"/>
    <x v="2"/>
    <x v="4"/>
    <x v="255"/>
    <x v="1"/>
    <x v="13"/>
    <x v="19"/>
    <x v="45"/>
    <x v="13"/>
    <x v="13"/>
    <x v="11"/>
    <x v="18"/>
    <x v="9"/>
    <x v="0"/>
    <x v="0"/>
    <x v="3"/>
    <x v="0"/>
    <x v="3"/>
    <x v="46"/>
    <x v="0"/>
    <x v="12"/>
    <x v="24"/>
    <x v="34"/>
    <x v="36"/>
    <x v="2"/>
    <x v="2"/>
    <x v="3"/>
  </r>
  <r>
    <x v="201"/>
    <x v="230"/>
    <x v="11"/>
    <x v="1"/>
    <x v="0"/>
    <x v="1"/>
    <x v="1"/>
    <x v="6"/>
    <x v="2"/>
    <x v="4"/>
    <x v="191"/>
    <x v="1"/>
    <x v="231"/>
    <x v="64"/>
    <x v="2"/>
    <x v="14"/>
    <x v="6"/>
    <x v="11"/>
    <x v="11"/>
    <x v="9"/>
    <x v="0"/>
    <x v="0"/>
    <x v="3"/>
    <x v="0"/>
    <x v="3"/>
    <x v="46"/>
    <x v="0"/>
    <x v="12"/>
    <x v="24"/>
    <x v="34"/>
    <x v="36"/>
    <x v="2"/>
    <x v="2"/>
    <x v="3"/>
  </r>
  <r>
    <x v="202"/>
    <x v="231"/>
    <x v="11"/>
    <x v="1"/>
    <x v="0"/>
    <x v="1"/>
    <x v="1"/>
    <x v="6"/>
    <x v="2"/>
    <x v="4"/>
    <x v="59"/>
    <x v="1"/>
    <x v="229"/>
    <x v="69"/>
    <x v="11"/>
    <x v="10"/>
    <x v="22"/>
    <x v="11"/>
    <x v="14"/>
    <x v="9"/>
    <x v="0"/>
    <x v="0"/>
    <x v="3"/>
    <x v="0"/>
    <x v="3"/>
    <x v="46"/>
    <x v="0"/>
    <x v="12"/>
    <x v="24"/>
    <x v="35"/>
    <x v="37"/>
    <x v="2"/>
    <x v="2"/>
    <x v="3"/>
  </r>
  <r>
    <x v="203"/>
    <x v="232"/>
    <x v="11"/>
    <x v="1"/>
    <x v="0"/>
    <x v="1"/>
    <x v="1"/>
    <x v="6"/>
    <x v="2"/>
    <x v="4"/>
    <x v="245"/>
    <x v="1"/>
    <x v="189"/>
    <x v="79"/>
    <x v="5"/>
    <x v="19"/>
    <x v="25"/>
    <x v="11"/>
    <x v="9"/>
    <x v="9"/>
    <x v="0"/>
    <x v="0"/>
    <x v="3"/>
    <x v="0"/>
    <x v="3"/>
    <x v="46"/>
    <x v="0"/>
    <x v="12"/>
    <x v="24"/>
    <x v="35"/>
    <x v="37"/>
    <x v="2"/>
    <x v="2"/>
    <x v="3"/>
  </r>
  <r>
    <x v="204"/>
    <x v="233"/>
    <x v="11"/>
    <x v="1"/>
    <x v="0"/>
    <x v="1"/>
    <x v="1"/>
    <x v="6"/>
    <x v="2"/>
    <x v="4"/>
    <x v="122"/>
    <x v="1"/>
    <x v="253"/>
    <x v="71"/>
    <x v="10"/>
    <x v="56"/>
    <x v="0"/>
    <x v="12"/>
    <x v="23"/>
    <x v="9"/>
    <x v="0"/>
    <x v="0"/>
    <x v="3"/>
    <x v="0"/>
    <x v="3"/>
    <x v="46"/>
    <x v="0"/>
    <x v="12"/>
    <x v="24"/>
    <x v="34"/>
    <x v="36"/>
    <x v="2"/>
    <x v="2"/>
    <x v="3"/>
  </r>
  <r>
    <x v="205"/>
    <x v="234"/>
    <x v="11"/>
    <x v="1"/>
    <x v="0"/>
    <x v="1"/>
    <x v="1"/>
    <x v="6"/>
    <x v="2"/>
    <x v="4"/>
    <x v="203"/>
    <x v="1"/>
    <x v="5"/>
    <x v="69"/>
    <x v="16"/>
    <x v="14"/>
    <x v="8"/>
    <x v="11"/>
    <x v="11"/>
    <x v="9"/>
    <x v="0"/>
    <x v="0"/>
    <x v="3"/>
    <x v="0"/>
    <x v="3"/>
    <x v="46"/>
    <x v="0"/>
    <x v="12"/>
    <x v="24"/>
    <x v="34"/>
    <x v="36"/>
    <x v="2"/>
    <x v="2"/>
    <x v="3"/>
  </r>
  <r>
    <x v="206"/>
    <x v="235"/>
    <x v="11"/>
    <x v="1"/>
    <x v="0"/>
    <x v="1"/>
    <x v="1"/>
    <x v="6"/>
    <x v="2"/>
    <x v="4"/>
    <x v="165"/>
    <x v="1"/>
    <x v="355"/>
    <x v="71"/>
    <x v="23"/>
    <x v="37"/>
    <x v="0"/>
    <x v="12"/>
    <x v="22"/>
    <x v="9"/>
    <x v="0"/>
    <x v="0"/>
    <x v="3"/>
    <x v="0"/>
    <x v="3"/>
    <x v="46"/>
    <x v="0"/>
    <x v="12"/>
    <x v="24"/>
    <x v="34"/>
    <x v="36"/>
    <x v="2"/>
    <x v="2"/>
    <x v="3"/>
  </r>
  <r>
    <x v="207"/>
    <x v="237"/>
    <x v="11"/>
    <x v="1"/>
    <x v="0"/>
    <x v="1"/>
    <x v="1"/>
    <x v="6"/>
    <x v="2"/>
    <x v="4"/>
    <x v="224"/>
    <x v="1"/>
    <x v="313"/>
    <x v="69"/>
    <x v="43"/>
    <x v="10"/>
    <x v="18"/>
    <x v="11"/>
    <x v="14"/>
    <x v="9"/>
    <x v="0"/>
    <x v="0"/>
    <x v="3"/>
    <x v="0"/>
    <x v="3"/>
    <x v="46"/>
    <x v="0"/>
    <x v="12"/>
    <x v="24"/>
    <x v="34"/>
    <x v="36"/>
    <x v="2"/>
    <x v="2"/>
    <x v="3"/>
  </r>
  <r>
    <x v="208"/>
    <x v="238"/>
    <x v="11"/>
    <x v="1"/>
    <x v="0"/>
    <x v="1"/>
    <x v="1"/>
    <x v="6"/>
    <x v="2"/>
    <x v="4"/>
    <x v="141"/>
    <x v="1"/>
    <x v="157"/>
    <x v="64"/>
    <x v="8"/>
    <x v="11"/>
    <x v="3"/>
    <x v="11"/>
    <x v="10"/>
    <x v="9"/>
    <x v="0"/>
    <x v="0"/>
    <x v="3"/>
    <x v="0"/>
    <x v="3"/>
    <x v="46"/>
    <x v="0"/>
    <x v="12"/>
    <x v="24"/>
    <x v="35"/>
    <x v="37"/>
    <x v="2"/>
    <x v="2"/>
    <x v="3"/>
  </r>
  <r>
    <x v="209"/>
    <x v="239"/>
    <x v="11"/>
    <x v="1"/>
    <x v="0"/>
    <x v="1"/>
    <x v="1"/>
    <x v="6"/>
    <x v="2"/>
    <x v="4"/>
    <x v="275"/>
    <x v="1"/>
    <x v="108"/>
    <x v="69"/>
    <x v="23"/>
    <x v="11"/>
    <x v="5"/>
    <x v="11"/>
    <x v="10"/>
    <x v="9"/>
    <x v="0"/>
    <x v="0"/>
    <x v="3"/>
    <x v="0"/>
    <x v="3"/>
    <x v="46"/>
    <x v="0"/>
    <x v="12"/>
    <x v="24"/>
    <x v="35"/>
    <x v="37"/>
    <x v="2"/>
    <x v="2"/>
    <x v="3"/>
  </r>
  <r>
    <x v="210"/>
    <x v="240"/>
    <x v="11"/>
    <x v="1"/>
    <x v="0"/>
    <x v="1"/>
    <x v="1"/>
    <x v="6"/>
    <x v="2"/>
    <x v="4"/>
    <x v="155"/>
    <x v="1"/>
    <x v="73"/>
    <x v="69"/>
    <x v="5"/>
    <x v="14"/>
    <x v="10"/>
    <x v="11"/>
    <x v="11"/>
    <x v="9"/>
    <x v="0"/>
    <x v="0"/>
    <x v="3"/>
    <x v="0"/>
    <x v="3"/>
    <x v="46"/>
    <x v="0"/>
    <x v="12"/>
    <x v="24"/>
    <x v="35"/>
    <x v="37"/>
    <x v="2"/>
    <x v="2"/>
    <x v="3"/>
  </r>
  <r>
    <x v="211"/>
    <x v="241"/>
    <x v="11"/>
    <x v="1"/>
    <x v="0"/>
    <x v="1"/>
    <x v="1"/>
    <x v="6"/>
    <x v="2"/>
    <x v="4"/>
    <x v="117"/>
    <x v="1"/>
    <x v="68"/>
    <x v="69"/>
    <x v="16"/>
    <x v="14"/>
    <x v="6"/>
    <x v="11"/>
    <x v="11"/>
    <x v="9"/>
    <x v="0"/>
    <x v="0"/>
    <x v="3"/>
    <x v="0"/>
    <x v="3"/>
    <x v="46"/>
    <x v="0"/>
    <x v="12"/>
    <x v="24"/>
    <x v="34"/>
    <x v="36"/>
    <x v="2"/>
    <x v="2"/>
    <x v="3"/>
  </r>
  <r>
    <x v="212"/>
    <x v="242"/>
    <x v="11"/>
    <x v="1"/>
    <x v="0"/>
    <x v="1"/>
    <x v="1"/>
    <x v="6"/>
    <x v="2"/>
    <x v="4"/>
    <x v="97"/>
    <x v="1"/>
    <x v="99"/>
    <x v="80"/>
    <x v="12"/>
    <x v="42"/>
    <x v="0"/>
    <x v="12"/>
    <x v="22"/>
    <x v="9"/>
    <x v="0"/>
    <x v="0"/>
    <x v="3"/>
    <x v="0"/>
    <x v="3"/>
    <x v="46"/>
    <x v="0"/>
    <x v="12"/>
    <x v="24"/>
    <x v="34"/>
    <x v="36"/>
    <x v="2"/>
    <x v="2"/>
    <x v="3"/>
  </r>
  <r>
    <x v="213"/>
    <x v="243"/>
    <x v="11"/>
    <x v="1"/>
    <x v="0"/>
    <x v="1"/>
    <x v="1"/>
    <x v="6"/>
    <x v="2"/>
    <x v="4"/>
    <x v="189"/>
    <x v="1"/>
    <x v="154"/>
    <x v="64"/>
    <x v="46"/>
    <x v="12"/>
    <x v="0"/>
    <x v="10"/>
    <x v="19"/>
    <x v="9"/>
    <x v="0"/>
    <x v="0"/>
    <x v="3"/>
    <x v="0"/>
    <x v="3"/>
    <x v="46"/>
    <x v="0"/>
    <x v="12"/>
    <x v="24"/>
    <x v="35"/>
    <x v="37"/>
    <x v="2"/>
    <x v="2"/>
    <x v="3"/>
  </r>
  <r>
    <x v="214"/>
    <x v="296"/>
    <x v="11"/>
    <x v="1"/>
    <x v="0"/>
    <x v="1"/>
    <x v="1"/>
    <x v="6"/>
    <x v="2"/>
    <x v="4"/>
    <x v="56"/>
    <x v="1"/>
    <x v="243"/>
    <x v="69"/>
    <x v="28"/>
    <x v="10"/>
    <x v="21"/>
    <x v="11"/>
    <x v="14"/>
    <x v="9"/>
    <x v="0"/>
    <x v="0"/>
    <x v="3"/>
    <x v="0"/>
    <x v="3"/>
    <x v="46"/>
    <x v="0"/>
    <x v="12"/>
    <x v="24"/>
    <x v="34"/>
    <x v="36"/>
    <x v="2"/>
    <x v="2"/>
    <x v="3"/>
  </r>
  <r>
    <x v="215"/>
    <x v="297"/>
    <x v="11"/>
    <x v="1"/>
    <x v="0"/>
    <x v="1"/>
    <x v="1"/>
    <x v="6"/>
    <x v="2"/>
    <x v="4"/>
    <x v="299"/>
    <x v="1"/>
    <x v="357"/>
    <x v="69"/>
    <x v="21"/>
    <x v="10"/>
    <x v="18"/>
    <x v="11"/>
    <x v="14"/>
    <x v="9"/>
    <x v="0"/>
    <x v="0"/>
    <x v="3"/>
    <x v="0"/>
    <x v="3"/>
    <x v="46"/>
    <x v="0"/>
    <x v="12"/>
    <x v="24"/>
    <x v="35"/>
    <x v="37"/>
    <x v="2"/>
    <x v="2"/>
    <x v="3"/>
  </r>
  <r>
    <x v="216"/>
    <x v="299"/>
    <x v="11"/>
    <x v="1"/>
    <x v="0"/>
    <x v="1"/>
    <x v="1"/>
    <x v="6"/>
    <x v="2"/>
    <x v="4"/>
    <x v="266"/>
    <x v="1"/>
    <x v="245"/>
    <x v="69"/>
    <x v="11"/>
    <x v="10"/>
    <x v="22"/>
    <x v="11"/>
    <x v="14"/>
    <x v="9"/>
    <x v="0"/>
    <x v="0"/>
    <x v="3"/>
    <x v="0"/>
    <x v="3"/>
    <x v="46"/>
    <x v="0"/>
    <x v="12"/>
    <x v="24"/>
    <x v="35"/>
    <x v="37"/>
    <x v="2"/>
    <x v="2"/>
    <x v="3"/>
  </r>
  <r>
    <x v="217"/>
    <x v="300"/>
    <x v="11"/>
    <x v="1"/>
    <x v="0"/>
    <x v="1"/>
    <x v="1"/>
    <x v="6"/>
    <x v="2"/>
    <x v="4"/>
    <x v="168"/>
    <x v="1"/>
    <x v="176"/>
    <x v="71"/>
    <x v="45"/>
    <x v="37"/>
    <x v="0"/>
    <x v="12"/>
    <x v="24"/>
    <x v="9"/>
    <x v="0"/>
    <x v="0"/>
    <x v="3"/>
    <x v="0"/>
    <x v="3"/>
    <x v="46"/>
    <x v="0"/>
    <x v="12"/>
    <x v="24"/>
    <x v="34"/>
    <x v="36"/>
    <x v="2"/>
    <x v="2"/>
    <x v="3"/>
  </r>
  <r>
    <x v="218"/>
    <x v="302"/>
    <x v="11"/>
    <x v="1"/>
    <x v="0"/>
    <x v="1"/>
    <x v="1"/>
    <x v="6"/>
    <x v="2"/>
    <x v="4"/>
    <x v="203"/>
    <x v="1"/>
    <x v="123"/>
    <x v="72"/>
    <x v="12"/>
    <x v="42"/>
    <x v="0"/>
    <x v="12"/>
    <x v="21"/>
    <x v="9"/>
    <x v="0"/>
    <x v="0"/>
    <x v="3"/>
    <x v="0"/>
    <x v="3"/>
    <x v="46"/>
    <x v="0"/>
    <x v="12"/>
    <x v="24"/>
    <x v="34"/>
    <x v="36"/>
    <x v="2"/>
    <x v="2"/>
    <x v="3"/>
  </r>
  <r>
    <x v="219"/>
    <x v="333"/>
    <x v="11"/>
    <x v="1"/>
    <x v="0"/>
    <x v="1"/>
    <x v="1"/>
    <x v="6"/>
    <x v="2"/>
    <x v="4"/>
    <x v="183"/>
    <x v="1"/>
    <x v="228"/>
    <x v="69"/>
    <x v="27"/>
    <x v="14"/>
    <x v="19"/>
    <x v="11"/>
    <x v="11"/>
    <x v="9"/>
    <x v="0"/>
    <x v="0"/>
    <x v="3"/>
    <x v="0"/>
    <x v="3"/>
    <x v="46"/>
    <x v="0"/>
    <x v="12"/>
    <x v="24"/>
    <x v="34"/>
    <x v="36"/>
    <x v="2"/>
    <x v="2"/>
    <x v="3"/>
  </r>
  <r>
    <x v="220"/>
    <x v="334"/>
    <x v="11"/>
    <x v="1"/>
    <x v="0"/>
    <x v="1"/>
    <x v="1"/>
    <x v="6"/>
    <x v="2"/>
    <x v="4"/>
    <x v="48"/>
    <x v="1"/>
    <x v="171"/>
    <x v="69"/>
    <x v="8"/>
    <x v="11"/>
    <x v="3"/>
    <x v="11"/>
    <x v="10"/>
    <x v="9"/>
    <x v="0"/>
    <x v="0"/>
    <x v="3"/>
    <x v="0"/>
    <x v="3"/>
    <x v="46"/>
    <x v="0"/>
    <x v="12"/>
    <x v="24"/>
    <x v="35"/>
    <x v="37"/>
    <x v="2"/>
    <x v="2"/>
    <x v="3"/>
  </r>
  <r>
    <x v="221"/>
    <x v="335"/>
    <x v="11"/>
    <x v="1"/>
    <x v="0"/>
    <x v="1"/>
    <x v="1"/>
    <x v="6"/>
    <x v="2"/>
    <x v="4"/>
    <x v="292"/>
    <x v="1"/>
    <x v="115"/>
    <x v="69"/>
    <x v="32"/>
    <x v="12"/>
    <x v="16"/>
    <x v="11"/>
    <x v="13"/>
    <x v="9"/>
    <x v="0"/>
    <x v="0"/>
    <x v="3"/>
    <x v="0"/>
    <x v="3"/>
    <x v="46"/>
    <x v="0"/>
    <x v="12"/>
    <x v="24"/>
    <x v="35"/>
    <x v="37"/>
    <x v="2"/>
    <x v="2"/>
    <x v="3"/>
  </r>
  <r>
    <x v="222"/>
    <x v="336"/>
    <x v="11"/>
    <x v="1"/>
    <x v="0"/>
    <x v="1"/>
    <x v="1"/>
    <x v="6"/>
    <x v="2"/>
    <x v="4"/>
    <x v="250"/>
    <x v="1"/>
    <x v="40"/>
    <x v="69"/>
    <x v="22"/>
    <x v="13"/>
    <x v="13"/>
    <x v="11"/>
    <x v="12"/>
    <x v="9"/>
    <x v="0"/>
    <x v="0"/>
    <x v="3"/>
    <x v="0"/>
    <x v="3"/>
    <x v="46"/>
    <x v="0"/>
    <x v="12"/>
    <x v="24"/>
    <x v="35"/>
    <x v="37"/>
    <x v="2"/>
    <x v="2"/>
    <x v="3"/>
  </r>
  <r>
    <x v="223"/>
    <x v="171"/>
    <x v="9"/>
    <x v="1"/>
    <x v="1"/>
    <x v="1"/>
    <x v="5"/>
    <x v="6"/>
    <x v="2"/>
    <x v="4"/>
    <x v="323"/>
    <x v="1"/>
    <x v="371"/>
    <x v="28"/>
    <x v="28"/>
    <x v="54"/>
    <x v="0"/>
    <x v="8"/>
    <x v="0"/>
    <x v="0"/>
    <x v="5"/>
    <x v="0"/>
    <x v="12"/>
    <x v="8"/>
    <x v="11"/>
    <x v="47"/>
    <x v="0"/>
    <x v="12"/>
    <x v="20"/>
    <x v="31"/>
    <x v="33"/>
    <x v="2"/>
    <x v="13"/>
    <x v="12"/>
  </r>
  <r>
    <x v="224"/>
    <x v="172"/>
    <x v="9"/>
    <x v="1"/>
    <x v="1"/>
    <x v="1"/>
    <x v="5"/>
    <x v="6"/>
    <x v="2"/>
    <x v="4"/>
    <x v="180"/>
    <x v="1"/>
    <x v="312"/>
    <x v="45"/>
    <x v="12"/>
    <x v="11"/>
    <x v="0"/>
    <x v="21"/>
    <x v="16"/>
    <x v="8"/>
    <x v="5"/>
    <x v="0"/>
    <x v="12"/>
    <x v="8"/>
    <x v="11"/>
    <x v="47"/>
    <x v="0"/>
    <x v="12"/>
    <x v="20"/>
    <x v="31"/>
    <x v="33"/>
    <x v="2"/>
    <x v="13"/>
    <x v="12"/>
  </r>
  <r>
    <x v="225"/>
    <x v="173"/>
    <x v="9"/>
    <x v="1"/>
    <x v="1"/>
    <x v="1"/>
    <x v="5"/>
    <x v="6"/>
    <x v="2"/>
    <x v="4"/>
    <x v="52"/>
    <x v="1"/>
    <x v="335"/>
    <x v="42"/>
    <x v="11"/>
    <x v="10"/>
    <x v="22"/>
    <x v="11"/>
    <x v="14"/>
    <x v="8"/>
    <x v="5"/>
    <x v="0"/>
    <x v="12"/>
    <x v="8"/>
    <x v="11"/>
    <x v="47"/>
    <x v="0"/>
    <x v="12"/>
    <x v="20"/>
    <x v="29"/>
    <x v="31"/>
    <x v="2"/>
    <x v="13"/>
    <x v="12"/>
  </r>
  <r>
    <x v="226"/>
    <x v="174"/>
    <x v="9"/>
    <x v="1"/>
    <x v="1"/>
    <x v="1"/>
    <x v="5"/>
    <x v="6"/>
    <x v="2"/>
    <x v="4"/>
    <x v="330"/>
    <x v="1"/>
    <x v="150"/>
    <x v="44"/>
    <x v="45"/>
    <x v="41"/>
    <x v="0"/>
    <x v="12"/>
    <x v="24"/>
    <x v="8"/>
    <x v="5"/>
    <x v="0"/>
    <x v="12"/>
    <x v="8"/>
    <x v="11"/>
    <x v="47"/>
    <x v="0"/>
    <x v="12"/>
    <x v="20"/>
    <x v="31"/>
    <x v="33"/>
    <x v="2"/>
    <x v="13"/>
    <x v="12"/>
  </r>
  <r>
    <x v="227"/>
    <x v="175"/>
    <x v="9"/>
    <x v="1"/>
    <x v="1"/>
    <x v="1"/>
    <x v="5"/>
    <x v="6"/>
    <x v="2"/>
    <x v="4"/>
    <x v="282"/>
    <x v="1"/>
    <x v="298"/>
    <x v="39"/>
    <x v="34"/>
    <x v="23"/>
    <x v="25"/>
    <x v="11"/>
    <x v="9"/>
    <x v="8"/>
    <x v="5"/>
    <x v="0"/>
    <x v="12"/>
    <x v="8"/>
    <x v="11"/>
    <x v="47"/>
    <x v="0"/>
    <x v="12"/>
    <x v="20"/>
    <x v="31"/>
    <x v="33"/>
    <x v="2"/>
    <x v="13"/>
    <x v="12"/>
  </r>
  <r>
    <x v="228"/>
    <x v="176"/>
    <x v="9"/>
    <x v="1"/>
    <x v="1"/>
    <x v="1"/>
    <x v="5"/>
    <x v="6"/>
    <x v="2"/>
    <x v="4"/>
    <x v="37"/>
    <x v="1"/>
    <x v="303"/>
    <x v="45"/>
    <x v="45"/>
    <x v="13"/>
    <x v="0"/>
    <x v="21"/>
    <x v="18"/>
    <x v="8"/>
    <x v="5"/>
    <x v="0"/>
    <x v="12"/>
    <x v="8"/>
    <x v="11"/>
    <x v="47"/>
    <x v="0"/>
    <x v="12"/>
    <x v="20"/>
    <x v="30"/>
    <x v="32"/>
    <x v="2"/>
    <x v="13"/>
    <x v="12"/>
  </r>
  <r>
    <x v="229"/>
    <x v="177"/>
    <x v="9"/>
    <x v="1"/>
    <x v="1"/>
    <x v="1"/>
    <x v="5"/>
    <x v="6"/>
    <x v="2"/>
    <x v="4"/>
    <x v="17"/>
    <x v="1"/>
    <x v="106"/>
    <x v="51"/>
    <x v="10"/>
    <x v="14"/>
    <x v="0"/>
    <x v="11"/>
    <x v="11"/>
    <x v="8"/>
    <x v="5"/>
    <x v="0"/>
    <x v="12"/>
    <x v="8"/>
    <x v="11"/>
    <x v="47"/>
    <x v="0"/>
    <x v="12"/>
    <x v="20"/>
    <x v="31"/>
    <x v="33"/>
    <x v="2"/>
    <x v="13"/>
    <x v="12"/>
  </r>
  <r>
    <x v="230"/>
    <x v="178"/>
    <x v="9"/>
    <x v="1"/>
    <x v="1"/>
    <x v="1"/>
    <x v="5"/>
    <x v="6"/>
    <x v="2"/>
    <x v="4"/>
    <x v="318"/>
    <x v="1"/>
    <x v="320"/>
    <x v="42"/>
    <x v="14"/>
    <x v="10"/>
    <x v="23"/>
    <x v="11"/>
    <x v="14"/>
    <x v="8"/>
    <x v="5"/>
    <x v="0"/>
    <x v="12"/>
    <x v="8"/>
    <x v="11"/>
    <x v="47"/>
    <x v="0"/>
    <x v="12"/>
    <x v="20"/>
    <x v="30"/>
    <x v="32"/>
    <x v="2"/>
    <x v="13"/>
    <x v="12"/>
  </r>
  <r>
    <x v="231"/>
    <x v="179"/>
    <x v="9"/>
    <x v="1"/>
    <x v="1"/>
    <x v="1"/>
    <x v="5"/>
    <x v="6"/>
    <x v="2"/>
    <x v="4"/>
    <x v="360"/>
    <x v="1"/>
    <x v="17"/>
    <x v="39"/>
    <x v="12"/>
    <x v="21"/>
    <x v="25"/>
    <x v="11"/>
    <x v="9"/>
    <x v="8"/>
    <x v="5"/>
    <x v="0"/>
    <x v="12"/>
    <x v="8"/>
    <x v="11"/>
    <x v="47"/>
    <x v="0"/>
    <x v="12"/>
    <x v="20"/>
    <x v="31"/>
    <x v="33"/>
    <x v="2"/>
    <x v="13"/>
    <x v="12"/>
  </r>
  <r>
    <x v="232"/>
    <x v="180"/>
    <x v="9"/>
    <x v="1"/>
    <x v="1"/>
    <x v="1"/>
    <x v="5"/>
    <x v="6"/>
    <x v="2"/>
    <x v="4"/>
    <x v="260"/>
    <x v="1"/>
    <x v="268"/>
    <x v="26"/>
    <x v="16"/>
    <x v="46"/>
    <x v="0"/>
    <x v="6"/>
    <x v="0"/>
    <x v="8"/>
    <x v="5"/>
    <x v="0"/>
    <x v="12"/>
    <x v="8"/>
    <x v="11"/>
    <x v="47"/>
    <x v="0"/>
    <x v="12"/>
    <x v="20"/>
    <x v="30"/>
    <x v="32"/>
    <x v="2"/>
    <x v="13"/>
    <x v="12"/>
  </r>
  <r>
    <x v="233"/>
    <x v="181"/>
    <x v="9"/>
    <x v="1"/>
    <x v="1"/>
    <x v="1"/>
    <x v="5"/>
    <x v="6"/>
    <x v="2"/>
    <x v="4"/>
    <x v="174"/>
    <x v="1"/>
    <x v="186"/>
    <x v="31"/>
    <x v="16"/>
    <x v="6"/>
    <x v="0"/>
    <x v="8"/>
    <x v="33"/>
    <x v="0"/>
    <x v="5"/>
    <x v="0"/>
    <x v="12"/>
    <x v="8"/>
    <x v="11"/>
    <x v="47"/>
    <x v="0"/>
    <x v="12"/>
    <x v="20"/>
    <x v="29"/>
    <x v="31"/>
    <x v="2"/>
    <x v="13"/>
    <x v="12"/>
  </r>
  <r>
    <x v="234"/>
    <x v="182"/>
    <x v="9"/>
    <x v="1"/>
    <x v="1"/>
    <x v="1"/>
    <x v="5"/>
    <x v="6"/>
    <x v="2"/>
    <x v="4"/>
    <x v="158"/>
    <x v="1"/>
    <x v="291"/>
    <x v="42"/>
    <x v="43"/>
    <x v="10"/>
    <x v="18"/>
    <x v="11"/>
    <x v="14"/>
    <x v="8"/>
    <x v="5"/>
    <x v="0"/>
    <x v="12"/>
    <x v="8"/>
    <x v="11"/>
    <x v="47"/>
    <x v="0"/>
    <x v="12"/>
    <x v="20"/>
    <x v="31"/>
    <x v="33"/>
    <x v="2"/>
    <x v="13"/>
    <x v="12"/>
  </r>
  <r>
    <x v="235"/>
    <x v="183"/>
    <x v="9"/>
    <x v="1"/>
    <x v="1"/>
    <x v="1"/>
    <x v="5"/>
    <x v="6"/>
    <x v="2"/>
    <x v="4"/>
    <x v="167"/>
    <x v="1"/>
    <x v="342"/>
    <x v="44"/>
    <x v="34"/>
    <x v="41"/>
    <x v="0"/>
    <x v="12"/>
    <x v="25"/>
    <x v="8"/>
    <x v="5"/>
    <x v="0"/>
    <x v="12"/>
    <x v="8"/>
    <x v="11"/>
    <x v="47"/>
    <x v="0"/>
    <x v="12"/>
    <x v="20"/>
    <x v="31"/>
    <x v="33"/>
    <x v="2"/>
    <x v="13"/>
    <x v="12"/>
  </r>
  <r>
    <x v="236"/>
    <x v="184"/>
    <x v="9"/>
    <x v="1"/>
    <x v="1"/>
    <x v="1"/>
    <x v="5"/>
    <x v="6"/>
    <x v="2"/>
    <x v="4"/>
    <x v="359"/>
    <x v="1"/>
    <x v="343"/>
    <x v="42"/>
    <x v="45"/>
    <x v="13"/>
    <x v="13"/>
    <x v="11"/>
    <x v="12"/>
    <x v="8"/>
    <x v="5"/>
    <x v="0"/>
    <x v="12"/>
    <x v="8"/>
    <x v="11"/>
    <x v="47"/>
    <x v="0"/>
    <x v="12"/>
    <x v="20"/>
    <x v="31"/>
    <x v="33"/>
    <x v="2"/>
    <x v="13"/>
    <x v="12"/>
  </r>
  <r>
    <x v="237"/>
    <x v="185"/>
    <x v="9"/>
    <x v="1"/>
    <x v="1"/>
    <x v="1"/>
    <x v="5"/>
    <x v="6"/>
    <x v="2"/>
    <x v="4"/>
    <x v="129"/>
    <x v="1"/>
    <x v="221"/>
    <x v="51"/>
    <x v="47"/>
    <x v="10"/>
    <x v="0"/>
    <x v="11"/>
    <x v="14"/>
    <x v="8"/>
    <x v="5"/>
    <x v="0"/>
    <x v="12"/>
    <x v="8"/>
    <x v="11"/>
    <x v="47"/>
    <x v="0"/>
    <x v="12"/>
    <x v="20"/>
    <x v="31"/>
    <x v="33"/>
    <x v="2"/>
    <x v="13"/>
    <x v="12"/>
  </r>
  <r>
    <x v="238"/>
    <x v="186"/>
    <x v="9"/>
    <x v="1"/>
    <x v="1"/>
    <x v="1"/>
    <x v="5"/>
    <x v="6"/>
    <x v="2"/>
    <x v="4"/>
    <x v="283"/>
    <x v="1"/>
    <x v="276"/>
    <x v="45"/>
    <x v="28"/>
    <x v="10"/>
    <x v="0"/>
    <x v="21"/>
    <x v="20"/>
    <x v="8"/>
    <x v="5"/>
    <x v="0"/>
    <x v="12"/>
    <x v="8"/>
    <x v="11"/>
    <x v="47"/>
    <x v="0"/>
    <x v="12"/>
    <x v="20"/>
    <x v="31"/>
    <x v="33"/>
    <x v="2"/>
    <x v="13"/>
    <x v="12"/>
  </r>
  <r>
    <x v="239"/>
    <x v="187"/>
    <x v="9"/>
    <x v="1"/>
    <x v="1"/>
    <x v="1"/>
    <x v="5"/>
    <x v="6"/>
    <x v="2"/>
    <x v="4"/>
    <x v="111"/>
    <x v="1"/>
    <x v="87"/>
    <x v="42"/>
    <x v="28"/>
    <x v="10"/>
    <x v="21"/>
    <x v="11"/>
    <x v="14"/>
    <x v="8"/>
    <x v="5"/>
    <x v="0"/>
    <x v="12"/>
    <x v="8"/>
    <x v="11"/>
    <x v="47"/>
    <x v="0"/>
    <x v="12"/>
    <x v="20"/>
    <x v="29"/>
    <x v="31"/>
    <x v="2"/>
    <x v="13"/>
    <x v="12"/>
  </r>
  <r>
    <x v="240"/>
    <x v="188"/>
    <x v="9"/>
    <x v="1"/>
    <x v="1"/>
    <x v="1"/>
    <x v="5"/>
    <x v="6"/>
    <x v="2"/>
    <x v="4"/>
    <x v="335"/>
    <x v="1"/>
    <x v="116"/>
    <x v="42"/>
    <x v="49"/>
    <x v="13"/>
    <x v="11"/>
    <x v="11"/>
    <x v="12"/>
    <x v="8"/>
    <x v="5"/>
    <x v="0"/>
    <x v="12"/>
    <x v="8"/>
    <x v="11"/>
    <x v="47"/>
    <x v="0"/>
    <x v="12"/>
    <x v="20"/>
    <x v="28"/>
    <x v="30"/>
    <x v="2"/>
    <x v="13"/>
    <x v="12"/>
  </r>
  <r>
    <x v="241"/>
    <x v="189"/>
    <x v="9"/>
    <x v="1"/>
    <x v="1"/>
    <x v="1"/>
    <x v="5"/>
    <x v="6"/>
    <x v="2"/>
    <x v="4"/>
    <x v="204"/>
    <x v="1"/>
    <x v="207"/>
    <x v="28"/>
    <x v="16"/>
    <x v="39"/>
    <x v="0"/>
    <x v="8"/>
    <x v="0"/>
    <x v="0"/>
    <x v="5"/>
    <x v="0"/>
    <x v="12"/>
    <x v="8"/>
    <x v="11"/>
    <x v="47"/>
    <x v="0"/>
    <x v="12"/>
    <x v="20"/>
    <x v="29"/>
    <x v="31"/>
    <x v="2"/>
    <x v="13"/>
    <x v="12"/>
  </r>
  <r>
    <x v="242"/>
    <x v="298"/>
    <x v="9"/>
    <x v="1"/>
    <x v="1"/>
    <x v="1"/>
    <x v="5"/>
    <x v="6"/>
    <x v="2"/>
    <x v="4"/>
    <x v="46"/>
    <x v="1"/>
    <x v="139"/>
    <x v="41"/>
    <x v="16"/>
    <x v="37"/>
    <x v="0"/>
    <x v="12"/>
    <x v="23"/>
    <x v="8"/>
    <x v="5"/>
    <x v="0"/>
    <x v="12"/>
    <x v="8"/>
    <x v="11"/>
    <x v="47"/>
    <x v="0"/>
    <x v="12"/>
    <x v="20"/>
    <x v="28"/>
    <x v="30"/>
    <x v="2"/>
    <x v="13"/>
    <x v="12"/>
  </r>
  <r>
    <x v="243"/>
    <x v="301"/>
    <x v="9"/>
    <x v="1"/>
    <x v="1"/>
    <x v="1"/>
    <x v="5"/>
    <x v="6"/>
    <x v="2"/>
    <x v="4"/>
    <x v="75"/>
    <x v="1"/>
    <x v="112"/>
    <x v="40"/>
    <x v="34"/>
    <x v="12"/>
    <x v="0"/>
    <x v="18"/>
    <x v="31"/>
    <x v="9"/>
    <x v="5"/>
    <x v="0"/>
    <x v="12"/>
    <x v="8"/>
    <x v="11"/>
    <x v="47"/>
    <x v="0"/>
    <x v="12"/>
    <x v="20"/>
    <x v="30"/>
    <x v="32"/>
    <x v="2"/>
    <x v="13"/>
    <x v="12"/>
  </r>
  <r>
    <x v="244"/>
    <x v="303"/>
    <x v="9"/>
    <x v="1"/>
    <x v="1"/>
    <x v="1"/>
    <x v="5"/>
    <x v="6"/>
    <x v="2"/>
    <x v="4"/>
    <x v="81"/>
    <x v="1"/>
    <x v="278"/>
    <x v="45"/>
    <x v="16"/>
    <x v="14"/>
    <x v="0"/>
    <x v="17"/>
    <x v="17"/>
    <x v="8"/>
    <x v="5"/>
    <x v="0"/>
    <x v="12"/>
    <x v="8"/>
    <x v="11"/>
    <x v="47"/>
    <x v="0"/>
    <x v="12"/>
    <x v="20"/>
    <x v="28"/>
    <x v="30"/>
    <x v="2"/>
    <x v="13"/>
    <x v="12"/>
  </r>
  <r>
    <x v="245"/>
    <x v="304"/>
    <x v="9"/>
    <x v="1"/>
    <x v="1"/>
    <x v="1"/>
    <x v="5"/>
    <x v="6"/>
    <x v="2"/>
    <x v="4"/>
    <x v="142"/>
    <x v="1"/>
    <x v="94"/>
    <x v="42"/>
    <x v="5"/>
    <x v="14"/>
    <x v="10"/>
    <x v="11"/>
    <x v="11"/>
    <x v="8"/>
    <x v="5"/>
    <x v="0"/>
    <x v="12"/>
    <x v="8"/>
    <x v="11"/>
    <x v="47"/>
    <x v="0"/>
    <x v="12"/>
    <x v="20"/>
    <x v="30"/>
    <x v="32"/>
    <x v="2"/>
    <x v="13"/>
    <x v="12"/>
  </r>
  <r>
    <x v="246"/>
    <x v="305"/>
    <x v="9"/>
    <x v="1"/>
    <x v="1"/>
    <x v="1"/>
    <x v="5"/>
    <x v="6"/>
    <x v="2"/>
    <x v="4"/>
    <x v="30"/>
    <x v="1"/>
    <x v="290"/>
    <x v="13"/>
    <x v="16"/>
    <x v="58"/>
    <x v="1"/>
    <x v="23"/>
    <x v="2"/>
    <x v="8"/>
    <x v="5"/>
    <x v="0"/>
    <x v="12"/>
    <x v="8"/>
    <x v="11"/>
    <x v="47"/>
    <x v="0"/>
    <x v="12"/>
    <x v="20"/>
    <x v="30"/>
    <x v="32"/>
    <x v="2"/>
    <x v="13"/>
    <x v="12"/>
  </r>
  <r>
    <x v="247"/>
    <x v="306"/>
    <x v="9"/>
    <x v="1"/>
    <x v="1"/>
    <x v="1"/>
    <x v="5"/>
    <x v="6"/>
    <x v="2"/>
    <x v="4"/>
    <x v="21"/>
    <x v="1"/>
    <x v="138"/>
    <x v="42"/>
    <x v="32"/>
    <x v="12"/>
    <x v="16"/>
    <x v="11"/>
    <x v="13"/>
    <x v="8"/>
    <x v="5"/>
    <x v="0"/>
    <x v="12"/>
    <x v="8"/>
    <x v="11"/>
    <x v="47"/>
    <x v="0"/>
    <x v="12"/>
    <x v="20"/>
    <x v="31"/>
    <x v="33"/>
    <x v="2"/>
    <x v="13"/>
    <x v="12"/>
  </r>
  <r>
    <x v="248"/>
    <x v="307"/>
    <x v="9"/>
    <x v="1"/>
    <x v="1"/>
    <x v="1"/>
    <x v="5"/>
    <x v="6"/>
    <x v="2"/>
    <x v="4"/>
    <x v="332"/>
    <x v="1"/>
    <x v="128"/>
    <x v="42"/>
    <x v="48"/>
    <x v="14"/>
    <x v="9"/>
    <x v="11"/>
    <x v="11"/>
    <x v="8"/>
    <x v="5"/>
    <x v="0"/>
    <x v="12"/>
    <x v="8"/>
    <x v="11"/>
    <x v="47"/>
    <x v="0"/>
    <x v="12"/>
    <x v="20"/>
    <x v="31"/>
    <x v="33"/>
    <x v="2"/>
    <x v="13"/>
    <x v="12"/>
  </r>
  <r>
    <x v="249"/>
    <x v="308"/>
    <x v="9"/>
    <x v="1"/>
    <x v="1"/>
    <x v="1"/>
    <x v="5"/>
    <x v="6"/>
    <x v="2"/>
    <x v="4"/>
    <x v="15"/>
    <x v="1"/>
    <x v="284"/>
    <x v="42"/>
    <x v="16"/>
    <x v="14"/>
    <x v="6"/>
    <x v="11"/>
    <x v="11"/>
    <x v="8"/>
    <x v="5"/>
    <x v="0"/>
    <x v="12"/>
    <x v="8"/>
    <x v="11"/>
    <x v="47"/>
    <x v="0"/>
    <x v="12"/>
    <x v="20"/>
    <x v="31"/>
    <x v="33"/>
    <x v="2"/>
    <x v="13"/>
    <x v="12"/>
  </r>
  <r>
    <x v="250"/>
    <x v="309"/>
    <x v="9"/>
    <x v="1"/>
    <x v="1"/>
    <x v="1"/>
    <x v="5"/>
    <x v="6"/>
    <x v="2"/>
    <x v="4"/>
    <x v="108"/>
    <x v="1"/>
    <x v="103"/>
    <x v="42"/>
    <x v="27"/>
    <x v="14"/>
    <x v="19"/>
    <x v="11"/>
    <x v="11"/>
    <x v="8"/>
    <x v="5"/>
    <x v="0"/>
    <x v="12"/>
    <x v="8"/>
    <x v="11"/>
    <x v="47"/>
    <x v="0"/>
    <x v="12"/>
    <x v="20"/>
    <x v="31"/>
    <x v="33"/>
    <x v="2"/>
    <x v="13"/>
    <x v="12"/>
  </r>
  <r>
    <x v="251"/>
    <x v="310"/>
    <x v="9"/>
    <x v="1"/>
    <x v="1"/>
    <x v="1"/>
    <x v="5"/>
    <x v="6"/>
    <x v="2"/>
    <x v="4"/>
    <x v="192"/>
    <x v="1"/>
    <x v="198"/>
    <x v="47"/>
    <x v="16"/>
    <x v="49"/>
    <x v="0"/>
    <x v="21"/>
    <x v="15"/>
    <x v="8"/>
    <x v="5"/>
    <x v="0"/>
    <x v="12"/>
    <x v="8"/>
    <x v="11"/>
    <x v="47"/>
    <x v="0"/>
    <x v="12"/>
    <x v="20"/>
    <x v="30"/>
    <x v="32"/>
    <x v="2"/>
    <x v="13"/>
    <x v="12"/>
  </r>
  <r>
    <x v="252"/>
    <x v="311"/>
    <x v="9"/>
    <x v="1"/>
    <x v="1"/>
    <x v="1"/>
    <x v="5"/>
    <x v="6"/>
    <x v="2"/>
    <x v="4"/>
    <x v="176"/>
    <x v="1"/>
    <x v="286"/>
    <x v="42"/>
    <x v="20"/>
    <x v="11"/>
    <x v="14"/>
    <x v="11"/>
    <x v="10"/>
    <x v="8"/>
    <x v="5"/>
    <x v="0"/>
    <x v="12"/>
    <x v="8"/>
    <x v="11"/>
    <x v="47"/>
    <x v="0"/>
    <x v="12"/>
    <x v="20"/>
    <x v="30"/>
    <x v="32"/>
    <x v="2"/>
    <x v="13"/>
    <x v="12"/>
  </r>
  <r>
    <x v="253"/>
    <x v="312"/>
    <x v="9"/>
    <x v="1"/>
    <x v="1"/>
    <x v="1"/>
    <x v="5"/>
    <x v="6"/>
    <x v="2"/>
    <x v="4"/>
    <x v="324"/>
    <x v="1"/>
    <x v="63"/>
    <x v="48"/>
    <x v="16"/>
    <x v="41"/>
    <x v="0"/>
    <x v="14"/>
    <x v="21"/>
    <x v="8"/>
    <x v="5"/>
    <x v="0"/>
    <x v="12"/>
    <x v="8"/>
    <x v="11"/>
    <x v="47"/>
    <x v="0"/>
    <x v="12"/>
    <x v="20"/>
    <x v="31"/>
    <x v="33"/>
    <x v="2"/>
    <x v="13"/>
    <x v="12"/>
  </r>
  <r>
    <x v="254"/>
    <x v="313"/>
    <x v="9"/>
    <x v="1"/>
    <x v="1"/>
    <x v="1"/>
    <x v="5"/>
    <x v="6"/>
    <x v="2"/>
    <x v="4"/>
    <x v="258"/>
    <x v="1"/>
    <x v="8"/>
    <x v="30"/>
    <x v="12"/>
    <x v="6"/>
    <x v="0"/>
    <x v="8"/>
    <x v="33"/>
    <x v="0"/>
    <x v="5"/>
    <x v="0"/>
    <x v="12"/>
    <x v="8"/>
    <x v="11"/>
    <x v="47"/>
    <x v="0"/>
    <x v="12"/>
    <x v="20"/>
    <x v="31"/>
    <x v="33"/>
    <x v="2"/>
    <x v="13"/>
    <x v="12"/>
  </r>
  <r>
    <x v="255"/>
    <x v="210"/>
    <x v="11"/>
    <x v="1"/>
    <x v="0"/>
    <x v="1"/>
    <x v="1"/>
    <x v="6"/>
    <x v="2"/>
    <x v="4"/>
    <x v="287"/>
    <x v="1"/>
    <x v="361"/>
    <x v="69"/>
    <x v="10"/>
    <x v="14"/>
    <x v="10"/>
    <x v="11"/>
    <x v="11"/>
    <x v="9"/>
    <x v="0"/>
    <x v="0"/>
    <x v="2"/>
    <x v="0"/>
    <x v="1"/>
    <x v="50"/>
    <x v="0"/>
    <x v="12"/>
    <x v="16"/>
    <x v="27"/>
    <x v="29"/>
    <x v="2"/>
    <x v="0"/>
    <x v="2"/>
  </r>
  <r>
    <x v="256"/>
    <x v="211"/>
    <x v="11"/>
    <x v="1"/>
    <x v="0"/>
    <x v="1"/>
    <x v="1"/>
    <x v="6"/>
    <x v="2"/>
    <x v="4"/>
    <x v="203"/>
    <x v="1"/>
    <x v="27"/>
    <x v="69"/>
    <x v="6"/>
    <x v="10"/>
    <x v="22"/>
    <x v="11"/>
    <x v="14"/>
    <x v="9"/>
    <x v="0"/>
    <x v="0"/>
    <x v="2"/>
    <x v="0"/>
    <x v="1"/>
    <x v="50"/>
    <x v="0"/>
    <x v="12"/>
    <x v="16"/>
    <x v="27"/>
    <x v="29"/>
    <x v="2"/>
    <x v="0"/>
    <x v="2"/>
  </r>
  <r>
    <x v="257"/>
    <x v="212"/>
    <x v="11"/>
    <x v="1"/>
    <x v="0"/>
    <x v="1"/>
    <x v="1"/>
    <x v="6"/>
    <x v="2"/>
    <x v="4"/>
    <x v="8"/>
    <x v="1"/>
    <x v="351"/>
    <x v="69"/>
    <x v="43"/>
    <x v="10"/>
    <x v="18"/>
    <x v="11"/>
    <x v="14"/>
    <x v="9"/>
    <x v="0"/>
    <x v="0"/>
    <x v="2"/>
    <x v="0"/>
    <x v="1"/>
    <x v="50"/>
    <x v="0"/>
    <x v="12"/>
    <x v="16"/>
    <x v="27"/>
    <x v="29"/>
    <x v="2"/>
    <x v="0"/>
    <x v="2"/>
  </r>
  <r>
    <x v="258"/>
    <x v="213"/>
    <x v="11"/>
    <x v="1"/>
    <x v="0"/>
    <x v="1"/>
    <x v="1"/>
    <x v="6"/>
    <x v="2"/>
    <x v="4"/>
    <x v="306"/>
    <x v="1"/>
    <x v="71"/>
    <x v="69"/>
    <x v="34"/>
    <x v="12"/>
    <x v="17"/>
    <x v="11"/>
    <x v="13"/>
    <x v="9"/>
    <x v="0"/>
    <x v="0"/>
    <x v="2"/>
    <x v="0"/>
    <x v="1"/>
    <x v="50"/>
    <x v="0"/>
    <x v="12"/>
    <x v="16"/>
    <x v="27"/>
    <x v="29"/>
    <x v="2"/>
    <x v="0"/>
    <x v="2"/>
  </r>
  <r>
    <x v="259"/>
    <x v="214"/>
    <x v="11"/>
    <x v="1"/>
    <x v="0"/>
    <x v="1"/>
    <x v="1"/>
    <x v="6"/>
    <x v="2"/>
    <x v="4"/>
    <x v="186"/>
    <x v="1"/>
    <x v="31"/>
    <x v="69"/>
    <x v="28"/>
    <x v="10"/>
    <x v="18"/>
    <x v="11"/>
    <x v="14"/>
    <x v="9"/>
    <x v="0"/>
    <x v="0"/>
    <x v="2"/>
    <x v="0"/>
    <x v="1"/>
    <x v="50"/>
    <x v="0"/>
    <x v="12"/>
    <x v="16"/>
    <x v="27"/>
    <x v="29"/>
    <x v="2"/>
    <x v="0"/>
    <x v="2"/>
  </r>
  <r>
    <x v="260"/>
    <x v="215"/>
    <x v="11"/>
    <x v="1"/>
    <x v="0"/>
    <x v="1"/>
    <x v="1"/>
    <x v="6"/>
    <x v="2"/>
    <x v="4"/>
    <x v="212"/>
    <x v="1"/>
    <x v="44"/>
    <x v="71"/>
    <x v="49"/>
    <x v="37"/>
    <x v="0"/>
    <x v="12"/>
    <x v="24"/>
    <x v="9"/>
    <x v="0"/>
    <x v="0"/>
    <x v="2"/>
    <x v="0"/>
    <x v="1"/>
    <x v="50"/>
    <x v="0"/>
    <x v="12"/>
    <x v="16"/>
    <x v="27"/>
    <x v="29"/>
    <x v="2"/>
    <x v="0"/>
    <x v="2"/>
  </r>
  <r>
    <x v="261"/>
    <x v="216"/>
    <x v="11"/>
    <x v="1"/>
    <x v="0"/>
    <x v="1"/>
    <x v="1"/>
    <x v="6"/>
    <x v="2"/>
    <x v="4"/>
    <x v="139"/>
    <x v="1"/>
    <x v="23"/>
    <x v="69"/>
    <x v="28"/>
    <x v="10"/>
    <x v="21"/>
    <x v="11"/>
    <x v="14"/>
    <x v="9"/>
    <x v="0"/>
    <x v="0"/>
    <x v="2"/>
    <x v="0"/>
    <x v="1"/>
    <x v="50"/>
    <x v="0"/>
    <x v="12"/>
    <x v="16"/>
    <x v="27"/>
    <x v="29"/>
    <x v="2"/>
    <x v="0"/>
    <x v="2"/>
  </r>
  <r>
    <x v="262"/>
    <x v="217"/>
    <x v="11"/>
    <x v="1"/>
    <x v="0"/>
    <x v="1"/>
    <x v="1"/>
    <x v="6"/>
    <x v="2"/>
    <x v="4"/>
    <x v="54"/>
    <x v="1"/>
    <x v="100"/>
    <x v="69"/>
    <x v="15"/>
    <x v="10"/>
    <x v="21"/>
    <x v="17"/>
    <x v="20"/>
    <x v="9"/>
    <x v="0"/>
    <x v="0"/>
    <x v="2"/>
    <x v="0"/>
    <x v="1"/>
    <x v="50"/>
    <x v="0"/>
    <x v="12"/>
    <x v="16"/>
    <x v="27"/>
    <x v="29"/>
    <x v="2"/>
    <x v="0"/>
    <x v="2"/>
  </r>
  <r>
    <x v="263"/>
    <x v="218"/>
    <x v="11"/>
    <x v="1"/>
    <x v="0"/>
    <x v="1"/>
    <x v="1"/>
    <x v="6"/>
    <x v="2"/>
    <x v="4"/>
    <x v="358"/>
    <x v="1"/>
    <x v="227"/>
    <x v="69"/>
    <x v="27"/>
    <x v="14"/>
    <x v="19"/>
    <x v="11"/>
    <x v="11"/>
    <x v="9"/>
    <x v="0"/>
    <x v="0"/>
    <x v="2"/>
    <x v="0"/>
    <x v="1"/>
    <x v="50"/>
    <x v="0"/>
    <x v="12"/>
    <x v="16"/>
    <x v="27"/>
    <x v="29"/>
    <x v="2"/>
    <x v="0"/>
    <x v="2"/>
  </r>
  <r>
    <x v="264"/>
    <x v="219"/>
    <x v="11"/>
    <x v="1"/>
    <x v="0"/>
    <x v="1"/>
    <x v="1"/>
    <x v="6"/>
    <x v="2"/>
    <x v="4"/>
    <x v="205"/>
    <x v="1"/>
    <x v="65"/>
    <x v="79"/>
    <x v="45"/>
    <x v="21"/>
    <x v="25"/>
    <x v="11"/>
    <x v="9"/>
    <x v="9"/>
    <x v="0"/>
    <x v="0"/>
    <x v="2"/>
    <x v="0"/>
    <x v="1"/>
    <x v="50"/>
    <x v="0"/>
    <x v="12"/>
    <x v="16"/>
    <x v="27"/>
    <x v="29"/>
    <x v="2"/>
    <x v="0"/>
    <x v="2"/>
  </r>
  <r>
    <x v="265"/>
    <x v="220"/>
    <x v="11"/>
    <x v="1"/>
    <x v="0"/>
    <x v="1"/>
    <x v="1"/>
    <x v="6"/>
    <x v="2"/>
    <x v="4"/>
    <x v="172"/>
    <x v="1"/>
    <x v="331"/>
    <x v="69"/>
    <x v="43"/>
    <x v="10"/>
    <x v="18"/>
    <x v="11"/>
    <x v="14"/>
    <x v="9"/>
    <x v="0"/>
    <x v="0"/>
    <x v="2"/>
    <x v="0"/>
    <x v="1"/>
    <x v="50"/>
    <x v="0"/>
    <x v="12"/>
    <x v="16"/>
    <x v="27"/>
    <x v="29"/>
    <x v="2"/>
    <x v="0"/>
    <x v="2"/>
  </r>
  <r>
    <x v="266"/>
    <x v="221"/>
    <x v="11"/>
    <x v="1"/>
    <x v="0"/>
    <x v="1"/>
    <x v="1"/>
    <x v="6"/>
    <x v="2"/>
    <x v="4"/>
    <x v="249"/>
    <x v="1"/>
    <x v="236"/>
    <x v="68"/>
    <x v="49"/>
    <x v="19"/>
    <x v="25"/>
    <x v="11"/>
    <x v="9"/>
    <x v="8"/>
    <x v="0"/>
    <x v="0"/>
    <x v="2"/>
    <x v="0"/>
    <x v="1"/>
    <x v="50"/>
    <x v="0"/>
    <x v="12"/>
    <x v="16"/>
    <x v="27"/>
    <x v="29"/>
    <x v="2"/>
    <x v="0"/>
    <x v="2"/>
  </r>
  <r>
    <x v="267"/>
    <x v="341"/>
    <x v="11"/>
    <x v="1"/>
    <x v="0"/>
    <x v="1"/>
    <x v="1"/>
    <x v="6"/>
    <x v="2"/>
    <x v="4"/>
    <x v="123"/>
    <x v="1"/>
    <x v="362"/>
    <x v="69"/>
    <x v="17"/>
    <x v="10"/>
    <x v="23"/>
    <x v="11"/>
    <x v="14"/>
    <x v="9"/>
    <x v="0"/>
    <x v="0"/>
    <x v="2"/>
    <x v="0"/>
    <x v="1"/>
    <x v="50"/>
    <x v="0"/>
    <x v="12"/>
    <x v="16"/>
    <x v="27"/>
    <x v="29"/>
    <x v="2"/>
    <x v="0"/>
    <x v="2"/>
  </r>
  <r>
    <x v="268"/>
    <x v="342"/>
    <x v="11"/>
    <x v="1"/>
    <x v="0"/>
    <x v="1"/>
    <x v="1"/>
    <x v="6"/>
    <x v="2"/>
    <x v="4"/>
    <x v="236"/>
    <x v="1"/>
    <x v="136"/>
    <x v="69"/>
    <x v="12"/>
    <x v="11"/>
    <x v="4"/>
    <x v="11"/>
    <x v="10"/>
    <x v="9"/>
    <x v="0"/>
    <x v="0"/>
    <x v="2"/>
    <x v="0"/>
    <x v="1"/>
    <x v="50"/>
    <x v="0"/>
    <x v="12"/>
    <x v="16"/>
    <x v="27"/>
    <x v="29"/>
    <x v="2"/>
    <x v="0"/>
    <x v="2"/>
  </r>
  <r>
    <x v="269"/>
    <x v="343"/>
    <x v="11"/>
    <x v="1"/>
    <x v="0"/>
    <x v="1"/>
    <x v="1"/>
    <x v="6"/>
    <x v="2"/>
    <x v="4"/>
    <x v="303"/>
    <x v="1"/>
    <x v="79"/>
    <x v="69"/>
    <x v="9"/>
    <x v="10"/>
    <x v="21"/>
    <x v="11"/>
    <x v="14"/>
    <x v="9"/>
    <x v="0"/>
    <x v="0"/>
    <x v="2"/>
    <x v="0"/>
    <x v="1"/>
    <x v="50"/>
    <x v="0"/>
    <x v="12"/>
    <x v="16"/>
    <x v="27"/>
    <x v="29"/>
    <x v="2"/>
    <x v="0"/>
    <x v="2"/>
  </r>
  <r>
    <x v="270"/>
    <x v="344"/>
    <x v="11"/>
    <x v="1"/>
    <x v="0"/>
    <x v="1"/>
    <x v="1"/>
    <x v="6"/>
    <x v="2"/>
    <x v="4"/>
    <x v="171"/>
    <x v="1"/>
    <x v="195"/>
    <x v="69"/>
    <x v="18"/>
    <x v="10"/>
    <x v="10"/>
    <x v="11"/>
    <x v="11"/>
    <x v="9"/>
    <x v="0"/>
    <x v="0"/>
    <x v="2"/>
    <x v="0"/>
    <x v="1"/>
    <x v="50"/>
    <x v="0"/>
    <x v="12"/>
    <x v="16"/>
    <x v="27"/>
    <x v="29"/>
    <x v="2"/>
    <x v="0"/>
    <x v="2"/>
  </r>
  <r>
    <x v="271"/>
    <x v="345"/>
    <x v="11"/>
    <x v="1"/>
    <x v="0"/>
    <x v="1"/>
    <x v="1"/>
    <x v="6"/>
    <x v="2"/>
    <x v="4"/>
    <x v="58"/>
    <x v="1"/>
    <x v="141"/>
    <x v="71"/>
    <x v="12"/>
    <x v="37"/>
    <x v="0"/>
    <x v="12"/>
    <x v="22"/>
    <x v="9"/>
    <x v="0"/>
    <x v="0"/>
    <x v="2"/>
    <x v="0"/>
    <x v="1"/>
    <x v="50"/>
    <x v="0"/>
    <x v="12"/>
    <x v="16"/>
    <x v="27"/>
    <x v="29"/>
    <x v="2"/>
    <x v="0"/>
    <x v="2"/>
  </r>
  <r>
    <x v="272"/>
    <x v="346"/>
    <x v="11"/>
    <x v="1"/>
    <x v="0"/>
    <x v="1"/>
    <x v="1"/>
    <x v="6"/>
    <x v="2"/>
    <x v="4"/>
    <x v="33"/>
    <x v="1"/>
    <x v="326"/>
    <x v="71"/>
    <x v="37"/>
    <x v="37"/>
    <x v="0"/>
    <x v="12"/>
    <x v="24"/>
    <x v="9"/>
    <x v="0"/>
    <x v="0"/>
    <x v="2"/>
    <x v="0"/>
    <x v="1"/>
    <x v="50"/>
    <x v="0"/>
    <x v="12"/>
    <x v="16"/>
    <x v="27"/>
    <x v="29"/>
    <x v="2"/>
    <x v="0"/>
    <x v="2"/>
  </r>
  <r>
    <x v="273"/>
    <x v="347"/>
    <x v="11"/>
    <x v="1"/>
    <x v="0"/>
    <x v="1"/>
    <x v="1"/>
    <x v="6"/>
    <x v="2"/>
    <x v="4"/>
    <x v="342"/>
    <x v="1"/>
    <x v="111"/>
    <x v="69"/>
    <x v="20"/>
    <x v="11"/>
    <x v="14"/>
    <x v="21"/>
    <x v="10"/>
    <x v="9"/>
    <x v="0"/>
    <x v="0"/>
    <x v="2"/>
    <x v="0"/>
    <x v="1"/>
    <x v="50"/>
    <x v="0"/>
    <x v="12"/>
    <x v="16"/>
    <x v="27"/>
    <x v="29"/>
    <x v="2"/>
    <x v="0"/>
    <x v="2"/>
  </r>
  <r>
    <x v="274"/>
    <x v="314"/>
    <x v="11"/>
    <x v="1"/>
    <x v="0"/>
    <x v="1"/>
    <x v="1"/>
    <x v="6"/>
    <x v="2"/>
    <x v="4"/>
    <x v="109"/>
    <x v="1"/>
    <x v="333"/>
    <x v="69"/>
    <x v="28"/>
    <x v="10"/>
    <x v="18"/>
    <x v="11"/>
    <x v="14"/>
    <x v="9"/>
    <x v="0"/>
    <x v="0"/>
    <x v="1"/>
    <x v="0"/>
    <x v="2"/>
    <x v="26"/>
    <x v="0"/>
    <x v="12"/>
    <x v="22"/>
    <x v="33"/>
    <x v="35"/>
    <x v="2"/>
    <x v="1"/>
    <x v="1"/>
  </r>
  <r>
    <x v="275"/>
    <x v="315"/>
    <x v="11"/>
    <x v="1"/>
    <x v="0"/>
    <x v="1"/>
    <x v="1"/>
    <x v="6"/>
    <x v="2"/>
    <x v="4"/>
    <x v="362"/>
    <x v="1"/>
    <x v="86"/>
    <x v="69"/>
    <x v="1"/>
    <x v="13"/>
    <x v="11"/>
    <x v="11"/>
    <x v="12"/>
    <x v="9"/>
    <x v="0"/>
    <x v="0"/>
    <x v="1"/>
    <x v="0"/>
    <x v="2"/>
    <x v="26"/>
    <x v="0"/>
    <x v="12"/>
    <x v="22"/>
    <x v="33"/>
    <x v="35"/>
    <x v="2"/>
    <x v="1"/>
    <x v="1"/>
  </r>
  <r>
    <x v="276"/>
    <x v="316"/>
    <x v="11"/>
    <x v="1"/>
    <x v="0"/>
    <x v="1"/>
    <x v="1"/>
    <x v="6"/>
    <x v="2"/>
    <x v="4"/>
    <x v="317"/>
    <x v="1"/>
    <x v="18"/>
    <x v="69"/>
    <x v="39"/>
    <x v="14"/>
    <x v="19"/>
    <x v="11"/>
    <x v="11"/>
    <x v="9"/>
    <x v="0"/>
    <x v="0"/>
    <x v="1"/>
    <x v="0"/>
    <x v="2"/>
    <x v="26"/>
    <x v="0"/>
    <x v="12"/>
    <x v="22"/>
    <x v="33"/>
    <x v="35"/>
    <x v="2"/>
    <x v="1"/>
    <x v="1"/>
  </r>
  <r>
    <x v="277"/>
    <x v="317"/>
    <x v="11"/>
    <x v="1"/>
    <x v="0"/>
    <x v="1"/>
    <x v="1"/>
    <x v="6"/>
    <x v="2"/>
    <x v="4"/>
    <x v="222"/>
    <x v="1"/>
    <x v="252"/>
    <x v="69"/>
    <x v="39"/>
    <x v="14"/>
    <x v="19"/>
    <x v="11"/>
    <x v="11"/>
    <x v="9"/>
    <x v="0"/>
    <x v="0"/>
    <x v="1"/>
    <x v="0"/>
    <x v="2"/>
    <x v="26"/>
    <x v="0"/>
    <x v="12"/>
    <x v="22"/>
    <x v="33"/>
    <x v="35"/>
    <x v="2"/>
    <x v="1"/>
    <x v="1"/>
  </r>
  <r>
    <x v="278"/>
    <x v="318"/>
    <x v="11"/>
    <x v="1"/>
    <x v="0"/>
    <x v="1"/>
    <x v="1"/>
    <x v="6"/>
    <x v="2"/>
    <x v="4"/>
    <x v="13"/>
    <x v="1"/>
    <x v="292"/>
    <x v="71"/>
    <x v="28"/>
    <x v="56"/>
    <x v="0"/>
    <x v="12"/>
    <x v="26"/>
    <x v="9"/>
    <x v="0"/>
    <x v="0"/>
    <x v="1"/>
    <x v="0"/>
    <x v="2"/>
    <x v="26"/>
    <x v="0"/>
    <x v="12"/>
    <x v="22"/>
    <x v="33"/>
    <x v="35"/>
    <x v="2"/>
    <x v="1"/>
    <x v="1"/>
  </r>
  <r>
    <x v="279"/>
    <x v="319"/>
    <x v="11"/>
    <x v="1"/>
    <x v="0"/>
    <x v="1"/>
    <x v="1"/>
    <x v="6"/>
    <x v="2"/>
    <x v="4"/>
    <x v="166"/>
    <x v="1"/>
    <x v="240"/>
    <x v="69"/>
    <x v="14"/>
    <x v="10"/>
    <x v="23"/>
    <x v="11"/>
    <x v="14"/>
    <x v="9"/>
    <x v="0"/>
    <x v="0"/>
    <x v="1"/>
    <x v="0"/>
    <x v="2"/>
    <x v="26"/>
    <x v="0"/>
    <x v="12"/>
    <x v="22"/>
    <x v="33"/>
    <x v="35"/>
    <x v="2"/>
    <x v="1"/>
    <x v="1"/>
  </r>
  <r>
    <x v="280"/>
    <x v="320"/>
    <x v="11"/>
    <x v="1"/>
    <x v="0"/>
    <x v="1"/>
    <x v="1"/>
    <x v="6"/>
    <x v="2"/>
    <x v="4"/>
    <x v="256"/>
    <x v="1"/>
    <x v="267"/>
    <x v="69"/>
    <x v="12"/>
    <x v="11"/>
    <x v="4"/>
    <x v="11"/>
    <x v="10"/>
    <x v="9"/>
    <x v="0"/>
    <x v="0"/>
    <x v="1"/>
    <x v="0"/>
    <x v="2"/>
    <x v="26"/>
    <x v="0"/>
    <x v="12"/>
    <x v="22"/>
    <x v="33"/>
    <x v="35"/>
    <x v="2"/>
    <x v="1"/>
    <x v="1"/>
  </r>
  <r>
    <x v="281"/>
    <x v="321"/>
    <x v="11"/>
    <x v="1"/>
    <x v="0"/>
    <x v="1"/>
    <x v="1"/>
    <x v="6"/>
    <x v="2"/>
    <x v="4"/>
    <x v="101"/>
    <x v="1"/>
    <x v="334"/>
    <x v="69"/>
    <x v="24"/>
    <x v="11"/>
    <x v="5"/>
    <x v="11"/>
    <x v="10"/>
    <x v="9"/>
    <x v="0"/>
    <x v="0"/>
    <x v="1"/>
    <x v="0"/>
    <x v="2"/>
    <x v="26"/>
    <x v="0"/>
    <x v="12"/>
    <x v="22"/>
    <x v="33"/>
    <x v="35"/>
    <x v="2"/>
    <x v="1"/>
    <x v="1"/>
  </r>
  <r>
    <x v="282"/>
    <x v="322"/>
    <x v="11"/>
    <x v="1"/>
    <x v="0"/>
    <x v="1"/>
    <x v="1"/>
    <x v="6"/>
    <x v="2"/>
    <x v="4"/>
    <x v="294"/>
    <x v="1"/>
    <x v="218"/>
    <x v="79"/>
    <x v="28"/>
    <x v="18"/>
    <x v="25"/>
    <x v="12"/>
    <x v="21"/>
    <x v="9"/>
    <x v="0"/>
    <x v="0"/>
    <x v="1"/>
    <x v="0"/>
    <x v="2"/>
    <x v="26"/>
    <x v="0"/>
    <x v="12"/>
    <x v="22"/>
    <x v="33"/>
    <x v="35"/>
    <x v="2"/>
    <x v="1"/>
    <x v="1"/>
  </r>
  <r>
    <x v="283"/>
    <x v="323"/>
    <x v="11"/>
    <x v="1"/>
    <x v="0"/>
    <x v="1"/>
    <x v="1"/>
    <x v="6"/>
    <x v="2"/>
    <x v="4"/>
    <x v="102"/>
    <x v="1"/>
    <x v="166"/>
    <x v="69"/>
    <x v="26"/>
    <x v="11"/>
    <x v="14"/>
    <x v="11"/>
    <x v="10"/>
    <x v="9"/>
    <x v="0"/>
    <x v="0"/>
    <x v="1"/>
    <x v="0"/>
    <x v="2"/>
    <x v="26"/>
    <x v="0"/>
    <x v="12"/>
    <x v="22"/>
    <x v="33"/>
    <x v="35"/>
    <x v="2"/>
    <x v="1"/>
    <x v="1"/>
  </r>
  <r>
    <x v="284"/>
    <x v="324"/>
    <x v="11"/>
    <x v="1"/>
    <x v="0"/>
    <x v="1"/>
    <x v="1"/>
    <x v="6"/>
    <x v="2"/>
    <x v="4"/>
    <x v="92"/>
    <x v="1"/>
    <x v="215"/>
    <x v="80"/>
    <x v="28"/>
    <x v="56"/>
    <x v="0"/>
    <x v="12"/>
    <x v="26"/>
    <x v="9"/>
    <x v="0"/>
    <x v="0"/>
    <x v="1"/>
    <x v="0"/>
    <x v="2"/>
    <x v="26"/>
    <x v="0"/>
    <x v="12"/>
    <x v="22"/>
    <x v="33"/>
    <x v="35"/>
    <x v="2"/>
    <x v="1"/>
    <x v="1"/>
  </r>
  <r>
    <x v="285"/>
    <x v="325"/>
    <x v="11"/>
    <x v="1"/>
    <x v="0"/>
    <x v="1"/>
    <x v="1"/>
    <x v="6"/>
    <x v="2"/>
    <x v="4"/>
    <x v="344"/>
    <x v="1"/>
    <x v="64"/>
    <x v="42"/>
    <x v="12"/>
    <x v="11"/>
    <x v="4"/>
    <x v="11"/>
    <x v="10"/>
    <x v="9"/>
    <x v="0"/>
    <x v="0"/>
    <x v="1"/>
    <x v="0"/>
    <x v="2"/>
    <x v="26"/>
    <x v="0"/>
    <x v="12"/>
    <x v="22"/>
    <x v="33"/>
    <x v="35"/>
    <x v="2"/>
    <x v="1"/>
    <x v="1"/>
  </r>
  <r>
    <x v="286"/>
    <x v="326"/>
    <x v="11"/>
    <x v="1"/>
    <x v="0"/>
    <x v="1"/>
    <x v="1"/>
    <x v="6"/>
    <x v="2"/>
    <x v="4"/>
    <x v="112"/>
    <x v="1"/>
    <x v="50"/>
    <x v="71"/>
    <x v="29"/>
    <x v="37"/>
    <x v="0"/>
    <x v="12"/>
    <x v="22"/>
    <x v="9"/>
    <x v="0"/>
    <x v="0"/>
    <x v="1"/>
    <x v="0"/>
    <x v="2"/>
    <x v="26"/>
    <x v="0"/>
    <x v="12"/>
    <x v="22"/>
    <x v="33"/>
    <x v="35"/>
    <x v="2"/>
    <x v="1"/>
    <x v="1"/>
  </r>
  <r>
    <x v="287"/>
    <x v="327"/>
    <x v="11"/>
    <x v="1"/>
    <x v="0"/>
    <x v="1"/>
    <x v="1"/>
    <x v="6"/>
    <x v="2"/>
    <x v="4"/>
    <x v="31"/>
    <x v="1"/>
    <x v="330"/>
    <x v="69"/>
    <x v="28"/>
    <x v="10"/>
    <x v="21"/>
    <x v="17"/>
    <x v="20"/>
    <x v="9"/>
    <x v="0"/>
    <x v="0"/>
    <x v="1"/>
    <x v="0"/>
    <x v="2"/>
    <x v="26"/>
    <x v="0"/>
    <x v="12"/>
    <x v="22"/>
    <x v="33"/>
    <x v="35"/>
    <x v="2"/>
    <x v="1"/>
    <x v="1"/>
  </r>
  <r>
    <x v="288"/>
    <x v="330"/>
    <x v="11"/>
    <x v="1"/>
    <x v="0"/>
    <x v="1"/>
    <x v="1"/>
    <x v="6"/>
    <x v="2"/>
    <x v="4"/>
    <x v="232"/>
    <x v="1"/>
    <x v="62"/>
    <x v="69"/>
    <x v="36"/>
    <x v="12"/>
    <x v="16"/>
    <x v="11"/>
    <x v="13"/>
    <x v="9"/>
    <x v="0"/>
    <x v="0"/>
    <x v="1"/>
    <x v="0"/>
    <x v="2"/>
    <x v="26"/>
    <x v="0"/>
    <x v="12"/>
    <x v="22"/>
    <x v="33"/>
    <x v="35"/>
    <x v="2"/>
    <x v="1"/>
    <x v="1"/>
  </r>
  <r>
    <x v="289"/>
    <x v="331"/>
    <x v="11"/>
    <x v="1"/>
    <x v="0"/>
    <x v="1"/>
    <x v="1"/>
    <x v="6"/>
    <x v="2"/>
    <x v="4"/>
    <x v="238"/>
    <x v="1"/>
    <x v="143"/>
    <x v="71"/>
    <x v="34"/>
    <x v="56"/>
    <x v="0"/>
    <x v="12"/>
    <x v="25"/>
    <x v="9"/>
    <x v="0"/>
    <x v="0"/>
    <x v="1"/>
    <x v="0"/>
    <x v="2"/>
    <x v="26"/>
    <x v="0"/>
    <x v="12"/>
    <x v="22"/>
    <x v="33"/>
    <x v="35"/>
    <x v="2"/>
    <x v="1"/>
    <x v="1"/>
  </r>
  <r>
    <x v="290"/>
    <x v="332"/>
    <x v="11"/>
    <x v="1"/>
    <x v="0"/>
    <x v="1"/>
    <x v="1"/>
    <x v="6"/>
    <x v="2"/>
    <x v="4"/>
    <x v="307"/>
    <x v="1"/>
    <x v="25"/>
    <x v="80"/>
    <x v="16"/>
    <x v="56"/>
    <x v="0"/>
    <x v="12"/>
    <x v="25"/>
    <x v="9"/>
    <x v="0"/>
    <x v="0"/>
    <x v="1"/>
    <x v="0"/>
    <x v="2"/>
    <x v="26"/>
    <x v="0"/>
    <x v="12"/>
    <x v="22"/>
    <x v="33"/>
    <x v="35"/>
    <x v="2"/>
    <x v="1"/>
    <x v="1"/>
  </r>
  <r>
    <x v="291"/>
    <x v="349"/>
    <x v="9"/>
    <x v="1"/>
    <x v="1"/>
    <x v="1"/>
    <x v="4"/>
    <x v="6"/>
    <x v="2"/>
    <x v="4"/>
    <x v="308"/>
    <x v="1"/>
    <x v="53"/>
    <x v="44"/>
    <x v="16"/>
    <x v="41"/>
    <x v="0"/>
    <x v="12"/>
    <x v="21"/>
    <x v="8"/>
    <x v="5"/>
    <x v="0"/>
    <x v="14"/>
    <x v="8"/>
    <x v="17"/>
    <x v="27"/>
    <x v="0"/>
    <x v="12"/>
    <x v="23"/>
    <x v="33"/>
    <x v="35"/>
    <x v="2"/>
    <x v="19"/>
    <x v="14"/>
  </r>
  <r>
    <x v="292"/>
    <x v="350"/>
    <x v="9"/>
    <x v="1"/>
    <x v="1"/>
    <x v="1"/>
    <x v="4"/>
    <x v="6"/>
    <x v="2"/>
    <x v="4"/>
    <x v="263"/>
    <x v="1"/>
    <x v="142"/>
    <x v="13"/>
    <x v="12"/>
    <x v="36"/>
    <x v="0"/>
    <x v="23"/>
    <x v="2"/>
    <x v="8"/>
    <x v="5"/>
    <x v="0"/>
    <x v="14"/>
    <x v="8"/>
    <x v="17"/>
    <x v="27"/>
    <x v="0"/>
    <x v="12"/>
    <x v="23"/>
    <x v="33"/>
    <x v="35"/>
    <x v="2"/>
    <x v="19"/>
    <x v="14"/>
  </r>
  <r>
    <x v="293"/>
    <x v="253"/>
    <x v="9"/>
    <x v="1"/>
    <x v="1"/>
    <x v="1"/>
    <x v="4"/>
    <x v="7"/>
    <x v="2"/>
    <x v="4"/>
    <x v="181"/>
    <x v="1"/>
    <x v="95"/>
    <x v="44"/>
    <x v="27"/>
    <x v="42"/>
    <x v="0"/>
    <x v="12"/>
    <x v="21"/>
    <x v="8"/>
    <x v="8"/>
    <x v="7"/>
    <x v="21"/>
    <x v="7"/>
    <x v="13"/>
    <x v="28"/>
    <x v="0"/>
    <x v="15"/>
    <x v="26"/>
    <x v="38"/>
    <x v="39"/>
    <x v="2"/>
    <x v="15"/>
    <x v="21"/>
  </r>
  <r>
    <x v="294"/>
    <x v="251"/>
    <x v="9"/>
    <x v="1"/>
    <x v="1"/>
    <x v="1"/>
    <x v="4"/>
    <x v="8"/>
    <x v="2"/>
    <x v="4"/>
    <x v="44"/>
    <x v="1"/>
    <x v="118"/>
    <x v="53"/>
    <x v="40"/>
    <x v="19"/>
    <x v="25"/>
    <x v="11"/>
    <x v="9"/>
    <x v="8"/>
    <x v="8"/>
    <x v="7"/>
    <x v="21"/>
    <x v="7"/>
    <x v="13"/>
    <x v="28"/>
    <x v="0"/>
    <x v="15"/>
    <x v="26"/>
    <x v="38"/>
    <x v="39"/>
    <x v="2"/>
    <x v="15"/>
    <x v="21"/>
  </r>
  <r>
    <x v="295"/>
    <x v="249"/>
    <x v="9"/>
    <x v="1"/>
    <x v="1"/>
    <x v="1"/>
    <x v="4"/>
    <x v="9"/>
    <x v="2"/>
    <x v="4"/>
    <x v="246"/>
    <x v="1"/>
    <x v="282"/>
    <x v="41"/>
    <x v="28"/>
    <x v="56"/>
    <x v="0"/>
    <x v="13"/>
    <x v="26"/>
    <x v="8"/>
    <x v="8"/>
    <x v="7"/>
    <x v="21"/>
    <x v="7"/>
    <x v="13"/>
    <x v="28"/>
    <x v="0"/>
    <x v="15"/>
    <x v="26"/>
    <x v="38"/>
    <x v="39"/>
    <x v="2"/>
    <x v="15"/>
    <x v="21"/>
  </r>
  <r>
    <x v="296"/>
    <x v="250"/>
    <x v="9"/>
    <x v="1"/>
    <x v="1"/>
    <x v="1"/>
    <x v="4"/>
    <x v="10"/>
    <x v="2"/>
    <x v="4"/>
    <x v="279"/>
    <x v="1"/>
    <x v="327"/>
    <x v="42"/>
    <x v="23"/>
    <x v="11"/>
    <x v="5"/>
    <x v="11"/>
    <x v="10"/>
    <x v="8"/>
    <x v="8"/>
    <x v="7"/>
    <x v="21"/>
    <x v="7"/>
    <x v="13"/>
    <x v="28"/>
    <x v="0"/>
    <x v="15"/>
    <x v="26"/>
    <x v="38"/>
    <x v="39"/>
    <x v="2"/>
    <x v="15"/>
    <x v="21"/>
  </r>
  <r>
    <x v="297"/>
    <x v="248"/>
    <x v="9"/>
    <x v="1"/>
    <x v="1"/>
    <x v="1"/>
    <x v="4"/>
    <x v="11"/>
    <x v="2"/>
    <x v="4"/>
    <x v="125"/>
    <x v="1"/>
    <x v="3"/>
    <x v="66"/>
    <x v="12"/>
    <x v="3"/>
    <x v="0"/>
    <x v="24"/>
    <x v="45"/>
    <x v="9"/>
    <x v="8"/>
    <x v="7"/>
    <x v="21"/>
    <x v="7"/>
    <x v="13"/>
    <x v="28"/>
    <x v="0"/>
    <x v="15"/>
    <x v="26"/>
    <x v="38"/>
    <x v="39"/>
    <x v="2"/>
    <x v="15"/>
    <x v="21"/>
  </r>
  <r>
    <x v="298"/>
    <x v="247"/>
    <x v="9"/>
    <x v="1"/>
    <x v="1"/>
    <x v="1"/>
    <x v="4"/>
    <x v="12"/>
    <x v="2"/>
    <x v="4"/>
    <x v="120"/>
    <x v="1"/>
    <x v="349"/>
    <x v="37"/>
    <x v="16"/>
    <x v="15"/>
    <x v="0"/>
    <x v="7"/>
    <x v="40"/>
    <x v="0"/>
    <x v="8"/>
    <x v="7"/>
    <x v="21"/>
    <x v="7"/>
    <x v="13"/>
    <x v="28"/>
    <x v="0"/>
    <x v="15"/>
    <x v="26"/>
    <x v="38"/>
    <x v="39"/>
    <x v="2"/>
    <x v="15"/>
    <x v="21"/>
  </r>
  <r>
    <x v="299"/>
    <x v="252"/>
    <x v="9"/>
    <x v="1"/>
    <x v="1"/>
    <x v="1"/>
    <x v="4"/>
    <x v="13"/>
    <x v="2"/>
    <x v="4"/>
    <x v="2"/>
    <x v="1"/>
    <x v="281"/>
    <x v="49"/>
    <x v="16"/>
    <x v="53"/>
    <x v="0"/>
    <x v="8"/>
    <x v="33"/>
    <x v="0"/>
    <x v="8"/>
    <x v="7"/>
    <x v="21"/>
    <x v="7"/>
    <x v="13"/>
    <x v="28"/>
    <x v="0"/>
    <x v="15"/>
    <x v="26"/>
    <x v="38"/>
    <x v="39"/>
    <x v="2"/>
    <x v="15"/>
    <x v="21"/>
  </r>
  <r>
    <x v="300"/>
    <x v="256"/>
    <x v="9"/>
    <x v="1"/>
    <x v="1"/>
    <x v="1"/>
    <x v="4"/>
    <x v="6"/>
    <x v="2"/>
    <x v="4"/>
    <x v="345"/>
    <x v="1"/>
    <x v="19"/>
    <x v="34"/>
    <x v="16"/>
    <x v="53"/>
    <x v="0"/>
    <x v="8"/>
    <x v="33"/>
    <x v="8"/>
    <x v="9"/>
    <x v="9"/>
    <x v="20"/>
    <x v="9"/>
    <x v="15"/>
    <x v="30"/>
    <x v="0"/>
    <x v="13"/>
    <x v="27"/>
    <x v="37"/>
    <x v="38"/>
    <x v="2"/>
    <x v="17"/>
    <x v="20"/>
  </r>
  <r>
    <x v="301"/>
    <x v="374"/>
    <x v="9"/>
    <x v="1"/>
    <x v="1"/>
    <x v="1"/>
    <x v="4"/>
    <x v="6"/>
    <x v="2"/>
    <x v="4"/>
    <x v="331"/>
    <x v="1"/>
    <x v="266"/>
    <x v="58"/>
    <x v="12"/>
    <x v="8"/>
    <x v="0"/>
    <x v="7"/>
    <x v="40"/>
    <x v="0"/>
    <x v="9"/>
    <x v="9"/>
    <x v="19"/>
    <x v="9"/>
    <x v="16"/>
    <x v="32"/>
    <x v="0"/>
    <x v="13"/>
    <x v="29"/>
    <x v="40"/>
    <x v="41"/>
    <x v="2"/>
    <x v="18"/>
    <x v="19"/>
  </r>
  <r>
    <x v="302"/>
    <x v="373"/>
    <x v="9"/>
    <x v="1"/>
    <x v="1"/>
    <x v="1"/>
    <x v="4"/>
    <x v="6"/>
    <x v="2"/>
    <x v="4"/>
    <x v="333"/>
    <x v="1"/>
    <x v="256"/>
    <x v="44"/>
    <x v="16"/>
    <x v="41"/>
    <x v="0"/>
    <x v="14"/>
    <x v="21"/>
    <x v="8"/>
    <x v="9"/>
    <x v="9"/>
    <x v="19"/>
    <x v="9"/>
    <x v="16"/>
    <x v="32"/>
    <x v="0"/>
    <x v="13"/>
    <x v="29"/>
    <x v="39"/>
    <x v="40"/>
    <x v="2"/>
    <x v="18"/>
    <x v="19"/>
  </r>
  <r>
    <x v="303"/>
    <x v="354"/>
    <x v="9"/>
    <x v="1"/>
    <x v="1"/>
    <x v="1"/>
    <x v="4"/>
    <x v="6"/>
    <x v="2"/>
    <x v="4"/>
    <x v="244"/>
    <x v="0"/>
    <x v="322"/>
    <x v="12"/>
    <x v="16"/>
    <x v="57"/>
    <x v="1"/>
    <x v="23"/>
    <x v="4"/>
    <x v="0"/>
    <x v="9"/>
    <x v="9"/>
    <x v="19"/>
    <x v="9"/>
    <x v="16"/>
    <x v="32"/>
    <x v="0"/>
    <x v="13"/>
    <x v="29"/>
    <x v="39"/>
    <x v="40"/>
    <x v="2"/>
    <x v="18"/>
    <x v="19"/>
  </r>
  <r>
    <x v="304"/>
    <x v="376"/>
    <x v="9"/>
    <x v="1"/>
    <x v="1"/>
    <x v="1"/>
    <x v="4"/>
    <x v="6"/>
    <x v="2"/>
    <x v="4"/>
    <x v="131"/>
    <x v="1"/>
    <x v="140"/>
    <x v="52"/>
    <x v="45"/>
    <x v="37"/>
    <x v="0"/>
    <x v="12"/>
    <x v="24"/>
    <x v="8"/>
    <x v="9"/>
    <x v="9"/>
    <x v="19"/>
    <x v="9"/>
    <x v="16"/>
    <x v="32"/>
    <x v="0"/>
    <x v="13"/>
    <x v="29"/>
    <x v="39"/>
    <x v="40"/>
    <x v="2"/>
    <x v="18"/>
    <x v="19"/>
  </r>
  <r>
    <x v="305"/>
    <x v="377"/>
    <x v="9"/>
    <x v="1"/>
    <x v="1"/>
    <x v="1"/>
    <x v="4"/>
    <x v="6"/>
    <x v="2"/>
    <x v="4"/>
    <x v="215"/>
    <x v="1"/>
    <x v="310"/>
    <x v="42"/>
    <x v="50"/>
    <x v="10"/>
    <x v="20"/>
    <x v="11"/>
    <x v="14"/>
    <x v="8"/>
    <x v="9"/>
    <x v="9"/>
    <x v="19"/>
    <x v="9"/>
    <x v="16"/>
    <x v="32"/>
    <x v="0"/>
    <x v="13"/>
    <x v="29"/>
    <x v="39"/>
    <x v="40"/>
    <x v="2"/>
    <x v="18"/>
    <x v="19"/>
  </r>
  <r>
    <x v="306"/>
    <x v="356"/>
    <x v="9"/>
    <x v="1"/>
    <x v="1"/>
    <x v="1"/>
    <x v="4"/>
    <x v="6"/>
    <x v="2"/>
    <x v="4"/>
    <x v="264"/>
    <x v="1"/>
    <x v="316"/>
    <x v="51"/>
    <x v="45"/>
    <x v="13"/>
    <x v="0"/>
    <x v="11"/>
    <x v="12"/>
    <x v="8"/>
    <x v="9"/>
    <x v="9"/>
    <x v="19"/>
    <x v="9"/>
    <x v="16"/>
    <x v="32"/>
    <x v="0"/>
    <x v="13"/>
    <x v="29"/>
    <x v="39"/>
    <x v="40"/>
    <x v="2"/>
    <x v="18"/>
    <x v="19"/>
  </r>
  <r>
    <x v="307"/>
    <x v="370"/>
    <x v="9"/>
    <x v="1"/>
    <x v="1"/>
    <x v="1"/>
    <x v="4"/>
    <x v="6"/>
    <x v="2"/>
    <x v="4"/>
    <x v="55"/>
    <x v="1"/>
    <x v="277"/>
    <x v="45"/>
    <x v="16"/>
    <x v="14"/>
    <x v="0"/>
    <x v="17"/>
    <x v="17"/>
    <x v="8"/>
    <x v="9"/>
    <x v="9"/>
    <x v="19"/>
    <x v="9"/>
    <x v="16"/>
    <x v="32"/>
    <x v="0"/>
    <x v="13"/>
    <x v="29"/>
    <x v="39"/>
    <x v="40"/>
    <x v="2"/>
    <x v="18"/>
    <x v="19"/>
  </r>
  <r>
    <x v="308"/>
    <x v="371"/>
    <x v="9"/>
    <x v="1"/>
    <x v="1"/>
    <x v="1"/>
    <x v="4"/>
    <x v="6"/>
    <x v="2"/>
    <x v="4"/>
    <x v="45"/>
    <x v="1"/>
    <x v="209"/>
    <x v="66"/>
    <x v="28"/>
    <x v="3"/>
    <x v="0"/>
    <x v="0"/>
    <x v="45"/>
    <x v="9"/>
    <x v="9"/>
    <x v="9"/>
    <x v="19"/>
    <x v="9"/>
    <x v="16"/>
    <x v="32"/>
    <x v="0"/>
    <x v="13"/>
    <x v="29"/>
    <x v="39"/>
    <x v="40"/>
    <x v="2"/>
    <x v="18"/>
    <x v="19"/>
  </r>
  <r>
    <x v="309"/>
    <x v="367"/>
    <x v="9"/>
    <x v="1"/>
    <x v="1"/>
    <x v="1"/>
    <x v="4"/>
    <x v="6"/>
    <x v="2"/>
    <x v="4"/>
    <x v="341"/>
    <x v="1"/>
    <x v="319"/>
    <x v="48"/>
    <x v="16"/>
    <x v="42"/>
    <x v="0"/>
    <x v="14"/>
    <x v="21"/>
    <x v="8"/>
    <x v="9"/>
    <x v="9"/>
    <x v="19"/>
    <x v="9"/>
    <x v="16"/>
    <x v="32"/>
    <x v="0"/>
    <x v="13"/>
    <x v="29"/>
    <x v="41"/>
    <x v="43"/>
    <x v="2"/>
    <x v="18"/>
    <x v="19"/>
  </r>
  <r>
    <x v="310"/>
    <x v="368"/>
    <x v="9"/>
    <x v="1"/>
    <x v="1"/>
    <x v="1"/>
    <x v="4"/>
    <x v="6"/>
    <x v="2"/>
    <x v="4"/>
    <x v="293"/>
    <x v="1"/>
    <x v="98"/>
    <x v="42"/>
    <x v="30"/>
    <x v="11"/>
    <x v="4"/>
    <x v="11"/>
    <x v="10"/>
    <x v="8"/>
    <x v="9"/>
    <x v="9"/>
    <x v="19"/>
    <x v="9"/>
    <x v="16"/>
    <x v="32"/>
    <x v="0"/>
    <x v="13"/>
    <x v="29"/>
    <x v="40"/>
    <x v="41"/>
    <x v="2"/>
    <x v="18"/>
    <x v="19"/>
  </r>
  <r>
    <x v="311"/>
    <x v="369"/>
    <x v="9"/>
    <x v="1"/>
    <x v="1"/>
    <x v="1"/>
    <x v="4"/>
    <x v="6"/>
    <x v="2"/>
    <x v="4"/>
    <x v="218"/>
    <x v="1"/>
    <x v="287"/>
    <x v="50"/>
    <x v="16"/>
    <x v="17"/>
    <x v="0"/>
    <x v="18"/>
    <x v="27"/>
    <x v="8"/>
    <x v="9"/>
    <x v="9"/>
    <x v="19"/>
    <x v="9"/>
    <x v="16"/>
    <x v="32"/>
    <x v="0"/>
    <x v="13"/>
    <x v="29"/>
    <x v="41"/>
    <x v="43"/>
    <x v="2"/>
    <x v="18"/>
    <x v="19"/>
  </r>
  <r>
    <x v="312"/>
    <x v="364"/>
    <x v="9"/>
    <x v="1"/>
    <x v="1"/>
    <x v="1"/>
    <x v="4"/>
    <x v="6"/>
    <x v="2"/>
    <x v="4"/>
    <x v="225"/>
    <x v="1"/>
    <x v="127"/>
    <x v="45"/>
    <x v="34"/>
    <x v="12"/>
    <x v="0"/>
    <x v="21"/>
    <x v="19"/>
    <x v="8"/>
    <x v="9"/>
    <x v="9"/>
    <x v="19"/>
    <x v="9"/>
    <x v="16"/>
    <x v="32"/>
    <x v="0"/>
    <x v="13"/>
    <x v="29"/>
    <x v="40"/>
    <x v="41"/>
    <x v="2"/>
    <x v="18"/>
    <x v="19"/>
  </r>
  <r>
    <x v="313"/>
    <x v="372"/>
    <x v="9"/>
    <x v="1"/>
    <x v="1"/>
    <x v="1"/>
    <x v="4"/>
    <x v="6"/>
    <x v="2"/>
    <x v="4"/>
    <x v="96"/>
    <x v="1"/>
    <x v="328"/>
    <x v="51"/>
    <x v="34"/>
    <x v="12"/>
    <x v="0"/>
    <x v="11"/>
    <x v="13"/>
    <x v="8"/>
    <x v="9"/>
    <x v="9"/>
    <x v="19"/>
    <x v="9"/>
    <x v="16"/>
    <x v="32"/>
    <x v="0"/>
    <x v="13"/>
    <x v="29"/>
    <x v="39"/>
    <x v="40"/>
    <x v="2"/>
    <x v="18"/>
    <x v="19"/>
  </r>
  <r>
    <x v="314"/>
    <x v="255"/>
    <x v="9"/>
    <x v="1"/>
    <x v="1"/>
    <x v="1"/>
    <x v="4"/>
    <x v="6"/>
    <x v="2"/>
    <x v="4"/>
    <x v="18"/>
    <x v="1"/>
    <x v="336"/>
    <x v="33"/>
    <x v="16"/>
    <x v="24"/>
    <x v="0"/>
    <x v="25"/>
    <x v="41"/>
    <x v="0"/>
    <x v="9"/>
    <x v="9"/>
    <x v="19"/>
    <x v="9"/>
    <x v="16"/>
    <x v="32"/>
    <x v="0"/>
    <x v="13"/>
    <x v="29"/>
    <x v="39"/>
    <x v="40"/>
    <x v="2"/>
    <x v="18"/>
    <x v="19"/>
  </r>
  <r>
    <x v="315"/>
    <x v="366"/>
    <x v="9"/>
    <x v="1"/>
    <x v="1"/>
    <x v="1"/>
    <x v="4"/>
    <x v="6"/>
    <x v="2"/>
    <x v="4"/>
    <x v="234"/>
    <x v="1"/>
    <x v="337"/>
    <x v="40"/>
    <x v="45"/>
    <x v="9"/>
    <x v="0"/>
    <x v="18"/>
    <x v="30"/>
    <x v="8"/>
    <x v="9"/>
    <x v="9"/>
    <x v="19"/>
    <x v="9"/>
    <x v="16"/>
    <x v="32"/>
    <x v="0"/>
    <x v="13"/>
    <x v="29"/>
    <x v="39"/>
    <x v="40"/>
    <x v="2"/>
    <x v="18"/>
    <x v="19"/>
  </r>
  <r>
    <x v="316"/>
    <x v="361"/>
    <x v="9"/>
    <x v="1"/>
    <x v="1"/>
    <x v="1"/>
    <x v="4"/>
    <x v="6"/>
    <x v="2"/>
    <x v="4"/>
    <x v="353"/>
    <x v="1"/>
    <x v="272"/>
    <x v="39"/>
    <x v="28"/>
    <x v="18"/>
    <x v="25"/>
    <x v="11"/>
    <x v="9"/>
    <x v="8"/>
    <x v="9"/>
    <x v="9"/>
    <x v="19"/>
    <x v="9"/>
    <x v="16"/>
    <x v="32"/>
    <x v="0"/>
    <x v="13"/>
    <x v="29"/>
    <x v="39"/>
    <x v="40"/>
    <x v="2"/>
    <x v="18"/>
    <x v="19"/>
  </r>
  <r>
    <x v="317"/>
    <x v="362"/>
    <x v="9"/>
    <x v="1"/>
    <x v="1"/>
    <x v="1"/>
    <x v="4"/>
    <x v="6"/>
    <x v="2"/>
    <x v="4"/>
    <x v="296"/>
    <x v="1"/>
    <x v="317"/>
    <x v="40"/>
    <x v="28"/>
    <x v="10"/>
    <x v="0"/>
    <x v="18"/>
    <x v="32"/>
    <x v="8"/>
    <x v="9"/>
    <x v="9"/>
    <x v="19"/>
    <x v="9"/>
    <x v="16"/>
    <x v="32"/>
    <x v="0"/>
    <x v="13"/>
    <x v="29"/>
    <x v="39"/>
    <x v="40"/>
    <x v="2"/>
    <x v="18"/>
    <x v="19"/>
  </r>
  <r>
    <x v="318"/>
    <x v="363"/>
    <x v="9"/>
    <x v="1"/>
    <x v="1"/>
    <x v="1"/>
    <x v="4"/>
    <x v="6"/>
    <x v="2"/>
    <x v="4"/>
    <x v="138"/>
    <x v="1"/>
    <x v="32"/>
    <x v="59"/>
    <x v="16"/>
    <x v="37"/>
    <x v="0"/>
    <x v="19"/>
    <x v="21"/>
    <x v="8"/>
    <x v="9"/>
    <x v="9"/>
    <x v="19"/>
    <x v="9"/>
    <x v="16"/>
    <x v="32"/>
    <x v="0"/>
    <x v="13"/>
    <x v="29"/>
    <x v="40"/>
    <x v="41"/>
    <x v="2"/>
    <x v="18"/>
    <x v="19"/>
  </r>
  <r>
    <x v="319"/>
    <x v="351"/>
    <x v="9"/>
    <x v="1"/>
    <x v="1"/>
    <x v="1"/>
    <x v="4"/>
    <x v="6"/>
    <x v="2"/>
    <x v="4"/>
    <x v="179"/>
    <x v="1"/>
    <x v="109"/>
    <x v="42"/>
    <x v="8"/>
    <x v="11"/>
    <x v="3"/>
    <x v="11"/>
    <x v="10"/>
    <x v="8"/>
    <x v="9"/>
    <x v="9"/>
    <x v="19"/>
    <x v="9"/>
    <x v="16"/>
    <x v="32"/>
    <x v="0"/>
    <x v="13"/>
    <x v="29"/>
    <x v="39"/>
    <x v="40"/>
    <x v="2"/>
    <x v="18"/>
    <x v="19"/>
  </r>
  <r>
    <x v="320"/>
    <x v="365"/>
    <x v="9"/>
    <x v="1"/>
    <x v="1"/>
    <x v="1"/>
    <x v="4"/>
    <x v="6"/>
    <x v="2"/>
    <x v="4"/>
    <x v="351"/>
    <x v="1"/>
    <x v="324"/>
    <x v="42"/>
    <x v="37"/>
    <x v="13"/>
    <x v="12"/>
    <x v="11"/>
    <x v="12"/>
    <x v="8"/>
    <x v="9"/>
    <x v="9"/>
    <x v="19"/>
    <x v="9"/>
    <x v="16"/>
    <x v="32"/>
    <x v="0"/>
    <x v="13"/>
    <x v="29"/>
    <x v="39"/>
    <x v="40"/>
    <x v="2"/>
    <x v="18"/>
    <x v="19"/>
  </r>
  <r>
    <x v="321"/>
    <x v="355"/>
    <x v="9"/>
    <x v="1"/>
    <x v="1"/>
    <x v="1"/>
    <x v="4"/>
    <x v="6"/>
    <x v="2"/>
    <x v="4"/>
    <x v="312"/>
    <x v="1"/>
    <x v="297"/>
    <x v="42"/>
    <x v="34"/>
    <x v="12"/>
    <x v="17"/>
    <x v="11"/>
    <x v="13"/>
    <x v="8"/>
    <x v="9"/>
    <x v="9"/>
    <x v="19"/>
    <x v="9"/>
    <x v="16"/>
    <x v="32"/>
    <x v="0"/>
    <x v="13"/>
    <x v="29"/>
    <x v="39"/>
    <x v="40"/>
    <x v="2"/>
    <x v="18"/>
    <x v="19"/>
  </r>
  <r>
    <x v="322"/>
    <x v="375"/>
    <x v="9"/>
    <x v="1"/>
    <x v="1"/>
    <x v="1"/>
    <x v="4"/>
    <x v="6"/>
    <x v="2"/>
    <x v="4"/>
    <x v="63"/>
    <x v="1"/>
    <x v="296"/>
    <x v="44"/>
    <x v="28"/>
    <x v="42"/>
    <x v="0"/>
    <x v="13"/>
    <x v="26"/>
    <x v="8"/>
    <x v="9"/>
    <x v="9"/>
    <x v="19"/>
    <x v="9"/>
    <x v="16"/>
    <x v="32"/>
    <x v="0"/>
    <x v="13"/>
    <x v="29"/>
    <x v="39"/>
    <x v="40"/>
    <x v="2"/>
    <x v="18"/>
    <x v="19"/>
  </r>
  <r>
    <x v="323"/>
    <x v="353"/>
    <x v="9"/>
    <x v="1"/>
    <x v="1"/>
    <x v="1"/>
    <x v="4"/>
    <x v="6"/>
    <x v="2"/>
    <x v="4"/>
    <x v="327"/>
    <x v="1"/>
    <x v="185"/>
    <x v="12"/>
    <x v="28"/>
    <x v="33"/>
    <x v="2"/>
    <x v="23"/>
    <x v="3"/>
    <x v="0"/>
    <x v="9"/>
    <x v="9"/>
    <x v="19"/>
    <x v="9"/>
    <x v="16"/>
    <x v="32"/>
    <x v="0"/>
    <x v="13"/>
    <x v="29"/>
    <x v="39"/>
    <x v="40"/>
    <x v="2"/>
    <x v="18"/>
    <x v="19"/>
  </r>
  <r>
    <x v="324"/>
    <x v="360"/>
    <x v="9"/>
    <x v="1"/>
    <x v="1"/>
    <x v="1"/>
    <x v="4"/>
    <x v="6"/>
    <x v="2"/>
    <x v="4"/>
    <x v="67"/>
    <x v="1"/>
    <x v="263"/>
    <x v="31"/>
    <x v="28"/>
    <x v="6"/>
    <x v="2"/>
    <x v="8"/>
    <x v="34"/>
    <x v="0"/>
    <x v="9"/>
    <x v="9"/>
    <x v="19"/>
    <x v="9"/>
    <x v="16"/>
    <x v="32"/>
    <x v="0"/>
    <x v="13"/>
    <x v="29"/>
    <x v="39"/>
    <x v="40"/>
    <x v="2"/>
    <x v="18"/>
    <x v="19"/>
  </r>
  <r>
    <x v="325"/>
    <x v="359"/>
    <x v="9"/>
    <x v="1"/>
    <x v="1"/>
    <x v="1"/>
    <x v="4"/>
    <x v="6"/>
    <x v="2"/>
    <x v="4"/>
    <x v="300"/>
    <x v="1"/>
    <x v="192"/>
    <x v="44"/>
    <x v="16"/>
    <x v="42"/>
    <x v="0"/>
    <x v="12"/>
    <x v="21"/>
    <x v="8"/>
    <x v="9"/>
    <x v="9"/>
    <x v="19"/>
    <x v="9"/>
    <x v="16"/>
    <x v="32"/>
    <x v="0"/>
    <x v="13"/>
    <x v="29"/>
    <x v="39"/>
    <x v="40"/>
    <x v="2"/>
    <x v="18"/>
    <x v="19"/>
  </r>
  <r>
    <x v="326"/>
    <x v="254"/>
    <x v="9"/>
    <x v="1"/>
    <x v="1"/>
    <x v="1"/>
    <x v="4"/>
    <x v="6"/>
    <x v="2"/>
    <x v="4"/>
    <x v="7"/>
    <x v="1"/>
    <x v="188"/>
    <x v="55"/>
    <x v="16"/>
    <x v="49"/>
    <x v="0"/>
    <x v="16"/>
    <x v="15"/>
    <x v="8"/>
    <x v="9"/>
    <x v="9"/>
    <x v="19"/>
    <x v="9"/>
    <x v="16"/>
    <x v="32"/>
    <x v="0"/>
    <x v="13"/>
    <x v="29"/>
    <x v="39"/>
    <x v="40"/>
    <x v="2"/>
    <x v="18"/>
    <x v="19"/>
  </r>
  <r>
    <x v="327"/>
    <x v="357"/>
    <x v="9"/>
    <x v="1"/>
    <x v="1"/>
    <x v="1"/>
    <x v="4"/>
    <x v="6"/>
    <x v="2"/>
    <x v="4"/>
    <x v="32"/>
    <x v="1"/>
    <x v="123"/>
    <x v="46"/>
    <x v="12"/>
    <x v="42"/>
    <x v="0"/>
    <x v="12"/>
    <x v="21"/>
    <x v="8"/>
    <x v="9"/>
    <x v="9"/>
    <x v="19"/>
    <x v="9"/>
    <x v="16"/>
    <x v="32"/>
    <x v="0"/>
    <x v="13"/>
    <x v="29"/>
    <x v="41"/>
    <x v="43"/>
    <x v="2"/>
    <x v="18"/>
    <x v="19"/>
  </r>
  <r>
    <x v="328"/>
    <x v="358"/>
    <x v="9"/>
    <x v="1"/>
    <x v="1"/>
    <x v="1"/>
    <x v="4"/>
    <x v="6"/>
    <x v="2"/>
    <x v="4"/>
    <x v="290"/>
    <x v="1"/>
    <x v="178"/>
    <x v="59"/>
    <x v="16"/>
    <x v="56"/>
    <x v="0"/>
    <x v="14"/>
    <x v="21"/>
    <x v="8"/>
    <x v="9"/>
    <x v="9"/>
    <x v="19"/>
    <x v="9"/>
    <x v="16"/>
    <x v="32"/>
    <x v="0"/>
    <x v="13"/>
    <x v="29"/>
    <x v="40"/>
    <x v="41"/>
    <x v="2"/>
    <x v="18"/>
    <x v="19"/>
  </r>
  <r>
    <x v="329"/>
    <x v="352"/>
    <x v="9"/>
    <x v="1"/>
    <x v="1"/>
    <x v="1"/>
    <x v="4"/>
    <x v="6"/>
    <x v="2"/>
    <x v="4"/>
    <x v="314"/>
    <x v="1"/>
    <x v="348"/>
    <x v="42"/>
    <x v="46"/>
    <x v="12"/>
    <x v="15"/>
    <x v="11"/>
    <x v="13"/>
    <x v="8"/>
    <x v="9"/>
    <x v="9"/>
    <x v="19"/>
    <x v="9"/>
    <x v="16"/>
    <x v="32"/>
    <x v="0"/>
    <x v="13"/>
    <x v="29"/>
    <x v="40"/>
    <x v="41"/>
    <x v="2"/>
    <x v="18"/>
    <x v="19"/>
  </r>
  <r>
    <x v="330"/>
    <x v="246"/>
    <x v="10"/>
    <x v="1"/>
    <x v="1"/>
    <x v="1"/>
    <x v="4"/>
    <x v="6"/>
    <x v="2"/>
    <x v="4"/>
    <x v="114"/>
    <x v="1"/>
    <x v="261"/>
    <x v="38"/>
    <x v="12"/>
    <x v="38"/>
    <x v="0"/>
    <x v="8"/>
    <x v="35"/>
    <x v="8"/>
    <x v="10"/>
    <x v="0"/>
    <x v="28"/>
    <x v="16"/>
    <x v="20"/>
    <x v="33"/>
    <x v="0"/>
    <x v="12"/>
    <x v="28"/>
    <x v="39"/>
    <x v="40"/>
    <x v="2"/>
    <x v="23"/>
    <x v="28"/>
  </r>
  <r>
    <x v="331"/>
    <x v="236"/>
    <x v="8"/>
    <x v="1"/>
    <x v="10"/>
    <x v="5"/>
    <x v="15"/>
    <x v="6"/>
    <x v="2"/>
    <x v="2"/>
    <x v="223"/>
    <x v="1"/>
    <x v="339"/>
    <x v="9"/>
    <x v="16"/>
    <x v="6"/>
    <x v="0"/>
    <x v="8"/>
    <x v="33"/>
    <x v="10"/>
    <x v="19"/>
    <x v="8"/>
    <x v="33"/>
    <x v="19"/>
    <x v="28"/>
    <x v="51"/>
    <x v="0"/>
    <x v="16"/>
    <x v="30"/>
    <x v="42"/>
    <x v="44"/>
    <x v="2"/>
    <x v="32"/>
    <x v="33"/>
  </r>
  <r>
    <x v="332"/>
    <x v="167"/>
    <x v="9"/>
    <x v="1"/>
    <x v="1"/>
    <x v="1"/>
    <x v="4"/>
    <x v="6"/>
    <x v="2"/>
    <x v="4"/>
    <x v="74"/>
    <x v="1"/>
    <x v="92"/>
    <x v="51"/>
    <x v="24"/>
    <x v="11"/>
    <x v="0"/>
    <x v="11"/>
    <x v="10"/>
    <x v="8"/>
    <x v="8"/>
    <x v="7"/>
    <x v="23"/>
    <x v="7"/>
    <x v="12"/>
    <x v="35"/>
    <x v="0"/>
    <x v="15"/>
    <x v="31"/>
    <x v="43"/>
    <x v="45"/>
    <x v="2"/>
    <x v="14"/>
    <x v="23"/>
  </r>
  <r>
    <x v="333"/>
    <x v="168"/>
    <x v="9"/>
    <x v="1"/>
    <x v="1"/>
    <x v="1"/>
    <x v="4"/>
    <x v="6"/>
    <x v="2"/>
    <x v="4"/>
    <x v="200"/>
    <x v="1"/>
    <x v="225"/>
    <x v="42"/>
    <x v="16"/>
    <x v="14"/>
    <x v="8"/>
    <x v="11"/>
    <x v="11"/>
    <x v="8"/>
    <x v="8"/>
    <x v="7"/>
    <x v="23"/>
    <x v="7"/>
    <x v="12"/>
    <x v="35"/>
    <x v="0"/>
    <x v="15"/>
    <x v="31"/>
    <x v="43"/>
    <x v="45"/>
    <x v="2"/>
    <x v="14"/>
    <x v="23"/>
  </r>
  <r>
    <x v="334"/>
    <x v="244"/>
    <x v="11"/>
    <x v="1"/>
    <x v="0"/>
    <x v="1"/>
    <x v="1"/>
    <x v="6"/>
    <x v="2"/>
    <x v="4"/>
    <x v="337"/>
    <x v="1"/>
    <x v="172"/>
    <x v="69"/>
    <x v="35"/>
    <x v="11"/>
    <x v="3"/>
    <x v="11"/>
    <x v="10"/>
    <x v="9"/>
    <x v="1"/>
    <x v="16"/>
    <x v="5"/>
    <x v="1"/>
    <x v="6"/>
    <x v="36"/>
    <x v="0"/>
    <x v="14"/>
    <x v="33"/>
    <x v="46"/>
    <x v="48"/>
    <x v="2"/>
    <x v="5"/>
    <x v="5"/>
  </r>
  <r>
    <x v="335"/>
    <x v="245"/>
    <x v="11"/>
    <x v="1"/>
    <x v="0"/>
    <x v="1"/>
    <x v="1"/>
    <x v="6"/>
    <x v="2"/>
    <x v="4"/>
    <x v="27"/>
    <x v="1"/>
    <x v="332"/>
    <x v="64"/>
    <x v="49"/>
    <x v="13"/>
    <x v="11"/>
    <x v="11"/>
    <x v="12"/>
    <x v="9"/>
    <x v="1"/>
    <x v="16"/>
    <x v="5"/>
    <x v="1"/>
    <x v="6"/>
    <x v="36"/>
    <x v="0"/>
    <x v="14"/>
    <x v="33"/>
    <x v="45"/>
    <x v="47"/>
    <x v="2"/>
    <x v="5"/>
    <x v="5"/>
  </r>
  <r>
    <x v="336"/>
    <x v="257"/>
    <x v="11"/>
    <x v="1"/>
    <x v="0"/>
    <x v="1"/>
    <x v="1"/>
    <x v="6"/>
    <x v="2"/>
    <x v="4"/>
    <x v="349"/>
    <x v="1"/>
    <x v="29"/>
    <x v="69"/>
    <x v="30"/>
    <x v="11"/>
    <x v="4"/>
    <x v="11"/>
    <x v="10"/>
    <x v="9"/>
    <x v="1"/>
    <x v="16"/>
    <x v="5"/>
    <x v="1"/>
    <x v="6"/>
    <x v="36"/>
    <x v="0"/>
    <x v="14"/>
    <x v="33"/>
    <x v="46"/>
    <x v="48"/>
    <x v="2"/>
    <x v="5"/>
    <x v="5"/>
  </r>
  <r>
    <x v="337"/>
    <x v="258"/>
    <x v="11"/>
    <x v="1"/>
    <x v="0"/>
    <x v="1"/>
    <x v="1"/>
    <x v="6"/>
    <x v="2"/>
    <x v="4"/>
    <x v="350"/>
    <x v="1"/>
    <x v="251"/>
    <x v="69"/>
    <x v="28"/>
    <x v="10"/>
    <x v="18"/>
    <x v="11"/>
    <x v="14"/>
    <x v="9"/>
    <x v="1"/>
    <x v="16"/>
    <x v="5"/>
    <x v="1"/>
    <x v="6"/>
    <x v="36"/>
    <x v="0"/>
    <x v="14"/>
    <x v="33"/>
    <x v="45"/>
    <x v="47"/>
    <x v="2"/>
    <x v="5"/>
    <x v="5"/>
  </r>
  <r>
    <x v="338"/>
    <x v="259"/>
    <x v="11"/>
    <x v="1"/>
    <x v="0"/>
    <x v="1"/>
    <x v="1"/>
    <x v="6"/>
    <x v="2"/>
    <x v="4"/>
    <x v="94"/>
    <x v="1"/>
    <x v="47"/>
    <x v="71"/>
    <x v="16"/>
    <x v="37"/>
    <x v="0"/>
    <x v="12"/>
    <x v="23"/>
    <x v="9"/>
    <x v="1"/>
    <x v="16"/>
    <x v="5"/>
    <x v="1"/>
    <x v="6"/>
    <x v="36"/>
    <x v="0"/>
    <x v="14"/>
    <x v="33"/>
    <x v="45"/>
    <x v="47"/>
    <x v="2"/>
    <x v="5"/>
    <x v="5"/>
  </r>
  <r>
    <x v="339"/>
    <x v="260"/>
    <x v="11"/>
    <x v="1"/>
    <x v="0"/>
    <x v="1"/>
    <x v="1"/>
    <x v="6"/>
    <x v="2"/>
    <x v="4"/>
    <x v="100"/>
    <x v="1"/>
    <x v="121"/>
    <x v="79"/>
    <x v="12"/>
    <x v="21"/>
    <x v="25"/>
    <x v="11"/>
    <x v="9"/>
    <x v="9"/>
    <x v="1"/>
    <x v="16"/>
    <x v="5"/>
    <x v="1"/>
    <x v="6"/>
    <x v="36"/>
    <x v="0"/>
    <x v="14"/>
    <x v="33"/>
    <x v="45"/>
    <x v="47"/>
    <x v="2"/>
    <x v="5"/>
    <x v="5"/>
  </r>
  <r>
    <x v="340"/>
    <x v="261"/>
    <x v="11"/>
    <x v="1"/>
    <x v="0"/>
    <x v="1"/>
    <x v="1"/>
    <x v="6"/>
    <x v="2"/>
    <x v="4"/>
    <x v="230"/>
    <x v="1"/>
    <x v="199"/>
    <x v="69"/>
    <x v="49"/>
    <x v="13"/>
    <x v="11"/>
    <x v="11"/>
    <x v="12"/>
    <x v="9"/>
    <x v="1"/>
    <x v="16"/>
    <x v="5"/>
    <x v="1"/>
    <x v="6"/>
    <x v="36"/>
    <x v="0"/>
    <x v="14"/>
    <x v="33"/>
    <x v="46"/>
    <x v="48"/>
    <x v="2"/>
    <x v="5"/>
    <x v="5"/>
  </r>
  <r>
    <x v="341"/>
    <x v="262"/>
    <x v="11"/>
    <x v="1"/>
    <x v="0"/>
    <x v="1"/>
    <x v="1"/>
    <x v="6"/>
    <x v="2"/>
    <x v="4"/>
    <x v="261"/>
    <x v="1"/>
    <x v="226"/>
    <x v="71"/>
    <x v="50"/>
    <x v="56"/>
    <x v="0"/>
    <x v="12"/>
    <x v="26"/>
    <x v="9"/>
    <x v="1"/>
    <x v="16"/>
    <x v="5"/>
    <x v="1"/>
    <x v="6"/>
    <x v="36"/>
    <x v="0"/>
    <x v="14"/>
    <x v="33"/>
    <x v="46"/>
    <x v="48"/>
    <x v="2"/>
    <x v="5"/>
    <x v="5"/>
  </r>
  <r>
    <x v="342"/>
    <x v="263"/>
    <x v="11"/>
    <x v="1"/>
    <x v="0"/>
    <x v="1"/>
    <x v="1"/>
    <x v="6"/>
    <x v="2"/>
    <x v="4"/>
    <x v="268"/>
    <x v="1"/>
    <x v="70"/>
    <x v="71"/>
    <x v="5"/>
    <x v="56"/>
    <x v="0"/>
    <x v="12"/>
    <x v="23"/>
    <x v="9"/>
    <x v="1"/>
    <x v="16"/>
    <x v="5"/>
    <x v="1"/>
    <x v="6"/>
    <x v="36"/>
    <x v="0"/>
    <x v="14"/>
    <x v="33"/>
    <x v="45"/>
    <x v="47"/>
    <x v="2"/>
    <x v="5"/>
    <x v="5"/>
  </r>
  <r>
    <x v="343"/>
    <x v="264"/>
    <x v="11"/>
    <x v="1"/>
    <x v="0"/>
    <x v="1"/>
    <x v="1"/>
    <x v="6"/>
    <x v="2"/>
    <x v="4"/>
    <x v="243"/>
    <x v="1"/>
    <x v="212"/>
    <x v="69"/>
    <x v="28"/>
    <x v="10"/>
    <x v="21"/>
    <x v="11"/>
    <x v="14"/>
    <x v="9"/>
    <x v="1"/>
    <x v="16"/>
    <x v="5"/>
    <x v="1"/>
    <x v="6"/>
    <x v="36"/>
    <x v="0"/>
    <x v="14"/>
    <x v="33"/>
    <x v="45"/>
    <x v="47"/>
    <x v="2"/>
    <x v="5"/>
    <x v="5"/>
  </r>
  <r>
    <x v="344"/>
    <x v="265"/>
    <x v="11"/>
    <x v="1"/>
    <x v="0"/>
    <x v="1"/>
    <x v="1"/>
    <x v="6"/>
    <x v="2"/>
    <x v="4"/>
    <x v="207"/>
    <x v="1"/>
    <x v="200"/>
    <x v="69"/>
    <x v="40"/>
    <x v="14"/>
    <x v="19"/>
    <x v="11"/>
    <x v="11"/>
    <x v="9"/>
    <x v="1"/>
    <x v="16"/>
    <x v="5"/>
    <x v="1"/>
    <x v="6"/>
    <x v="36"/>
    <x v="0"/>
    <x v="14"/>
    <x v="33"/>
    <x v="45"/>
    <x v="47"/>
    <x v="2"/>
    <x v="5"/>
    <x v="5"/>
  </r>
  <r>
    <x v="345"/>
    <x v="266"/>
    <x v="11"/>
    <x v="1"/>
    <x v="0"/>
    <x v="1"/>
    <x v="1"/>
    <x v="6"/>
    <x v="2"/>
    <x v="4"/>
    <x v="4"/>
    <x v="1"/>
    <x v="211"/>
    <x v="61"/>
    <x v="50"/>
    <x v="10"/>
    <x v="20"/>
    <x v="11"/>
    <x v="14"/>
    <x v="9"/>
    <x v="1"/>
    <x v="16"/>
    <x v="5"/>
    <x v="1"/>
    <x v="6"/>
    <x v="36"/>
    <x v="0"/>
    <x v="14"/>
    <x v="33"/>
    <x v="46"/>
    <x v="48"/>
    <x v="2"/>
    <x v="5"/>
    <x v="5"/>
  </r>
  <r>
    <x v="346"/>
    <x v="267"/>
    <x v="11"/>
    <x v="1"/>
    <x v="0"/>
    <x v="1"/>
    <x v="1"/>
    <x v="6"/>
    <x v="2"/>
    <x v="4"/>
    <x v="340"/>
    <x v="1"/>
    <x v="80"/>
    <x v="32"/>
    <x v="16"/>
    <x v="61"/>
    <x v="0"/>
    <x v="6"/>
    <x v="1"/>
    <x v="9"/>
    <x v="1"/>
    <x v="16"/>
    <x v="5"/>
    <x v="1"/>
    <x v="6"/>
    <x v="36"/>
    <x v="0"/>
    <x v="14"/>
    <x v="33"/>
    <x v="45"/>
    <x v="47"/>
    <x v="2"/>
    <x v="5"/>
    <x v="5"/>
  </r>
  <r>
    <x v="347"/>
    <x v="268"/>
    <x v="11"/>
    <x v="1"/>
    <x v="0"/>
    <x v="1"/>
    <x v="1"/>
    <x v="6"/>
    <x v="2"/>
    <x v="4"/>
    <x v="202"/>
    <x v="1"/>
    <x v="78"/>
    <x v="32"/>
    <x v="16"/>
    <x v="61"/>
    <x v="0"/>
    <x v="6"/>
    <x v="1"/>
    <x v="9"/>
    <x v="1"/>
    <x v="16"/>
    <x v="5"/>
    <x v="1"/>
    <x v="6"/>
    <x v="36"/>
    <x v="0"/>
    <x v="14"/>
    <x v="33"/>
    <x v="45"/>
    <x v="47"/>
    <x v="2"/>
    <x v="5"/>
    <x v="5"/>
  </r>
  <r>
    <x v="348"/>
    <x v="269"/>
    <x v="11"/>
    <x v="1"/>
    <x v="0"/>
    <x v="1"/>
    <x v="1"/>
    <x v="6"/>
    <x v="2"/>
    <x v="4"/>
    <x v="110"/>
    <x v="1"/>
    <x v="239"/>
    <x v="69"/>
    <x v="39"/>
    <x v="14"/>
    <x v="19"/>
    <x v="11"/>
    <x v="11"/>
    <x v="9"/>
    <x v="1"/>
    <x v="16"/>
    <x v="5"/>
    <x v="1"/>
    <x v="6"/>
    <x v="36"/>
    <x v="0"/>
    <x v="14"/>
    <x v="33"/>
    <x v="45"/>
    <x v="47"/>
    <x v="2"/>
    <x v="5"/>
    <x v="5"/>
  </r>
  <r>
    <x v="349"/>
    <x v="270"/>
    <x v="11"/>
    <x v="1"/>
    <x v="0"/>
    <x v="1"/>
    <x v="1"/>
    <x v="6"/>
    <x v="2"/>
    <x v="4"/>
    <x v="203"/>
    <x v="1"/>
    <x v="187"/>
    <x v="35"/>
    <x v="16"/>
    <x v="55"/>
    <x v="0"/>
    <x v="5"/>
    <x v="5"/>
    <x v="9"/>
    <x v="1"/>
    <x v="16"/>
    <x v="5"/>
    <x v="1"/>
    <x v="6"/>
    <x v="36"/>
    <x v="0"/>
    <x v="14"/>
    <x v="33"/>
    <x v="46"/>
    <x v="48"/>
    <x v="2"/>
    <x v="5"/>
    <x v="5"/>
  </r>
  <r>
    <x v="350"/>
    <x v="271"/>
    <x v="11"/>
    <x v="1"/>
    <x v="0"/>
    <x v="1"/>
    <x v="1"/>
    <x v="6"/>
    <x v="2"/>
    <x v="4"/>
    <x v="237"/>
    <x v="1"/>
    <x v="249"/>
    <x v="71"/>
    <x v="39"/>
    <x v="56"/>
    <x v="0"/>
    <x v="12"/>
    <x v="23"/>
    <x v="9"/>
    <x v="1"/>
    <x v="16"/>
    <x v="5"/>
    <x v="1"/>
    <x v="6"/>
    <x v="36"/>
    <x v="0"/>
    <x v="14"/>
    <x v="33"/>
    <x v="45"/>
    <x v="47"/>
    <x v="2"/>
    <x v="5"/>
    <x v="5"/>
  </r>
  <r>
    <x v="351"/>
    <x v="272"/>
    <x v="11"/>
    <x v="1"/>
    <x v="0"/>
    <x v="1"/>
    <x v="1"/>
    <x v="6"/>
    <x v="2"/>
    <x v="4"/>
    <x v="221"/>
    <x v="1"/>
    <x v="191"/>
    <x v="69"/>
    <x v="2"/>
    <x v="14"/>
    <x v="6"/>
    <x v="11"/>
    <x v="11"/>
    <x v="9"/>
    <x v="1"/>
    <x v="16"/>
    <x v="5"/>
    <x v="1"/>
    <x v="6"/>
    <x v="36"/>
    <x v="0"/>
    <x v="14"/>
    <x v="33"/>
    <x v="46"/>
    <x v="48"/>
    <x v="2"/>
    <x v="5"/>
    <x v="5"/>
  </r>
  <r>
    <x v="352"/>
    <x v="273"/>
    <x v="11"/>
    <x v="1"/>
    <x v="0"/>
    <x v="1"/>
    <x v="1"/>
    <x v="6"/>
    <x v="2"/>
    <x v="4"/>
    <x v="146"/>
    <x v="1"/>
    <x v="214"/>
    <x v="69"/>
    <x v="5"/>
    <x v="14"/>
    <x v="10"/>
    <x v="11"/>
    <x v="11"/>
    <x v="9"/>
    <x v="1"/>
    <x v="16"/>
    <x v="5"/>
    <x v="1"/>
    <x v="6"/>
    <x v="36"/>
    <x v="0"/>
    <x v="14"/>
    <x v="33"/>
    <x v="46"/>
    <x v="48"/>
    <x v="2"/>
    <x v="5"/>
    <x v="5"/>
  </r>
  <r>
    <x v="353"/>
    <x v="274"/>
    <x v="11"/>
    <x v="1"/>
    <x v="0"/>
    <x v="1"/>
    <x v="1"/>
    <x v="6"/>
    <x v="2"/>
    <x v="4"/>
    <x v="47"/>
    <x v="1"/>
    <x v="250"/>
    <x v="69"/>
    <x v="47"/>
    <x v="10"/>
    <x v="20"/>
    <x v="11"/>
    <x v="14"/>
    <x v="9"/>
    <x v="1"/>
    <x v="16"/>
    <x v="5"/>
    <x v="1"/>
    <x v="6"/>
    <x v="36"/>
    <x v="0"/>
    <x v="14"/>
    <x v="33"/>
    <x v="46"/>
    <x v="48"/>
    <x v="2"/>
    <x v="5"/>
    <x v="5"/>
  </r>
  <r>
    <x v="354"/>
    <x v="275"/>
    <x v="11"/>
    <x v="1"/>
    <x v="0"/>
    <x v="1"/>
    <x v="1"/>
    <x v="6"/>
    <x v="2"/>
    <x v="4"/>
    <x v="14"/>
    <x v="1"/>
    <x v="190"/>
    <x v="2"/>
    <x v="16"/>
    <x v="46"/>
    <x v="0"/>
    <x v="6"/>
    <x v="0"/>
    <x v="9"/>
    <x v="1"/>
    <x v="16"/>
    <x v="5"/>
    <x v="1"/>
    <x v="6"/>
    <x v="36"/>
    <x v="0"/>
    <x v="14"/>
    <x v="33"/>
    <x v="46"/>
    <x v="48"/>
    <x v="2"/>
    <x v="5"/>
    <x v="5"/>
  </r>
  <r>
    <x v="355"/>
    <x v="276"/>
    <x v="11"/>
    <x v="1"/>
    <x v="0"/>
    <x v="1"/>
    <x v="1"/>
    <x v="6"/>
    <x v="2"/>
    <x v="4"/>
    <x v="154"/>
    <x v="1"/>
    <x v="58"/>
    <x v="69"/>
    <x v="7"/>
    <x v="12"/>
    <x v="15"/>
    <x v="11"/>
    <x v="13"/>
    <x v="9"/>
    <x v="1"/>
    <x v="16"/>
    <x v="5"/>
    <x v="1"/>
    <x v="6"/>
    <x v="36"/>
    <x v="0"/>
    <x v="14"/>
    <x v="33"/>
    <x v="45"/>
    <x v="47"/>
    <x v="2"/>
    <x v="5"/>
    <x v="5"/>
  </r>
  <r>
    <x v="356"/>
    <x v="277"/>
    <x v="11"/>
    <x v="1"/>
    <x v="0"/>
    <x v="1"/>
    <x v="1"/>
    <x v="6"/>
    <x v="2"/>
    <x v="4"/>
    <x v="51"/>
    <x v="1"/>
    <x v="61"/>
    <x v="71"/>
    <x v="11"/>
    <x v="56"/>
    <x v="0"/>
    <x v="13"/>
    <x v="26"/>
    <x v="9"/>
    <x v="1"/>
    <x v="16"/>
    <x v="5"/>
    <x v="1"/>
    <x v="6"/>
    <x v="36"/>
    <x v="0"/>
    <x v="14"/>
    <x v="33"/>
    <x v="45"/>
    <x v="47"/>
    <x v="2"/>
    <x v="5"/>
    <x v="5"/>
  </r>
  <r>
    <x v="357"/>
    <x v="278"/>
    <x v="11"/>
    <x v="1"/>
    <x v="0"/>
    <x v="1"/>
    <x v="1"/>
    <x v="6"/>
    <x v="2"/>
    <x v="4"/>
    <x v="278"/>
    <x v="1"/>
    <x v="242"/>
    <x v="69"/>
    <x v="47"/>
    <x v="10"/>
    <x v="20"/>
    <x v="11"/>
    <x v="14"/>
    <x v="9"/>
    <x v="1"/>
    <x v="16"/>
    <x v="5"/>
    <x v="1"/>
    <x v="6"/>
    <x v="36"/>
    <x v="0"/>
    <x v="14"/>
    <x v="33"/>
    <x v="46"/>
    <x v="48"/>
    <x v="2"/>
    <x v="5"/>
    <x v="5"/>
  </r>
  <r>
    <x v="358"/>
    <x v="279"/>
    <x v="11"/>
    <x v="1"/>
    <x v="0"/>
    <x v="1"/>
    <x v="1"/>
    <x v="6"/>
    <x v="2"/>
    <x v="4"/>
    <x v="105"/>
    <x v="1"/>
    <x v="174"/>
    <x v="69"/>
    <x v="24"/>
    <x v="11"/>
    <x v="5"/>
    <x v="11"/>
    <x v="10"/>
    <x v="9"/>
    <x v="1"/>
    <x v="16"/>
    <x v="5"/>
    <x v="1"/>
    <x v="6"/>
    <x v="36"/>
    <x v="0"/>
    <x v="14"/>
    <x v="33"/>
    <x v="46"/>
    <x v="48"/>
    <x v="2"/>
    <x v="5"/>
    <x v="5"/>
  </r>
  <r>
    <x v="359"/>
    <x v="280"/>
    <x v="11"/>
    <x v="1"/>
    <x v="0"/>
    <x v="1"/>
    <x v="1"/>
    <x v="6"/>
    <x v="2"/>
    <x v="4"/>
    <x v="309"/>
    <x v="1"/>
    <x v="88"/>
    <x v="69"/>
    <x v="11"/>
    <x v="10"/>
    <x v="22"/>
    <x v="11"/>
    <x v="14"/>
    <x v="9"/>
    <x v="1"/>
    <x v="16"/>
    <x v="5"/>
    <x v="1"/>
    <x v="6"/>
    <x v="36"/>
    <x v="0"/>
    <x v="14"/>
    <x v="33"/>
    <x v="45"/>
    <x v="47"/>
    <x v="2"/>
    <x v="5"/>
    <x v="5"/>
  </r>
  <r>
    <x v="360"/>
    <x v="281"/>
    <x v="11"/>
    <x v="1"/>
    <x v="0"/>
    <x v="1"/>
    <x v="1"/>
    <x v="6"/>
    <x v="2"/>
    <x v="4"/>
    <x v="98"/>
    <x v="1"/>
    <x v="308"/>
    <x v="69"/>
    <x v="20"/>
    <x v="11"/>
    <x v="14"/>
    <x v="11"/>
    <x v="10"/>
    <x v="9"/>
    <x v="1"/>
    <x v="16"/>
    <x v="5"/>
    <x v="1"/>
    <x v="6"/>
    <x v="36"/>
    <x v="0"/>
    <x v="14"/>
    <x v="33"/>
    <x v="45"/>
    <x v="47"/>
    <x v="2"/>
    <x v="5"/>
    <x v="5"/>
  </r>
  <r>
    <x v="361"/>
    <x v="170"/>
    <x v="10"/>
    <x v="1"/>
    <x v="1"/>
    <x v="1"/>
    <x v="4"/>
    <x v="6"/>
    <x v="2"/>
    <x v="4"/>
    <x v="272"/>
    <x v="1"/>
    <x v="304"/>
    <x v="60"/>
    <x v="16"/>
    <x v="51"/>
    <x v="0"/>
    <x v="18"/>
    <x v="27"/>
    <x v="8"/>
    <x v="16"/>
    <x v="10"/>
    <x v="29"/>
    <x v="15"/>
    <x v="19"/>
    <x v="52"/>
    <x v="0"/>
    <x v="17"/>
    <x v="34"/>
    <x v="47"/>
    <x v="0"/>
    <x v="2"/>
    <x v="22"/>
    <x v="29"/>
  </r>
  <r>
    <x v="362"/>
    <x v="337"/>
    <x v="11"/>
    <x v="1"/>
    <x v="0"/>
    <x v="1"/>
    <x v="1"/>
    <x v="6"/>
    <x v="2"/>
    <x v="4"/>
    <x v="134"/>
    <x v="1"/>
    <x v="12"/>
    <x v="84"/>
    <x v="28"/>
    <x v="46"/>
    <x v="0"/>
    <x v="6"/>
    <x v="0"/>
    <x v="9"/>
    <x v="0"/>
    <x v="0"/>
    <x v="4"/>
    <x v="0"/>
    <x v="5"/>
    <x v="40"/>
    <x v="0"/>
    <x v="12"/>
    <x v="25"/>
    <x v="36"/>
    <x v="42"/>
    <x v="2"/>
    <x v="4"/>
    <x v="4"/>
  </r>
  <r>
    <x v="363"/>
    <x v="338"/>
    <x v="11"/>
    <x v="1"/>
    <x v="0"/>
    <x v="1"/>
    <x v="1"/>
    <x v="6"/>
    <x v="2"/>
    <x v="4"/>
    <x v="226"/>
    <x v="1"/>
    <x v="365"/>
    <x v="69"/>
    <x v="45"/>
    <x v="13"/>
    <x v="12"/>
    <x v="11"/>
    <x v="12"/>
    <x v="9"/>
    <x v="0"/>
    <x v="0"/>
    <x v="4"/>
    <x v="0"/>
    <x v="5"/>
    <x v="40"/>
    <x v="0"/>
    <x v="12"/>
    <x v="25"/>
    <x v="36"/>
    <x v="42"/>
    <x v="2"/>
    <x v="4"/>
    <x v="4"/>
  </r>
  <r>
    <x v="364"/>
    <x v="339"/>
    <x v="11"/>
    <x v="1"/>
    <x v="0"/>
    <x v="1"/>
    <x v="1"/>
    <x v="6"/>
    <x v="2"/>
    <x v="4"/>
    <x v="274"/>
    <x v="1"/>
    <x v="354"/>
    <x v="79"/>
    <x v="16"/>
    <x v="23"/>
    <x v="25"/>
    <x v="12"/>
    <x v="21"/>
    <x v="9"/>
    <x v="0"/>
    <x v="0"/>
    <x v="4"/>
    <x v="0"/>
    <x v="5"/>
    <x v="40"/>
    <x v="0"/>
    <x v="12"/>
    <x v="25"/>
    <x v="36"/>
    <x v="42"/>
    <x v="2"/>
    <x v="4"/>
    <x v="4"/>
  </r>
  <r>
    <x v="365"/>
    <x v="340"/>
    <x v="11"/>
    <x v="1"/>
    <x v="0"/>
    <x v="1"/>
    <x v="1"/>
    <x v="6"/>
    <x v="2"/>
    <x v="4"/>
    <x v="217"/>
    <x v="1"/>
    <x v="345"/>
    <x v="69"/>
    <x v="11"/>
    <x v="10"/>
    <x v="22"/>
    <x v="11"/>
    <x v="14"/>
    <x v="9"/>
    <x v="0"/>
    <x v="0"/>
    <x v="4"/>
    <x v="0"/>
    <x v="5"/>
    <x v="40"/>
    <x v="0"/>
    <x v="12"/>
    <x v="25"/>
    <x v="36"/>
    <x v="42"/>
    <x v="2"/>
    <x v="4"/>
    <x v="4"/>
  </r>
  <r>
    <x v="366"/>
    <x v="378"/>
    <x v="16"/>
    <x v="1"/>
    <x v="13"/>
    <x v="4"/>
    <x v="14"/>
    <x v="7"/>
    <x v="2"/>
    <x v="4"/>
    <x v="315"/>
    <x v="1"/>
    <x v="20"/>
    <x v="8"/>
    <x v="16"/>
    <x v="1"/>
    <x v="0"/>
    <x v="2"/>
    <x v="38"/>
    <x v="10"/>
    <x v="32"/>
    <x v="17"/>
    <x v="46"/>
    <x v="32"/>
    <x v="42"/>
    <x v="34"/>
    <x v="0"/>
    <x v="18"/>
    <x v="18"/>
    <x v="51"/>
    <x v="52"/>
    <x v="3"/>
    <x v="46"/>
    <x v="46"/>
  </r>
  <r>
    <x v="367"/>
    <x v="169"/>
    <x v="20"/>
    <x v="1"/>
    <x v="9"/>
    <x v="4"/>
    <x v="13"/>
    <x v="6"/>
    <x v="2"/>
    <x v="4"/>
    <x v="209"/>
    <x v="1"/>
    <x v="300"/>
    <x v="14"/>
    <x v="16"/>
    <x v="26"/>
    <x v="0"/>
    <x v="0"/>
    <x v="45"/>
    <x v="5"/>
    <x v="30"/>
    <x v="22"/>
    <x v="44"/>
    <x v="30"/>
    <x v="36"/>
    <x v="37"/>
    <x v="0"/>
    <x v="19"/>
    <x v="36"/>
    <x v="48"/>
    <x v="49"/>
    <x v="2"/>
    <x v="40"/>
    <x v="44"/>
  </r>
  <r>
    <x v="368"/>
    <x v="190"/>
    <x v="20"/>
    <x v="1"/>
    <x v="9"/>
    <x v="4"/>
    <x v="13"/>
    <x v="6"/>
    <x v="2"/>
    <x v="4"/>
    <x v="145"/>
    <x v="1"/>
    <x v="262"/>
    <x v="25"/>
    <x v="16"/>
    <x v="27"/>
    <x v="0"/>
    <x v="7"/>
    <x v="39"/>
    <x v="5"/>
    <x v="30"/>
    <x v="22"/>
    <x v="45"/>
    <x v="30"/>
    <x v="36"/>
    <x v="38"/>
    <x v="0"/>
    <x v="19"/>
    <x v="32"/>
    <x v="44"/>
    <x v="46"/>
    <x v="2"/>
    <x v="40"/>
    <x v="45"/>
  </r>
  <r>
    <x v="369"/>
    <x v="295"/>
    <x v="21"/>
    <x v="1"/>
    <x v="14"/>
    <x v="4"/>
    <x v="12"/>
    <x v="6"/>
    <x v="2"/>
    <x v="4"/>
    <x v="80"/>
    <x v="1"/>
    <x v="69"/>
    <x v="5"/>
    <x v="16"/>
    <x v="30"/>
    <x v="0"/>
    <x v="23"/>
    <x v="6"/>
    <x v="2"/>
    <x v="33"/>
    <x v="20"/>
    <x v="48"/>
    <x v="33"/>
    <x v="43"/>
    <x v="41"/>
    <x v="0"/>
    <x v="20"/>
    <x v="35"/>
    <x v="48"/>
    <x v="49"/>
    <x v="2"/>
    <x v="47"/>
    <x v="48"/>
  </r>
  <r>
    <x v="370"/>
    <x v="195"/>
    <x v="13"/>
    <x v="0"/>
    <x v="12"/>
    <x v="4"/>
    <x v="8"/>
    <x v="7"/>
    <x v="2"/>
    <x v="4"/>
    <x v="76"/>
    <x v="1"/>
    <x v="301"/>
    <x v="18"/>
    <x v="16"/>
    <x v="45"/>
    <x v="25"/>
    <x v="18"/>
    <x v="27"/>
    <x v="5"/>
    <x v="26"/>
    <x v="21"/>
    <x v="42"/>
    <x v="26"/>
    <x v="35"/>
    <x v="44"/>
    <x v="0"/>
    <x v="21"/>
    <x v="15"/>
    <x v="49"/>
    <x v="50"/>
    <x v="3"/>
    <x v="39"/>
    <x v="42"/>
  </r>
  <r>
    <x v="371"/>
    <x v="194"/>
    <x v="13"/>
    <x v="0"/>
    <x v="12"/>
    <x v="4"/>
    <x v="8"/>
    <x v="7"/>
    <x v="2"/>
    <x v="4"/>
    <x v="39"/>
    <x v="1"/>
    <x v="7"/>
    <x v="20"/>
    <x v="12"/>
    <x v="44"/>
    <x v="0"/>
    <x v="23"/>
    <x v="7"/>
    <x v="5"/>
    <x v="26"/>
    <x v="21"/>
    <x v="42"/>
    <x v="26"/>
    <x v="35"/>
    <x v="44"/>
    <x v="0"/>
    <x v="21"/>
    <x v="15"/>
    <x v="49"/>
    <x v="50"/>
    <x v="3"/>
    <x v="39"/>
    <x v="42"/>
  </r>
  <r>
    <x v="372"/>
    <x v="193"/>
    <x v="13"/>
    <x v="0"/>
    <x v="12"/>
    <x v="4"/>
    <x v="8"/>
    <x v="7"/>
    <x v="2"/>
    <x v="4"/>
    <x v="339"/>
    <x v="1"/>
    <x v="203"/>
    <x v="75"/>
    <x v="16"/>
    <x v="31"/>
    <x v="0"/>
    <x v="26"/>
    <x v="43"/>
    <x v="2"/>
    <x v="26"/>
    <x v="21"/>
    <x v="42"/>
    <x v="26"/>
    <x v="35"/>
    <x v="44"/>
    <x v="0"/>
    <x v="21"/>
    <x v="15"/>
    <x v="49"/>
    <x v="50"/>
    <x v="3"/>
    <x v="39"/>
    <x v="42"/>
  </r>
  <r>
    <x v="373"/>
    <x v="191"/>
    <x v="12"/>
    <x v="0"/>
    <x v="12"/>
    <x v="4"/>
    <x v="8"/>
    <x v="7"/>
    <x v="2"/>
    <x v="4"/>
    <x v="355"/>
    <x v="1"/>
    <x v="84"/>
    <x v="73"/>
    <x v="12"/>
    <x v="11"/>
    <x v="0"/>
    <x v="20"/>
    <x v="28"/>
    <x v="7"/>
    <x v="23"/>
    <x v="21"/>
    <x v="37"/>
    <x v="23"/>
    <x v="30"/>
    <x v="29"/>
    <x v="0"/>
    <x v="21"/>
    <x v="15"/>
    <x v="49"/>
    <x v="50"/>
    <x v="3"/>
    <x v="34"/>
    <x v="37"/>
  </r>
  <r>
    <x v="374"/>
    <x v="161"/>
    <x v="12"/>
    <x v="0"/>
    <x v="12"/>
    <x v="4"/>
    <x v="8"/>
    <x v="7"/>
    <x v="2"/>
    <x v="4"/>
    <x v="70"/>
    <x v="1"/>
    <x v="305"/>
    <x v="73"/>
    <x v="45"/>
    <x v="13"/>
    <x v="0"/>
    <x v="20"/>
    <x v="30"/>
    <x v="7"/>
    <x v="23"/>
    <x v="21"/>
    <x v="37"/>
    <x v="23"/>
    <x v="30"/>
    <x v="29"/>
    <x v="0"/>
    <x v="21"/>
    <x v="15"/>
    <x v="49"/>
    <x v="50"/>
    <x v="3"/>
    <x v="34"/>
    <x v="37"/>
  </r>
  <r>
    <x v="375"/>
    <x v="192"/>
    <x v="12"/>
    <x v="0"/>
    <x v="12"/>
    <x v="4"/>
    <x v="8"/>
    <x v="7"/>
    <x v="2"/>
    <x v="4"/>
    <x v="185"/>
    <x v="1"/>
    <x v="90"/>
    <x v="73"/>
    <x v="16"/>
    <x v="14"/>
    <x v="0"/>
    <x v="20"/>
    <x v="29"/>
    <x v="7"/>
    <x v="23"/>
    <x v="21"/>
    <x v="37"/>
    <x v="23"/>
    <x v="30"/>
    <x v="29"/>
    <x v="0"/>
    <x v="21"/>
    <x v="15"/>
    <x v="49"/>
    <x v="50"/>
    <x v="3"/>
    <x v="34"/>
    <x v="37"/>
  </r>
  <r>
    <x v="376"/>
    <x v="206"/>
    <x v="13"/>
    <x v="0"/>
    <x v="12"/>
    <x v="4"/>
    <x v="8"/>
    <x v="7"/>
    <x v="2"/>
    <x v="4"/>
    <x v="164"/>
    <x v="1"/>
    <x v="72"/>
    <x v="16"/>
    <x v="16"/>
    <x v="47"/>
    <x v="0"/>
    <x v="8"/>
    <x v="35"/>
    <x v="5"/>
    <x v="26"/>
    <x v="21"/>
    <x v="43"/>
    <x v="26"/>
    <x v="34"/>
    <x v="31"/>
    <x v="0"/>
    <x v="21"/>
    <x v="15"/>
    <x v="50"/>
    <x v="51"/>
    <x v="3"/>
    <x v="38"/>
    <x v="43"/>
  </r>
  <r>
    <x v="377"/>
    <x v="348"/>
    <x v="0"/>
    <x v="0"/>
    <x v="11"/>
    <x v="4"/>
    <x v="8"/>
    <x v="7"/>
    <x v="2"/>
    <x v="4"/>
    <x v="319"/>
    <x v="1"/>
    <x v="201"/>
    <x v="10"/>
    <x v="16"/>
    <x v="25"/>
    <x v="0"/>
    <x v="4"/>
    <x v="38"/>
    <x v="3"/>
    <x v="35"/>
    <x v="2"/>
    <x v="50"/>
    <x v="35"/>
    <x v="46"/>
    <x v="42"/>
    <x v="0"/>
    <x v="22"/>
    <x v="37"/>
    <x v="52"/>
    <x v="53"/>
    <x v="3"/>
    <x v="50"/>
    <x v="50"/>
  </r>
  <r>
    <x v="378"/>
    <x v="205"/>
    <x v="13"/>
    <x v="0"/>
    <x v="12"/>
    <x v="4"/>
    <x v="8"/>
    <x v="7"/>
    <x v="2"/>
    <x v="4"/>
    <x v="20"/>
    <x v="1"/>
    <x v="91"/>
    <x v="21"/>
    <x v="16"/>
    <x v="49"/>
    <x v="0"/>
    <x v="11"/>
    <x v="9"/>
    <x v="5"/>
    <x v="26"/>
    <x v="21"/>
    <x v="43"/>
    <x v="26"/>
    <x v="34"/>
    <x v="31"/>
    <x v="0"/>
    <x v="21"/>
    <x v="15"/>
    <x v="50"/>
    <x v="51"/>
    <x v="3"/>
    <x v="38"/>
    <x v="4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СводнаяТаблица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D5:H82" firstHeaderRow="1" firstDataRow="2" firstDataCol="3" rowPageCount="2" colPageCount="1"/>
  <pivotFields count="34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Page" compact="0" showAll="0" outline="0">
      <items count="5">
        <item h="1" x="0"/>
        <item x="1"/>
        <item h="1" x="2"/>
        <item h="1" x="3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defaultSubtotal="0" outline="0">
      <items count="62">
        <item x="34"/>
        <item x="35"/>
        <item x="61"/>
        <item x="47"/>
        <item x="45"/>
        <item x="11"/>
        <item x="13"/>
        <item x="14"/>
        <item x="1"/>
        <item x="49"/>
        <item x="0"/>
        <item x="10"/>
        <item x="60"/>
        <item x="59"/>
        <item x="5"/>
        <item x="12"/>
        <item x="16"/>
        <item x="56"/>
        <item x="18"/>
        <item x="23"/>
        <item x="37"/>
        <item x="41"/>
        <item x="30"/>
        <item x="3"/>
        <item x="40"/>
        <item x="38"/>
        <item x="44"/>
        <item x="42"/>
        <item x="2"/>
        <item x="29"/>
        <item x="32"/>
        <item x="43"/>
        <item x="50"/>
        <item x="48"/>
        <item x="4"/>
        <item x="51"/>
        <item x="21"/>
        <item x="39"/>
        <item x="52"/>
        <item x="7"/>
        <item x="46"/>
        <item x="19"/>
        <item x="54"/>
        <item x="6"/>
        <item x="58"/>
        <item x="36"/>
        <item x="15"/>
        <item x="53"/>
        <item x="8"/>
        <item x="57"/>
        <item x="17"/>
        <item x="24"/>
        <item x="9"/>
        <item x="33"/>
        <item x="28"/>
        <item x="26"/>
        <item x="27"/>
        <item x="20"/>
        <item x="22"/>
        <item x="25"/>
        <item x="55"/>
        <item x="31"/>
      </items>
    </pivotField>
    <pivotField axis="axisRow" compact="0" showAll="0" defaultSubtotal="0" outline="0">
      <items count="27">
        <item x="0"/>
        <item x="1"/>
        <item x="3"/>
        <item x="4"/>
        <item x="6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6"/>
        <item x="17"/>
        <item x="2"/>
        <item x="5"/>
        <item x="25"/>
        <item x="7"/>
      </items>
    </pivotField>
    <pivotField compact="0" showAll="0" outline="0"/>
    <pivotField axis="axisRow" compact="0" showAll="0" outline="0">
      <items count="48">
        <item x="46"/>
        <item x="12"/>
        <item x="13"/>
        <item x="19"/>
        <item x="10"/>
        <item x="16"/>
        <item x="14"/>
        <item x="17"/>
        <item x="20"/>
        <item x="25"/>
        <item x="11"/>
        <item x="21"/>
        <item x="36"/>
        <item x="44"/>
        <item x="32"/>
        <item x="30"/>
        <item x="6"/>
        <item x="27"/>
        <item x="15"/>
        <item x="45"/>
        <item x="41"/>
        <item x="7"/>
        <item x="22"/>
        <item x="26"/>
        <item x="24"/>
        <item x="39"/>
        <item x="18"/>
        <item x="29"/>
        <item x="40"/>
        <item x="9"/>
        <item x="2"/>
        <item x="35"/>
        <item x="1"/>
        <item x="23"/>
        <item x="31"/>
        <item x="34"/>
        <item x="28"/>
        <item x="42"/>
        <item x="8"/>
        <item x="37"/>
        <item x="4"/>
        <item x="33"/>
        <item x="0"/>
        <item x="38"/>
        <item x="3"/>
        <item x="5"/>
        <item x="43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55">
        <item x="53"/>
        <item x="0"/>
        <item x="1"/>
        <item x="2"/>
        <item x="10"/>
        <item x="18"/>
        <item x="19"/>
        <item x="20"/>
        <item x="21"/>
        <item x="22"/>
        <item x="23"/>
        <item x="24"/>
        <item x="4"/>
        <item x="5"/>
        <item x="6"/>
        <item x="7"/>
        <item x="9"/>
        <item x="11"/>
        <item x="8"/>
        <item x="12"/>
        <item x="3"/>
        <item x="13"/>
        <item x="14"/>
        <item x="15"/>
        <item x="16"/>
        <item x="48"/>
        <item x="17"/>
        <item x="49"/>
        <item x="25"/>
        <item x="39"/>
        <item x="43"/>
        <item x="45"/>
        <item x="46"/>
        <item x="47"/>
        <item x="50"/>
        <item x="26"/>
        <item x="27"/>
        <item x="28"/>
        <item x="30"/>
        <item x="32"/>
        <item x="33"/>
        <item x="34"/>
        <item x="35"/>
        <item x="36"/>
        <item x="52"/>
        <item x="40"/>
        <item x="37"/>
        <item x="38"/>
        <item x="51"/>
        <item x="41"/>
        <item x="44"/>
        <item x="29"/>
        <item x="31"/>
        <item x="42"/>
        <item t="default"/>
      </items>
    </pivotField>
    <pivotField axis="axisPage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</pivotFields>
  <rowFields count="4">
    <field x="16"/>
    <field x="15"/>
    <field x="18"/>
    <field x="25"/>
  </rowFields>
  <colFields count="1">
    <field x="-2"/>
  </colFields>
  <pageFields count="2">
    <pageField fld="8" hier="-1"/>
    <pageField fld="26" hier="-1"/>
  </pageFields>
  <dataFields count="2">
    <dataField name="Сумма с НДС" fld="32" subtotal="sum" numFmtId="172"/>
    <dataField name="Сумма по полю 1/60 первого платежа с НДС" fld="33" subtotal="sum" numFmtId="180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Ruslan.Melnyk@carlsberg.ua" TargetMode="External"/><Relationship Id="rId3" Type="http://schemas.openxmlformats.org/officeDocument/2006/relationships/hyperlink" Target="mailto:Viacheslav.Demianenko@carlsberg.ua" TargetMode="External"/><Relationship Id="rId4" Type="http://schemas.openxmlformats.org/officeDocument/2006/relationships/hyperlink" Target="mailto:Vitalii.Verkhoturov@carlsberg.ua" TargetMode="External"/><Relationship Id="rId5" Type="http://schemas.openxmlformats.org/officeDocument/2006/relationships/hyperlink" Target="mailto:Anna.Kucheruk@carlsberg.ua" TargetMode="External"/><Relationship Id="rId6" Type="http://schemas.openxmlformats.org/officeDocument/2006/relationships/hyperlink" Target="mailto:Ivan.Bukhanets@carlsberg.ua" TargetMode="External"/><Relationship Id="rId7" Type="http://schemas.openxmlformats.org/officeDocument/2006/relationships/hyperlink" Target="mailto:Anatoliy.Likarenko@carlsberg.ua" TargetMode="External"/><Relationship Id="rId8" Type="http://schemas.openxmlformats.org/officeDocument/2006/relationships/hyperlink" Target="mailto:roman.dobryanskiy@carlsberg.ua" TargetMode="External"/><Relationship Id="rId9" Type="http://schemas.openxmlformats.org/officeDocument/2006/relationships/hyperlink" Target="mailto:Sergiy.Chumachenko@carlsberg.ua" TargetMode="External"/><Relationship Id="rId10" Type="http://schemas.openxmlformats.org/officeDocument/2006/relationships/hyperlink" Target="mailto:Maxim.Chaev@carlsberg.ua" TargetMode="External"/><Relationship Id="rId11" Type="http://schemas.openxmlformats.org/officeDocument/2006/relationships/hyperlink" Target="mailto:Alexander.Kostenko@carlsberg.ua" TargetMode="External"/><Relationship Id="rId12" Type="http://schemas.openxmlformats.org/officeDocument/2006/relationships/hyperlink" Target="mailto:Vladislav.Gusev@carlsberg.ua" TargetMode="External"/><Relationship Id="rId1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R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5625" defaultRowHeight="12.75" zeroHeight="false" outlineLevelRow="0" outlineLevelCol="1"/>
  <cols>
    <col collapsed="false" customWidth="true" hidden="false" outlineLevel="0" max="1" min="1" style="1" width="5.01"/>
    <col collapsed="false" customWidth="true" hidden="false" outlineLevel="0" max="2" min="2" style="2" width="11.57"/>
    <col collapsed="false" customWidth="true" hidden="false" outlineLevel="0" max="3" min="3" style="2" width="27.29"/>
    <col collapsed="false" customWidth="true" hidden="false" outlineLevel="1" max="4" min="4" style="3" width="7"/>
    <col collapsed="false" customWidth="true" hidden="false" outlineLevel="1" max="5" min="5" style="2" width="7.15"/>
    <col collapsed="false" customWidth="true" hidden="false" outlineLevel="1" max="7" min="6" style="2" width="5.7"/>
    <col collapsed="false" customWidth="true" hidden="false" outlineLevel="1" max="8" min="8" style="2" width="8.86"/>
    <col collapsed="false" customWidth="true" hidden="false" outlineLevel="1" max="9" min="9" style="2" width="10.42"/>
    <col collapsed="false" customWidth="true" hidden="false" outlineLevel="0" max="10" min="10" style="2" width="13.14"/>
    <col collapsed="false" customWidth="true" hidden="false" outlineLevel="1" max="11" min="11" style="4" width="34.14"/>
    <col collapsed="false" customWidth="true" hidden="false" outlineLevel="1" max="12" min="12" style="5" width="0.14"/>
    <col collapsed="false" customWidth="true" hidden="false" outlineLevel="1" max="13" min="13" style="5" width="10.42"/>
    <col collapsed="false" customWidth="true" hidden="false" outlineLevel="1" max="14" min="14" style="2" width="49.86"/>
    <col collapsed="false" customWidth="true" hidden="false" outlineLevel="1" max="15" min="15" style="3" width="19.71"/>
    <col collapsed="false" customWidth="true" hidden="false" outlineLevel="0" max="16" min="16" style="6" width="35.29"/>
    <col collapsed="false" customWidth="true" hidden="false" outlineLevel="0" max="17" min="17" style="3" width="15.42"/>
    <col collapsed="false" customWidth="true" hidden="false" outlineLevel="0" max="18" min="18" style="7" width="19.99"/>
    <col collapsed="false" customWidth="true" hidden="false" outlineLevel="0" max="19" min="19" style="3" width="10.14"/>
    <col collapsed="false" customWidth="true" hidden="false" outlineLevel="0" max="20" min="20" style="5" width="9"/>
    <col collapsed="false" customWidth="true" hidden="false" outlineLevel="1" max="21" min="21" style="3" width="14.7"/>
    <col collapsed="false" customWidth="true" hidden="false" outlineLevel="1" max="22" min="22" style="3" width="14.57"/>
    <col collapsed="false" customWidth="true" hidden="false" outlineLevel="1" max="23" min="23" style="3" width="12.29"/>
    <col collapsed="false" customWidth="true" hidden="false" outlineLevel="0" max="24" min="24" style="3" width="14.01"/>
    <col collapsed="false" customWidth="true" hidden="false" outlineLevel="0" max="25" min="25" style="3" width="14.43"/>
    <col collapsed="false" customWidth="true" hidden="false" outlineLevel="1" max="26" min="26" style="3" width="6.42"/>
    <col collapsed="false" customWidth="true" hidden="false" outlineLevel="1" max="27" min="27" style="2" width="14.57"/>
    <col collapsed="false" customWidth="true" hidden="false" outlineLevel="1" max="28" min="28" style="3" width="12.86"/>
    <col collapsed="false" customWidth="true" hidden="false" outlineLevel="1" max="29" min="29" style="3" width="10.58"/>
    <col collapsed="false" customWidth="true" hidden="false" outlineLevel="1" max="30" min="30" style="3" width="11.42"/>
    <col collapsed="false" customWidth="true" hidden="false" outlineLevel="0" max="31" min="31" style="2" width="13.14"/>
    <col collapsed="false" customWidth="true" hidden="false" outlineLevel="0" max="32" min="32" style="3" width="14.15"/>
    <col collapsed="false" customWidth="true" hidden="false" outlineLevel="0" max="33" min="33" style="2" width="12.86"/>
    <col collapsed="false" customWidth="true" hidden="false" outlineLevel="0" max="34" min="34" style="2" width="15.15"/>
    <col collapsed="false" customWidth="true" hidden="false" outlineLevel="0" max="35" min="35" style="2" width="17.71"/>
    <col collapsed="false" customWidth="true" hidden="false" outlineLevel="0" max="36" min="36" style="2" width="15.15"/>
    <col collapsed="false" customWidth="true" hidden="false" outlineLevel="0" max="37" min="37" style="2" width="20.99"/>
    <col collapsed="false" customWidth="true" hidden="false" outlineLevel="0" max="38" min="38" style="2" width="12.14"/>
    <col collapsed="false" customWidth="true" hidden="false" outlineLevel="0" max="39" min="39" style="2" width="13.14"/>
    <col collapsed="false" customWidth="true" hidden="false" outlineLevel="0" max="40" min="40" style="2" width="11.86"/>
    <col collapsed="false" customWidth="true" hidden="false" outlineLevel="0" max="41" min="41" style="8" width="15"/>
    <col collapsed="false" customWidth="true" hidden="false" outlineLevel="0" max="42" min="42" style="2" width="23.42"/>
    <col collapsed="false" customWidth="true" hidden="false" outlineLevel="0" max="43" min="43" style="2" width="33"/>
    <col collapsed="false" customWidth="true" hidden="false" outlineLevel="0" max="44" min="44" style="2" width="14.86"/>
    <col collapsed="false" customWidth="false" hidden="false" outlineLevel="0" max="1024" min="45" style="2" width="9.14"/>
  </cols>
  <sheetData>
    <row r="1" customFormat="false" ht="66" hidden="false" customHeight="true" outlineLevel="0" collapsed="false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1" t="s">
        <v>11</v>
      </c>
      <c r="M1" s="11" t="s">
        <v>12</v>
      </c>
      <c r="N1" s="11" t="s">
        <v>13</v>
      </c>
      <c r="O1" s="13" t="s">
        <v>14</v>
      </c>
      <c r="P1" s="13" t="s">
        <v>15</v>
      </c>
      <c r="Q1" s="14" t="s">
        <v>16</v>
      </c>
      <c r="R1" s="15" t="s">
        <v>17</v>
      </c>
      <c r="S1" s="16" t="s">
        <v>18</v>
      </c>
      <c r="T1" s="17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8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1" t="s">
        <v>36</v>
      </c>
      <c r="AL1" s="21" t="s">
        <v>37</v>
      </c>
      <c r="AM1" s="22" t="s">
        <v>38</v>
      </c>
      <c r="AN1" s="22" t="s">
        <v>39</v>
      </c>
      <c r="AO1" s="23" t="s">
        <v>40</v>
      </c>
      <c r="AP1" s="24" t="s">
        <v>41</v>
      </c>
      <c r="AQ1" s="25" t="s">
        <v>42</v>
      </c>
      <c r="AR1" s="25" t="s">
        <v>43</v>
      </c>
    </row>
    <row r="2" customFormat="false" ht="12.75" hidden="false" customHeight="true" outlineLevel="0" collapsed="false">
      <c r="A2" s="26" t="n">
        <v>1</v>
      </c>
      <c r="B2" s="27" t="s">
        <v>44</v>
      </c>
      <c r="C2" s="27" t="s">
        <v>45</v>
      </c>
      <c r="D2" s="28" t="s">
        <v>46</v>
      </c>
      <c r="E2" s="27" t="n">
        <v>73</v>
      </c>
      <c r="F2" s="27" t="n">
        <v>6</v>
      </c>
      <c r="G2" s="27"/>
      <c r="H2" s="27" t="n">
        <v>1996</v>
      </c>
      <c r="I2" s="29" t="s">
        <v>47</v>
      </c>
      <c r="J2" s="27" t="s">
        <v>48</v>
      </c>
      <c r="K2" s="30" t="s">
        <v>49</v>
      </c>
      <c r="L2" s="28"/>
      <c r="M2" s="31" t="s">
        <v>50</v>
      </c>
      <c r="N2" s="32" t="s">
        <v>51</v>
      </c>
      <c r="O2" s="28" t="s">
        <v>52</v>
      </c>
      <c r="P2" s="28" t="s">
        <v>52</v>
      </c>
      <c r="Q2" s="33"/>
      <c r="R2" s="34" t="s">
        <v>53</v>
      </c>
      <c r="S2" s="35"/>
      <c r="T2" s="35"/>
      <c r="U2" s="28"/>
      <c r="V2" s="28"/>
      <c r="W2" s="28"/>
      <c r="X2" s="36"/>
      <c r="Y2" s="33" t="n">
        <v>0</v>
      </c>
      <c r="Z2" s="37"/>
      <c r="AA2" s="37"/>
      <c r="AB2" s="38"/>
      <c r="AC2" s="38"/>
      <c r="AD2" s="39"/>
      <c r="AE2" s="38"/>
      <c r="AF2" s="33"/>
      <c r="AG2" s="40"/>
      <c r="AH2" s="41"/>
      <c r="AI2" s="41"/>
      <c r="AJ2" s="41"/>
      <c r="AK2" s="42"/>
      <c r="AL2" s="43"/>
      <c r="AM2" s="44"/>
      <c r="AN2" s="44"/>
      <c r="AO2" s="45" t="s">
        <v>54</v>
      </c>
      <c r="AP2" s="44"/>
      <c r="AQ2" s="46"/>
      <c r="AR2" s="46"/>
    </row>
    <row r="3" customFormat="false" ht="12.75" hidden="false" customHeight="true" outlineLevel="0" collapsed="false">
      <c r="A3" s="26" t="n">
        <v>2</v>
      </c>
      <c r="B3" s="27" t="s">
        <v>55</v>
      </c>
      <c r="C3" s="27" t="s">
        <v>56</v>
      </c>
      <c r="D3" s="28" t="s">
        <v>46</v>
      </c>
      <c r="E3" s="43" t="n">
        <v>34</v>
      </c>
      <c r="F3" s="47" t="n">
        <v>6</v>
      </c>
      <c r="G3" s="47"/>
      <c r="H3" s="27" t="n">
        <v>2002</v>
      </c>
      <c r="I3" s="29" t="s">
        <v>47</v>
      </c>
      <c r="J3" s="27" t="s">
        <v>57</v>
      </c>
      <c r="K3" s="30" t="s">
        <v>58</v>
      </c>
      <c r="L3" s="35"/>
      <c r="M3" s="31" t="s">
        <v>59</v>
      </c>
      <c r="N3" s="32" t="s">
        <v>51</v>
      </c>
      <c r="O3" s="28" t="s">
        <v>60</v>
      </c>
      <c r="P3" s="48" t="s">
        <v>61</v>
      </c>
      <c r="Q3" s="33"/>
      <c r="R3" s="34" t="s">
        <v>62</v>
      </c>
      <c r="S3" s="35"/>
      <c r="T3" s="35"/>
      <c r="U3" s="28"/>
      <c r="V3" s="49"/>
      <c r="W3" s="49"/>
      <c r="X3" s="28"/>
      <c r="Y3" s="28"/>
      <c r="Z3" s="28"/>
      <c r="AA3" s="43"/>
      <c r="AB3" s="38"/>
      <c r="AC3" s="38"/>
      <c r="AD3" s="38"/>
      <c r="AE3" s="50"/>
      <c r="AF3" s="33"/>
      <c r="AG3" s="40"/>
      <c r="AH3" s="41"/>
      <c r="AI3" s="41"/>
      <c r="AJ3" s="41"/>
      <c r="AK3" s="42"/>
      <c r="AL3" s="43"/>
      <c r="AM3" s="44"/>
      <c r="AN3" s="44"/>
      <c r="AO3" s="45" t="s">
        <v>54</v>
      </c>
      <c r="AP3" s="44"/>
      <c r="AQ3" s="46"/>
      <c r="AR3" s="46"/>
    </row>
    <row r="4" customFormat="false" ht="12.75" hidden="false" customHeight="true" outlineLevel="0" collapsed="false">
      <c r="A4" s="26" t="n">
        <v>3</v>
      </c>
      <c r="B4" s="43" t="s">
        <v>63</v>
      </c>
      <c r="C4" s="27" t="s">
        <v>64</v>
      </c>
      <c r="D4" s="28" t="s">
        <v>46</v>
      </c>
      <c r="E4" s="43" t="n">
        <v>37</v>
      </c>
      <c r="F4" s="47" t="n">
        <v>6</v>
      </c>
      <c r="G4" s="47"/>
      <c r="H4" s="27" t="n">
        <v>1993</v>
      </c>
      <c r="I4" s="29" t="s">
        <v>47</v>
      </c>
      <c r="J4" s="27" t="s">
        <v>65</v>
      </c>
      <c r="K4" s="30" t="s">
        <v>58</v>
      </c>
      <c r="L4" s="35"/>
      <c r="M4" s="31" t="s">
        <v>59</v>
      </c>
      <c r="N4" s="32" t="s">
        <v>51</v>
      </c>
      <c r="O4" s="28" t="s">
        <v>60</v>
      </c>
      <c r="P4" s="48" t="s">
        <v>61</v>
      </c>
      <c r="Q4" s="33"/>
      <c r="R4" s="34" t="s">
        <v>53</v>
      </c>
      <c r="S4" s="35"/>
      <c r="T4" s="35"/>
      <c r="U4" s="28"/>
      <c r="V4" s="49"/>
      <c r="W4" s="49"/>
      <c r="X4" s="28"/>
      <c r="Y4" s="28"/>
      <c r="Z4" s="28"/>
      <c r="AA4" s="43"/>
      <c r="AB4" s="38"/>
      <c r="AC4" s="38"/>
      <c r="AD4" s="38"/>
      <c r="AE4" s="50"/>
      <c r="AF4" s="33"/>
      <c r="AG4" s="40"/>
      <c r="AH4" s="41"/>
      <c r="AI4" s="41"/>
      <c r="AJ4" s="41"/>
      <c r="AK4" s="42"/>
      <c r="AL4" s="43"/>
      <c r="AM4" s="44"/>
      <c r="AN4" s="44"/>
      <c r="AO4" s="45" t="s">
        <v>54</v>
      </c>
      <c r="AP4" s="44"/>
      <c r="AQ4" s="46"/>
      <c r="AR4" s="46"/>
    </row>
    <row r="5" customFormat="false" ht="12.75" hidden="false" customHeight="true" outlineLevel="0" collapsed="false">
      <c r="A5" s="26" t="n">
        <v>4</v>
      </c>
      <c r="B5" s="27" t="s">
        <v>66</v>
      </c>
      <c r="C5" s="27" t="s">
        <v>67</v>
      </c>
      <c r="D5" s="28" t="s">
        <v>46</v>
      </c>
      <c r="E5" s="43" t="n">
        <v>31</v>
      </c>
      <c r="F5" s="47" t="n">
        <v>6</v>
      </c>
      <c r="G5" s="47"/>
      <c r="H5" s="27" t="n">
        <v>1993</v>
      </c>
      <c r="I5" s="29" t="s">
        <v>47</v>
      </c>
      <c r="J5" s="27" t="s">
        <v>68</v>
      </c>
      <c r="K5" s="30" t="s">
        <v>58</v>
      </c>
      <c r="L5" s="35"/>
      <c r="M5" s="31" t="s">
        <v>59</v>
      </c>
      <c r="N5" s="32" t="s">
        <v>51</v>
      </c>
      <c r="O5" s="28" t="s">
        <v>60</v>
      </c>
      <c r="P5" s="48" t="s">
        <v>61</v>
      </c>
      <c r="Q5" s="33"/>
      <c r="R5" s="34" t="s">
        <v>53</v>
      </c>
      <c r="S5" s="35"/>
      <c r="T5" s="35"/>
      <c r="U5" s="28"/>
      <c r="V5" s="49"/>
      <c r="W5" s="49"/>
      <c r="X5" s="28"/>
      <c r="Y5" s="28"/>
      <c r="Z5" s="28"/>
      <c r="AA5" s="43"/>
      <c r="AB5" s="38"/>
      <c r="AC5" s="38"/>
      <c r="AD5" s="38"/>
      <c r="AE5" s="50"/>
      <c r="AF5" s="33"/>
      <c r="AG5" s="40"/>
      <c r="AH5" s="41"/>
      <c r="AI5" s="41"/>
      <c r="AJ5" s="41"/>
      <c r="AK5" s="42"/>
      <c r="AL5" s="43"/>
      <c r="AM5" s="44"/>
      <c r="AN5" s="44"/>
      <c r="AO5" s="45" t="s">
        <v>54</v>
      </c>
      <c r="AP5" s="44"/>
      <c r="AQ5" s="46"/>
      <c r="AR5" s="46"/>
    </row>
    <row r="6" customFormat="false" ht="15" hidden="false" customHeight="true" outlineLevel="0" collapsed="false">
      <c r="A6" s="26" t="n">
        <v>5</v>
      </c>
      <c r="B6" s="27" t="s">
        <v>69</v>
      </c>
      <c r="C6" s="27" t="s">
        <v>67</v>
      </c>
      <c r="D6" s="28" t="s">
        <v>46</v>
      </c>
      <c r="E6" s="43" t="n">
        <v>35</v>
      </c>
      <c r="F6" s="47" t="n">
        <v>6</v>
      </c>
      <c r="G6" s="47"/>
      <c r="H6" s="27" t="n">
        <v>2001</v>
      </c>
      <c r="I6" s="29" t="s">
        <v>47</v>
      </c>
      <c r="J6" s="27" t="s">
        <v>70</v>
      </c>
      <c r="K6" s="30" t="s">
        <v>58</v>
      </c>
      <c r="L6" s="35"/>
      <c r="M6" s="31" t="s">
        <v>59</v>
      </c>
      <c r="N6" s="32" t="s">
        <v>51</v>
      </c>
      <c r="O6" s="28" t="s">
        <v>60</v>
      </c>
      <c r="P6" s="48" t="s">
        <v>61</v>
      </c>
      <c r="Q6" s="33"/>
      <c r="R6" s="34" t="s">
        <v>53</v>
      </c>
      <c r="S6" s="35"/>
      <c r="T6" s="35"/>
      <c r="U6" s="28"/>
      <c r="V6" s="49"/>
      <c r="W6" s="49"/>
      <c r="X6" s="28"/>
      <c r="Y6" s="28"/>
      <c r="Z6" s="28"/>
      <c r="AA6" s="43"/>
      <c r="AB6" s="38"/>
      <c r="AC6" s="51"/>
      <c r="AD6" s="51"/>
      <c r="AE6" s="52"/>
      <c r="AF6" s="53"/>
      <c r="AG6" s="40"/>
      <c r="AH6" s="41"/>
      <c r="AI6" s="41"/>
      <c r="AJ6" s="41"/>
      <c r="AK6" s="54"/>
      <c r="AL6" s="55"/>
      <c r="AM6" s="44"/>
      <c r="AN6" s="44"/>
      <c r="AO6" s="45" t="s">
        <v>54</v>
      </c>
      <c r="AP6" s="44"/>
      <c r="AQ6" s="46"/>
      <c r="AR6" s="46"/>
    </row>
    <row r="7" customFormat="false" ht="14.25" hidden="false" customHeight="false" outlineLevel="0" collapsed="false">
      <c r="A7" s="26" t="n">
        <v>6</v>
      </c>
      <c r="B7" s="43" t="s">
        <v>71</v>
      </c>
      <c r="C7" s="43" t="s">
        <v>72</v>
      </c>
      <c r="D7" s="28" t="s">
        <v>73</v>
      </c>
      <c r="E7" s="43" t="n">
        <v>7.4</v>
      </c>
      <c r="F7" s="43" t="n">
        <v>2</v>
      </c>
      <c r="G7" s="43" t="n">
        <v>158</v>
      </c>
      <c r="H7" s="43" t="n">
        <v>2017</v>
      </c>
      <c r="I7" s="55" t="n">
        <v>1451</v>
      </c>
      <c r="J7" s="43" t="s">
        <v>74</v>
      </c>
      <c r="K7" s="30" t="s">
        <v>75</v>
      </c>
      <c r="L7" s="35"/>
      <c r="M7" s="31" t="s">
        <v>76</v>
      </c>
      <c r="N7" s="32" t="s">
        <v>51</v>
      </c>
      <c r="O7" s="28" t="s">
        <v>60</v>
      </c>
      <c r="P7" s="56" t="s">
        <v>77</v>
      </c>
      <c r="Q7" s="57" t="n">
        <v>1000</v>
      </c>
      <c r="R7" s="58" t="s">
        <v>78</v>
      </c>
      <c r="S7" s="57" t="n">
        <v>5311</v>
      </c>
      <c r="T7" s="59" t="s">
        <v>79</v>
      </c>
      <c r="U7" s="28" t="n">
        <v>812511</v>
      </c>
      <c r="V7" s="60" t="n">
        <v>25.972011</v>
      </c>
      <c r="W7" s="60"/>
      <c r="X7" s="61" t="n">
        <f aca="false">U7/V7</f>
        <v>31284.1004110155</v>
      </c>
      <c r="Y7" s="61" t="n">
        <v>707.1</v>
      </c>
      <c r="Z7" s="28" t="n">
        <v>2.86</v>
      </c>
      <c r="AA7" s="62" t="s">
        <v>80</v>
      </c>
      <c r="AB7" s="38" t="n">
        <v>42935</v>
      </c>
      <c r="AC7" s="38" t="n">
        <v>43074</v>
      </c>
      <c r="AD7" s="38" t="n">
        <v>43075</v>
      </c>
      <c r="AE7" s="50" t="n">
        <v>44901</v>
      </c>
      <c r="AF7" s="57" t="n">
        <f aca="false">YEAR(AE7)</f>
        <v>2022</v>
      </c>
      <c r="AG7" s="63" t="n">
        <f aca="false">X7/SUMIF($Z$2:$Z$380,Z7,$X$2:$X$380)*(VLOOKUP(Z7,'затраты по департаментам-2 '!$A$2:$C$182,2,FALSE())+VLOOKUP(Z7,'затраты по департаментам-2 '!$A$2:$C$182,3,FALSE()))</f>
        <v>25857.8978588913</v>
      </c>
      <c r="AH7" s="63"/>
      <c r="AI7" s="64" t="s">
        <v>81</v>
      </c>
      <c r="AJ7" s="63" t="s">
        <v>82</v>
      </c>
      <c r="AK7" s="43"/>
      <c r="AL7" s="43" t="s">
        <v>83</v>
      </c>
      <c r="AM7" s="43"/>
      <c r="AN7" s="43"/>
      <c r="AO7" s="65" t="s">
        <v>54</v>
      </c>
      <c r="AP7" s="43"/>
      <c r="AQ7" s="66" t="s">
        <v>84</v>
      </c>
      <c r="AR7" s="64"/>
    </row>
    <row r="8" customFormat="false" ht="14.25" hidden="false" customHeight="false" outlineLevel="0" collapsed="false">
      <c r="A8" s="26" t="n">
        <v>7</v>
      </c>
      <c r="B8" s="43" t="s">
        <v>85</v>
      </c>
      <c r="C8" s="27" t="s">
        <v>86</v>
      </c>
      <c r="D8" s="28" t="s">
        <v>73</v>
      </c>
      <c r="E8" s="43" t="n">
        <v>5.8</v>
      </c>
      <c r="F8" s="43" t="n">
        <v>1.6</v>
      </c>
      <c r="G8" s="43" t="n">
        <v>139</v>
      </c>
      <c r="H8" s="43" t="n">
        <v>2017</v>
      </c>
      <c r="I8" s="55" t="n">
        <v>1451</v>
      </c>
      <c r="J8" s="67" t="s">
        <v>87</v>
      </c>
      <c r="K8" s="30" t="s">
        <v>88</v>
      </c>
      <c r="L8" s="43"/>
      <c r="M8" s="31" t="s">
        <v>89</v>
      </c>
      <c r="N8" s="32" t="s">
        <v>90</v>
      </c>
      <c r="O8" s="28" t="s">
        <v>60</v>
      </c>
      <c r="P8" s="56" t="s">
        <v>91</v>
      </c>
      <c r="Q8" s="33" t="n">
        <v>7900</v>
      </c>
      <c r="R8" s="68" t="s">
        <v>92</v>
      </c>
      <c r="S8" s="69" t="n">
        <v>4148</v>
      </c>
      <c r="T8" s="59" t="s">
        <v>79</v>
      </c>
      <c r="U8" s="28" t="n">
        <v>449540.84</v>
      </c>
      <c r="V8" s="60" t="n">
        <v>26.636246</v>
      </c>
      <c r="W8" s="60"/>
      <c r="X8" s="61" t="n">
        <f aca="false">U8/V8</f>
        <v>16877.0343989164</v>
      </c>
      <c r="Y8" s="61" t="n">
        <v>380</v>
      </c>
      <c r="Z8" s="28" t="n">
        <v>2.88</v>
      </c>
      <c r="AA8" s="62" t="s">
        <v>80</v>
      </c>
      <c r="AB8" s="38" t="n">
        <v>43054</v>
      </c>
      <c r="AC8" s="38" t="n">
        <v>43095</v>
      </c>
      <c r="AD8" s="38" t="n">
        <v>43088</v>
      </c>
      <c r="AE8" s="38" t="n">
        <v>44914</v>
      </c>
      <c r="AF8" s="57" t="n">
        <f aca="false">YEAR(AE8)</f>
        <v>2022</v>
      </c>
      <c r="AG8" s="63" t="n">
        <f aca="false">X8/SUMIF($Z$2:$Z$380,Z8,$X$2:$X$380)*(VLOOKUP(Z8,'затраты по департаментам-2 '!$A$2:$C$182,2,FALSE())+VLOOKUP(Z8,'затраты по департаментам-2 '!$A$2:$C$182,3,FALSE()))</f>
        <v>13892.3426940868</v>
      </c>
      <c r="AH8" s="63"/>
      <c r="AI8" s="64" t="s">
        <v>81</v>
      </c>
      <c r="AJ8" s="63" t="s">
        <v>82</v>
      </c>
      <c r="AK8" s="43"/>
      <c r="AL8" s="43"/>
      <c r="AM8" s="43"/>
      <c r="AN8" s="43"/>
      <c r="AO8" s="65" t="s">
        <v>54</v>
      </c>
      <c r="AP8" s="43"/>
      <c r="AQ8" s="66" t="s">
        <v>93</v>
      </c>
      <c r="AR8" s="64"/>
    </row>
    <row r="9" customFormat="false" ht="14.25" hidden="false" customHeight="false" outlineLevel="0" collapsed="false">
      <c r="A9" s="26" t="n">
        <v>8</v>
      </c>
      <c r="B9" s="43" t="s">
        <v>94</v>
      </c>
      <c r="C9" s="55" t="s">
        <v>95</v>
      </c>
      <c r="D9" s="70" t="s">
        <v>46</v>
      </c>
      <c r="E9" s="55" t="n">
        <v>10.2</v>
      </c>
      <c r="F9" s="55" t="n">
        <v>1.8</v>
      </c>
      <c r="G9" s="43" t="n">
        <v>160</v>
      </c>
      <c r="H9" s="43" t="n">
        <v>2019</v>
      </c>
      <c r="I9" s="43" t="s">
        <v>96</v>
      </c>
      <c r="J9" s="43" t="s">
        <v>74</v>
      </c>
      <c r="K9" s="30" t="s">
        <v>97</v>
      </c>
      <c r="M9" s="31" t="s">
        <v>98</v>
      </c>
      <c r="N9" s="32" t="s">
        <v>99</v>
      </c>
      <c r="O9" s="70" t="s">
        <v>100</v>
      </c>
      <c r="P9" s="56" t="s">
        <v>101</v>
      </c>
      <c r="Q9" s="53" t="n">
        <v>4000</v>
      </c>
      <c r="R9" s="34" t="s">
        <v>53</v>
      </c>
      <c r="S9" s="69" t="n">
        <v>3699</v>
      </c>
      <c r="T9" s="59" t="s">
        <v>102</v>
      </c>
      <c r="U9" s="28" t="n">
        <v>1083069.73</v>
      </c>
      <c r="V9" s="60" t="n">
        <v>27.717006</v>
      </c>
      <c r="W9" s="71" t="n">
        <v>247739.59</v>
      </c>
      <c r="X9" s="61" t="n">
        <f aca="false">U9/V9</f>
        <v>39076.0001278637</v>
      </c>
      <c r="Y9" s="61" t="n">
        <v>669.91</v>
      </c>
      <c r="Z9" s="28" t="n">
        <v>4.1</v>
      </c>
      <c r="AA9" s="62" t="s">
        <v>80</v>
      </c>
      <c r="AB9" s="38" t="n">
        <v>43454</v>
      </c>
      <c r="AC9" s="38" t="n">
        <v>43524</v>
      </c>
      <c r="AD9" s="38" t="n">
        <v>43523</v>
      </c>
      <c r="AE9" s="38" t="n">
        <v>45349</v>
      </c>
      <c r="AF9" s="57" t="n">
        <f aca="false">YEAR(AE9)</f>
        <v>2024</v>
      </c>
      <c r="AG9" s="63" t="n">
        <f aca="false">X9/SUMIF($Z$2:$Z$380,Z9,$X$2:$X$380)*(VLOOKUP(Z9,'затраты по департаментам-2 '!$A$2:$C$182,2,FALSE())+VLOOKUP(Z9,'затраты по департаментам-2 '!$A$2:$C$182,3,FALSE()))</f>
        <v>24497.6666666667</v>
      </c>
      <c r="AH9" s="63" t="n">
        <f aca="false">W9/60</f>
        <v>4128.99316666667</v>
      </c>
      <c r="AI9" s="64" t="s">
        <v>103</v>
      </c>
      <c r="AJ9" s="72" t="s">
        <v>100</v>
      </c>
      <c r="AK9" s="73" t="n">
        <v>352093089565666</v>
      </c>
      <c r="AL9" s="43" t="s">
        <v>104</v>
      </c>
      <c r="AM9" s="74" t="s">
        <v>105</v>
      </c>
      <c r="AN9" s="64" t="s">
        <v>106</v>
      </c>
      <c r="AO9" s="65" t="n">
        <v>44783</v>
      </c>
      <c r="AP9" s="43"/>
      <c r="AQ9" s="75" t="s">
        <v>107</v>
      </c>
      <c r="AR9" s="76" t="n">
        <v>44487</v>
      </c>
    </row>
    <row r="10" customFormat="false" ht="14.25" hidden="false" customHeight="false" outlineLevel="0" collapsed="false">
      <c r="A10" s="26" t="n">
        <v>9</v>
      </c>
      <c r="B10" s="43" t="s">
        <v>108</v>
      </c>
      <c r="C10" s="43" t="s">
        <v>95</v>
      </c>
      <c r="D10" s="70" t="s">
        <v>46</v>
      </c>
      <c r="E10" s="55" t="n">
        <v>10.2</v>
      </c>
      <c r="F10" s="55" t="n">
        <v>1.8</v>
      </c>
      <c r="G10" s="43" t="n">
        <v>160</v>
      </c>
      <c r="H10" s="43" t="n">
        <v>2019</v>
      </c>
      <c r="I10" s="43" t="s">
        <v>96</v>
      </c>
      <c r="J10" s="43" t="s">
        <v>74</v>
      </c>
      <c r="K10" s="30" t="s">
        <v>109</v>
      </c>
      <c r="M10" s="31" t="s">
        <v>110</v>
      </c>
      <c r="N10" s="32" t="s">
        <v>99</v>
      </c>
      <c r="O10" s="33" t="s">
        <v>60</v>
      </c>
      <c r="P10" s="48" t="s">
        <v>111</v>
      </c>
      <c r="Q10" s="70" t="n">
        <v>6000</v>
      </c>
      <c r="R10" s="77" t="s">
        <v>53</v>
      </c>
      <c r="S10" s="69" t="n">
        <v>3699</v>
      </c>
      <c r="T10" s="59" t="s">
        <v>102</v>
      </c>
      <c r="U10" s="28" t="n">
        <v>1083069.73</v>
      </c>
      <c r="V10" s="60" t="n">
        <v>27.717006</v>
      </c>
      <c r="W10" s="71" t="n">
        <v>247739.59</v>
      </c>
      <c r="X10" s="61" t="n">
        <f aca="false">U10/V10</f>
        <v>39076.0001278637</v>
      </c>
      <c r="Y10" s="61" t="n">
        <v>669.91</v>
      </c>
      <c r="Z10" s="28" t="n">
        <v>4.1</v>
      </c>
      <c r="AA10" s="62" t="s">
        <v>80</v>
      </c>
      <c r="AB10" s="38" t="n">
        <v>43454</v>
      </c>
      <c r="AC10" s="38" t="n">
        <v>43524</v>
      </c>
      <c r="AD10" s="38" t="n">
        <v>43523</v>
      </c>
      <c r="AE10" s="38" t="n">
        <v>45349</v>
      </c>
      <c r="AF10" s="57" t="n">
        <f aca="false">YEAR(AE10)</f>
        <v>2024</v>
      </c>
      <c r="AG10" s="63" t="n">
        <f aca="false">X10/SUMIF($Z$2:$Z$380,Z10,$X$2:$X$380)*(VLOOKUP(Z10,'затраты по департаментам-2 '!$A$2:$C$182,2,FALSE())+VLOOKUP(Z10,'затраты по департаментам-2 '!$A$2:$C$182,3,FALSE()))</f>
        <v>24497.6666666667</v>
      </c>
      <c r="AH10" s="63" t="n">
        <f aca="false">W10/60</f>
        <v>4128.99316666667</v>
      </c>
      <c r="AI10" s="64" t="s">
        <v>112</v>
      </c>
      <c r="AJ10" s="63" t="s">
        <v>82</v>
      </c>
      <c r="AK10" s="73" t="n">
        <v>352083089565831</v>
      </c>
      <c r="AL10" s="43" t="s">
        <v>113</v>
      </c>
      <c r="AM10" s="74" t="s">
        <v>114</v>
      </c>
      <c r="AN10" s="64" t="s">
        <v>115</v>
      </c>
      <c r="AO10" s="65" t="n">
        <v>44793</v>
      </c>
      <c r="AP10" s="43"/>
      <c r="AQ10" s="66" t="s">
        <v>116</v>
      </c>
      <c r="AR10" s="64"/>
    </row>
    <row r="11" customFormat="false" ht="14.25" hidden="false" customHeight="false" outlineLevel="0" collapsed="false">
      <c r="A11" s="26" t="n">
        <v>10</v>
      </c>
      <c r="B11" s="43" t="s">
        <v>117</v>
      </c>
      <c r="C11" s="43" t="s">
        <v>95</v>
      </c>
      <c r="D11" s="70" t="s">
        <v>46</v>
      </c>
      <c r="E11" s="55" t="n">
        <v>10.2</v>
      </c>
      <c r="F11" s="55" t="n">
        <v>1.8</v>
      </c>
      <c r="G11" s="43" t="n">
        <v>160</v>
      </c>
      <c r="H11" s="43" t="n">
        <v>2019</v>
      </c>
      <c r="I11" s="43" t="s">
        <v>96</v>
      </c>
      <c r="J11" s="43" t="s">
        <v>74</v>
      </c>
      <c r="K11" s="30" t="s">
        <v>118</v>
      </c>
      <c r="M11" s="31" t="s">
        <v>119</v>
      </c>
      <c r="N11" s="32" t="s">
        <v>120</v>
      </c>
      <c r="O11" s="53" t="s">
        <v>100</v>
      </c>
      <c r="P11" s="56" t="s">
        <v>121</v>
      </c>
      <c r="Q11" s="28" t="n">
        <v>1000</v>
      </c>
      <c r="R11" s="34" t="s">
        <v>122</v>
      </c>
      <c r="S11" s="69" t="n">
        <v>4120</v>
      </c>
      <c r="T11" s="35" t="s">
        <v>123</v>
      </c>
      <c r="U11" s="28" t="n">
        <v>1083069.73</v>
      </c>
      <c r="V11" s="60" t="n">
        <v>27.717006</v>
      </c>
      <c r="W11" s="71" t="n">
        <v>247739.59</v>
      </c>
      <c r="X11" s="61" t="n">
        <f aca="false">U11/V11</f>
        <v>39076.0001278637</v>
      </c>
      <c r="Y11" s="61" t="n">
        <v>669.91</v>
      </c>
      <c r="Z11" s="28" t="n">
        <v>4.1</v>
      </c>
      <c r="AA11" s="62" t="s">
        <v>80</v>
      </c>
      <c r="AB11" s="38" t="n">
        <v>43454</v>
      </c>
      <c r="AC11" s="38" t="n">
        <v>43524</v>
      </c>
      <c r="AD11" s="38" t="n">
        <v>43523</v>
      </c>
      <c r="AE11" s="38" t="n">
        <v>45349</v>
      </c>
      <c r="AF11" s="57" t="n">
        <f aca="false">YEAR(AE11)</f>
        <v>2024</v>
      </c>
      <c r="AG11" s="63" t="n">
        <f aca="false">X11/SUMIF($Z$2:$Z$380,Z11,$X$2:$X$380)*(VLOOKUP(Z11,'затраты по департаментам-2 '!$A$2:$C$182,2,FALSE())+VLOOKUP(Z11,'затраты по департаментам-2 '!$A$2:$C$182,3,FALSE()))</f>
        <v>24497.6666666667</v>
      </c>
      <c r="AH11" s="63" t="n">
        <f aca="false">W11/60</f>
        <v>4128.99316666667</v>
      </c>
      <c r="AI11" s="64" t="s">
        <v>81</v>
      </c>
      <c r="AJ11" s="72" t="s">
        <v>100</v>
      </c>
      <c r="AK11" s="73" t="n">
        <v>352093089568496</v>
      </c>
      <c r="AL11" s="43" t="s">
        <v>124</v>
      </c>
      <c r="AM11" s="78" t="s">
        <v>125</v>
      </c>
      <c r="AN11" s="64" t="s">
        <v>126</v>
      </c>
      <c r="AO11" s="65" t="n">
        <v>44981</v>
      </c>
      <c r="AP11" s="43"/>
      <c r="AQ11" s="66" t="s">
        <v>127</v>
      </c>
      <c r="AR11" s="64"/>
    </row>
    <row r="12" customFormat="false" ht="14.25" hidden="false" customHeight="false" outlineLevel="0" collapsed="false">
      <c r="A12" s="26" t="n">
        <v>11</v>
      </c>
      <c r="B12" s="43" t="s">
        <v>128</v>
      </c>
      <c r="C12" s="43" t="s">
        <v>72</v>
      </c>
      <c r="D12" s="28" t="s">
        <v>73</v>
      </c>
      <c r="E12" s="43" t="n">
        <v>7.4</v>
      </c>
      <c r="F12" s="43" t="n">
        <v>2</v>
      </c>
      <c r="G12" s="43" t="n">
        <v>158</v>
      </c>
      <c r="H12" s="43" t="n">
        <v>2019</v>
      </c>
      <c r="I12" s="43" t="s">
        <v>96</v>
      </c>
      <c r="J12" s="43" t="s">
        <v>74</v>
      </c>
      <c r="K12" s="30" t="s">
        <v>129</v>
      </c>
      <c r="L12" s="35"/>
      <c r="M12" s="31" t="s">
        <v>130</v>
      </c>
      <c r="N12" s="32" t="s">
        <v>131</v>
      </c>
      <c r="O12" s="70" t="s">
        <v>100</v>
      </c>
      <c r="P12" s="56" t="s">
        <v>132</v>
      </c>
      <c r="Q12" s="79" t="n">
        <v>1000</v>
      </c>
      <c r="R12" s="77" t="s">
        <v>78</v>
      </c>
      <c r="S12" s="69" t="n">
        <v>5311</v>
      </c>
      <c r="T12" s="59" t="s">
        <v>79</v>
      </c>
      <c r="U12" s="28" t="n">
        <v>929663.72</v>
      </c>
      <c r="V12" s="60" t="n">
        <v>28.023739</v>
      </c>
      <c r="W12" s="71" t="n">
        <v>216256.39</v>
      </c>
      <c r="X12" s="61" t="n">
        <f aca="false">U12/V12</f>
        <v>33174.1499590758</v>
      </c>
      <c r="Y12" s="61" t="n">
        <v>539.52</v>
      </c>
      <c r="Z12" s="28" t="n">
        <v>4.2</v>
      </c>
      <c r="AA12" s="62" t="s">
        <v>80</v>
      </c>
      <c r="AB12" s="80" t="n">
        <v>43474</v>
      </c>
      <c r="AC12" s="38" t="n">
        <v>43524</v>
      </c>
      <c r="AD12" s="38" t="n">
        <v>43523</v>
      </c>
      <c r="AE12" s="38" t="n">
        <v>45349</v>
      </c>
      <c r="AF12" s="57" t="n">
        <f aca="false">YEAR(AE12)</f>
        <v>2024</v>
      </c>
      <c r="AG12" s="63" t="n">
        <f aca="false">X12/SUMIF($Z$2:$Z$380,Z12,$X$2:$X$380)*(VLOOKUP(Z12,'затраты по департаментам-2 '!$A$2:$C$182,2,FALSE())+VLOOKUP(Z12,'затраты по департаментам-2 '!$A$2:$C$182,3,FALSE()))</f>
        <v>19729.4549711586</v>
      </c>
      <c r="AH12" s="63" t="n">
        <f aca="false">W12/60</f>
        <v>3604.27316666667</v>
      </c>
      <c r="AI12" s="64" t="s">
        <v>81</v>
      </c>
      <c r="AJ12" s="72" t="s">
        <v>100</v>
      </c>
      <c r="AK12" s="43" t="n">
        <v>79068</v>
      </c>
      <c r="AL12" s="43" t="s">
        <v>133</v>
      </c>
      <c r="AM12" s="74" t="s">
        <v>134</v>
      </c>
      <c r="AN12" s="64" t="s">
        <v>135</v>
      </c>
      <c r="AO12" s="65" t="n">
        <v>44755</v>
      </c>
      <c r="AP12" s="43"/>
      <c r="AQ12" s="66" t="s">
        <v>136</v>
      </c>
      <c r="AR12" s="64"/>
    </row>
    <row r="13" customFormat="false" ht="14.25" hidden="false" customHeight="false" outlineLevel="0" collapsed="false">
      <c r="A13" s="26" t="n">
        <v>12</v>
      </c>
      <c r="B13" s="26" t="s">
        <v>137</v>
      </c>
      <c r="C13" s="43" t="s">
        <v>138</v>
      </c>
      <c r="D13" s="28" t="s">
        <v>73</v>
      </c>
      <c r="E13" s="43" t="n">
        <v>6.2</v>
      </c>
      <c r="F13" s="43" t="n">
        <v>2</v>
      </c>
      <c r="G13" s="43" t="n">
        <v>155</v>
      </c>
      <c r="H13" s="43" t="n">
        <v>2019</v>
      </c>
      <c r="I13" s="43" t="s">
        <v>96</v>
      </c>
      <c r="J13" s="43" t="s">
        <v>74</v>
      </c>
      <c r="K13" s="30" t="s">
        <v>139</v>
      </c>
      <c r="M13" s="31" t="s">
        <v>140</v>
      </c>
      <c r="N13" s="32" t="s">
        <v>141</v>
      </c>
      <c r="O13" s="28" t="s">
        <v>142</v>
      </c>
      <c r="P13" s="48" t="s">
        <v>143</v>
      </c>
      <c r="Q13" s="28" t="n">
        <v>1000</v>
      </c>
      <c r="R13" s="34" t="s">
        <v>144</v>
      </c>
      <c r="S13" s="69" t="n">
        <v>4196</v>
      </c>
      <c r="T13" s="35" t="s">
        <v>145</v>
      </c>
      <c r="U13" s="28" t="n">
        <v>925541.78</v>
      </c>
      <c r="V13" s="60" t="n">
        <v>27.717006</v>
      </c>
      <c r="W13" s="71" t="n">
        <v>217118.08</v>
      </c>
      <c r="X13" s="61" t="n">
        <f aca="false">U13/V13</f>
        <v>33392.5597880233</v>
      </c>
      <c r="Y13" s="61" t="n">
        <v>563.15</v>
      </c>
      <c r="Z13" s="28" t="n">
        <v>4.3</v>
      </c>
      <c r="AA13" s="62" t="s">
        <v>80</v>
      </c>
      <c r="AB13" s="38" t="n">
        <v>43454</v>
      </c>
      <c r="AC13" s="38" t="n">
        <v>43524</v>
      </c>
      <c r="AD13" s="38" t="n">
        <v>43535</v>
      </c>
      <c r="AE13" s="38" t="n">
        <v>45362</v>
      </c>
      <c r="AF13" s="57" t="n">
        <f aca="false">YEAR(AE13)</f>
        <v>2024</v>
      </c>
      <c r="AG13" s="63" t="n">
        <f aca="false">X13/SUMIF($Z$2:$Z$380,Z13,$X$2:$X$380)*(VLOOKUP(Z13,'затраты по департаментам-2 '!$A$2:$C$182,2,FALSE())+VLOOKUP(Z13,'затраты по департаментам-2 '!$A$2:$C$182,3,FALSE()))</f>
        <v>20593.5866666667</v>
      </c>
      <c r="AH13" s="63" t="n">
        <f aca="false">W13/60</f>
        <v>3618.63466666667</v>
      </c>
      <c r="AI13" s="64" t="s">
        <v>81</v>
      </c>
      <c r="AJ13" s="63" t="s">
        <v>142</v>
      </c>
      <c r="AK13" s="73" t="n">
        <v>352093089570633</v>
      </c>
      <c r="AL13" s="81" t="s">
        <v>146</v>
      </c>
      <c r="AM13" s="74" t="s">
        <v>147</v>
      </c>
      <c r="AN13" s="64" t="s">
        <v>148</v>
      </c>
      <c r="AO13" s="65" t="n">
        <v>44915</v>
      </c>
      <c r="AP13" s="43"/>
      <c r="AQ13" s="66" t="s">
        <v>149</v>
      </c>
      <c r="AR13" s="64"/>
    </row>
    <row r="14" customFormat="false" ht="14.25" hidden="false" customHeight="false" outlineLevel="0" collapsed="false">
      <c r="A14" s="26" t="n">
        <v>13</v>
      </c>
      <c r="B14" s="26" t="s">
        <v>150</v>
      </c>
      <c r="C14" s="43" t="s">
        <v>138</v>
      </c>
      <c r="D14" s="28" t="s">
        <v>73</v>
      </c>
      <c r="E14" s="43" t="n">
        <v>6.2</v>
      </c>
      <c r="F14" s="43" t="n">
        <v>2</v>
      </c>
      <c r="G14" s="43" t="n">
        <v>155</v>
      </c>
      <c r="H14" s="43" t="n">
        <v>2019</v>
      </c>
      <c r="I14" s="43" t="s">
        <v>96</v>
      </c>
      <c r="J14" s="43" t="s">
        <v>74</v>
      </c>
      <c r="K14" s="30" t="s">
        <v>151</v>
      </c>
      <c r="M14" s="31" t="s">
        <v>152</v>
      </c>
      <c r="N14" s="32" t="s">
        <v>141</v>
      </c>
      <c r="O14" s="28" t="s">
        <v>60</v>
      </c>
      <c r="P14" s="48" t="s">
        <v>91</v>
      </c>
      <c r="Q14" s="57" t="n">
        <v>1000</v>
      </c>
      <c r="R14" s="58" t="s">
        <v>144</v>
      </c>
      <c r="S14" s="69" t="n">
        <v>4198</v>
      </c>
      <c r="T14" s="35" t="s">
        <v>145</v>
      </c>
      <c r="U14" s="28" t="n">
        <v>925541.78</v>
      </c>
      <c r="V14" s="60" t="n">
        <v>27.717006</v>
      </c>
      <c r="W14" s="71" t="n">
        <v>217118.08</v>
      </c>
      <c r="X14" s="61" t="n">
        <f aca="false">U14/V14</f>
        <v>33392.5597880233</v>
      </c>
      <c r="Y14" s="61" t="n">
        <v>563.15</v>
      </c>
      <c r="Z14" s="28" t="n">
        <v>4.3</v>
      </c>
      <c r="AA14" s="62" t="s">
        <v>80</v>
      </c>
      <c r="AB14" s="38" t="n">
        <v>43454</v>
      </c>
      <c r="AC14" s="38" t="n">
        <v>43524</v>
      </c>
      <c r="AD14" s="38" t="n">
        <v>43535</v>
      </c>
      <c r="AE14" s="38" t="n">
        <v>45362</v>
      </c>
      <c r="AF14" s="57" t="n">
        <f aca="false">YEAR(AE14)</f>
        <v>2024</v>
      </c>
      <c r="AG14" s="63" t="n">
        <f aca="false">X14/SUMIF($Z$2:$Z$380,Z14,$X$2:$X$380)*(VLOOKUP(Z14,'затраты по департаментам-2 '!$A$2:$C$182,2,FALSE())+VLOOKUP(Z14,'затраты по департаментам-2 '!$A$2:$C$182,3,FALSE()))</f>
        <v>20593.5866666667</v>
      </c>
      <c r="AH14" s="63" t="n">
        <f aca="false">W14/60</f>
        <v>3618.63466666667</v>
      </c>
      <c r="AI14" s="64" t="s">
        <v>81</v>
      </c>
      <c r="AJ14" s="63" t="s">
        <v>82</v>
      </c>
      <c r="AK14" s="73" t="n">
        <v>352093088566228</v>
      </c>
      <c r="AL14" s="43"/>
      <c r="AM14" s="78" t="s">
        <v>153</v>
      </c>
      <c r="AN14" s="64" t="s">
        <v>154</v>
      </c>
      <c r="AO14" s="65" t="n">
        <v>44468</v>
      </c>
      <c r="AP14" s="43"/>
      <c r="AQ14" s="66" t="s">
        <v>155</v>
      </c>
      <c r="AR14" s="64"/>
    </row>
    <row r="15" customFormat="false" ht="14.25" hidden="false" customHeight="false" outlineLevel="0" collapsed="false">
      <c r="A15" s="26" t="n">
        <v>14</v>
      </c>
      <c r="B15" s="26" t="s">
        <v>156</v>
      </c>
      <c r="C15" s="43" t="s">
        <v>138</v>
      </c>
      <c r="D15" s="28" t="s">
        <v>73</v>
      </c>
      <c r="E15" s="43" t="n">
        <v>6.2</v>
      </c>
      <c r="F15" s="43" t="n">
        <v>2</v>
      </c>
      <c r="G15" s="43" t="n">
        <v>155</v>
      </c>
      <c r="H15" s="43" t="n">
        <v>2019</v>
      </c>
      <c r="I15" s="43" t="s">
        <v>96</v>
      </c>
      <c r="J15" s="43" t="s">
        <v>74</v>
      </c>
      <c r="K15" s="30" t="s">
        <v>157</v>
      </c>
      <c r="M15" s="31" t="s">
        <v>158</v>
      </c>
      <c r="N15" s="32" t="s">
        <v>159</v>
      </c>
      <c r="O15" s="28" t="s">
        <v>100</v>
      </c>
      <c r="P15" s="56" t="s">
        <v>160</v>
      </c>
      <c r="Q15" s="57" t="n">
        <v>1000</v>
      </c>
      <c r="R15" s="58" t="s">
        <v>144</v>
      </c>
      <c r="S15" s="69" t="n">
        <v>4190</v>
      </c>
      <c r="T15" s="35" t="s">
        <v>145</v>
      </c>
      <c r="U15" s="28" t="n">
        <v>925541.78</v>
      </c>
      <c r="V15" s="60" t="n">
        <v>27.717006</v>
      </c>
      <c r="W15" s="71" t="n">
        <v>217118.08</v>
      </c>
      <c r="X15" s="61" t="n">
        <f aca="false">U15/V15</f>
        <v>33392.5597880233</v>
      </c>
      <c r="Y15" s="61" t="n">
        <v>563.15</v>
      </c>
      <c r="Z15" s="28" t="n">
        <v>4.3</v>
      </c>
      <c r="AA15" s="62" t="s">
        <v>80</v>
      </c>
      <c r="AB15" s="38" t="n">
        <v>43454</v>
      </c>
      <c r="AC15" s="38" t="n">
        <v>43524</v>
      </c>
      <c r="AD15" s="38" t="n">
        <v>43535</v>
      </c>
      <c r="AE15" s="38" t="n">
        <v>45362</v>
      </c>
      <c r="AF15" s="57" t="n">
        <f aca="false">YEAR(AE15)</f>
        <v>2024</v>
      </c>
      <c r="AG15" s="63" t="n">
        <f aca="false">X15/SUMIF($Z$2:$Z$380,Z15,$X$2:$X$380)*(VLOOKUP(Z15,'затраты по департаментам-2 '!$A$2:$C$182,2,FALSE())+VLOOKUP(Z15,'затраты по департаментам-2 '!$A$2:$C$182,3,FALSE()))</f>
        <v>20593.5866666667</v>
      </c>
      <c r="AH15" s="63" t="n">
        <f aca="false">W15/60</f>
        <v>3618.63466666667</v>
      </c>
      <c r="AI15" s="64" t="s">
        <v>81</v>
      </c>
      <c r="AJ15" s="63" t="s">
        <v>100</v>
      </c>
      <c r="AK15" s="73" t="n">
        <v>352093087914478</v>
      </c>
      <c r="AL15" s="43"/>
      <c r="AM15" s="74" t="s">
        <v>161</v>
      </c>
      <c r="AN15" s="64" t="s">
        <v>162</v>
      </c>
      <c r="AO15" s="65" t="n">
        <v>44755</v>
      </c>
      <c r="AP15" s="43"/>
      <c r="AQ15" s="66" t="s">
        <v>163</v>
      </c>
      <c r="AR15" s="64"/>
    </row>
    <row r="16" customFormat="false" ht="14.25" hidden="false" customHeight="false" outlineLevel="0" collapsed="false">
      <c r="A16" s="26" t="n">
        <v>15</v>
      </c>
      <c r="B16" s="26" t="s">
        <v>164</v>
      </c>
      <c r="C16" s="43" t="s">
        <v>165</v>
      </c>
      <c r="D16" s="28" t="s">
        <v>46</v>
      </c>
      <c r="E16" s="43" t="n">
        <v>6.7</v>
      </c>
      <c r="F16" s="43" t="n">
        <v>1.2</v>
      </c>
      <c r="G16" s="43" t="n">
        <v>108</v>
      </c>
      <c r="H16" s="43" t="n">
        <v>2019</v>
      </c>
      <c r="I16" s="43" t="s">
        <v>96</v>
      </c>
      <c r="J16" s="43" t="s">
        <v>74</v>
      </c>
      <c r="K16" s="30" t="s">
        <v>166</v>
      </c>
      <c r="L16" s="82"/>
      <c r="M16" s="31" t="s">
        <v>167</v>
      </c>
      <c r="N16" s="32" t="s">
        <v>168</v>
      </c>
      <c r="O16" s="83" t="s">
        <v>169</v>
      </c>
      <c r="P16" s="84" t="s">
        <v>170</v>
      </c>
      <c r="Q16" s="57" t="n">
        <v>9000</v>
      </c>
      <c r="R16" s="58" t="s">
        <v>171</v>
      </c>
      <c r="S16" s="69" t="n">
        <v>4130</v>
      </c>
      <c r="T16" s="35" t="s">
        <v>172</v>
      </c>
      <c r="U16" s="28" t="n">
        <v>425034.65</v>
      </c>
      <c r="V16" s="60" t="n">
        <v>28.023739</v>
      </c>
      <c r="W16" s="71" t="n">
        <f aca="false">5921425.44/50</f>
        <v>118428.5088</v>
      </c>
      <c r="X16" s="61" t="n">
        <f aca="false">U16/V16</f>
        <v>15166.9500633017</v>
      </c>
      <c r="Y16" s="61" t="n">
        <v>251.65</v>
      </c>
      <c r="Z16" s="28" t="n">
        <v>4.4</v>
      </c>
      <c r="AA16" s="62" t="s">
        <v>80</v>
      </c>
      <c r="AB16" s="38" t="n">
        <v>43474</v>
      </c>
      <c r="AC16" s="38" t="n">
        <v>43524</v>
      </c>
      <c r="AD16" s="38" t="n">
        <v>43539</v>
      </c>
      <c r="AE16" s="38" t="n">
        <v>45365</v>
      </c>
      <c r="AF16" s="57" t="n">
        <f aca="false">YEAR(AE16)</f>
        <v>2024</v>
      </c>
      <c r="AG16" s="63" t="n">
        <f aca="false">X16/SUMIF($Z$2:$Z$380,Z16,$X$2:$X$380)*(VLOOKUP(Z16,'затраты по департаментам-2 '!$A$2:$C$182,2,FALSE())+VLOOKUP(Z16,'затраты по департаментам-2 '!$A$2:$C$182,3,FALSE()))</f>
        <v>9202.38303209051</v>
      </c>
      <c r="AH16" s="63" t="n">
        <f aca="false">W16/60</f>
        <v>1973.80848</v>
      </c>
      <c r="AI16" s="64" t="s">
        <v>81</v>
      </c>
      <c r="AJ16" s="63" t="s">
        <v>82</v>
      </c>
      <c r="AK16" s="43" t="n">
        <v>89565765</v>
      </c>
      <c r="AL16" s="43"/>
      <c r="AM16" s="85" t="s">
        <v>173</v>
      </c>
      <c r="AN16" s="48" t="s">
        <v>174</v>
      </c>
      <c r="AO16" s="65" t="n">
        <v>44484</v>
      </c>
      <c r="AP16" s="43"/>
      <c r="AQ16" s="66" t="s">
        <v>175</v>
      </c>
      <c r="AR16" s="64"/>
    </row>
    <row r="17" customFormat="false" ht="14.25" hidden="false" customHeight="false" outlineLevel="0" collapsed="false">
      <c r="A17" s="26" t="n">
        <v>16</v>
      </c>
      <c r="B17" s="26" t="s">
        <v>176</v>
      </c>
      <c r="C17" s="43" t="s">
        <v>165</v>
      </c>
      <c r="D17" s="28" t="s">
        <v>46</v>
      </c>
      <c r="E17" s="43" t="n">
        <v>6.7</v>
      </c>
      <c r="F17" s="43" t="n">
        <v>1.2</v>
      </c>
      <c r="G17" s="43" t="n">
        <v>108</v>
      </c>
      <c r="H17" s="43" t="n">
        <v>2019</v>
      </c>
      <c r="I17" s="43" t="s">
        <v>96</v>
      </c>
      <c r="J17" s="43" t="s">
        <v>74</v>
      </c>
      <c r="K17" s="86" t="s">
        <v>177</v>
      </c>
      <c r="L17" s="82"/>
      <c r="M17" s="31" t="s">
        <v>178</v>
      </c>
      <c r="N17" s="32" t="s">
        <v>179</v>
      </c>
      <c r="O17" s="28" t="s">
        <v>180</v>
      </c>
      <c r="P17" s="48" t="s">
        <v>181</v>
      </c>
      <c r="Q17" s="57" t="n">
        <v>7031</v>
      </c>
      <c r="R17" s="58" t="s">
        <v>171</v>
      </c>
      <c r="S17" s="69" t="n">
        <v>4133</v>
      </c>
      <c r="T17" s="35" t="s">
        <v>172</v>
      </c>
      <c r="U17" s="28" t="n">
        <v>425034.65</v>
      </c>
      <c r="V17" s="60" t="n">
        <v>28.023739</v>
      </c>
      <c r="W17" s="71" t="n">
        <f aca="false">5921425.44/50</f>
        <v>118428.5088</v>
      </c>
      <c r="X17" s="61" t="n">
        <f aca="false">U17/V17</f>
        <v>15166.9500633017</v>
      </c>
      <c r="Y17" s="61" t="n">
        <v>251.65</v>
      </c>
      <c r="Z17" s="28" t="n">
        <v>4.4</v>
      </c>
      <c r="AA17" s="62" t="s">
        <v>80</v>
      </c>
      <c r="AB17" s="38" t="n">
        <v>43474</v>
      </c>
      <c r="AC17" s="38" t="n">
        <v>43524</v>
      </c>
      <c r="AD17" s="38" t="n">
        <v>43539</v>
      </c>
      <c r="AE17" s="38" t="n">
        <v>45365</v>
      </c>
      <c r="AF17" s="57" t="n">
        <f aca="false">YEAR(AE17)</f>
        <v>2024</v>
      </c>
      <c r="AG17" s="63" t="n">
        <f aca="false">X17/SUMIF($Z$2:$Z$380,Z17,$X$2:$X$380)*(VLOOKUP(Z17,'затраты по департаментам-2 '!$A$2:$C$182,2,FALSE())+VLOOKUP(Z17,'затраты по департаментам-2 '!$A$2:$C$182,3,FALSE()))</f>
        <v>9202.38303209051</v>
      </c>
      <c r="AH17" s="63" t="n">
        <f aca="false">W17/60</f>
        <v>1973.80848</v>
      </c>
      <c r="AI17" s="64" t="s">
        <v>81</v>
      </c>
      <c r="AJ17" s="63" t="s">
        <v>82</v>
      </c>
      <c r="AK17" s="43" t="n">
        <v>7613468</v>
      </c>
      <c r="AL17" s="43"/>
      <c r="AM17" s="74" t="s">
        <v>182</v>
      </c>
      <c r="AN17" s="48" t="s">
        <v>183</v>
      </c>
      <c r="AO17" s="65" t="n">
        <v>44953</v>
      </c>
      <c r="AP17" s="44"/>
      <c r="AQ17" s="66" t="s">
        <v>184</v>
      </c>
      <c r="AR17" s="64"/>
    </row>
    <row r="18" customFormat="false" ht="14.25" hidden="false" customHeight="false" outlineLevel="0" collapsed="false">
      <c r="A18" s="26" t="n">
        <v>17</v>
      </c>
      <c r="B18" s="26" t="s">
        <v>185</v>
      </c>
      <c r="C18" s="43" t="s">
        <v>165</v>
      </c>
      <c r="D18" s="28" t="s">
        <v>46</v>
      </c>
      <c r="E18" s="43" t="n">
        <v>6.7</v>
      </c>
      <c r="F18" s="43" t="n">
        <v>1.2</v>
      </c>
      <c r="G18" s="43" t="n">
        <v>108</v>
      </c>
      <c r="H18" s="43" t="n">
        <v>2019</v>
      </c>
      <c r="I18" s="43" t="s">
        <v>96</v>
      </c>
      <c r="J18" s="43" t="s">
        <v>74</v>
      </c>
      <c r="K18" s="30" t="s">
        <v>186</v>
      </c>
      <c r="L18" s="82"/>
      <c r="M18" s="31" t="s">
        <v>187</v>
      </c>
      <c r="N18" s="32" t="s">
        <v>168</v>
      </c>
      <c r="O18" s="28" t="s">
        <v>142</v>
      </c>
      <c r="P18" s="48" t="s">
        <v>188</v>
      </c>
      <c r="Q18" s="87" t="n">
        <v>9000</v>
      </c>
      <c r="R18" s="58" t="s">
        <v>189</v>
      </c>
      <c r="S18" s="69" t="n">
        <v>4170</v>
      </c>
      <c r="T18" s="35" t="s">
        <v>172</v>
      </c>
      <c r="U18" s="28" t="n">
        <v>425034.65</v>
      </c>
      <c r="V18" s="60" t="n">
        <v>28.023739</v>
      </c>
      <c r="W18" s="71" t="n">
        <f aca="false">5921425.44/50</f>
        <v>118428.5088</v>
      </c>
      <c r="X18" s="61" t="n">
        <f aca="false">U18/V18</f>
        <v>15166.9500633017</v>
      </c>
      <c r="Y18" s="61" t="n">
        <v>251.65</v>
      </c>
      <c r="Z18" s="28" t="n">
        <v>4.4</v>
      </c>
      <c r="AA18" s="62" t="s">
        <v>80</v>
      </c>
      <c r="AB18" s="38" t="n">
        <v>43474</v>
      </c>
      <c r="AC18" s="38" t="n">
        <v>43524</v>
      </c>
      <c r="AD18" s="38" t="n">
        <v>43539</v>
      </c>
      <c r="AE18" s="38" t="n">
        <v>45365</v>
      </c>
      <c r="AF18" s="57" t="n">
        <f aca="false">YEAR(AE18)</f>
        <v>2024</v>
      </c>
      <c r="AG18" s="63" t="n">
        <f aca="false">X18/SUMIF($Z$2:$Z$380,Z18,$X$2:$X$380)*(VLOOKUP(Z18,'затраты по департаментам-2 '!$A$2:$C$182,2,FALSE())+VLOOKUP(Z18,'затраты по департаментам-2 '!$A$2:$C$182,3,FALSE()))</f>
        <v>9202.38303209051</v>
      </c>
      <c r="AH18" s="63" t="n">
        <f aca="false">W18/60</f>
        <v>1973.80848</v>
      </c>
      <c r="AI18" s="64" t="s">
        <v>81</v>
      </c>
      <c r="AJ18" s="63" t="s">
        <v>142</v>
      </c>
      <c r="AK18" s="88" t="n">
        <v>87613476</v>
      </c>
      <c r="AL18" s="81" t="s">
        <v>190</v>
      </c>
      <c r="AM18" s="78" t="s">
        <v>191</v>
      </c>
      <c r="AN18" s="48" t="s">
        <v>192</v>
      </c>
      <c r="AO18" s="65" t="n">
        <v>44600</v>
      </c>
      <c r="AP18" s="43"/>
      <c r="AQ18" s="66" t="s">
        <v>193</v>
      </c>
      <c r="AR18" s="64"/>
    </row>
    <row r="19" customFormat="false" ht="14.25" hidden="false" customHeight="false" outlineLevel="0" collapsed="false">
      <c r="A19" s="26" t="n">
        <v>18</v>
      </c>
      <c r="B19" s="26" t="s">
        <v>194</v>
      </c>
      <c r="C19" s="43" t="s">
        <v>165</v>
      </c>
      <c r="D19" s="28" t="s">
        <v>46</v>
      </c>
      <c r="E19" s="43" t="n">
        <v>6.7</v>
      </c>
      <c r="F19" s="43" t="n">
        <v>1.2</v>
      </c>
      <c r="G19" s="43" t="n">
        <v>108</v>
      </c>
      <c r="H19" s="43" t="n">
        <v>2019</v>
      </c>
      <c r="I19" s="43" t="s">
        <v>96</v>
      </c>
      <c r="J19" s="43" t="s">
        <v>74</v>
      </c>
      <c r="K19" s="30" t="s">
        <v>195</v>
      </c>
      <c r="L19" s="82"/>
      <c r="M19" s="31" t="s">
        <v>196</v>
      </c>
      <c r="N19" s="84" t="s">
        <v>179</v>
      </c>
      <c r="O19" s="28" t="s">
        <v>197</v>
      </c>
      <c r="P19" s="56" t="s">
        <v>198</v>
      </c>
      <c r="Q19" s="87" t="n">
        <v>7042</v>
      </c>
      <c r="R19" s="89" t="s">
        <v>171</v>
      </c>
      <c r="S19" s="69" t="n">
        <v>4134</v>
      </c>
      <c r="T19" s="35" t="s">
        <v>172</v>
      </c>
      <c r="U19" s="28" t="n">
        <v>425034.65</v>
      </c>
      <c r="V19" s="60" t="n">
        <v>28.023739</v>
      </c>
      <c r="W19" s="71" t="n">
        <f aca="false">5921425.44/50</f>
        <v>118428.5088</v>
      </c>
      <c r="X19" s="61" t="n">
        <f aca="false">U19/V19</f>
        <v>15166.9500633017</v>
      </c>
      <c r="Y19" s="61" t="n">
        <v>251.65</v>
      </c>
      <c r="Z19" s="28" t="n">
        <v>4.4</v>
      </c>
      <c r="AA19" s="62" t="s">
        <v>80</v>
      </c>
      <c r="AB19" s="38" t="n">
        <v>43474</v>
      </c>
      <c r="AC19" s="38" t="n">
        <v>43524</v>
      </c>
      <c r="AD19" s="38" t="n">
        <v>43539</v>
      </c>
      <c r="AE19" s="38" t="n">
        <v>45365</v>
      </c>
      <c r="AF19" s="57" t="n">
        <f aca="false">YEAR(AE19)</f>
        <v>2024</v>
      </c>
      <c r="AG19" s="63" t="n">
        <f aca="false">X19/SUMIF($Z$2:$Z$380,Z19,$X$2:$X$380)*(VLOOKUP(Z19,'затраты по департаментам-2 '!$A$2:$C$182,2,FALSE())+VLOOKUP(Z19,'затраты по департаментам-2 '!$A$2:$C$182,3,FALSE()))</f>
        <v>9202.38303209051</v>
      </c>
      <c r="AH19" s="63" t="n">
        <f aca="false">W19/60</f>
        <v>1973.80848</v>
      </c>
      <c r="AI19" s="64" t="s">
        <v>81</v>
      </c>
      <c r="AJ19" s="63" t="s">
        <v>197</v>
      </c>
      <c r="AK19" s="88" t="n">
        <v>87657622</v>
      </c>
      <c r="AL19" s="81" t="s">
        <v>199</v>
      </c>
      <c r="AM19" s="74" t="s">
        <v>200</v>
      </c>
      <c r="AN19" s="48" t="s">
        <v>201</v>
      </c>
      <c r="AO19" s="65" t="n">
        <v>44953</v>
      </c>
      <c r="AP19" s="43"/>
      <c r="AQ19" s="90" t="s">
        <v>202</v>
      </c>
      <c r="AR19" s="76" t="n">
        <v>44531</v>
      </c>
    </row>
    <row r="20" customFormat="false" ht="14.25" hidden="false" customHeight="true" outlineLevel="0" collapsed="false">
      <c r="A20" s="26" t="n">
        <v>19</v>
      </c>
      <c r="B20" s="88" t="s">
        <v>203</v>
      </c>
      <c r="C20" s="43" t="s">
        <v>165</v>
      </c>
      <c r="D20" s="28" t="s">
        <v>46</v>
      </c>
      <c r="E20" s="43" t="n">
        <v>6.7</v>
      </c>
      <c r="F20" s="43" t="n">
        <v>1.2</v>
      </c>
      <c r="G20" s="43" t="n">
        <v>108</v>
      </c>
      <c r="H20" s="43" t="n">
        <v>2019</v>
      </c>
      <c r="I20" s="43" t="s">
        <v>96</v>
      </c>
      <c r="J20" s="43" t="s">
        <v>74</v>
      </c>
      <c r="K20" s="30" t="s">
        <v>204</v>
      </c>
      <c r="L20" s="82"/>
      <c r="M20" s="31" t="s">
        <v>205</v>
      </c>
      <c r="N20" s="84" t="s">
        <v>179</v>
      </c>
      <c r="O20" s="26" t="s">
        <v>169</v>
      </c>
      <c r="P20" s="56" t="s">
        <v>91</v>
      </c>
      <c r="Q20" s="87" t="n">
        <v>7083</v>
      </c>
      <c r="R20" s="58" t="s">
        <v>171</v>
      </c>
      <c r="S20" s="69" t="n">
        <v>4138</v>
      </c>
      <c r="T20" s="35" t="s">
        <v>172</v>
      </c>
      <c r="U20" s="28" t="n">
        <v>425034.65</v>
      </c>
      <c r="V20" s="60" t="n">
        <v>28.023739</v>
      </c>
      <c r="W20" s="71" t="n">
        <f aca="false">5921425.44/50</f>
        <v>118428.5088</v>
      </c>
      <c r="X20" s="61" t="n">
        <f aca="false">U20/V20</f>
        <v>15166.9500633017</v>
      </c>
      <c r="Y20" s="61" t="n">
        <v>251.65</v>
      </c>
      <c r="Z20" s="28" t="n">
        <v>4.4</v>
      </c>
      <c r="AA20" s="62" t="s">
        <v>80</v>
      </c>
      <c r="AB20" s="38" t="n">
        <v>43474</v>
      </c>
      <c r="AC20" s="38" t="n">
        <v>43524</v>
      </c>
      <c r="AD20" s="38" t="n">
        <v>43539</v>
      </c>
      <c r="AE20" s="38" t="n">
        <v>45365</v>
      </c>
      <c r="AF20" s="57" t="n">
        <f aca="false">YEAR(AE20)</f>
        <v>2024</v>
      </c>
      <c r="AG20" s="63" t="n">
        <f aca="false">X20/SUMIF($Z$2:$Z$380,Z20,$X$2:$X$380)*(VLOOKUP(Z20,'затраты по департаментам-2 '!$A$2:$C$182,2,FALSE())+VLOOKUP(Z20,'затраты по департаментам-2 '!$A$2:$C$182,3,FALSE()))</f>
        <v>9202.38303209051</v>
      </c>
      <c r="AH20" s="63" t="n">
        <f aca="false">W20/60</f>
        <v>1973.80848</v>
      </c>
      <c r="AI20" s="64" t="s">
        <v>81</v>
      </c>
      <c r="AJ20" s="63" t="s">
        <v>82</v>
      </c>
      <c r="AK20" s="88" t="n">
        <v>80948903</v>
      </c>
      <c r="AL20" s="43"/>
      <c r="AM20" s="78" t="s">
        <v>206</v>
      </c>
      <c r="AN20" s="48" t="s">
        <v>207</v>
      </c>
      <c r="AO20" s="65" t="n">
        <v>44502</v>
      </c>
      <c r="AP20" s="43"/>
      <c r="AQ20" s="66" t="s">
        <v>208</v>
      </c>
      <c r="AR20" s="64"/>
    </row>
    <row r="21" customFormat="false" ht="14.25" hidden="false" customHeight="false" outlineLevel="0" collapsed="false">
      <c r="A21" s="26" t="n">
        <v>20</v>
      </c>
      <c r="B21" s="91" t="s">
        <v>209</v>
      </c>
      <c r="C21" s="43" t="s">
        <v>165</v>
      </c>
      <c r="D21" s="28" t="s">
        <v>46</v>
      </c>
      <c r="E21" s="43" t="n">
        <v>6.7</v>
      </c>
      <c r="F21" s="43" t="n">
        <v>1.2</v>
      </c>
      <c r="G21" s="43" t="n">
        <v>108</v>
      </c>
      <c r="H21" s="43" t="n">
        <v>2019</v>
      </c>
      <c r="I21" s="43" t="s">
        <v>96</v>
      </c>
      <c r="J21" s="43" t="s">
        <v>74</v>
      </c>
      <c r="K21" s="30" t="s">
        <v>210</v>
      </c>
      <c r="L21" s="82"/>
      <c r="M21" s="31" t="s">
        <v>211</v>
      </c>
      <c r="N21" s="92" t="s">
        <v>179</v>
      </c>
      <c r="O21" s="28" t="s">
        <v>180</v>
      </c>
      <c r="P21" s="56" t="s">
        <v>181</v>
      </c>
      <c r="Q21" s="87" t="n">
        <v>7031</v>
      </c>
      <c r="R21" s="58" t="s">
        <v>171</v>
      </c>
      <c r="S21" s="69" t="n">
        <v>4133</v>
      </c>
      <c r="T21" s="35" t="s">
        <v>172</v>
      </c>
      <c r="U21" s="28" t="n">
        <v>425034.65</v>
      </c>
      <c r="V21" s="60" t="n">
        <v>28.023739</v>
      </c>
      <c r="W21" s="71" t="n">
        <f aca="false">5921425.44/50</f>
        <v>118428.5088</v>
      </c>
      <c r="X21" s="61" t="n">
        <f aca="false">U21/V21</f>
        <v>15166.9500633017</v>
      </c>
      <c r="Y21" s="61" t="n">
        <v>251.65</v>
      </c>
      <c r="Z21" s="28" t="n">
        <v>4.4</v>
      </c>
      <c r="AA21" s="62" t="s">
        <v>80</v>
      </c>
      <c r="AB21" s="38" t="n">
        <v>43474</v>
      </c>
      <c r="AC21" s="38" t="n">
        <v>43524</v>
      </c>
      <c r="AD21" s="38" t="n">
        <v>43539</v>
      </c>
      <c r="AE21" s="38" t="n">
        <v>45365</v>
      </c>
      <c r="AF21" s="57" t="n">
        <f aca="false">YEAR(AE21)</f>
        <v>2024</v>
      </c>
      <c r="AG21" s="63" t="n">
        <f aca="false">X21/SUMIF($Z$2:$Z$380,Z21,$X$2:$X$380)*(VLOOKUP(Z21,'затраты по департаментам-2 '!$A$2:$C$182,2,FALSE())+VLOOKUP(Z21,'затраты по департаментам-2 '!$A$2:$C$182,3,FALSE()))</f>
        <v>9202.38303209051</v>
      </c>
      <c r="AH21" s="63" t="n">
        <f aca="false">W21/60</f>
        <v>1973.80848</v>
      </c>
      <c r="AI21" s="64" t="s">
        <v>81</v>
      </c>
      <c r="AJ21" s="63" t="s">
        <v>82</v>
      </c>
      <c r="AK21" s="88" t="n">
        <v>86510491</v>
      </c>
      <c r="AL21" s="43"/>
      <c r="AM21" s="74" t="s">
        <v>212</v>
      </c>
      <c r="AN21" s="48" t="s">
        <v>213</v>
      </c>
      <c r="AO21" s="65" t="n">
        <v>44863</v>
      </c>
      <c r="AP21" s="43"/>
      <c r="AQ21" s="66" t="s">
        <v>214</v>
      </c>
      <c r="AR21" s="76" t="n">
        <v>44531</v>
      </c>
    </row>
    <row r="22" customFormat="false" ht="14.25" hidden="false" customHeight="false" outlineLevel="0" collapsed="false">
      <c r="A22" s="26" t="n">
        <v>21</v>
      </c>
      <c r="B22" s="26" t="s">
        <v>215</v>
      </c>
      <c r="C22" s="43" t="s">
        <v>165</v>
      </c>
      <c r="D22" s="28" t="s">
        <v>46</v>
      </c>
      <c r="E22" s="43" t="n">
        <v>6.7</v>
      </c>
      <c r="F22" s="43" t="n">
        <v>1.2</v>
      </c>
      <c r="G22" s="43" t="n">
        <v>108</v>
      </c>
      <c r="H22" s="43" t="n">
        <v>2019</v>
      </c>
      <c r="I22" s="43" t="s">
        <v>96</v>
      </c>
      <c r="J22" s="43" t="s">
        <v>74</v>
      </c>
      <c r="K22" s="30" t="s">
        <v>216</v>
      </c>
      <c r="L22" s="82"/>
      <c r="M22" s="31" t="s">
        <v>217</v>
      </c>
      <c r="N22" s="32" t="s">
        <v>168</v>
      </c>
      <c r="O22" s="93" t="s">
        <v>218</v>
      </c>
      <c r="P22" s="34" t="s">
        <v>219</v>
      </c>
      <c r="Q22" s="87" t="n">
        <v>9000</v>
      </c>
      <c r="R22" s="58" t="s">
        <v>189</v>
      </c>
      <c r="S22" s="69" t="n">
        <v>4170</v>
      </c>
      <c r="T22" s="35" t="s">
        <v>172</v>
      </c>
      <c r="U22" s="28" t="n">
        <v>425034.65</v>
      </c>
      <c r="V22" s="60" t="n">
        <v>28.023739</v>
      </c>
      <c r="W22" s="71" t="n">
        <f aca="false">5921425.44/50</f>
        <v>118428.5088</v>
      </c>
      <c r="X22" s="61" t="n">
        <f aca="false">U22/V22</f>
        <v>15166.9500633017</v>
      </c>
      <c r="Y22" s="61" t="n">
        <v>251.65</v>
      </c>
      <c r="Z22" s="28" t="n">
        <v>4.4</v>
      </c>
      <c r="AA22" s="62" t="s">
        <v>80</v>
      </c>
      <c r="AB22" s="38" t="n">
        <v>43474</v>
      </c>
      <c r="AC22" s="38" t="n">
        <v>43524</v>
      </c>
      <c r="AD22" s="38" t="n">
        <v>43531</v>
      </c>
      <c r="AE22" s="38" t="n">
        <v>45358</v>
      </c>
      <c r="AF22" s="57" t="n">
        <f aca="false">YEAR(AE22)</f>
        <v>2024</v>
      </c>
      <c r="AG22" s="63" t="n">
        <f aca="false">X22/SUMIF($Z$2:$Z$380,Z22,$X$2:$X$380)*(VLOOKUP(Z22,'затраты по департаментам-2 '!$A$2:$C$182,2,FALSE())+VLOOKUP(Z22,'затраты по департаментам-2 '!$A$2:$C$182,3,FALSE()))</f>
        <v>9202.38303209051</v>
      </c>
      <c r="AH22" s="63" t="n">
        <f aca="false">W22/60</f>
        <v>1973.80848</v>
      </c>
      <c r="AI22" s="64" t="s">
        <v>81</v>
      </c>
      <c r="AJ22" s="63" t="s">
        <v>52</v>
      </c>
      <c r="AK22" s="88" t="n">
        <v>82382416</v>
      </c>
      <c r="AL22" s="81" t="s">
        <v>220</v>
      </c>
      <c r="AM22" s="85" t="s">
        <v>221</v>
      </c>
      <c r="AN22" s="48" t="s">
        <v>222</v>
      </c>
      <c r="AO22" s="65" t="n">
        <v>44449</v>
      </c>
      <c r="AP22" s="43"/>
      <c r="AQ22" s="66" t="s">
        <v>223</v>
      </c>
      <c r="AR22" s="64"/>
    </row>
    <row r="23" customFormat="false" ht="14.25" hidden="false" customHeight="false" outlineLevel="0" collapsed="false">
      <c r="A23" s="26" t="n">
        <v>22</v>
      </c>
      <c r="B23" s="26" t="s">
        <v>224</v>
      </c>
      <c r="C23" s="43" t="s">
        <v>165</v>
      </c>
      <c r="D23" s="28" t="s">
        <v>46</v>
      </c>
      <c r="E23" s="43" t="n">
        <v>6.7</v>
      </c>
      <c r="F23" s="43" t="n">
        <v>1.2</v>
      </c>
      <c r="G23" s="43" t="n">
        <v>108</v>
      </c>
      <c r="H23" s="43" t="n">
        <v>2019</v>
      </c>
      <c r="I23" s="43" t="s">
        <v>96</v>
      </c>
      <c r="J23" s="43" t="s">
        <v>74</v>
      </c>
      <c r="K23" s="30" t="s">
        <v>225</v>
      </c>
      <c r="L23" s="35"/>
      <c r="M23" s="31" t="s">
        <v>226</v>
      </c>
      <c r="N23" s="56" t="s">
        <v>227</v>
      </c>
      <c r="O23" s="28" t="s">
        <v>197</v>
      </c>
      <c r="P23" s="56" t="s">
        <v>228</v>
      </c>
      <c r="Q23" s="87" t="n">
        <v>1000</v>
      </c>
      <c r="R23" s="58" t="s">
        <v>189</v>
      </c>
      <c r="S23" s="69" t="n">
        <v>4174</v>
      </c>
      <c r="T23" s="35" t="s">
        <v>172</v>
      </c>
      <c r="U23" s="28" t="n">
        <v>425034.65</v>
      </c>
      <c r="V23" s="60" t="n">
        <v>28.023739</v>
      </c>
      <c r="W23" s="71" t="n">
        <f aca="false">5921425.44/50</f>
        <v>118428.5088</v>
      </c>
      <c r="X23" s="61" t="n">
        <f aca="false">U23/V23</f>
        <v>15166.9500633017</v>
      </c>
      <c r="Y23" s="61" t="n">
        <v>251.65</v>
      </c>
      <c r="Z23" s="28" t="n">
        <v>4.4</v>
      </c>
      <c r="AA23" s="62" t="s">
        <v>80</v>
      </c>
      <c r="AB23" s="38" t="n">
        <v>43474</v>
      </c>
      <c r="AC23" s="38" t="n">
        <v>43524</v>
      </c>
      <c r="AD23" s="38" t="n">
        <v>43539</v>
      </c>
      <c r="AE23" s="38" t="n">
        <v>45365</v>
      </c>
      <c r="AF23" s="57" t="n">
        <f aca="false">YEAR(AE23)</f>
        <v>2024</v>
      </c>
      <c r="AG23" s="63" t="n">
        <f aca="false">X23/SUMIF($Z$2:$Z$380,Z23,$X$2:$X$380)*(VLOOKUP(Z23,'затраты по департаментам-2 '!$A$2:$C$182,2,FALSE())+VLOOKUP(Z23,'затраты по департаментам-2 '!$A$2:$C$182,3,FALSE()))</f>
        <v>9202.38303209051</v>
      </c>
      <c r="AH23" s="63" t="n">
        <f aca="false">W23/60</f>
        <v>1973.80848</v>
      </c>
      <c r="AI23" s="64" t="s">
        <v>81</v>
      </c>
      <c r="AJ23" s="63" t="s">
        <v>197</v>
      </c>
      <c r="AK23" s="88" t="n">
        <v>89570435</v>
      </c>
      <c r="AL23" s="81" t="s">
        <v>229</v>
      </c>
      <c r="AM23" s="74" t="s">
        <v>230</v>
      </c>
      <c r="AN23" s="48" t="s">
        <v>231</v>
      </c>
      <c r="AO23" s="65" t="n">
        <v>44874</v>
      </c>
      <c r="AP23" s="43"/>
      <c r="AQ23" s="66" t="s">
        <v>232</v>
      </c>
      <c r="AR23" s="64"/>
    </row>
    <row r="24" customFormat="false" ht="14.25" hidden="false" customHeight="false" outlineLevel="0" collapsed="false">
      <c r="A24" s="26" t="n">
        <v>23</v>
      </c>
      <c r="B24" s="26" t="s">
        <v>233</v>
      </c>
      <c r="C24" s="43" t="s">
        <v>165</v>
      </c>
      <c r="D24" s="28" t="s">
        <v>46</v>
      </c>
      <c r="E24" s="43" t="n">
        <v>6.7</v>
      </c>
      <c r="F24" s="43" t="n">
        <v>1.2</v>
      </c>
      <c r="G24" s="43" t="n">
        <v>108</v>
      </c>
      <c r="H24" s="43" t="n">
        <v>2019</v>
      </c>
      <c r="I24" s="43" t="s">
        <v>96</v>
      </c>
      <c r="J24" s="43" t="s">
        <v>74</v>
      </c>
      <c r="K24" s="30" t="s">
        <v>234</v>
      </c>
      <c r="L24" s="35"/>
      <c r="M24" s="31" t="s">
        <v>235</v>
      </c>
      <c r="N24" s="32" t="s">
        <v>236</v>
      </c>
      <c r="O24" s="94" t="s">
        <v>237</v>
      </c>
      <c r="P24" s="56" t="s">
        <v>198</v>
      </c>
      <c r="Q24" s="87" t="n">
        <v>7042</v>
      </c>
      <c r="R24" s="58" t="s">
        <v>171</v>
      </c>
      <c r="S24" s="69" t="n">
        <v>4134</v>
      </c>
      <c r="T24" s="35" t="s">
        <v>172</v>
      </c>
      <c r="U24" s="28" t="n">
        <v>425034.65</v>
      </c>
      <c r="V24" s="60" t="n">
        <v>28.023739</v>
      </c>
      <c r="W24" s="71" t="n">
        <f aca="false">5921425.44/50</f>
        <v>118428.5088</v>
      </c>
      <c r="X24" s="61" t="n">
        <f aca="false">U24/V24</f>
        <v>15166.9500633017</v>
      </c>
      <c r="Y24" s="61" t="n">
        <v>251.65</v>
      </c>
      <c r="Z24" s="28" t="n">
        <v>4.4</v>
      </c>
      <c r="AA24" s="62" t="s">
        <v>80</v>
      </c>
      <c r="AB24" s="38" t="n">
        <v>43474</v>
      </c>
      <c r="AC24" s="38" t="n">
        <v>43524</v>
      </c>
      <c r="AD24" s="38" t="n">
        <v>43539</v>
      </c>
      <c r="AE24" s="38" t="n">
        <v>45365</v>
      </c>
      <c r="AF24" s="57" t="n">
        <f aca="false">YEAR(AE24)</f>
        <v>2024</v>
      </c>
      <c r="AG24" s="63" t="n">
        <f aca="false">X24/SUMIF($Z$2:$Z$380,Z24,$X$2:$X$380)*(VLOOKUP(Z24,'затраты по департаментам-2 '!$A$2:$C$182,2,FALSE())+VLOOKUP(Z24,'затраты по департаментам-2 '!$A$2:$C$182,3,FALSE()))</f>
        <v>9202.38303209051</v>
      </c>
      <c r="AH24" s="63" t="n">
        <f aca="false">W24/60</f>
        <v>1973.80848</v>
      </c>
      <c r="AI24" s="64" t="s">
        <v>81</v>
      </c>
      <c r="AJ24" s="63" t="s">
        <v>197</v>
      </c>
      <c r="AK24" s="88" t="n">
        <v>87711924</v>
      </c>
      <c r="AL24" s="81" t="s">
        <v>238</v>
      </c>
      <c r="AM24" s="78" t="s">
        <v>239</v>
      </c>
      <c r="AN24" s="48" t="s">
        <v>240</v>
      </c>
      <c r="AO24" s="65" t="n">
        <v>44981</v>
      </c>
      <c r="AP24" s="43"/>
      <c r="AQ24" s="66" t="s">
        <v>241</v>
      </c>
      <c r="AR24" s="64"/>
    </row>
    <row r="25" customFormat="false" ht="14.25" hidden="false" customHeight="false" outlineLevel="0" collapsed="false">
      <c r="A25" s="26" t="n">
        <v>24</v>
      </c>
      <c r="B25" s="26" t="s">
        <v>242</v>
      </c>
      <c r="C25" s="43" t="s">
        <v>165</v>
      </c>
      <c r="D25" s="28" t="s">
        <v>46</v>
      </c>
      <c r="E25" s="43" t="n">
        <v>6.7</v>
      </c>
      <c r="F25" s="43" t="n">
        <v>1.2</v>
      </c>
      <c r="G25" s="43" t="n">
        <v>108</v>
      </c>
      <c r="H25" s="43" t="n">
        <v>2019</v>
      </c>
      <c r="I25" s="43" t="s">
        <v>96</v>
      </c>
      <c r="J25" s="43" t="s">
        <v>74</v>
      </c>
      <c r="K25" s="30" t="s">
        <v>243</v>
      </c>
      <c r="L25" s="27"/>
      <c r="M25" s="31" t="s">
        <v>244</v>
      </c>
      <c r="N25" s="32" t="s">
        <v>168</v>
      </c>
      <c r="O25" s="28" t="s">
        <v>142</v>
      </c>
      <c r="P25" s="48" t="s">
        <v>188</v>
      </c>
      <c r="Q25" s="87" t="n">
        <v>9000</v>
      </c>
      <c r="R25" s="89" t="s">
        <v>92</v>
      </c>
      <c r="S25" s="69" t="n">
        <v>4140</v>
      </c>
      <c r="T25" s="35" t="s">
        <v>172</v>
      </c>
      <c r="U25" s="28" t="n">
        <v>425034.65</v>
      </c>
      <c r="V25" s="60" t="n">
        <v>28.023739</v>
      </c>
      <c r="W25" s="71" t="n">
        <f aca="false">5921425.44/50</f>
        <v>118428.5088</v>
      </c>
      <c r="X25" s="61" t="n">
        <f aca="false">U25/V25</f>
        <v>15166.9500633017</v>
      </c>
      <c r="Y25" s="61" t="n">
        <v>251.65</v>
      </c>
      <c r="Z25" s="28" t="n">
        <v>4.4</v>
      </c>
      <c r="AA25" s="62" t="s">
        <v>80</v>
      </c>
      <c r="AB25" s="38" t="n">
        <v>43474</v>
      </c>
      <c r="AC25" s="38" t="n">
        <v>43524</v>
      </c>
      <c r="AD25" s="38" t="n">
        <v>43539</v>
      </c>
      <c r="AE25" s="38" t="n">
        <v>45365</v>
      </c>
      <c r="AF25" s="57" t="n">
        <f aca="false">YEAR(AE25)</f>
        <v>2024</v>
      </c>
      <c r="AG25" s="63" t="n">
        <f aca="false">X25/SUMIF($Z$2:$Z$380,Z25,$X$2:$X$380)*(VLOOKUP(Z25,'затраты по департаментам-2 '!$A$2:$C$182,2,FALSE())+VLOOKUP(Z25,'затраты по департаментам-2 '!$A$2:$C$182,3,FALSE()))</f>
        <v>9202.38303209051</v>
      </c>
      <c r="AH25" s="63" t="n">
        <f aca="false">W25/60</f>
        <v>1973.80848</v>
      </c>
      <c r="AI25" s="64" t="s">
        <v>81</v>
      </c>
      <c r="AJ25" s="63" t="s">
        <v>142</v>
      </c>
      <c r="AK25" s="88" t="n">
        <v>87858527</v>
      </c>
      <c r="AL25" s="81" t="s">
        <v>245</v>
      </c>
      <c r="AM25" s="78" t="s">
        <v>246</v>
      </c>
      <c r="AN25" s="48" t="s">
        <v>247</v>
      </c>
      <c r="AO25" s="65" t="n">
        <v>44573</v>
      </c>
      <c r="AP25" s="43"/>
      <c r="AQ25" s="66" t="s">
        <v>248</v>
      </c>
      <c r="AR25" s="64"/>
    </row>
    <row r="26" customFormat="false" ht="14.25" hidden="false" customHeight="false" outlineLevel="0" collapsed="false">
      <c r="A26" s="26" t="n">
        <v>25</v>
      </c>
      <c r="B26" s="26" t="s">
        <v>249</v>
      </c>
      <c r="C26" s="43" t="s">
        <v>165</v>
      </c>
      <c r="D26" s="28" t="s">
        <v>46</v>
      </c>
      <c r="E26" s="43" t="n">
        <v>6.7</v>
      </c>
      <c r="F26" s="43" t="n">
        <v>1.2</v>
      </c>
      <c r="G26" s="43" t="n">
        <v>108</v>
      </c>
      <c r="H26" s="43" t="n">
        <v>2019</v>
      </c>
      <c r="I26" s="43" t="s">
        <v>96</v>
      </c>
      <c r="J26" s="43" t="s">
        <v>74</v>
      </c>
      <c r="K26" s="95" t="s">
        <v>250</v>
      </c>
      <c r="L26" s="35"/>
      <c r="M26" s="31" t="s">
        <v>251</v>
      </c>
      <c r="N26" s="32" t="s">
        <v>179</v>
      </c>
      <c r="O26" s="28" t="s">
        <v>252</v>
      </c>
      <c r="P26" s="48" t="s">
        <v>143</v>
      </c>
      <c r="Q26" s="87" t="n">
        <v>7060</v>
      </c>
      <c r="R26" s="58" t="s">
        <v>171</v>
      </c>
      <c r="S26" s="69" t="n">
        <v>4136</v>
      </c>
      <c r="T26" s="35" t="s">
        <v>172</v>
      </c>
      <c r="U26" s="28" t="n">
        <v>425034.65</v>
      </c>
      <c r="V26" s="60" t="n">
        <v>28.023739</v>
      </c>
      <c r="W26" s="71" t="n">
        <f aca="false">5921425.44/50</f>
        <v>118428.5088</v>
      </c>
      <c r="X26" s="61" t="n">
        <f aca="false">U26/V26</f>
        <v>15166.9500633017</v>
      </c>
      <c r="Y26" s="61" t="n">
        <v>251.65</v>
      </c>
      <c r="Z26" s="28" t="n">
        <v>4.4</v>
      </c>
      <c r="AA26" s="62" t="s">
        <v>80</v>
      </c>
      <c r="AB26" s="38" t="n">
        <v>43474</v>
      </c>
      <c r="AC26" s="38" t="n">
        <v>43524</v>
      </c>
      <c r="AD26" s="38" t="n">
        <v>43539</v>
      </c>
      <c r="AE26" s="38" t="n">
        <v>45365</v>
      </c>
      <c r="AF26" s="57" t="n">
        <f aca="false">YEAR(AE26)</f>
        <v>2024</v>
      </c>
      <c r="AG26" s="63" t="n">
        <f aca="false">X26/SUMIF($Z$2:$Z$380,Z26,$X$2:$X$380)*(VLOOKUP(Z26,'затраты по департаментам-2 '!$A$2:$C$182,2,FALSE())+VLOOKUP(Z26,'затраты по департаментам-2 '!$A$2:$C$182,3,FALSE()))</f>
        <v>9202.38303209051</v>
      </c>
      <c r="AH26" s="63" t="n">
        <f aca="false">W26/60</f>
        <v>1973.80848</v>
      </c>
      <c r="AI26" s="64" t="s">
        <v>81</v>
      </c>
      <c r="AJ26" s="63" t="s">
        <v>142</v>
      </c>
      <c r="AK26" s="88" t="n">
        <v>87914452</v>
      </c>
      <c r="AL26" s="81" t="s">
        <v>253</v>
      </c>
      <c r="AM26" s="78" t="s">
        <v>254</v>
      </c>
      <c r="AN26" s="48" t="s">
        <v>255</v>
      </c>
      <c r="AO26" s="65" t="n">
        <v>44534</v>
      </c>
      <c r="AP26" s="43"/>
      <c r="AQ26" s="66" t="s">
        <v>256</v>
      </c>
      <c r="AR26" s="64"/>
    </row>
    <row r="27" customFormat="false" ht="14.25" hidden="false" customHeight="true" outlineLevel="0" collapsed="false">
      <c r="A27" s="26" t="n">
        <v>26</v>
      </c>
      <c r="B27" s="26" t="s">
        <v>257</v>
      </c>
      <c r="C27" s="43" t="s">
        <v>165</v>
      </c>
      <c r="D27" s="28" t="s">
        <v>46</v>
      </c>
      <c r="E27" s="43" t="n">
        <v>6.7</v>
      </c>
      <c r="F27" s="43" t="n">
        <v>1.2</v>
      </c>
      <c r="G27" s="43" t="n">
        <v>108</v>
      </c>
      <c r="H27" s="43" t="n">
        <v>2019</v>
      </c>
      <c r="I27" s="43" t="s">
        <v>96</v>
      </c>
      <c r="J27" s="43" t="s">
        <v>74</v>
      </c>
      <c r="K27" s="30" t="s">
        <v>258</v>
      </c>
      <c r="L27" s="96"/>
      <c r="M27" s="31" t="s">
        <v>259</v>
      </c>
      <c r="N27" s="84" t="s">
        <v>168</v>
      </c>
      <c r="O27" s="57" t="s">
        <v>142</v>
      </c>
      <c r="P27" s="84" t="s">
        <v>188</v>
      </c>
      <c r="Q27" s="87" t="n">
        <v>9000</v>
      </c>
      <c r="R27" s="97" t="s">
        <v>171</v>
      </c>
      <c r="S27" s="69" t="n">
        <v>4130</v>
      </c>
      <c r="T27" s="35" t="s">
        <v>172</v>
      </c>
      <c r="U27" s="28" t="n">
        <v>425034.65</v>
      </c>
      <c r="V27" s="60" t="n">
        <v>28.023739</v>
      </c>
      <c r="W27" s="71" t="n">
        <f aca="false">5921425.44/50</f>
        <v>118428.5088</v>
      </c>
      <c r="X27" s="61" t="n">
        <f aca="false">U27/V27</f>
        <v>15166.9500633017</v>
      </c>
      <c r="Y27" s="61" t="n">
        <v>251.65</v>
      </c>
      <c r="Z27" s="28" t="n">
        <v>4.4</v>
      </c>
      <c r="AA27" s="62" t="s">
        <v>80</v>
      </c>
      <c r="AB27" s="38" t="n">
        <v>43474</v>
      </c>
      <c r="AC27" s="38" t="n">
        <v>43524</v>
      </c>
      <c r="AD27" s="38" t="n">
        <v>43537</v>
      </c>
      <c r="AE27" s="38" t="n">
        <v>45364</v>
      </c>
      <c r="AF27" s="57" t="n">
        <f aca="false">YEAR(AE27)</f>
        <v>2024</v>
      </c>
      <c r="AG27" s="63" t="n">
        <f aca="false">X27/SUMIF($Z$2:$Z$380,Z27,$X$2:$X$380)*(VLOOKUP(Z27,'затраты по департаментам-2 '!$A$2:$C$182,2,FALSE())+VLOOKUP(Z27,'затраты по департаментам-2 '!$A$2:$C$182,3,FALSE()))</f>
        <v>9202.38303209051</v>
      </c>
      <c r="AH27" s="63" t="n">
        <f aca="false">W27/60</f>
        <v>1973.80848</v>
      </c>
      <c r="AI27" s="64" t="s">
        <v>81</v>
      </c>
      <c r="AJ27" s="63" t="s">
        <v>142</v>
      </c>
      <c r="AK27" s="88" t="n">
        <v>8174706</v>
      </c>
      <c r="AL27" s="81" t="s">
        <v>260</v>
      </c>
      <c r="AM27" s="96" t="s">
        <v>261</v>
      </c>
      <c r="AN27" s="48" t="s">
        <v>262</v>
      </c>
      <c r="AO27" s="65" t="n">
        <v>44874</v>
      </c>
      <c r="AP27" s="43"/>
      <c r="AQ27" s="66" t="s">
        <v>263</v>
      </c>
      <c r="AR27" s="64"/>
    </row>
    <row r="28" customFormat="false" ht="15" hidden="false" customHeight="true" outlineLevel="0" collapsed="false">
      <c r="A28" s="26" t="n">
        <v>27</v>
      </c>
      <c r="B28" s="26" t="s">
        <v>264</v>
      </c>
      <c r="C28" s="43" t="s">
        <v>165</v>
      </c>
      <c r="D28" s="28" t="s">
        <v>46</v>
      </c>
      <c r="E28" s="43" t="n">
        <v>6.7</v>
      </c>
      <c r="F28" s="43" t="n">
        <v>1.2</v>
      </c>
      <c r="G28" s="43" t="n">
        <v>108</v>
      </c>
      <c r="H28" s="43" t="n">
        <v>2019</v>
      </c>
      <c r="I28" s="43" t="s">
        <v>96</v>
      </c>
      <c r="J28" s="43" t="s">
        <v>74</v>
      </c>
      <c r="K28" s="30" t="s">
        <v>265</v>
      </c>
      <c r="L28" s="35"/>
      <c r="M28" s="31" t="s">
        <v>266</v>
      </c>
      <c r="N28" s="32" t="s">
        <v>179</v>
      </c>
      <c r="O28" s="28" t="s">
        <v>267</v>
      </c>
      <c r="P28" s="48" t="s">
        <v>181</v>
      </c>
      <c r="Q28" s="87" t="n">
        <v>7030</v>
      </c>
      <c r="R28" s="58" t="s">
        <v>171</v>
      </c>
      <c r="S28" s="69" t="n">
        <v>4133</v>
      </c>
      <c r="T28" s="35" t="s">
        <v>172</v>
      </c>
      <c r="U28" s="28" t="n">
        <v>425034.65</v>
      </c>
      <c r="V28" s="60" t="n">
        <v>28.023739</v>
      </c>
      <c r="W28" s="71" t="n">
        <f aca="false">5921425.44/50</f>
        <v>118428.5088</v>
      </c>
      <c r="X28" s="61" t="n">
        <f aca="false">U28/V28</f>
        <v>15166.9500633017</v>
      </c>
      <c r="Y28" s="61" t="n">
        <v>251.65</v>
      </c>
      <c r="Z28" s="28" t="n">
        <v>4.4</v>
      </c>
      <c r="AA28" s="62" t="s">
        <v>80</v>
      </c>
      <c r="AB28" s="38" t="n">
        <v>43474</v>
      </c>
      <c r="AC28" s="38" t="n">
        <v>43524</v>
      </c>
      <c r="AD28" s="38" t="n">
        <v>43539</v>
      </c>
      <c r="AE28" s="38" t="n">
        <v>45365</v>
      </c>
      <c r="AF28" s="57" t="n">
        <f aca="false">YEAR(AE28)</f>
        <v>2024</v>
      </c>
      <c r="AG28" s="63" t="n">
        <f aca="false">X28/SUMIF($Z$2:$Z$380,Z28,$X$2:$X$380)*(VLOOKUP(Z28,'затраты по департаментам-2 '!$A$2:$C$182,2,FALSE())+VLOOKUP(Z28,'затраты по департаментам-2 '!$A$2:$C$182,3,FALSE()))</f>
        <v>9202.38303209051</v>
      </c>
      <c r="AH28" s="63" t="n">
        <f aca="false">W28/60</f>
        <v>1973.80848</v>
      </c>
      <c r="AI28" s="64" t="s">
        <v>81</v>
      </c>
      <c r="AJ28" s="63" t="s">
        <v>100</v>
      </c>
      <c r="AK28" s="98" t="n">
        <v>87657705</v>
      </c>
      <c r="AL28" s="99" t="s">
        <v>268</v>
      </c>
      <c r="AM28" s="85" t="s">
        <v>269</v>
      </c>
      <c r="AN28" s="48" t="s">
        <v>270</v>
      </c>
      <c r="AO28" s="65" t="n">
        <v>44449</v>
      </c>
      <c r="AP28" s="43"/>
      <c r="AQ28" s="66" t="s">
        <v>271</v>
      </c>
      <c r="AR28" s="64"/>
    </row>
    <row r="29" customFormat="false" ht="14.25" hidden="false" customHeight="false" outlineLevel="0" collapsed="false">
      <c r="A29" s="26" t="n">
        <v>28</v>
      </c>
      <c r="B29" s="26" t="s">
        <v>272</v>
      </c>
      <c r="C29" s="43" t="s">
        <v>165</v>
      </c>
      <c r="D29" s="28" t="s">
        <v>46</v>
      </c>
      <c r="E29" s="43" t="n">
        <v>6.7</v>
      </c>
      <c r="F29" s="43" t="n">
        <v>1.2</v>
      </c>
      <c r="G29" s="43" t="n">
        <v>108</v>
      </c>
      <c r="H29" s="43" t="n">
        <v>2019</v>
      </c>
      <c r="I29" s="43" t="s">
        <v>96</v>
      </c>
      <c r="J29" s="43" t="s">
        <v>74</v>
      </c>
      <c r="K29" s="30" t="s">
        <v>273</v>
      </c>
      <c r="L29" s="35"/>
      <c r="M29" s="31" t="s">
        <v>274</v>
      </c>
      <c r="N29" s="84" t="s">
        <v>179</v>
      </c>
      <c r="O29" s="28" t="s">
        <v>169</v>
      </c>
      <c r="P29" s="56" t="s">
        <v>91</v>
      </c>
      <c r="Q29" s="87" t="n">
        <v>7083</v>
      </c>
      <c r="R29" s="58" t="s">
        <v>171</v>
      </c>
      <c r="S29" s="69" t="n">
        <v>4138</v>
      </c>
      <c r="T29" s="35" t="s">
        <v>172</v>
      </c>
      <c r="U29" s="28" t="n">
        <v>425034.65</v>
      </c>
      <c r="V29" s="60" t="n">
        <v>28.023739</v>
      </c>
      <c r="W29" s="71" t="n">
        <f aca="false">5921425.44/50</f>
        <v>118428.5088</v>
      </c>
      <c r="X29" s="61" t="n">
        <f aca="false">U29/V29</f>
        <v>15166.9500633017</v>
      </c>
      <c r="Y29" s="61" t="n">
        <v>251.65</v>
      </c>
      <c r="Z29" s="28" t="n">
        <v>4.4</v>
      </c>
      <c r="AA29" s="62" t="s">
        <v>80</v>
      </c>
      <c r="AB29" s="38" t="n">
        <v>43474</v>
      </c>
      <c r="AC29" s="38" t="n">
        <v>43524</v>
      </c>
      <c r="AD29" s="38" t="n">
        <v>43539</v>
      </c>
      <c r="AE29" s="38" t="n">
        <v>45365</v>
      </c>
      <c r="AF29" s="57" t="n">
        <f aca="false">YEAR(AE29)</f>
        <v>2024</v>
      </c>
      <c r="AG29" s="63" t="n">
        <f aca="false">X29/SUMIF($Z$2:$Z$380,Z29,$X$2:$X$380)*(VLOOKUP(Z29,'затраты по департаментам-2 '!$A$2:$C$182,2,FALSE())+VLOOKUP(Z29,'затраты по департаментам-2 '!$A$2:$C$182,3,FALSE()))</f>
        <v>9202.38303209051</v>
      </c>
      <c r="AH29" s="63" t="n">
        <f aca="false">W29/60</f>
        <v>1973.80848</v>
      </c>
      <c r="AI29" s="64" t="s">
        <v>81</v>
      </c>
      <c r="AJ29" s="63" t="s">
        <v>82</v>
      </c>
      <c r="AK29" s="88" t="n">
        <v>89565617</v>
      </c>
      <c r="AL29" s="43"/>
      <c r="AM29" s="85" t="s">
        <v>275</v>
      </c>
      <c r="AN29" s="48" t="s">
        <v>276</v>
      </c>
      <c r="AO29" s="65" t="n">
        <v>44484</v>
      </c>
      <c r="AP29" s="43"/>
      <c r="AQ29" s="66" t="s">
        <v>277</v>
      </c>
      <c r="AR29" s="64"/>
    </row>
    <row r="30" customFormat="false" ht="14.25" hidden="false" customHeight="false" outlineLevel="0" collapsed="false">
      <c r="A30" s="26" t="n">
        <v>29</v>
      </c>
      <c r="B30" s="26" t="s">
        <v>278</v>
      </c>
      <c r="C30" s="43" t="s">
        <v>165</v>
      </c>
      <c r="D30" s="28" t="s">
        <v>46</v>
      </c>
      <c r="E30" s="43" t="n">
        <v>6.7</v>
      </c>
      <c r="F30" s="43" t="n">
        <v>1.2</v>
      </c>
      <c r="G30" s="43" t="n">
        <v>108</v>
      </c>
      <c r="H30" s="43" t="n">
        <v>2019</v>
      </c>
      <c r="I30" s="43" t="s">
        <v>96</v>
      </c>
      <c r="J30" s="43" t="s">
        <v>74</v>
      </c>
      <c r="K30" s="30" t="s">
        <v>279</v>
      </c>
      <c r="L30" s="69"/>
      <c r="M30" s="31" t="s">
        <v>280</v>
      </c>
      <c r="N30" s="32" t="s">
        <v>179</v>
      </c>
      <c r="O30" s="100" t="s">
        <v>281</v>
      </c>
      <c r="P30" s="48" t="s">
        <v>143</v>
      </c>
      <c r="Q30" s="87" t="n">
        <v>7060</v>
      </c>
      <c r="R30" s="58" t="s">
        <v>171</v>
      </c>
      <c r="S30" s="69" t="n">
        <v>4136</v>
      </c>
      <c r="T30" s="35" t="s">
        <v>172</v>
      </c>
      <c r="U30" s="28" t="n">
        <v>425034.65</v>
      </c>
      <c r="V30" s="60" t="n">
        <v>28.023739</v>
      </c>
      <c r="W30" s="71" t="n">
        <f aca="false">5921425.44/50</f>
        <v>118428.5088</v>
      </c>
      <c r="X30" s="61" t="n">
        <f aca="false">U30/V30</f>
        <v>15166.9500633017</v>
      </c>
      <c r="Y30" s="61" t="n">
        <v>251.65</v>
      </c>
      <c r="Z30" s="28" t="n">
        <v>4.4</v>
      </c>
      <c r="AA30" s="62" t="s">
        <v>80</v>
      </c>
      <c r="AB30" s="38" t="n">
        <v>43474</v>
      </c>
      <c r="AC30" s="38" t="n">
        <v>43524</v>
      </c>
      <c r="AD30" s="38" t="n">
        <v>43539</v>
      </c>
      <c r="AE30" s="38" t="n">
        <v>45365</v>
      </c>
      <c r="AF30" s="57" t="n">
        <f aca="false">YEAR(AE30)</f>
        <v>2024</v>
      </c>
      <c r="AG30" s="63" t="n">
        <f aca="false">X30/SUMIF($Z$2:$Z$380,Z30,$X$2:$X$380)*(VLOOKUP(Z30,'затраты по департаментам-2 '!$A$2:$C$182,2,FALSE())+VLOOKUP(Z30,'затраты по департаментам-2 '!$A$2:$C$182,3,FALSE()))</f>
        <v>9202.38303209051</v>
      </c>
      <c r="AH30" s="63" t="n">
        <f aca="false">W30/60</f>
        <v>1973.80848</v>
      </c>
      <c r="AI30" s="64" t="s">
        <v>81</v>
      </c>
      <c r="AJ30" s="63" t="s">
        <v>142</v>
      </c>
      <c r="AK30" s="98" t="n">
        <v>82124222</v>
      </c>
      <c r="AL30" s="81" t="s">
        <v>282</v>
      </c>
      <c r="AM30" s="85" t="s">
        <v>283</v>
      </c>
      <c r="AN30" s="48" t="s">
        <v>284</v>
      </c>
      <c r="AO30" s="65" t="n">
        <v>44656</v>
      </c>
      <c r="AP30" s="43"/>
      <c r="AQ30" s="66" t="s">
        <v>285</v>
      </c>
      <c r="AR30" s="64"/>
    </row>
    <row r="31" customFormat="false" ht="14.25" hidden="false" customHeight="false" outlineLevel="0" collapsed="false">
      <c r="A31" s="26" t="n">
        <v>30</v>
      </c>
      <c r="B31" s="26" t="s">
        <v>286</v>
      </c>
      <c r="C31" s="43" t="s">
        <v>165</v>
      </c>
      <c r="D31" s="28" t="s">
        <v>46</v>
      </c>
      <c r="E31" s="43" t="n">
        <v>6.7</v>
      </c>
      <c r="F31" s="43" t="n">
        <v>1.2</v>
      </c>
      <c r="G31" s="43" t="n">
        <v>108</v>
      </c>
      <c r="H31" s="43" t="n">
        <v>2019</v>
      </c>
      <c r="I31" s="43" t="s">
        <v>96</v>
      </c>
      <c r="J31" s="43" t="s">
        <v>74</v>
      </c>
      <c r="K31" s="30" t="s">
        <v>287</v>
      </c>
      <c r="L31" s="69"/>
      <c r="M31" s="31" t="s">
        <v>288</v>
      </c>
      <c r="N31" s="32" t="s">
        <v>289</v>
      </c>
      <c r="O31" s="57" t="s">
        <v>142</v>
      </c>
      <c r="P31" s="101" t="s">
        <v>143</v>
      </c>
      <c r="Q31" s="87" t="n">
        <v>1000</v>
      </c>
      <c r="R31" s="58" t="s">
        <v>290</v>
      </c>
      <c r="S31" s="69" t="n">
        <v>4146</v>
      </c>
      <c r="T31" s="35" t="s">
        <v>172</v>
      </c>
      <c r="U31" s="28" t="n">
        <v>425034.65</v>
      </c>
      <c r="V31" s="60" t="n">
        <v>28.023739</v>
      </c>
      <c r="W31" s="71" t="n">
        <f aca="false">5921425.44/50</f>
        <v>118428.5088</v>
      </c>
      <c r="X31" s="61" t="n">
        <f aca="false">U31/V31</f>
        <v>15166.9500633017</v>
      </c>
      <c r="Y31" s="61" t="n">
        <v>251.65</v>
      </c>
      <c r="Z31" s="28" t="n">
        <v>4.4</v>
      </c>
      <c r="AA31" s="62" t="s">
        <v>80</v>
      </c>
      <c r="AB31" s="38" t="n">
        <v>43474</v>
      </c>
      <c r="AC31" s="38" t="n">
        <v>43524</v>
      </c>
      <c r="AD31" s="38" t="n">
        <v>43539</v>
      </c>
      <c r="AE31" s="38" t="n">
        <v>45365</v>
      </c>
      <c r="AF31" s="57" t="n">
        <f aca="false">YEAR(AE31)</f>
        <v>2024</v>
      </c>
      <c r="AG31" s="63" t="n">
        <f aca="false">X31/SUMIF($Z$2:$Z$380,Z31,$X$2:$X$380)*(VLOOKUP(Z31,'затраты по департаментам-2 '!$A$2:$C$182,2,FALSE())+VLOOKUP(Z31,'затраты по департаментам-2 '!$A$2:$C$182,3,FALSE()))</f>
        <v>9202.38303209051</v>
      </c>
      <c r="AH31" s="63" t="n">
        <f aca="false">W31/60</f>
        <v>1973.80848</v>
      </c>
      <c r="AI31" s="64" t="s">
        <v>81</v>
      </c>
      <c r="AJ31" s="63" t="s">
        <v>142</v>
      </c>
      <c r="AK31" s="88" t="n">
        <v>82379222</v>
      </c>
      <c r="AL31" s="81" t="s">
        <v>291</v>
      </c>
      <c r="AM31" s="85" t="s">
        <v>292</v>
      </c>
      <c r="AN31" s="48" t="s">
        <v>293</v>
      </c>
      <c r="AO31" s="65" t="n">
        <v>44505</v>
      </c>
      <c r="AP31" s="43"/>
      <c r="AQ31" s="66" t="s">
        <v>294</v>
      </c>
      <c r="AR31" s="64"/>
    </row>
    <row r="32" customFormat="false" ht="14.25" hidden="false" customHeight="false" outlineLevel="0" collapsed="false">
      <c r="A32" s="26" t="n">
        <v>31</v>
      </c>
      <c r="B32" s="26" t="s">
        <v>295</v>
      </c>
      <c r="C32" s="43" t="s">
        <v>165</v>
      </c>
      <c r="D32" s="28" t="s">
        <v>46</v>
      </c>
      <c r="E32" s="43" t="n">
        <v>6.7</v>
      </c>
      <c r="F32" s="43" t="n">
        <v>1.2</v>
      </c>
      <c r="G32" s="43" t="n">
        <v>108</v>
      </c>
      <c r="H32" s="43" t="n">
        <v>2019</v>
      </c>
      <c r="I32" s="43" t="s">
        <v>96</v>
      </c>
      <c r="J32" s="43" t="s">
        <v>74</v>
      </c>
      <c r="K32" s="30" t="s">
        <v>296</v>
      </c>
      <c r="L32" s="59"/>
      <c r="M32" s="31" t="s">
        <v>297</v>
      </c>
      <c r="N32" s="56" t="s">
        <v>227</v>
      </c>
      <c r="O32" s="28" t="s">
        <v>169</v>
      </c>
      <c r="P32" s="56" t="s">
        <v>298</v>
      </c>
      <c r="Q32" s="57" t="n">
        <v>1000</v>
      </c>
      <c r="R32" s="58" t="s">
        <v>189</v>
      </c>
      <c r="S32" s="69" t="n">
        <v>4178</v>
      </c>
      <c r="T32" s="35" t="s">
        <v>172</v>
      </c>
      <c r="U32" s="28" t="n">
        <v>425034.65</v>
      </c>
      <c r="V32" s="60" t="n">
        <v>28.023739</v>
      </c>
      <c r="W32" s="71" t="n">
        <f aca="false">5921425.44/50</f>
        <v>118428.5088</v>
      </c>
      <c r="X32" s="61" t="n">
        <f aca="false">U32/V32</f>
        <v>15166.9500633017</v>
      </c>
      <c r="Y32" s="61" t="n">
        <v>251.65</v>
      </c>
      <c r="Z32" s="28" t="n">
        <v>4.4</v>
      </c>
      <c r="AA32" s="62" t="s">
        <v>80</v>
      </c>
      <c r="AB32" s="38" t="n">
        <v>43474</v>
      </c>
      <c r="AC32" s="38" t="n">
        <v>43524</v>
      </c>
      <c r="AD32" s="38" t="n">
        <v>43539</v>
      </c>
      <c r="AE32" s="38" t="n">
        <v>45365</v>
      </c>
      <c r="AF32" s="57" t="n">
        <f aca="false">YEAR(AE32)</f>
        <v>2024</v>
      </c>
      <c r="AG32" s="63" t="n">
        <f aca="false">X32/SUMIF($Z$2:$Z$380,Z32,$X$2:$X$380)*(VLOOKUP(Z32,'затраты по департаментам-2 '!$A$2:$C$182,2,FALSE())+VLOOKUP(Z32,'затраты по департаментам-2 '!$A$2:$C$182,3,FALSE()))</f>
        <v>9202.38303209051</v>
      </c>
      <c r="AH32" s="63" t="n">
        <f aca="false">W32/60</f>
        <v>1973.80848</v>
      </c>
      <c r="AI32" s="64" t="s">
        <v>81</v>
      </c>
      <c r="AJ32" s="63" t="s">
        <v>82</v>
      </c>
      <c r="AK32" s="88" t="n">
        <v>80476285</v>
      </c>
      <c r="AL32" s="43"/>
      <c r="AM32" s="85" t="s">
        <v>299</v>
      </c>
      <c r="AN32" s="48" t="s">
        <v>300</v>
      </c>
      <c r="AO32" s="65" t="n">
        <v>44484</v>
      </c>
      <c r="AP32" s="43"/>
      <c r="AQ32" s="66" t="s">
        <v>301</v>
      </c>
      <c r="AR32" s="64"/>
    </row>
    <row r="33" customFormat="false" ht="14.25" hidden="false" customHeight="true" outlineLevel="0" collapsed="false">
      <c r="A33" s="26" t="n">
        <v>32</v>
      </c>
      <c r="B33" s="26" t="s">
        <v>302</v>
      </c>
      <c r="C33" s="43" t="s">
        <v>165</v>
      </c>
      <c r="D33" s="28" t="s">
        <v>46</v>
      </c>
      <c r="E33" s="43" t="n">
        <v>6.7</v>
      </c>
      <c r="F33" s="43" t="n">
        <v>1.2</v>
      </c>
      <c r="G33" s="43" t="n">
        <v>108</v>
      </c>
      <c r="H33" s="43" t="n">
        <v>2019</v>
      </c>
      <c r="I33" s="43" t="s">
        <v>96</v>
      </c>
      <c r="J33" s="43" t="s">
        <v>74</v>
      </c>
      <c r="K33" s="30" t="s">
        <v>303</v>
      </c>
      <c r="L33" s="35"/>
      <c r="M33" s="31" t="s">
        <v>304</v>
      </c>
      <c r="N33" s="84" t="s">
        <v>179</v>
      </c>
      <c r="O33" s="57" t="s">
        <v>305</v>
      </c>
      <c r="P33" s="56" t="s">
        <v>198</v>
      </c>
      <c r="Q33" s="87" t="n">
        <v>7042</v>
      </c>
      <c r="R33" s="58" t="s">
        <v>171</v>
      </c>
      <c r="S33" s="69" t="n">
        <v>4134</v>
      </c>
      <c r="T33" s="35" t="s">
        <v>172</v>
      </c>
      <c r="U33" s="28" t="n">
        <v>425034.65</v>
      </c>
      <c r="V33" s="60" t="n">
        <v>28.023739</v>
      </c>
      <c r="W33" s="71" t="n">
        <f aca="false">5921425.44/50</f>
        <v>118428.5088</v>
      </c>
      <c r="X33" s="61" t="n">
        <f aca="false">U33/V33</f>
        <v>15166.9500633017</v>
      </c>
      <c r="Y33" s="61" t="n">
        <v>251.65</v>
      </c>
      <c r="Z33" s="28" t="n">
        <v>4.4</v>
      </c>
      <c r="AA33" s="62" t="s">
        <v>80</v>
      </c>
      <c r="AB33" s="38" t="n">
        <v>43474</v>
      </c>
      <c r="AC33" s="38" t="n">
        <v>43524</v>
      </c>
      <c r="AD33" s="38" t="n">
        <v>43539</v>
      </c>
      <c r="AE33" s="38" t="n">
        <v>45365</v>
      </c>
      <c r="AF33" s="57" t="n">
        <f aca="false">YEAR(AE33)</f>
        <v>2024</v>
      </c>
      <c r="AG33" s="63" t="n">
        <f aca="false">X33/SUMIF($Z$2:$Z$380,Z33,$X$2:$X$380)*(VLOOKUP(Z33,'затраты по департаментам-2 '!$A$2:$C$182,2,FALSE())+VLOOKUP(Z33,'затраты по департаментам-2 '!$A$2:$C$182,3,FALSE()))</f>
        <v>9202.38303209051</v>
      </c>
      <c r="AH33" s="63" t="n">
        <f aca="false">W33/60</f>
        <v>1973.80848</v>
      </c>
      <c r="AI33" s="64" t="s">
        <v>81</v>
      </c>
      <c r="AJ33" s="63" t="s">
        <v>197</v>
      </c>
      <c r="AK33" s="88" t="n">
        <v>8791404</v>
      </c>
      <c r="AL33" s="81" t="s">
        <v>306</v>
      </c>
      <c r="AM33" s="96" t="s">
        <v>307</v>
      </c>
      <c r="AN33" s="48" t="s">
        <v>308</v>
      </c>
      <c r="AO33" s="65" t="n">
        <v>44918</v>
      </c>
      <c r="AP33" s="43"/>
      <c r="AQ33" s="66" t="s">
        <v>309</v>
      </c>
      <c r="AR33" s="64"/>
    </row>
    <row r="34" customFormat="false" ht="14.25" hidden="false" customHeight="false" outlineLevel="0" collapsed="false">
      <c r="A34" s="26" t="n">
        <v>33</v>
      </c>
      <c r="B34" s="26" t="s">
        <v>310</v>
      </c>
      <c r="C34" s="43" t="s">
        <v>165</v>
      </c>
      <c r="D34" s="28" t="s">
        <v>46</v>
      </c>
      <c r="E34" s="43" t="n">
        <v>6.7</v>
      </c>
      <c r="F34" s="43" t="n">
        <v>1.2</v>
      </c>
      <c r="G34" s="43" t="n">
        <v>108</v>
      </c>
      <c r="H34" s="43" t="n">
        <v>2019</v>
      </c>
      <c r="I34" s="43" t="s">
        <v>96</v>
      </c>
      <c r="J34" s="43" t="s">
        <v>74</v>
      </c>
      <c r="K34" s="30" t="s">
        <v>311</v>
      </c>
      <c r="L34" s="82"/>
      <c r="M34" s="31" t="s">
        <v>312</v>
      </c>
      <c r="N34" s="32" t="s">
        <v>168</v>
      </c>
      <c r="O34" s="102" t="s">
        <v>313</v>
      </c>
      <c r="P34" s="84" t="s">
        <v>188</v>
      </c>
      <c r="Q34" s="100" t="n">
        <v>9000</v>
      </c>
      <c r="R34" s="58" t="s">
        <v>189</v>
      </c>
      <c r="S34" s="69" t="n">
        <v>4170</v>
      </c>
      <c r="T34" s="35" t="s">
        <v>172</v>
      </c>
      <c r="U34" s="28" t="n">
        <v>425034.65</v>
      </c>
      <c r="V34" s="60" t="n">
        <v>28.023739</v>
      </c>
      <c r="W34" s="71" t="n">
        <f aca="false">5921425.44/50</f>
        <v>118428.5088</v>
      </c>
      <c r="X34" s="61" t="n">
        <f aca="false">U34/V34</f>
        <v>15166.9500633017</v>
      </c>
      <c r="Y34" s="61" t="n">
        <v>251.65</v>
      </c>
      <c r="Z34" s="28" t="n">
        <v>4.4</v>
      </c>
      <c r="AA34" s="62" t="s">
        <v>80</v>
      </c>
      <c r="AB34" s="38" t="n">
        <v>43474</v>
      </c>
      <c r="AC34" s="38" t="n">
        <v>43524</v>
      </c>
      <c r="AD34" s="38" t="n">
        <v>43539</v>
      </c>
      <c r="AE34" s="38" t="n">
        <v>45365</v>
      </c>
      <c r="AF34" s="57" t="n">
        <f aca="false">YEAR(AE34)</f>
        <v>2024</v>
      </c>
      <c r="AG34" s="63" t="n">
        <f aca="false">X34/SUMIF($Z$2:$Z$380,Z34,$X$2:$X$380)*(VLOOKUP(Z34,'затраты по департаментам-2 '!$A$2:$C$182,2,FALSE())+VLOOKUP(Z34,'затраты по департаментам-2 '!$A$2:$C$182,3,FALSE()))</f>
        <v>9202.38303209051</v>
      </c>
      <c r="AH34" s="63" t="n">
        <f aca="false">W34/60</f>
        <v>1973.80848</v>
      </c>
      <c r="AI34" s="64" t="s">
        <v>81</v>
      </c>
      <c r="AJ34" s="63" t="s">
        <v>82</v>
      </c>
      <c r="AK34" s="98" t="n">
        <v>89565575</v>
      </c>
      <c r="AL34" s="43"/>
      <c r="AM34" s="85" t="s">
        <v>314</v>
      </c>
      <c r="AN34" s="48" t="s">
        <v>315</v>
      </c>
      <c r="AO34" s="65" t="n">
        <v>44513</v>
      </c>
      <c r="AP34" s="43"/>
      <c r="AQ34" s="66" t="s">
        <v>316</v>
      </c>
      <c r="AR34" s="64"/>
    </row>
    <row r="35" customFormat="false" ht="14.25" hidden="false" customHeight="false" outlineLevel="0" collapsed="false">
      <c r="A35" s="26" t="n">
        <v>34</v>
      </c>
      <c r="B35" s="26" t="s">
        <v>317</v>
      </c>
      <c r="C35" s="43" t="s">
        <v>165</v>
      </c>
      <c r="D35" s="28" t="s">
        <v>46</v>
      </c>
      <c r="E35" s="43" t="n">
        <v>6.7</v>
      </c>
      <c r="F35" s="43" t="n">
        <v>1.2</v>
      </c>
      <c r="G35" s="43" t="n">
        <v>108</v>
      </c>
      <c r="H35" s="43" t="n">
        <v>2019</v>
      </c>
      <c r="I35" s="43" t="s">
        <v>96</v>
      </c>
      <c r="J35" s="43" t="s">
        <v>74</v>
      </c>
      <c r="K35" s="30" t="s">
        <v>318</v>
      </c>
      <c r="L35" s="35"/>
      <c r="M35" s="31" t="s">
        <v>319</v>
      </c>
      <c r="N35" s="84" t="s">
        <v>179</v>
      </c>
      <c r="O35" s="28" t="s">
        <v>60</v>
      </c>
      <c r="P35" s="56" t="s">
        <v>91</v>
      </c>
      <c r="Q35" s="103" t="n">
        <v>7081</v>
      </c>
      <c r="R35" s="58" t="s">
        <v>171</v>
      </c>
      <c r="S35" s="69" t="n">
        <v>4138</v>
      </c>
      <c r="T35" s="35" t="s">
        <v>172</v>
      </c>
      <c r="U35" s="28" t="n">
        <v>425034.65</v>
      </c>
      <c r="V35" s="60" t="n">
        <v>28.023739</v>
      </c>
      <c r="W35" s="71" t="n">
        <f aca="false">5921425.44/50</f>
        <v>118428.5088</v>
      </c>
      <c r="X35" s="61" t="n">
        <f aca="false">U35/V35</f>
        <v>15166.9500633017</v>
      </c>
      <c r="Y35" s="61" t="n">
        <v>251.65</v>
      </c>
      <c r="Z35" s="28" t="n">
        <v>4.4</v>
      </c>
      <c r="AA35" s="62" t="s">
        <v>80</v>
      </c>
      <c r="AB35" s="38" t="n">
        <v>43474</v>
      </c>
      <c r="AC35" s="38" t="n">
        <v>43524</v>
      </c>
      <c r="AD35" s="38" t="n">
        <v>43539</v>
      </c>
      <c r="AE35" s="38" t="n">
        <v>45365</v>
      </c>
      <c r="AF35" s="57" t="n">
        <f aca="false">YEAR(AE35)</f>
        <v>2024</v>
      </c>
      <c r="AG35" s="63" t="n">
        <f aca="false">X35/SUMIF($Z$2:$Z$380,Z35,$X$2:$X$380)*(VLOOKUP(Z35,'затраты по департаментам-2 '!$A$2:$C$182,2,FALSE())+VLOOKUP(Z35,'затраты по департаментам-2 '!$A$2:$C$182,3,FALSE()))</f>
        <v>9202.38303209051</v>
      </c>
      <c r="AH35" s="63" t="n">
        <f aca="false">W35/60</f>
        <v>1973.80848</v>
      </c>
      <c r="AI35" s="64" t="s">
        <v>81</v>
      </c>
      <c r="AJ35" s="63" t="s">
        <v>82</v>
      </c>
      <c r="AK35" s="43" t="n">
        <v>87914312</v>
      </c>
      <c r="AL35" s="43"/>
      <c r="AM35" s="85" t="s">
        <v>320</v>
      </c>
      <c r="AN35" s="48" t="s">
        <v>321</v>
      </c>
      <c r="AO35" s="65" t="n">
        <v>44502</v>
      </c>
      <c r="AP35" s="43"/>
      <c r="AQ35" s="66" t="s">
        <v>322</v>
      </c>
      <c r="AR35" s="64"/>
    </row>
    <row r="36" customFormat="false" ht="14.25" hidden="false" customHeight="false" outlineLevel="0" collapsed="false">
      <c r="A36" s="26" t="n">
        <v>35</v>
      </c>
      <c r="B36" s="26" t="s">
        <v>323</v>
      </c>
      <c r="C36" s="43" t="s">
        <v>165</v>
      </c>
      <c r="D36" s="28" t="s">
        <v>46</v>
      </c>
      <c r="E36" s="43" t="n">
        <v>6.7</v>
      </c>
      <c r="F36" s="43" t="n">
        <v>1.2</v>
      </c>
      <c r="G36" s="43" t="n">
        <v>108</v>
      </c>
      <c r="H36" s="43" t="n">
        <v>2019</v>
      </c>
      <c r="I36" s="43" t="s">
        <v>96</v>
      </c>
      <c r="J36" s="43" t="s">
        <v>74</v>
      </c>
      <c r="K36" s="30" t="s">
        <v>324</v>
      </c>
      <c r="L36" s="35"/>
      <c r="M36" s="31" t="s">
        <v>325</v>
      </c>
      <c r="N36" s="84" t="s">
        <v>179</v>
      </c>
      <c r="O36" s="28" t="s">
        <v>326</v>
      </c>
      <c r="P36" s="28" t="s">
        <v>327</v>
      </c>
      <c r="Q36" s="87" t="n">
        <v>7050</v>
      </c>
      <c r="R36" s="58" t="s">
        <v>171</v>
      </c>
      <c r="S36" s="69" t="n">
        <v>4131</v>
      </c>
      <c r="T36" s="35" t="s">
        <v>172</v>
      </c>
      <c r="U36" s="28" t="n">
        <v>425034.65</v>
      </c>
      <c r="V36" s="60" t="n">
        <v>28.023739</v>
      </c>
      <c r="W36" s="71" t="n">
        <f aca="false">5921425.44/50</f>
        <v>118428.5088</v>
      </c>
      <c r="X36" s="61" t="n">
        <f aca="false">U36/V36</f>
        <v>15166.9500633017</v>
      </c>
      <c r="Y36" s="61" t="n">
        <v>251.65</v>
      </c>
      <c r="Z36" s="28" t="n">
        <v>4.4</v>
      </c>
      <c r="AA36" s="62" t="s">
        <v>80</v>
      </c>
      <c r="AB36" s="38" t="n">
        <v>43474</v>
      </c>
      <c r="AC36" s="38" t="n">
        <v>43524</v>
      </c>
      <c r="AD36" s="38" t="n">
        <v>43539</v>
      </c>
      <c r="AE36" s="38" t="n">
        <v>45365</v>
      </c>
      <c r="AF36" s="57" t="n">
        <f aca="false">YEAR(AE36)</f>
        <v>2024</v>
      </c>
      <c r="AG36" s="63" t="n">
        <f aca="false">X36/SUMIF($Z$2:$Z$380,Z36,$X$2:$X$380)*(VLOOKUP(Z36,'затраты по департаментам-2 '!$A$2:$C$182,2,FALSE())+VLOOKUP(Z36,'затраты по департаментам-2 '!$A$2:$C$182,3,FALSE()))</f>
        <v>9202.38303209051</v>
      </c>
      <c r="AH36" s="63" t="n">
        <f aca="false">W36/60</f>
        <v>1973.80848</v>
      </c>
      <c r="AI36" s="64" t="s">
        <v>81</v>
      </c>
      <c r="AJ36" s="63" t="s">
        <v>52</v>
      </c>
      <c r="AK36" s="43" t="n">
        <v>89568736</v>
      </c>
      <c r="AL36" s="81" t="s">
        <v>328</v>
      </c>
      <c r="AM36" s="85" t="s">
        <v>329</v>
      </c>
      <c r="AN36" s="48" t="s">
        <v>330</v>
      </c>
      <c r="AO36" s="65" t="n">
        <v>44419</v>
      </c>
      <c r="AP36" s="43"/>
      <c r="AQ36" s="66" t="s">
        <v>331</v>
      </c>
      <c r="AR36" s="64"/>
    </row>
    <row r="37" customFormat="false" ht="14.25" hidden="false" customHeight="false" outlineLevel="0" collapsed="false">
      <c r="A37" s="26" t="n">
        <v>36</v>
      </c>
      <c r="B37" s="26" t="s">
        <v>332</v>
      </c>
      <c r="C37" s="43" t="s">
        <v>165</v>
      </c>
      <c r="D37" s="28" t="s">
        <v>46</v>
      </c>
      <c r="E37" s="43" t="n">
        <v>6.7</v>
      </c>
      <c r="F37" s="43" t="n">
        <v>1.2</v>
      </c>
      <c r="G37" s="43" t="n">
        <v>108</v>
      </c>
      <c r="H37" s="43" t="n">
        <v>2019</v>
      </c>
      <c r="I37" s="43" t="s">
        <v>96</v>
      </c>
      <c r="J37" s="43" t="s">
        <v>74</v>
      </c>
      <c r="K37" s="30" t="s">
        <v>333</v>
      </c>
      <c r="L37" s="104"/>
      <c r="M37" s="31" t="s">
        <v>334</v>
      </c>
      <c r="N37" s="32" t="s">
        <v>179</v>
      </c>
      <c r="O37" s="57" t="s">
        <v>335</v>
      </c>
      <c r="P37" s="48" t="s">
        <v>198</v>
      </c>
      <c r="Q37" s="87" t="n">
        <v>7040</v>
      </c>
      <c r="R37" s="58" t="s">
        <v>171</v>
      </c>
      <c r="S37" s="69" t="n">
        <v>4144</v>
      </c>
      <c r="T37" s="35" t="s">
        <v>172</v>
      </c>
      <c r="U37" s="28" t="n">
        <v>425034.65</v>
      </c>
      <c r="V37" s="60" t="n">
        <v>28.023739</v>
      </c>
      <c r="W37" s="71" t="n">
        <f aca="false">5921425.44/50</f>
        <v>118428.5088</v>
      </c>
      <c r="X37" s="61" t="n">
        <f aca="false">U37/V37</f>
        <v>15166.9500633017</v>
      </c>
      <c r="Y37" s="61" t="n">
        <v>251.65</v>
      </c>
      <c r="Z37" s="28" t="n">
        <v>4.4</v>
      </c>
      <c r="AA37" s="62" t="s">
        <v>80</v>
      </c>
      <c r="AB37" s="38" t="n">
        <v>43474</v>
      </c>
      <c r="AC37" s="38" t="n">
        <v>43524</v>
      </c>
      <c r="AD37" s="38" t="n">
        <v>43539</v>
      </c>
      <c r="AE37" s="38" t="n">
        <v>45365</v>
      </c>
      <c r="AF37" s="57" t="n">
        <f aca="false">YEAR(AE37)</f>
        <v>2024</v>
      </c>
      <c r="AG37" s="63" t="n">
        <f aca="false">X37/SUMIF($Z$2:$Z$380,Z37,$X$2:$X$380)*(VLOOKUP(Z37,'затраты по департаментам-2 '!$A$2:$C$182,2,FALSE())+VLOOKUP(Z37,'затраты по департаментам-2 '!$A$2:$C$182,3,FALSE()))</f>
        <v>9202.38303209051</v>
      </c>
      <c r="AH37" s="63" t="n">
        <f aca="false">W37/60</f>
        <v>1973.80848</v>
      </c>
      <c r="AI37" s="64" t="s">
        <v>81</v>
      </c>
      <c r="AJ37" s="63" t="s">
        <v>197</v>
      </c>
      <c r="AK37" s="43" t="n">
        <v>89565740</v>
      </c>
      <c r="AL37" s="81" t="s">
        <v>336</v>
      </c>
      <c r="AM37" s="96" t="s">
        <v>337</v>
      </c>
      <c r="AN37" s="48" t="s">
        <v>338</v>
      </c>
      <c r="AO37" s="65" t="n">
        <v>44918</v>
      </c>
      <c r="AP37" s="43"/>
      <c r="AQ37" s="66" t="s">
        <v>339</v>
      </c>
      <c r="AR37" s="64"/>
    </row>
    <row r="38" customFormat="false" ht="14.25" hidden="false" customHeight="false" outlineLevel="0" collapsed="false">
      <c r="A38" s="26" t="n">
        <v>37</v>
      </c>
      <c r="B38" s="26" t="s">
        <v>340</v>
      </c>
      <c r="C38" s="43" t="s">
        <v>165</v>
      </c>
      <c r="D38" s="28" t="s">
        <v>46</v>
      </c>
      <c r="E38" s="43" t="n">
        <v>6.7</v>
      </c>
      <c r="F38" s="43" t="n">
        <v>1.2</v>
      </c>
      <c r="G38" s="43" t="n">
        <v>108</v>
      </c>
      <c r="H38" s="43" t="n">
        <v>2019</v>
      </c>
      <c r="I38" s="43" t="s">
        <v>96</v>
      </c>
      <c r="J38" s="43" t="s">
        <v>74</v>
      </c>
      <c r="K38" s="30" t="s">
        <v>341</v>
      </c>
      <c r="L38" s="35"/>
      <c r="M38" s="31" t="s">
        <v>342</v>
      </c>
      <c r="N38" s="32" t="s">
        <v>179</v>
      </c>
      <c r="O38" s="105" t="s">
        <v>343</v>
      </c>
      <c r="P38" s="56" t="s">
        <v>143</v>
      </c>
      <c r="Q38" s="87" t="n">
        <v>1000</v>
      </c>
      <c r="R38" s="58" t="s">
        <v>290</v>
      </c>
      <c r="S38" s="69" t="n">
        <v>4146</v>
      </c>
      <c r="T38" s="35" t="s">
        <v>172</v>
      </c>
      <c r="U38" s="28" t="n">
        <v>425034.65</v>
      </c>
      <c r="V38" s="60" t="n">
        <v>28.023739</v>
      </c>
      <c r="W38" s="71" t="n">
        <f aca="false">5921425.44/50</f>
        <v>118428.5088</v>
      </c>
      <c r="X38" s="61" t="n">
        <f aca="false">U38/V38</f>
        <v>15166.9500633017</v>
      </c>
      <c r="Y38" s="61" t="n">
        <v>251.65</v>
      </c>
      <c r="Z38" s="28" t="n">
        <v>4.4</v>
      </c>
      <c r="AA38" s="62" t="s">
        <v>80</v>
      </c>
      <c r="AB38" s="38" t="n">
        <v>43474</v>
      </c>
      <c r="AC38" s="38" t="n">
        <v>43524</v>
      </c>
      <c r="AD38" s="38" t="n">
        <v>43531</v>
      </c>
      <c r="AE38" s="38" t="n">
        <v>45358</v>
      </c>
      <c r="AF38" s="57" t="n">
        <f aca="false">YEAR(AE38)</f>
        <v>2024</v>
      </c>
      <c r="AG38" s="63" t="n">
        <f aca="false">X38/SUMIF($Z$2:$Z$380,Z38,$X$2:$X$380)*(VLOOKUP(Z38,'затраты по департаментам-2 '!$A$2:$C$182,2,FALSE())+VLOOKUP(Z38,'затраты по департаментам-2 '!$A$2:$C$182,3,FALSE()))</f>
        <v>9202.38303209051</v>
      </c>
      <c r="AH38" s="63" t="n">
        <f aca="false">W38/60</f>
        <v>1973.80848</v>
      </c>
      <c r="AI38" s="64" t="s">
        <v>81</v>
      </c>
      <c r="AJ38" s="63" t="s">
        <v>142</v>
      </c>
      <c r="AK38" s="43" t="n">
        <v>86510566</v>
      </c>
      <c r="AL38" s="81" t="s">
        <v>344</v>
      </c>
      <c r="AM38" s="96" t="s">
        <v>345</v>
      </c>
      <c r="AN38" s="48" t="s">
        <v>346</v>
      </c>
      <c r="AO38" s="65" t="n">
        <v>44958</v>
      </c>
      <c r="AP38" s="43"/>
      <c r="AQ38" s="66" t="s">
        <v>347</v>
      </c>
      <c r="AR38" s="64"/>
    </row>
    <row r="39" customFormat="false" ht="14.25" hidden="false" customHeight="false" outlineLevel="0" collapsed="false">
      <c r="A39" s="26" t="n">
        <v>38</v>
      </c>
      <c r="B39" s="26" t="s">
        <v>348</v>
      </c>
      <c r="C39" s="43" t="s">
        <v>165</v>
      </c>
      <c r="D39" s="28" t="s">
        <v>46</v>
      </c>
      <c r="E39" s="43" t="n">
        <v>6.7</v>
      </c>
      <c r="F39" s="43" t="n">
        <v>1.2</v>
      </c>
      <c r="G39" s="43" t="n">
        <v>108</v>
      </c>
      <c r="H39" s="43" t="n">
        <v>2019</v>
      </c>
      <c r="I39" s="43" t="s">
        <v>96</v>
      </c>
      <c r="J39" s="43" t="s">
        <v>74</v>
      </c>
      <c r="K39" s="30" t="s">
        <v>349</v>
      </c>
      <c r="L39" s="35"/>
      <c r="M39" s="31" t="s">
        <v>350</v>
      </c>
      <c r="N39" s="32" t="s">
        <v>227</v>
      </c>
      <c r="O39" s="28" t="s">
        <v>142</v>
      </c>
      <c r="P39" s="28" t="s">
        <v>298</v>
      </c>
      <c r="Q39" s="87" t="n">
        <v>1000</v>
      </c>
      <c r="R39" s="97" t="s">
        <v>351</v>
      </c>
      <c r="S39" s="69" t="n">
        <v>4176</v>
      </c>
      <c r="T39" s="35" t="s">
        <v>172</v>
      </c>
      <c r="U39" s="28" t="n">
        <v>425034.65</v>
      </c>
      <c r="V39" s="60" t="n">
        <v>28.023739</v>
      </c>
      <c r="W39" s="71" t="n">
        <f aca="false">5921425.44/50</f>
        <v>118428.5088</v>
      </c>
      <c r="X39" s="61" t="n">
        <f aca="false">U39/V39</f>
        <v>15166.9500633017</v>
      </c>
      <c r="Y39" s="61" t="n">
        <v>251.65</v>
      </c>
      <c r="Z39" s="28" t="n">
        <v>4.4</v>
      </c>
      <c r="AA39" s="62" t="s">
        <v>80</v>
      </c>
      <c r="AB39" s="38" t="n">
        <v>43474</v>
      </c>
      <c r="AC39" s="38" t="n">
        <v>43524</v>
      </c>
      <c r="AD39" s="38" t="n">
        <v>43539</v>
      </c>
      <c r="AE39" s="38" t="n">
        <v>45365</v>
      </c>
      <c r="AF39" s="57" t="n">
        <f aca="false">YEAR(AE39)</f>
        <v>2024</v>
      </c>
      <c r="AG39" s="63" t="n">
        <f aca="false">X39/SUMIF($Z$2:$Z$380,Z39,$X$2:$X$380)*(VLOOKUP(Z39,'затраты по департаментам-2 '!$A$2:$C$182,2,FALSE())+VLOOKUP(Z39,'затраты по департаментам-2 '!$A$2:$C$182,3,FALSE()))</f>
        <v>9202.38303209051</v>
      </c>
      <c r="AH39" s="63" t="n">
        <f aca="false">W39/60</f>
        <v>1973.80848</v>
      </c>
      <c r="AI39" s="64" t="s">
        <v>81</v>
      </c>
      <c r="AJ39" s="63" t="s">
        <v>142</v>
      </c>
      <c r="AK39" s="43" t="n">
        <v>81344300</v>
      </c>
      <c r="AL39" s="81" t="s">
        <v>352</v>
      </c>
      <c r="AM39" s="96" t="s">
        <v>353</v>
      </c>
      <c r="AN39" s="48" t="s">
        <v>354</v>
      </c>
      <c r="AO39" s="65" t="n">
        <v>44889</v>
      </c>
      <c r="AP39" s="43"/>
      <c r="AQ39" s="66" t="s">
        <v>355</v>
      </c>
      <c r="AR39" s="64"/>
    </row>
    <row r="40" customFormat="false" ht="14.25" hidden="false" customHeight="false" outlineLevel="0" collapsed="false">
      <c r="A40" s="26" t="n">
        <v>39</v>
      </c>
      <c r="B40" s="26" t="s">
        <v>356</v>
      </c>
      <c r="C40" s="43" t="s">
        <v>165</v>
      </c>
      <c r="D40" s="28" t="s">
        <v>46</v>
      </c>
      <c r="E40" s="43" t="n">
        <v>6.7</v>
      </c>
      <c r="F40" s="43" t="n">
        <v>1.2</v>
      </c>
      <c r="G40" s="43" t="n">
        <v>108</v>
      </c>
      <c r="H40" s="43" t="n">
        <v>2019</v>
      </c>
      <c r="I40" s="43" t="s">
        <v>96</v>
      </c>
      <c r="J40" s="43" t="s">
        <v>74</v>
      </c>
      <c r="K40" s="30" t="s">
        <v>357</v>
      </c>
      <c r="L40" s="35"/>
      <c r="M40" s="31" t="s">
        <v>358</v>
      </c>
      <c r="N40" s="32" t="s">
        <v>179</v>
      </c>
      <c r="O40" s="28" t="s">
        <v>169</v>
      </c>
      <c r="P40" s="48" t="s">
        <v>91</v>
      </c>
      <c r="Q40" s="57" t="n">
        <v>7083</v>
      </c>
      <c r="R40" s="58" t="s">
        <v>171</v>
      </c>
      <c r="S40" s="69" t="n">
        <v>4138</v>
      </c>
      <c r="T40" s="35" t="s">
        <v>172</v>
      </c>
      <c r="U40" s="28" t="n">
        <v>425034.65</v>
      </c>
      <c r="V40" s="60" t="n">
        <v>28.023739</v>
      </c>
      <c r="W40" s="71" t="n">
        <f aca="false">5921425.44/50</f>
        <v>118428.5088</v>
      </c>
      <c r="X40" s="61" t="n">
        <f aca="false">U40/V40</f>
        <v>15166.9500633017</v>
      </c>
      <c r="Y40" s="61" t="n">
        <v>251.65</v>
      </c>
      <c r="Z40" s="28" t="n">
        <v>4.4</v>
      </c>
      <c r="AA40" s="62" t="s">
        <v>80</v>
      </c>
      <c r="AB40" s="38" t="n">
        <v>43474</v>
      </c>
      <c r="AC40" s="38" t="n">
        <v>43524</v>
      </c>
      <c r="AD40" s="38" t="n">
        <v>43531</v>
      </c>
      <c r="AE40" s="38" t="n">
        <v>45358</v>
      </c>
      <c r="AF40" s="57" t="n">
        <f aca="false">YEAR(AE40)</f>
        <v>2024</v>
      </c>
      <c r="AG40" s="63" t="n">
        <f aca="false">X40/SUMIF($Z$2:$Z$380,Z40,$X$2:$X$380)*(VLOOKUP(Z40,'затраты по департаментам-2 '!$A$2:$C$182,2,FALSE())+VLOOKUP(Z40,'затраты по департаментам-2 '!$A$2:$C$182,3,FALSE()))</f>
        <v>9202.38303209051</v>
      </c>
      <c r="AH40" s="63" t="n">
        <f aca="false">W40/60</f>
        <v>1973.80848</v>
      </c>
      <c r="AI40" s="64" t="s">
        <v>81</v>
      </c>
      <c r="AJ40" s="63" t="s">
        <v>82</v>
      </c>
      <c r="AK40" s="43" t="n">
        <v>87657481</v>
      </c>
      <c r="AL40" s="43"/>
      <c r="AM40" s="85" t="s">
        <v>359</v>
      </c>
      <c r="AN40" s="48" t="s">
        <v>360</v>
      </c>
      <c r="AO40" s="65" t="n">
        <v>44484</v>
      </c>
      <c r="AP40" s="43"/>
      <c r="AQ40" s="66" t="s">
        <v>361</v>
      </c>
      <c r="AR40" s="64"/>
    </row>
    <row r="41" customFormat="false" ht="14.25" hidden="false" customHeight="false" outlineLevel="0" collapsed="false">
      <c r="A41" s="26" t="n">
        <v>40</v>
      </c>
      <c r="B41" s="26" t="s">
        <v>362</v>
      </c>
      <c r="C41" s="43" t="s">
        <v>165</v>
      </c>
      <c r="D41" s="28" t="s">
        <v>46</v>
      </c>
      <c r="E41" s="43" t="n">
        <v>6.7</v>
      </c>
      <c r="F41" s="43" t="n">
        <v>1.2</v>
      </c>
      <c r="G41" s="43" t="n">
        <v>108</v>
      </c>
      <c r="H41" s="43" t="n">
        <v>2019</v>
      </c>
      <c r="I41" s="43" t="s">
        <v>96</v>
      </c>
      <c r="J41" s="43" t="s">
        <v>74</v>
      </c>
      <c r="K41" s="30" t="s">
        <v>363</v>
      </c>
      <c r="L41" s="35"/>
      <c r="M41" s="31" t="s">
        <v>364</v>
      </c>
      <c r="N41" s="84" t="s">
        <v>179</v>
      </c>
      <c r="O41" s="28" t="s">
        <v>365</v>
      </c>
      <c r="P41" s="56" t="s">
        <v>143</v>
      </c>
      <c r="Q41" s="87" t="n">
        <v>7065</v>
      </c>
      <c r="R41" s="58" t="s">
        <v>171</v>
      </c>
      <c r="S41" s="69" t="n">
        <v>4136</v>
      </c>
      <c r="T41" s="35" t="s">
        <v>172</v>
      </c>
      <c r="U41" s="28" t="n">
        <v>425034.65</v>
      </c>
      <c r="V41" s="60" t="n">
        <v>28.023739</v>
      </c>
      <c r="W41" s="71" t="n">
        <f aca="false">5921425.44/50</f>
        <v>118428.5088</v>
      </c>
      <c r="X41" s="61" t="n">
        <f aca="false">U41/V41</f>
        <v>15166.9500633017</v>
      </c>
      <c r="Y41" s="61" t="n">
        <v>251.65</v>
      </c>
      <c r="Z41" s="28" t="n">
        <v>4.4</v>
      </c>
      <c r="AA41" s="62" t="s">
        <v>80</v>
      </c>
      <c r="AB41" s="38" t="n">
        <v>43474</v>
      </c>
      <c r="AC41" s="38" t="n">
        <v>43524</v>
      </c>
      <c r="AD41" s="38" t="n">
        <v>43531</v>
      </c>
      <c r="AE41" s="38" t="n">
        <v>45358</v>
      </c>
      <c r="AF41" s="57" t="n">
        <f aca="false">YEAR(AE41)</f>
        <v>2024</v>
      </c>
      <c r="AG41" s="63" t="n">
        <f aca="false">X41/SUMIF($Z$2:$Z$380,Z41,$X$2:$X$380)*(VLOOKUP(Z41,'затраты по департаментам-2 '!$A$2:$C$182,2,FALSE())+VLOOKUP(Z41,'затраты по департаментам-2 '!$A$2:$C$182,3,FALSE()))</f>
        <v>9202.38303209051</v>
      </c>
      <c r="AH41" s="63" t="n">
        <f aca="false">W41/60</f>
        <v>1973.80848</v>
      </c>
      <c r="AI41" s="64" t="s">
        <v>81</v>
      </c>
      <c r="AJ41" s="63" t="s">
        <v>142</v>
      </c>
      <c r="AK41" s="43" t="n">
        <v>87711973</v>
      </c>
      <c r="AL41" s="81" t="s">
        <v>366</v>
      </c>
      <c r="AM41" s="85" t="s">
        <v>367</v>
      </c>
      <c r="AN41" s="48" t="s">
        <v>368</v>
      </c>
      <c r="AO41" s="65" t="n">
        <v>44677</v>
      </c>
      <c r="AP41" s="43"/>
      <c r="AQ41" s="66" t="s">
        <v>369</v>
      </c>
      <c r="AR41" s="64"/>
    </row>
    <row r="42" customFormat="false" ht="15" hidden="false" customHeight="true" outlineLevel="0" collapsed="false">
      <c r="A42" s="26" t="n">
        <v>41</v>
      </c>
      <c r="B42" s="26" t="s">
        <v>370</v>
      </c>
      <c r="C42" s="43" t="s">
        <v>165</v>
      </c>
      <c r="D42" s="28" t="s">
        <v>46</v>
      </c>
      <c r="E42" s="43" t="n">
        <v>6.7</v>
      </c>
      <c r="F42" s="43" t="n">
        <v>1.2</v>
      </c>
      <c r="G42" s="43" t="n">
        <v>108</v>
      </c>
      <c r="H42" s="43" t="n">
        <v>2019</v>
      </c>
      <c r="I42" s="43" t="s">
        <v>96</v>
      </c>
      <c r="J42" s="43" t="s">
        <v>74</v>
      </c>
      <c r="K42" s="30" t="s">
        <v>371</v>
      </c>
      <c r="L42" s="35"/>
      <c r="M42" s="31" t="s">
        <v>372</v>
      </c>
      <c r="N42" s="84" t="s">
        <v>179</v>
      </c>
      <c r="O42" s="28" t="s">
        <v>373</v>
      </c>
      <c r="P42" s="56" t="s">
        <v>198</v>
      </c>
      <c r="Q42" s="87" t="n">
        <v>7032</v>
      </c>
      <c r="R42" s="58" t="s">
        <v>171</v>
      </c>
      <c r="S42" s="69" t="n">
        <v>4134</v>
      </c>
      <c r="T42" s="35" t="s">
        <v>172</v>
      </c>
      <c r="U42" s="28" t="n">
        <v>425034.65</v>
      </c>
      <c r="V42" s="60" t="n">
        <v>28.023739</v>
      </c>
      <c r="W42" s="71" t="n">
        <f aca="false">5921425.44/50</f>
        <v>118428.5088</v>
      </c>
      <c r="X42" s="61" t="n">
        <f aca="false">U42/V42</f>
        <v>15166.9500633017</v>
      </c>
      <c r="Y42" s="61" t="n">
        <v>251.65</v>
      </c>
      <c r="Z42" s="28" t="n">
        <v>4.4</v>
      </c>
      <c r="AA42" s="62" t="s">
        <v>80</v>
      </c>
      <c r="AB42" s="38" t="n">
        <v>43474</v>
      </c>
      <c r="AC42" s="38" t="n">
        <v>43524</v>
      </c>
      <c r="AD42" s="38" t="n">
        <v>43531</v>
      </c>
      <c r="AE42" s="38" t="n">
        <v>45358</v>
      </c>
      <c r="AF42" s="57" t="n">
        <f aca="false">YEAR(AE42)</f>
        <v>2024</v>
      </c>
      <c r="AG42" s="63" t="n">
        <f aca="false">X42/SUMIF($Z$2:$Z$380,Z42,$X$2:$X$380)*(VLOOKUP(Z42,'затраты по департаментам-2 '!$A$2:$C$182,2,FALSE())+VLOOKUP(Z42,'затраты по департаментам-2 '!$A$2:$C$182,3,FALSE()))</f>
        <v>9202.38303209051</v>
      </c>
      <c r="AH42" s="63" t="n">
        <f aca="false">W42/60</f>
        <v>1973.80848</v>
      </c>
      <c r="AI42" s="64" t="s">
        <v>81</v>
      </c>
      <c r="AJ42" s="63" t="s">
        <v>197</v>
      </c>
      <c r="AK42" s="43" t="n">
        <v>80941072</v>
      </c>
      <c r="AL42" s="99" t="s">
        <v>374</v>
      </c>
      <c r="AM42" s="85" t="s">
        <v>375</v>
      </c>
      <c r="AN42" s="48" t="s">
        <v>376</v>
      </c>
      <c r="AO42" s="65" t="n">
        <v>44449</v>
      </c>
      <c r="AP42" s="43"/>
      <c r="AQ42" s="66" t="s">
        <v>377</v>
      </c>
      <c r="AR42" s="64"/>
    </row>
    <row r="43" customFormat="false" ht="14.25" hidden="false" customHeight="false" outlineLevel="0" collapsed="false">
      <c r="A43" s="26" t="n">
        <v>42</v>
      </c>
      <c r="B43" s="26" t="s">
        <v>378</v>
      </c>
      <c r="C43" s="43" t="s">
        <v>379</v>
      </c>
      <c r="D43" s="28" t="s">
        <v>73</v>
      </c>
      <c r="E43" s="43" t="n">
        <v>12.5</v>
      </c>
      <c r="F43" s="43" t="n">
        <v>2</v>
      </c>
      <c r="G43" s="43" t="n">
        <v>193</v>
      </c>
      <c r="H43" s="43" t="n">
        <v>2019</v>
      </c>
      <c r="I43" s="43" t="s">
        <v>96</v>
      </c>
      <c r="J43" s="43" t="s">
        <v>74</v>
      </c>
      <c r="K43" s="30" t="s">
        <v>380</v>
      </c>
      <c r="L43" s="35"/>
      <c r="M43" s="31" t="s">
        <v>381</v>
      </c>
      <c r="N43" s="32" t="s">
        <v>382</v>
      </c>
      <c r="O43" s="28" t="s">
        <v>100</v>
      </c>
      <c r="P43" s="28" t="s">
        <v>383</v>
      </c>
      <c r="Q43" s="57" t="n">
        <v>1000</v>
      </c>
      <c r="R43" s="58" t="s">
        <v>53</v>
      </c>
      <c r="S43" s="69" t="n">
        <v>3690</v>
      </c>
      <c r="T43" s="59" t="s">
        <v>384</v>
      </c>
      <c r="U43" s="28" t="n">
        <v>2340894.83</v>
      </c>
      <c r="V43" s="60" t="n">
        <v>27.948597</v>
      </c>
      <c r="W43" s="71" t="n">
        <v>490919.15</v>
      </c>
      <c r="X43" s="61" t="n">
        <f aca="false">U43/V43</f>
        <v>83757.1499564003</v>
      </c>
      <c r="Y43" s="61" t="n">
        <v>1374.59</v>
      </c>
      <c r="Z43" s="28" t="n">
        <v>4.5</v>
      </c>
      <c r="AA43" s="62" t="s">
        <v>80</v>
      </c>
      <c r="AB43" s="38" t="n">
        <v>43487</v>
      </c>
      <c r="AC43" s="38" t="n">
        <v>43524</v>
      </c>
      <c r="AD43" s="38" t="n">
        <v>43523</v>
      </c>
      <c r="AE43" s="38" t="n">
        <v>45349</v>
      </c>
      <c r="AF43" s="57" t="n">
        <f aca="false">YEAR(AE43)</f>
        <v>2024</v>
      </c>
      <c r="AG43" s="63" t="n">
        <f aca="false">X43/SUMIF($Z$2:$Z$380,Z43,$X$2:$X$380)*(VLOOKUP(Z43,'затраты по департаментам-2 '!$A$2:$C$182,2,FALSE())+VLOOKUP(Z43,'затраты по департаментам-2 '!$A$2:$C$182,3,FALSE()))</f>
        <v>50267</v>
      </c>
      <c r="AH43" s="63" t="n">
        <f aca="false">W43/60</f>
        <v>8181.98583333333</v>
      </c>
      <c r="AI43" s="64" t="s">
        <v>81</v>
      </c>
      <c r="AJ43" s="63" t="s">
        <v>100</v>
      </c>
      <c r="AK43" s="106" t="n">
        <v>89040952</v>
      </c>
      <c r="AL43" s="43" t="s">
        <v>385</v>
      </c>
      <c r="AM43" s="78" t="s">
        <v>386</v>
      </c>
      <c r="AN43" s="64" t="s">
        <v>387</v>
      </c>
      <c r="AO43" s="65"/>
      <c r="AP43" s="43"/>
      <c r="AQ43" s="66" t="s">
        <v>388</v>
      </c>
      <c r="AR43" s="64"/>
    </row>
    <row r="44" customFormat="false" ht="15" hidden="false" customHeight="true" outlineLevel="0" collapsed="false">
      <c r="A44" s="26" t="n">
        <v>43</v>
      </c>
      <c r="B44" s="26" t="s">
        <v>389</v>
      </c>
      <c r="C44" s="43" t="s">
        <v>390</v>
      </c>
      <c r="D44" s="28" t="s">
        <v>73</v>
      </c>
      <c r="E44" s="43" t="n">
        <v>5.5</v>
      </c>
      <c r="F44" s="43" t="n">
        <v>1.6</v>
      </c>
      <c r="G44" s="26" t="n">
        <v>95</v>
      </c>
      <c r="H44" s="43" t="n">
        <v>2019</v>
      </c>
      <c r="I44" s="43" t="s">
        <v>96</v>
      </c>
      <c r="J44" s="43" t="s">
        <v>74</v>
      </c>
      <c r="K44" s="30" t="s">
        <v>391</v>
      </c>
      <c r="L44" s="35"/>
      <c r="M44" s="31" t="s">
        <v>392</v>
      </c>
      <c r="N44" s="107" t="s">
        <v>393</v>
      </c>
      <c r="O44" s="28" t="s">
        <v>100</v>
      </c>
      <c r="P44" s="56" t="s">
        <v>394</v>
      </c>
      <c r="Q44" s="57" t="n">
        <v>1000</v>
      </c>
      <c r="R44" s="58" t="s">
        <v>395</v>
      </c>
      <c r="S44" s="69" t="n">
        <v>5411</v>
      </c>
      <c r="T44" s="59" t="s">
        <v>123</v>
      </c>
      <c r="U44" s="28" t="n">
        <v>562945.07</v>
      </c>
      <c r="V44" s="60" t="n">
        <v>28.023739</v>
      </c>
      <c r="W44" s="71" t="n">
        <f aca="false">871060.28/6</f>
        <v>145176.713333333</v>
      </c>
      <c r="X44" s="61" t="n">
        <f aca="false">U44/V44</f>
        <v>20088.1499074767</v>
      </c>
      <c r="Y44" s="61" t="n">
        <v>362.2</v>
      </c>
      <c r="Z44" s="28" t="n">
        <v>4.6</v>
      </c>
      <c r="AA44" s="62" t="s">
        <v>80</v>
      </c>
      <c r="AB44" s="38" t="n">
        <v>43474</v>
      </c>
      <c r="AC44" s="38" t="n">
        <v>43524</v>
      </c>
      <c r="AD44" s="38" t="n">
        <v>43535</v>
      </c>
      <c r="AE44" s="38" t="n">
        <v>45362</v>
      </c>
      <c r="AF44" s="57" t="n">
        <f aca="false">YEAR(AE44)</f>
        <v>2024</v>
      </c>
      <c r="AG44" s="63" t="n">
        <f aca="false">X44/SUMIF($Z$2:$Z$380,Z44,$X$2:$X$380)*(VLOOKUP(Z44,'затраты по департаментам-2 '!$A$2:$C$182,2,FALSE())+VLOOKUP(Z44,'затраты по департаментам-2 '!$A$2:$C$182,3,FALSE()))</f>
        <v>13245.1491829838</v>
      </c>
      <c r="AH44" s="63" t="n">
        <f aca="false">W44/60</f>
        <v>2419.61188888889</v>
      </c>
      <c r="AI44" s="64" t="s">
        <v>81</v>
      </c>
      <c r="AJ44" s="63" t="s">
        <v>100</v>
      </c>
      <c r="AK44" s="108" t="n">
        <v>7657697</v>
      </c>
      <c r="AL44" s="99" t="s">
        <v>396</v>
      </c>
      <c r="AM44" s="74" t="s">
        <v>397</v>
      </c>
      <c r="AN44" s="64" t="s">
        <v>398</v>
      </c>
      <c r="AO44" s="65" t="n">
        <v>44775</v>
      </c>
      <c r="AP44" s="43"/>
      <c r="AQ44" s="66" t="s">
        <v>399</v>
      </c>
      <c r="AR44" s="64"/>
    </row>
    <row r="45" customFormat="false" ht="14.25" hidden="false" customHeight="false" outlineLevel="0" collapsed="false">
      <c r="A45" s="26" t="n">
        <v>44</v>
      </c>
      <c r="B45" s="26" t="s">
        <v>400</v>
      </c>
      <c r="C45" s="43" t="s">
        <v>390</v>
      </c>
      <c r="D45" s="28" t="s">
        <v>73</v>
      </c>
      <c r="E45" s="43" t="n">
        <v>5.5</v>
      </c>
      <c r="F45" s="43" t="n">
        <v>1.6</v>
      </c>
      <c r="G45" s="26" t="n">
        <v>95</v>
      </c>
      <c r="H45" s="43" t="n">
        <v>2019</v>
      </c>
      <c r="I45" s="43" t="s">
        <v>96</v>
      </c>
      <c r="J45" s="43" t="s">
        <v>74</v>
      </c>
      <c r="K45" s="30" t="s">
        <v>401</v>
      </c>
      <c r="L45" s="35"/>
      <c r="M45" s="31" t="s">
        <v>402</v>
      </c>
      <c r="N45" s="32" t="s">
        <v>403</v>
      </c>
      <c r="O45" s="28" t="s">
        <v>60</v>
      </c>
      <c r="P45" s="56" t="s">
        <v>404</v>
      </c>
      <c r="Q45" s="57" t="n">
        <v>1000</v>
      </c>
      <c r="R45" s="58" t="s">
        <v>405</v>
      </c>
      <c r="S45" s="69" t="n">
        <v>4290</v>
      </c>
      <c r="T45" s="59" t="s">
        <v>123</v>
      </c>
      <c r="U45" s="28" t="n">
        <v>562945.07</v>
      </c>
      <c r="V45" s="60" t="n">
        <v>28.023739</v>
      </c>
      <c r="W45" s="71" t="n">
        <f aca="false">871060.28/6</f>
        <v>145176.713333333</v>
      </c>
      <c r="X45" s="61" t="n">
        <f aca="false">U45/V45</f>
        <v>20088.1499074767</v>
      </c>
      <c r="Y45" s="61" t="n">
        <v>362.2</v>
      </c>
      <c r="Z45" s="28" t="n">
        <v>4.6</v>
      </c>
      <c r="AA45" s="62" t="s">
        <v>80</v>
      </c>
      <c r="AB45" s="38" t="n">
        <v>43474</v>
      </c>
      <c r="AC45" s="38" t="n">
        <v>43524</v>
      </c>
      <c r="AD45" s="38" t="n">
        <v>43535</v>
      </c>
      <c r="AE45" s="38" t="n">
        <v>45362</v>
      </c>
      <c r="AF45" s="57" t="n">
        <f aca="false">YEAR(AE45)</f>
        <v>2024</v>
      </c>
      <c r="AG45" s="63" t="n">
        <f aca="false">X45/SUMIF($Z$2:$Z$380,Z45,$X$2:$X$380)*(VLOOKUP(Z45,'затраты по департаментам-2 '!$A$2:$C$182,2,FALSE())+VLOOKUP(Z45,'затраты по департаментам-2 '!$A$2:$C$182,3,FALSE()))</f>
        <v>13245.1491829838</v>
      </c>
      <c r="AH45" s="63" t="n">
        <f aca="false">W45/60</f>
        <v>2419.61188888889</v>
      </c>
      <c r="AI45" s="64" t="s">
        <v>81</v>
      </c>
      <c r="AJ45" s="63" t="s">
        <v>82</v>
      </c>
      <c r="AK45" s="109" t="n">
        <v>2124206</v>
      </c>
      <c r="AL45" s="43"/>
      <c r="AM45" s="74" t="s">
        <v>406</v>
      </c>
      <c r="AN45" s="64" t="s">
        <v>407</v>
      </c>
      <c r="AO45" s="65" t="n">
        <v>44937</v>
      </c>
      <c r="AP45" s="43"/>
      <c r="AQ45" s="66" t="s">
        <v>408</v>
      </c>
      <c r="AR45" s="64"/>
    </row>
    <row r="46" customFormat="false" ht="15" hidden="false" customHeight="true" outlineLevel="0" collapsed="false">
      <c r="A46" s="26" t="n">
        <v>45</v>
      </c>
      <c r="B46" s="26" t="s">
        <v>409</v>
      </c>
      <c r="C46" s="43" t="s">
        <v>390</v>
      </c>
      <c r="D46" s="28" t="s">
        <v>73</v>
      </c>
      <c r="E46" s="43" t="n">
        <v>5.5</v>
      </c>
      <c r="F46" s="43" t="n">
        <v>1.6</v>
      </c>
      <c r="G46" s="26" t="n">
        <v>95</v>
      </c>
      <c r="H46" s="43" t="n">
        <v>2019</v>
      </c>
      <c r="I46" s="43" t="s">
        <v>96</v>
      </c>
      <c r="J46" s="43" t="s">
        <v>74</v>
      </c>
      <c r="K46" s="30" t="s">
        <v>410</v>
      </c>
      <c r="L46" s="35"/>
      <c r="M46" s="31" t="s">
        <v>411</v>
      </c>
      <c r="N46" s="32" t="s">
        <v>412</v>
      </c>
      <c r="O46" s="28" t="s">
        <v>142</v>
      </c>
      <c r="P46" s="56" t="s">
        <v>298</v>
      </c>
      <c r="Q46" s="57" t="n">
        <v>1000</v>
      </c>
      <c r="R46" s="58" t="s">
        <v>413</v>
      </c>
      <c r="S46" s="69" t="n">
        <v>4176</v>
      </c>
      <c r="T46" s="59" t="s">
        <v>123</v>
      </c>
      <c r="U46" s="28" t="n">
        <v>562945.07</v>
      </c>
      <c r="V46" s="60" t="n">
        <v>28.023739</v>
      </c>
      <c r="W46" s="71" t="n">
        <f aca="false">871060.28/6</f>
        <v>145176.713333333</v>
      </c>
      <c r="X46" s="61" t="n">
        <f aca="false">U46/V46</f>
        <v>20088.1499074767</v>
      </c>
      <c r="Y46" s="61" t="n">
        <v>362.2</v>
      </c>
      <c r="Z46" s="28" t="n">
        <v>4.6</v>
      </c>
      <c r="AA46" s="62" t="s">
        <v>80</v>
      </c>
      <c r="AB46" s="38" t="n">
        <v>43474</v>
      </c>
      <c r="AC46" s="38" t="n">
        <v>43524</v>
      </c>
      <c r="AD46" s="38" t="n">
        <v>43535</v>
      </c>
      <c r="AE46" s="38" t="n">
        <v>45362</v>
      </c>
      <c r="AF46" s="57" t="n">
        <f aca="false">YEAR(AE46)</f>
        <v>2024</v>
      </c>
      <c r="AG46" s="63" t="n">
        <f aca="false">X46/SUMIF($Z$2:$Z$380,Z46,$X$2:$X$380)*(VLOOKUP(Z46,'затраты по департаментам-2 '!$A$2:$C$182,2,FALSE())+VLOOKUP(Z46,'затраты по департаментам-2 '!$A$2:$C$182,3,FALSE()))</f>
        <v>13245.1491829838</v>
      </c>
      <c r="AH46" s="63" t="n">
        <f aca="false">W46/60</f>
        <v>2419.61188888889</v>
      </c>
      <c r="AI46" s="64" t="s">
        <v>81</v>
      </c>
      <c r="AJ46" s="63" t="s">
        <v>142</v>
      </c>
      <c r="AK46" s="109" t="n">
        <v>2381939</v>
      </c>
      <c r="AL46" s="99" t="s">
        <v>414</v>
      </c>
      <c r="AM46" s="74" t="s">
        <v>415</v>
      </c>
      <c r="AN46" s="64" t="s">
        <v>416</v>
      </c>
      <c r="AO46" s="65" t="n">
        <v>44722</v>
      </c>
      <c r="AP46" s="43"/>
      <c r="AQ46" s="110" t="s">
        <v>417</v>
      </c>
      <c r="AR46" s="64"/>
    </row>
    <row r="47" customFormat="false" ht="14.25" hidden="false" customHeight="false" outlineLevel="0" collapsed="false">
      <c r="A47" s="26" t="n">
        <v>46</v>
      </c>
      <c r="B47" s="26" t="s">
        <v>418</v>
      </c>
      <c r="C47" s="43" t="s">
        <v>390</v>
      </c>
      <c r="D47" s="28" t="s">
        <v>73</v>
      </c>
      <c r="E47" s="43" t="n">
        <v>5.5</v>
      </c>
      <c r="F47" s="43" t="n">
        <v>1.6</v>
      </c>
      <c r="G47" s="26" t="n">
        <v>95</v>
      </c>
      <c r="H47" s="43" t="n">
        <v>2019</v>
      </c>
      <c r="I47" s="43" t="s">
        <v>96</v>
      </c>
      <c r="J47" s="43" t="s">
        <v>74</v>
      </c>
      <c r="K47" s="86" t="s">
        <v>177</v>
      </c>
      <c r="L47" s="59"/>
      <c r="M47" s="31" t="s">
        <v>419</v>
      </c>
      <c r="N47" s="32" t="s">
        <v>403</v>
      </c>
      <c r="O47" s="28" t="s">
        <v>100</v>
      </c>
      <c r="P47" s="48" t="s">
        <v>420</v>
      </c>
      <c r="Q47" s="57" t="n">
        <v>9000</v>
      </c>
      <c r="R47" s="58" t="s">
        <v>171</v>
      </c>
      <c r="S47" s="69" t="n">
        <v>4130</v>
      </c>
      <c r="T47" s="59" t="s">
        <v>421</v>
      </c>
      <c r="U47" s="28" t="n">
        <v>562945.07</v>
      </c>
      <c r="V47" s="60" t="n">
        <v>28.023739</v>
      </c>
      <c r="W47" s="71" t="n">
        <f aca="false">871060.28/6</f>
        <v>145176.713333333</v>
      </c>
      <c r="X47" s="61" t="n">
        <f aca="false">U47/V47</f>
        <v>20088.1499074767</v>
      </c>
      <c r="Y47" s="61" t="n">
        <v>362.2</v>
      </c>
      <c r="Z47" s="28" t="n">
        <v>4.6</v>
      </c>
      <c r="AA47" s="62" t="s">
        <v>80</v>
      </c>
      <c r="AB47" s="38" t="n">
        <v>43474</v>
      </c>
      <c r="AC47" s="38" t="n">
        <v>43524</v>
      </c>
      <c r="AD47" s="38" t="n">
        <v>43535</v>
      </c>
      <c r="AE47" s="38" t="n">
        <v>45362</v>
      </c>
      <c r="AF47" s="57" t="n">
        <f aca="false">YEAR(AE47)</f>
        <v>2024</v>
      </c>
      <c r="AG47" s="63" t="n">
        <f aca="false">X47/SUMIF($Z$2:$Z$380,Z47,$X$2:$X$380)*(VLOOKUP(Z47,'затраты по департаментам-2 '!$A$2:$C$182,2,FALSE())+VLOOKUP(Z47,'затраты по департаментам-2 '!$A$2:$C$182,3,FALSE()))</f>
        <v>13245.1491829838</v>
      </c>
      <c r="AH47" s="63" t="n">
        <f aca="false">W47/60</f>
        <v>2419.61188888889</v>
      </c>
      <c r="AI47" s="64" t="s">
        <v>422</v>
      </c>
      <c r="AJ47" s="63" t="s">
        <v>100</v>
      </c>
      <c r="AK47" s="109" t="n">
        <v>2356477</v>
      </c>
      <c r="AL47" s="81" t="s">
        <v>423</v>
      </c>
      <c r="AM47" s="74" t="s">
        <v>424</v>
      </c>
      <c r="AN47" s="64" t="s">
        <v>425</v>
      </c>
      <c r="AO47" s="65" t="n">
        <v>44889</v>
      </c>
      <c r="AP47" s="43"/>
      <c r="AR47" s="64"/>
    </row>
    <row r="48" customFormat="false" ht="14.25" hidden="false" customHeight="true" outlineLevel="0" collapsed="false">
      <c r="A48" s="26" t="n">
        <v>47</v>
      </c>
      <c r="B48" s="26" t="s">
        <v>426</v>
      </c>
      <c r="C48" s="43" t="s">
        <v>390</v>
      </c>
      <c r="D48" s="28" t="s">
        <v>73</v>
      </c>
      <c r="E48" s="43" t="n">
        <v>5.5</v>
      </c>
      <c r="F48" s="43" t="n">
        <v>1.6</v>
      </c>
      <c r="G48" s="26" t="n">
        <v>95</v>
      </c>
      <c r="H48" s="43" t="n">
        <v>2019</v>
      </c>
      <c r="I48" s="43" t="s">
        <v>96</v>
      </c>
      <c r="J48" s="43" t="s">
        <v>74</v>
      </c>
      <c r="K48" s="30" t="s">
        <v>427</v>
      </c>
      <c r="L48" s="35"/>
      <c r="M48" s="31" t="s">
        <v>428</v>
      </c>
      <c r="N48" s="32" t="s">
        <v>429</v>
      </c>
      <c r="O48" s="48" t="s">
        <v>52</v>
      </c>
      <c r="P48" s="48" t="s">
        <v>430</v>
      </c>
      <c r="Q48" s="57" t="n">
        <v>1000</v>
      </c>
      <c r="R48" s="58" t="s">
        <v>53</v>
      </c>
      <c r="S48" s="69" t="n">
        <v>3699</v>
      </c>
      <c r="T48" s="35" t="n">
        <v>5</v>
      </c>
      <c r="U48" s="28" t="n">
        <v>562945.07</v>
      </c>
      <c r="V48" s="60" t="n">
        <v>28.023739</v>
      </c>
      <c r="W48" s="71" t="n">
        <f aca="false">871060.28/6</f>
        <v>145176.713333333</v>
      </c>
      <c r="X48" s="61" t="n">
        <f aca="false">U48/V48</f>
        <v>20088.1499074767</v>
      </c>
      <c r="Y48" s="61" t="n">
        <v>362.2</v>
      </c>
      <c r="Z48" s="28" t="n">
        <v>4.6</v>
      </c>
      <c r="AA48" s="62" t="s">
        <v>80</v>
      </c>
      <c r="AB48" s="38" t="n">
        <v>43474</v>
      </c>
      <c r="AC48" s="38" t="n">
        <v>43524</v>
      </c>
      <c r="AD48" s="38" t="n">
        <v>43535</v>
      </c>
      <c r="AE48" s="38" t="n">
        <v>45362</v>
      </c>
      <c r="AF48" s="57" t="n">
        <f aca="false">YEAR(AE48)</f>
        <v>2024</v>
      </c>
      <c r="AG48" s="63" t="n">
        <f aca="false">X48/SUMIF($Z$2:$Z$380,Z48,$X$2:$X$380)*(VLOOKUP(Z48,'затраты по департаментам-2 '!$A$2:$C$182,2,FALSE())+VLOOKUP(Z48,'затраты по департаментам-2 '!$A$2:$C$182,3,FALSE()))</f>
        <v>13245.1491829838</v>
      </c>
      <c r="AH48" s="63" t="n">
        <f aca="false">W48/60</f>
        <v>2419.61188888889</v>
      </c>
      <c r="AI48" s="64" t="s">
        <v>422</v>
      </c>
      <c r="AJ48" s="63" t="s">
        <v>52</v>
      </c>
      <c r="AK48" s="109" t="n">
        <v>9565690</v>
      </c>
      <c r="AL48" s="81" t="s">
        <v>431</v>
      </c>
      <c r="AM48" s="78" t="s">
        <v>432</v>
      </c>
      <c r="AN48" s="64" t="s">
        <v>433</v>
      </c>
      <c r="AO48" s="65" t="n">
        <v>44412</v>
      </c>
      <c r="AP48" s="43"/>
      <c r="AQ48" s="66" t="s">
        <v>434</v>
      </c>
      <c r="AR48" s="64"/>
    </row>
    <row r="49" customFormat="false" ht="15" hidden="false" customHeight="true" outlineLevel="0" collapsed="false">
      <c r="A49" s="26" t="n">
        <v>48</v>
      </c>
      <c r="B49" s="26" t="s">
        <v>435</v>
      </c>
      <c r="C49" s="43" t="s">
        <v>390</v>
      </c>
      <c r="D49" s="28" t="s">
        <v>73</v>
      </c>
      <c r="E49" s="43" t="n">
        <v>5.5</v>
      </c>
      <c r="F49" s="43" t="n">
        <v>1.6</v>
      </c>
      <c r="G49" s="26" t="n">
        <v>95</v>
      </c>
      <c r="H49" s="43" t="n">
        <v>2019</v>
      </c>
      <c r="I49" s="43" t="s">
        <v>96</v>
      </c>
      <c r="J49" s="43" t="s">
        <v>74</v>
      </c>
      <c r="K49" s="30" t="s">
        <v>436</v>
      </c>
      <c r="L49" s="35"/>
      <c r="M49" s="31" t="s">
        <v>437</v>
      </c>
      <c r="N49" s="97" t="s">
        <v>438</v>
      </c>
      <c r="O49" s="48" t="s">
        <v>100</v>
      </c>
      <c r="P49" s="48" t="s">
        <v>439</v>
      </c>
      <c r="Q49" s="57" t="n">
        <v>1000</v>
      </c>
      <c r="R49" s="58" t="s">
        <v>413</v>
      </c>
      <c r="S49" s="69" t="n">
        <v>4170</v>
      </c>
      <c r="T49" s="35" t="s">
        <v>123</v>
      </c>
      <c r="U49" s="28" t="n">
        <v>562945.07</v>
      </c>
      <c r="V49" s="60" t="n">
        <v>28.023739</v>
      </c>
      <c r="W49" s="71" t="n">
        <f aca="false">871060.28/6</f>
        <v>145176.713333333</v>
      </c>
      <c r="X49" s="61" t="n">
        <f aca="false">U49/V49</f>
        <v>20088.1499074767</v>
      </c>
      <c r="Y49" s="61" t="n">
        <v>362.2</v>
      </c>
      <c r="Z49" s="28" t="n">
        <v>4.6</v>
      </c>
      <c r="AA49" s="62" t="s">
        <v>80</v>
      </c>
      <c r="AB49" s="38" t="n">
        <v>43474</v>
      </c>
      <c r="AC49" s="38" t="n">
        <v>43524</v>
      </c>
      <c r="AD49" s="38" t="n">
        <v>43535</v>
      </c>
      <c r="AE49" s="38" t="n">
        <v>45362</v>
      </c>
      <c r="AF49" s="57" t="n">
        <f aca="false">YEAR(AE49)</f>
        <v>2024</v>
      </c>
      <c r="AG49" s="63" t="n">
        <f aca="false">X49/SUMIF($Z$2:$Z$380,Z49,$X$2:$X$380)*(VLOOKUP(Z49,'затраты по департаментам-2 '!$A$2:$C$182,2,FALSE())+VLOOKUP(Z49,'затраты по департаментам-2 '!$A$2:$C$182,3,FALSE()))</f>
        <v>13245.1491829838</v>
      </c>
      <c r="AH49" s="63" t="n">
        <f aca="false">W49/60</f>
        <v>2419.61188888889</v>
      </c>
      <c r="AI49" s="64" t="s">
        <v>81</v>
      </c>
      <c r="AJ49" s="63" t="s">
        <v>100</v>
      </c>
      <c r="AK49" s="109" t="n">
        <v>82382432</v>
      </c>
      <c r="AL49" s="99" t="s">
        <v>440</v>
      </c>
      <c r="AM49" s="74" t="s">
        <v>441</v>
      </c>
      <c r="AN49" s="64" t="s">
        <v>442</v>
      </c>
      <c r="AO49" s="65" t="n">
        <v>44845</v>
      </c>
      <c r="AP49" s="43"/>
      <c r="AQ49" s="66" t="s">
        <v>443</v>
      </c>
      <c r="AR49" s="64"/>
    </row>
    <row r="50" customFormat="false" ht="15" hidden="false" customHeight="false" outlineLevel="0" collapsed="false">
      <c r="A50" s="26" t="n">
        <v>49</v>
      </c>
      <c r="B50" s="111" t="s">
        <v>444</v>
      </c>
      <c r="C50" s="43" t="s">
        <v>445</v>
      </c>
      <c r="D50" s="28" t="s">
        <v>73</v>
      </c>
      <c r="E50" s="43" t="n">
        <v>5.5</v>
      </c>
      <c r="F50" s="43" t="n">
        <v>1.6</v>
      </c>
      <c r="G50" s="26" t="n">
        <v>95</v>
      </c>
      <c r="H50" s="43" t="n">
        <v>2019</v>
      </c>
      <c r="I50" s="43" t="s">
        <v>96</v>
      </c>
      <c r="J50" s="43" t="s">
        <v>74</v>
      </c>
      <c r="K50" s="86" t="s">
        <v>446</v>
      </c>
      <c r="L50" s="82"/>
      <c r="M50" s="31" t="s">
        <v>447</v>
      </c>
      <c r="N50" s="32" t="s">
        <v>448</v>
      </c>
      <c r="O50" s="70" t="s">
        <v>100</v>
      </c>
      <c r="P50" s="48" t="s">
        <v>420</v>
      </c>
      <c r="Q50" s="87" t="n">
        <v>1000</v>
      </c>
      <c r="R50" s="58" t="s">
        <v>405</v>
      </c>
      <c r="S50" s="69" t="n">
        <v>4290</v>
      </c>
      <c r="T50" s="59" t="s">
        <v>421</v>
      </c>
      <c r="U50" s="28" t="n">
        <v>664839.39</v>
      </c>
      <c r="V50" s="60" t="n">
        <v>28.023739</v>
      </c>
      <c r="W50" s="71" t="n">
        <f aca="false">329916.01/2</f>
        <v>164958.005</v>
      </c>
      <c r="X50" s="61" t="n">
        <f aca="false">U50/V50</f>
        <v>23724.1500857541</v>
      </c>
      <c r="Y50" s="61" t="n">
        <v>411.79</v>
      </c>
      <c r="Z50" s="28" t="n">
        <v>4.7</v>
      </c>
      <c r="AA50" s="62" t="s">
        <v>80</v>
      </c>
      <c r="AB50" s="38" t="n">
        <v>43474</v>
      </c>
      <c r="AC50" s="38" t="n">
        <v>43524</v>
      </c>
      <c r="AD50" s="38" t="n">
        <v>43535</v>
      </c>
      <c r="AE50" s="38" t="n">
        <v>45362</v>
      </c>
      <c r="AF50" s="57" t="n">
        <f aca="false">YEAR(AE50)</f>
        <v>2024</v>
      </c>
      <c r="AG50" s="63" t="n">
        <f aca="false">X50/SUMIF($Z$2:$Z$380,Z50,$X$2:$X$380)*(VLOOKUP(Z50,'затраты по департаментам-2 '!$A$2:$C$182,2,FALSE())+VLOOKUP(Z50,'затраты по департаментам-2 '!$A$2:$C$182,3,FALSE()))</f>
        <v>15058.5374919457</v>
      </c>
      <c r="AH50" s="63" t="n">
        <f aca="false">W50/60</f>
        <v>2749.30008333333</v>
      </c>
      <c r="AI50" s="64"/>
      <c r="AJ50" s="63" t="s">
        <v>100</v>
      </c>
      <c r="AK50" s="108" t="n">
        <v>86509188</v>
      </c>
      <c r="AL50" s="99" t="s">
        <v>449</v>
      </c>
      <c r="AM50" s="74" t="s">
        <v>450</v>
      </c>
      <c r="AN50" s="64" t="s">
        <v>451</v>
      </c>
      <c r="AO50" s="65" t="n">
        <v>44716</v>
      </c>
      <c r="AP50" s="43"/>
      <c r="AQ50" s="64"/>
      <c r="AR50" s="64"/>
    </row>
    <row r="51" customFormat="false" ht="14.25" hidden="false" customHeight="false" outlineLevel="0" collapsed="false">
      <c r="A51" s="26" t="n">
        <v>50</v>
      </c>
      <c r="B51" s="111" t="s">
        <v>452</v>
      </c>
      <c r="C51" s="43" t="s">
        <v>445</v>
      </c>
      <c r="D51" s="28" t="s">
        <v>73</v>
      </c>
      <c r="E51" s="43" t="n">
        <v>5.5</v>
      </c>
      <c r="F51" s="43" t="n">
        <v>1.6</v>
      </c>
      <c r="G51" s="26" t="n">
        <v>95</v>
      </c>
      <c r="H51" s="43" t="n">
        <v>2019</v>
      </c>
      <c r="I51" s="43" t="s">
        <v>96</v>
      </c>
      <c r="J51" s="43" t="s">
        <v>74</v>
      </c>
      <c r="K51" s="30" t="s">
        <v>453</v>
      </c>
      <c r="L51" s="82"/>
      <c r="M51" s="31" t="s">
        <v>454</v>
      </c>
      <c r="N51" s="32" t="s">
        <v>455</v>
      </c>
      <c r="O51" s="28" t="s">
        <v>52</v>
      </c>
      <c r="P51" s="48" t="s">
        <v>456</v>
      </c>
      <c r="Q51" s="57" t="n">
        <v>1000</v>
      </c>
      <c r="R51" s="58" t="s">
        <v>457</v>
      </c>
      <c r="S51" s="69" t="n">
        <v>5221</v>
      </c>
      <c r="T51" s="35" t="s">
        <v>421</v>
      </c>
      <c r="U51" s="28" t="n">
        <v>664839.39</v>
      </c>
      <c r="V51" s="60" t="n">
        <v>28.023739</v>
      </c>
      <c r="W51" s="71" t="n">
        <f aca="false">329916.01/2</f>
        <v>164958.005</v>
      </c>
      <c r="X51" s="61" t="n">
        <f aca="false">U51/V51</f>
        <v>23724.1500857541</v>
      </c>
      <c r="Y51" s="61" t="n">
        <v>411.79</v>
      </c>
      <c r="Z51" s="28" t="n">
        <v>4.7</v>
      </c>
      <c r="AA51" s="62" t="s">
        <v>80</v>
      </c>
      <c r="AB51" s="38" t="n">
        <v>43474</v>
      </c>
      <c r="AC51" s="38" t="n">
        <v>43524</v>
      </c>
      <c r="AD51" s="38" t="n">
        <v>43535</v>
      </c>
      <c r="AE51" s="38" t="n">
        <v>45362</v>
      </c>
      <c r="AF51" s="57" t="n">
        <f aca="false">YEAR(AE51)</f>
        <v>2024</v>
      </c>
      <c r="AG51" s="63" t="n">
        <f aca="false">X51/SUMIF($Z$2:$Z$380,Z51,$X$2:$X$380)*(VLOOKUP(Z51,'затраты по департаментам-2 '!$A$2:$C$182,2,FALSE())+VLOOKUP(Z51,'затраты по департаментам-2 '!$A$2:$C$182,3,FALSE()))</f>
        <v>15058.5374919457</v>
      </c>
      <c r="AH51" s="63" t="n">
        <f aca="false">W51/60</f>
        <v>2749.30008333333</v>
      </c>
      <c r="AI51" s="64" t="s">
        <v>81</v>
      </c>
      <c r="AJ51" s="63" t="s">
        <v>52</v>
      </c>
      <c r="AK51" s="108" t="n">
        <v>82356642</v>
      </c>
      <c r="AL51" s="81" t="s">
        <v>458</v>
      </c>
      <c r="AM51" s="85" t="s">
        <v>459</v>
      </c>
      <c r="AN51" s="48" t="s">
        <v>460</v>
      </c>
      <c r="AO51" s="65" t="n">
        <v>44433</v>
      </c>
      <c r="AP51" s="43"/>
      <c r="AQ51" s="66" t="s">
        <v>461</v>
      </c>
      <c r="AR51" s="64"/>
    </row>
    <row r="52" customFormat="false" ht="14.25" hidden="false" customHeight="true" outlineLevel="0" collapsed="false">
      <c r="A52" s="26" t="n">
        <v>51</v>
      </c>
      <c r="B52" s="26" t="s">
        <v>462</v>
      </c>
      <c r="C52" s="27" t="s">
        <v>463</v>
      </c>
      <c r="D52" s="28" t="s">
        <v>73</v>
      </c>
      <c r="E52" s="43" t="n">
        <v>5.8</v>
      </c>
      <c r="F52" s="43" t="n">
        <v>1.6</v>
      </c>
      <c r="G52" s="43" t="n">
        <v>109</v>
      </c>
      <c r="H52" s="43" t="n">
        <v>2019</v>
      </c>
      <c r="I52" s="43" t="s">
        <v>96</v>
      </c>
      <c r="J52" s="27" t="s">
        <v>87</v>
      </c>
      <c r="K52" s="30" t="s">
        <v>464</v>
      </c>
      <c r="L52" s="35"/>
      <c r="M52" s="31" t="s">
        <v>465</v>
      </c>
      <c r="N52" s="32" t="s">
        <v>466</v>
      </c>
      <c r="O52" s="28" t="s">
        <v>100</v>
      </c>
      <c r="P52" s="56" t="s">
        <v>181</v>
      </c>
      <c r="Q52" s="103" t="n">
        <v>7900</v>
      </c>
      <c r="R52" s="97" t="s">
        <v>467</v>
      </c>
      <c r="S52" s="69" t="n">
        <v>4143</v>
      </c>
      <c r="T52" s="35" t="s">
        <v>79</v>
      </c>
      <c r="U52" s="28" t="n">
        <v>495519.96</v>
      </c>
      <c r="V52" s="60" t="n">
        <v>28.023739</v>
      </c>
      <c r="W52" s="71" t="n">
        <f aca="false">396237.94/3</f>
        <v>132079.313333333</v>
      </c>
      <c r="X52" s="61" t="n">
        <f aca="false">U52/V52</f>
        <v>17682.1501227941</v>
      </c>
      <c r="Y52" s="61" t="n">
        <v>303.51</v>
      </c>
      <c r="Z52" s="28" t="n">
        <v>4.8</v>
      </c>
      <c r="AA52" s="62" t="s">
        <v>80</v>
      </c>
      <c r="AB52" s="38" t="n">
        <v>43474</v>
      </c>
      <c r="AC52" s="38" t="n">
        <v>43524</v>
      </c>
      <c r="AD52" s="38" t="n">
        <v>43528</v>
      </c>
      <c r="AE52" s="38" t="n">
        <v>45355</v>
      </c>
      <c r="AF52" s="57" t="n">
        <f aca="false">YEAR(AE52)</f>
        <v>2024</v>
      </c>
      <c r="AG52" s="63" t="n">
        <f aca="false">X52/SUMIF($Z$2:$Z$380,Z52,$X$2:$X$380)*(VLOOKUP(Z52,'затраты по департаментам-2 '!$A$2:$C$182,2,FALSE())+VLOOKUP(Z52,'затраты по департаментам-2 '!$A$2:$C$182,3,FALSE()))</f>
        <v>11099.0075251557</v>
      </c>
      <c r="AH52" s="63" t="n">
        <f aca="false">W52/60</f>
        <v>2201.32188888889</v>
      </c>
      <c r="AI52" s="64" t="s">
        <v>81</v>
      </c>
      <c r="AJ52" s="63" t="s">
        <v>100</v>
      </c>
      <c r="AK52" s="43" t="n">
        <v>383380</v>
      </c>
      <c r="AL52" s="43" t="s">
        <v>468</v>
      </c>
      <c r="AM52" s="85" t="s">
        <v>469</v>
      </c>
      <c r="AN52" s="64" t="s">
        <v>470</v>
      </c>
      <c r="AO52" s="65" t="n">
        <v>44433</v>
      </c>
      <c r="AP52" s="43"/>
      <c r="AQ52" s="66" t="s">
        <v>471</v>
      </c>
      <c r="AR52" s="64"/>
    </row>
    <row r="53" customFormat="false" ht="15" hidden="false" customHeight="true" outlineLevel="0" collapsed="false">
      <c r="A53" s="26" t="n">
        <v>52</v>
      </c>
      <c r="B53" s="26" t="s">
        <v>472</v>
      </c>
      <c r="C53" s="27" t="s">
        <v>463</v>
      </c>
      <c r="D53" s="28" t="s">
        <v>73</v>
      </c>
      <c r="E53" s="43" t="n">
        <v>5.8</v>
      </c>
      <c r="F53" s="43" t="n">
        <v>1.6</v>
      </c>
      <c r="G53" s="43" t="n">
        <v>109</v>
      </c>
      <c r="H53" s="43" t="n">
        <v>2019</v>
      </c>
      <c r="I53" s="43" t="s">
        <v>96</v>
      </c>
      <c r="J53" s="27" t="s">
        <v>87</v>
      </c>
      <c r="K53" s="30" t="s">
        <v>473</v>
      </c>
      <c r="L53" s="35"/>
      <c r="M53" s="31" t="s">
        <v>474</v>
      </c>
      <c r="N53" s="32" t="s">
        <v>475</v>
      </c>
      <c r="O53" s="28" t="s">
        <v>100</v>
      </c>
      <c r="P53" s="48" t="s">
        <v>181</v>
      </c>
      <c r="Q53" s="103" t="n">
        <v>7900</v>
      </c>
      <c r="R53" s="58" t="s">
        <v>171</v>
      </c>
      <c r="S53" s="69" t="n">
        <v>4133</v>
      </c>
      <c r="T53" s="35" t="s">
        <v>79</v>
      </c>
      <c r="U53" s="28" t="n">
        <v>495519.96</v>
      </c>
      <c r="V53" s="60" t="n">
        <v>28.023739</v>
      </c>
      <c r="W53" s="71" t="n">
        <f aca="false">396237.94/3</f>
        <v>132079.313333333</v>
      </c>
      <c r="X53" s="61" t="n">
        <f aca="false">U53/V53</f>
        <v>17682.1501227941</v>
      </c>
      <c r="Y53" s="61" t="n">
        <v>303.51</v>
      </c>
      <c r="Z53" s="28" t="n">
        <v>4.8</v>
      </c>
      <c r="AA53" s="62" t="s">
        <v>80</v>
      </c>
      <c r="AB53" s="38" t="n">
        <v>43474</v>
      </c>
      <c r="AC53" s="38" t="n">
        <v>43524</v>
      </c>
      <c r="AD53" s="38" t="n">
        <v>43535</v>
      </c>
      <c r="AE53" s="38" t="n">
        <v>45362</v>
      </c>
      <c r="AF53" s="57" t="n">
        <f aca="false">YEAR(AE53)</f>
        <v>2024</v>
      </c>
      <c r="AG53" s="63" t="n">
        <f aca="false">X53/SUMIF($Z$2:$Z$380,Z53,$X$2:$X$380)*(VLOOKUP(Z53,'затраты по департаментам-2 '!$A$2:$C$182,2,FALSE())+VLOOKUP(Z53,'затраты по департаментам-2 '!$A$2:$C$182,3,FALSE()))</f>
        <v>11099.0075251557</v>
      </c>
      <c r="AH53" s="63" t="n">
        <f aca="false">W53/60</f>
        <v>2201.32188888889</v>
      </c>
      <c r="AI53" s="64" t="s">
        <v>81</v>
      </c>
      <c r="AJ53" s="63" t="s">
        <v>100</v>
      </c>
      <c r="AK53" s="43" t="n">
        <v>6508958</v>
      </c>
      <c r="AL53" s="99" t="s">
        <v>476</v>
      </c>
      <c r="AM53" s="96" t="s">
        <v>477</v>
      </c>
      <c r="AN53" s="64" t="s">
        <v>478</v>
      </c>
      <c r="AO53" s="65" t="n">
        <v>44831</v>
      </c>
      <c r="AP53" s="43"/>
      <c r="AQ53" s="66" t="s">
        <v>479</v>
      </c>
      <c r="AR53" s="76" t="n">
        <v>44533</v>
      </c>
    </row>
    <row r="54" customFormat="false" ht="14.25" hidden="false" customHeight="false" outlineLevel="0" collapsed="false">
      <c r="A54" s="26" t="n">
        <v>53</v>
      </c>
      <c r="B54" s="26" t="s">
        <v>480</v>
      </c>
      <c r="C54" s="27" t="s">
        <v>463</v>
      </c>
      <c r="D54" s="28" t="s">
        <v>73</v>
      </c>
      <c r="E54" s="43" t="n">
        <v>5.8</v>
      </c>
      <c r="F54" s="43" t="n">
        <v>1.6</v>
      </c>
      <c r="G54" s="43" t="n">
        <v>126</v>
      </c>
      <c r="H54" s="43" t="n">
        <v>2019</v>
      </c>
      <c r="I54" s="43" t="s">
        <v>96</v>
      </c>
      <c r="J54" s="27" t="s">
        <v>87</v>
      </c>
      <c r="K54" s="30" t="s">
        <v>481</v>
      </c>
      <c r="L54" s="35"/>
      <c r="M54" s="31" t="s">
        <v>482</v>
      </c>
      <c r="N54" s="32" t="s">
        <v>90</v>
      </c>
      <c r="O54" s="28" t="s">
        <v>52</v>
      </c>
      <c r="P54" s="56" t="s">
        <v>327</v>
      </c>
      <c r="Q54" s="87" t="n">
        <v>7900</v>
      </c>
      <c r="R54" s="58" t="s">
        <v>467</v>
      </c>
      <c r="S54" s="69" t="n">
        <v>4141</v>
      </c>
      <c r="T54" s="35" t="s">
        <v>79</v>
      </c>
      <c r="U54" s="28" t="n">
        <v>495519.96</v>
      </c>
      <c r="V54" s="60" t="n">
        <v>28.023739</v>
      </c>
      <c r="W54" s="71" t="n">
        <f aca="false">396237.94/3</f>
        <v>132079.313333333</v>
      </c>
      <c r="X54" s="61" t="n">
        <f aca="false">U54/V54</f>
        <v>17682.1501227941</v>
      </c>
      <c r="Y54" s="61" t="n">
        <v>303.51</v>
      </c>
      <c r="Z54" s="28" t="n">
        <v>4.8</v>
      </c>
      <c r="AA54" s="62" t="s">
        <v>80</v>
      </c>
      <c r="AB54" s="38" t="n">
        <v>43474</v>
      </c>
      <c r="AC54" s="38" t="n">
        <v>43524</v>
      </c>
      <c r="AD54" s="38" t="n">
        <v>43535</v>
      </c>
      <c r="AE54" s="38" t="n">
        <v>45362</v>
      </c>
      <c r="AF54" s="57" t="n">
        <f aca="false">YEAR(AE54)</f>
        <v>2024</v>
      </c>
      <c r="AG54" s="63" t="n">
        <f aca="false">X54/SUMIF($Z$2:$Z$380,Z54,$X$2:$X$380)*(VLOOKUP(Z54,'затраты по департаментам-2 '!$A$2:$C$182,2,FALSE())+VLOOKUP(Z54,'затраты по департаментам-2 '!$A$2:$C$182,3,FALSE()))</f>
        <v>11099.0075251557</v>
      </c>
      <c r="AH54" s="63" t="n">
        <f aca="false">W54/60</f>
        <v>2201.32188888889</v>
      </c>
      <c r="AI54" s="64" t="s">
        <v>81</v>
      </c>
      <c r="AJ54" s="63" t="s">
        <v>52</v>
      </c>
      <c r="AK54" s="43" t="n">
        <v>86509113</v>
      </c>
      <c r="AL54" s="81" t="s">
        <v>483</v>
      </c>
      <c r="AM54" s="85" t="s">
        <v>484</v>
      </c>
      <c r="AN54" s="64" t="s">
        <v>485</v>
      </c>
      <c r="AO54" s="65" t="n">
        <v>44419</v>
      </c>
      <c r="AP54" s="43"/>
      <c r="AQ54" s="66" t="s">
        <v>486</v>
      </c>
      <c r="AR54" s="64"/>
    </row>
    <row r="55" customFormat="false" ht="14.25" hidden="false" customHeight="true" outlineLevel="0" collapsed="false">
      <c r="A55" s="26" t="n">
        <v>54</v>
      </c>
      <c r="B55" s="43" t="s">
        <v>487</v>
      </c>
      <c r="C55" s="43" t="s">
        <v>379</v>
      </c>
      <c r="D55" s="28" t="s">
        <v>73</v>
      </c>
      <c r="E55" s="43" t="n">
        <v>12.5</v>
      </c>
      <c r="F55" s="43" t="n">
        <v>2</v>
      </c>
      <c r="G55" s="43" t="n">
        <v>193</v>
      </c>
      <c r="H55" s="43" t="n">
        <v>2019</v>
      </c>
      <c r="I55" s="43" t="s">
        <v>96</v>
      </c>
      <c r="J55" s="43" t="s">
        <v>74</v>
      </c>
      <c r="K55" s="30" t="s">
        <v>488</v>
      </c>
      <c r="L55" s="35"/>
      <c r="M55" s="31" t="s">
        <v>489</v>
      </c>
      <c r="N55" s="32" t="s">
        <v>490</v>
      </c>
      <c r="O55" s="28" t="s">
        <v>100</v>
      </c>
      <c r="P55" s="56" t="s">
        <v>491</v>
      </c>
      <c r="Q55" s="57" t="n">
        <v>1000</v>
      </c>
      <c r="R55" s="58" t="s">
        <v>492</v>
      </c>
      <c r="S55" s="69" t="n">
        <v>4390</v>
      </c>
      <c r="T55" s="35" t="s">
        <v>493</v>
      </c>
      <c r="U55" s="28" t="n">
        <v>2104043.61</v>
      </c>
      <c r="V55" s="60" t="n">
        <v>27.772064</v>
      </c>
      <c r="W55" s="71" t="n">
        <f aca="false">871951.24/2</f>
        <v>435975.62</v>
      </c>
      <c r="X55" s="61" t="n">
        <f aca="false">U55/V55</f>
        <v>75761.1537262769</v>
      </c>
      <c r="Y55" s="61" t="n">
        <f aca="false">98861.94/3/V$56</f>
        <v>1186.58735627284</v>
      </c>
      <c r="Z55" s="28" t="n">
        <v>4.9</v>
      </c>
      <c r="AA55" s="62" t="s">
        <v>80</v>
      </c>
      <c r="AB55" s="38" t="n">
        <v>43495</v>
      </c>
      <c r="AC55" s="38" t="n">
        <v>43610</v>
      </c>
      <c r="AD55" s="38" t="n">
        <v>43598</v>
      </c>
      <c r="AE55" s="50" t="n">
        <v>45424</v>
      </c>
      <c r="AF55" s="28" t="n">
        <f aca="false">YEAR(AE55)</f>
        <v>2024</v>
      </c>
      <c r="AG55" s="63" t="n">
        <f aca="false">X55/SUMIF($Z$2:$Z$380,Z55,$X$2:$X$380)*(VLOOKUP(Z55,'затраты по департаментам-2 '!$A$2:$C$182,2,FALSE())+VLOOKUP(Z55,'затраты по департаментам-2 '!$A$2:$C$182,3,FALSE()))</f>
        <v>43391.8383965988</v>
      </c>
      <c r="AH55" s="63" t="n">
        <f aca="false">W55/60</f>
        <v>7266.26033333333</v>
      </c>
      <c r="AI55" s="64" t="s">
        <v>81</v>
      </c>
      <c r="AJ55" s="63" t="s">
        <v>100</v>
      </c>
      <c r="AK55" s="43" t="n">
        <v>88566244</v>
      </c>
      <c r="AL55" s="43"/>
      <c r="AM55" s="74" t="s">
        <v>494</v>
      </c>
      <c r="AN55" s="43" t="s">
        <v>495</v>
      </c>
      <c r="AO55" s="65"/>
      <c r="AP55" s="44"/>
      <c r="AQ55" s="66" t="s">
        <v>496</v>
      </c>
      <c r="AR55" s="64"/>
    </row>
    <row r="56" customFormat="false" ht="15.75" hidden="false" customHeight="true" outlineLevel="0" collapsed="false">
      <c r="A56" s="26" t="n">
        <v>55</v>
      </c>
      <c r="B56" s="43" t="s">
        <v>497</v>
      </c>
      <c r="C56" s="43" t="s">
        <v>379</v>
      </c>
      <c r="D56" s="28" t="s">
        <v>73</v>
      </c>
      <c r="E56" s="43" t="n">
        <v>12.5</v>
      </c>
      <c r="F56" s="43" t="n">
        <v>2</v>
      </c>
      <c r="G56" s="43" t="n">
        <v>193</v>
      </c>
      <c r="H56" s="43" t="n">
        <v>2019</v>
      </c>
      <c r="I56" s="43" t="s">
        <v>96</v>
      </c>
      <c r="J56" s="43" t="s">
        <v>74</v>
      </c>
      <c r="K56" s="30" t="s">
        <v>498</v>
      </c>
      <c r="L56" s="35"/>
      <c r="M56" s="31" t="s">
        <v>499</v>
      </c>
      <c r="N56" s="32" t="s">
        <v>500</v>
      </c>
      <c r="O56" s="28" t="s">
        <v>100</v>
      </c>
      <c r="P56" s="56" t="s">
        <v>501</v>
      </c>
      <c r="Q56" s="57" t="n">
        <v>1000</v>
      </c>
      <c r="R56" s="58" t="s">
        <v>122</v>
      </c>
      <c r="S56" s="69" t="n">
        <v>4190</v>
      </c>
      <c r="T56" s="35" t="s">
        <v>493</v>
      </c>
      <c r="U56" s="28" t="n">
        <v>2104043.61</v>
      </c>
      <c r="V56" s="60" t="n">
        <v>27.772064</v>
      </c>
      <c r="W56" s="71" t="n">
        <f aca="false">871951.24/2</f>
        <v>435975.62</v>
      </c>
      <c r="X56" s="61" t="n">
        <f aca="false">U56/V56</f>
        <v>75761.1537262769</v>
      </c>
      <c r="Y56" s="61" t="n">
        <f aca="false">98861.94/3/V$56</f>
        <v>1186.58735627284</v>
      </c>
      <c r="Z56" s="28" t="n">
        <v>4.9</v>
      </c>
      <c r="AA56" s="62" t="s">
        <v>80</v>
      </c>
      <c r="AB56" s="38" t="n">
        <v>43495</v>
      </c>
      <c r="AC56" s="38" t="n">
        <v>43610</v>
      </c>
      <c r="AD56" s="38" t="n">
        <v>43609</v>
      </c>
      <c r="AE56" s="38" t="n">
        <v>45437</v>
      </c>
      <c r="AF56" s="28" t="n">
        <f aca="false">YEAR(AE56)</f>
        <v>2024</v>
      </c>
      <c r="AG56" s="63" t="n">
        <f aca="false">X56/SUMIF($Z$2:$Z$380,Z56,$X$2:$X$380)*(VLOOKUP(Z56,'затраты по департаментам-2 '!$A$2:$C$182,2,FALSE())+VLOOKUP(Z56,'затраты по департаментам-2 '!$A$2:$C$182,3,FALSE()))</f>
        <v>43391.8383965988</v>
      </c>
      <c r="AH56" s="63" t="n">
        <f aca="false">W56/60</f>
        <v>7266.26033333333</v>
      </c>
      <c r="AI56" s="64" t="s">
        <v>81</v>
      </c>
      <c r="AJ56" s="63" t="s">
        <v>100</v>
      </c>
      <c r="AK56" s="43" t="n">
        <v>88566236</v>
      </c>
      <c r="AL56" s="43"/>
      <c r="AM56" s="78" t="s">
        <v>502</v>
      </c>
      <c r="AN56" s="74" t="s">
        <v>503</v>
      </c>
      <c r="AO56" s="65"/>
      <c r="AQ56" s="66" t="s">
        <v>504</v>
      </c>
      <c r="AR56" s="76" t="n">
        <v>44664</v>
      </c>
    </row>
    <row r="57" customFormat="false" ht="14.25" hidden="false" customHeight="false" outlineLevel="0" collapsed="false">
      <c r="A57" s="26" t="n">
        <v>56</v>
      </c>
      <c r="B57" s="43" t="s">
        <v>505</v>
      </c>
      <c r="C57" s="43" t="s">
        <v>95</v>
      </c>
      <c r="D57" s="28" t="s">
        <v>46</v>
      </c>
      <c r="E57" s="43" t="n">
        <v>10.2</v>
      </c>
      <c r="F57" s="43" t="n">
        <v>1.8</v>
      </c>
      <c r="G57" s="43" t="n">
        <v>160</v>
      </c>
      <c r="H57" s="43" t="n">
        <v>2019</v>
      </c>
      <c r="I57" s="43" t="s">
        <v>96</v>
      </c>
      <c r="J57" s="43" t="s">
        <v>74</v>
      </c>
      <c r="K57" s="30" t="s">
        <v>506</v>
      </c>
      <c r="L57" s="35"/>
      <c r="M57" s="31" t="s">
        <v>507</v>
      </c>
      <c r="N57" s="32" t="s">
        <v>508</v>
      </c>
      <c r="O57" s="28" t="s">
        <v>100</v>
      </c>
      <c r="P57" s="56" t="s">
        <v>509</v>
      </c>
      <c r="Q57" s="57" t="n">
        <v>1000</v>
      </c>
      <c r="R57" s="58" t="s">
        <v>457</v>
      </c>
      <c r="S57" s="69" t="n">
        <v>5220</v>
      </c>
      <c r="T57" s="35" t="s">
        <v>102</v>
      </c>
      <c r="U57" s="28" t="n">
        <v>1084005.77</v>
      </c>
      <c r="V57" s="60" t="n">
        <v>27.74096</v>
      </c>
      <c r="W57" s="71" t="n">
        <f aca="false">715970.06/3</f>
        <v>238656.686666667</v>
      </c>
      <c r="X57" s="112" t="n">
        <f aca="false">U57/V57</f>
        <v>39076.0006142542</v>
      </c>
      <c r="Y57" s="112" t="n">
        <f aca="false">55752.06/V57/3</f>
        <v>669.912649021519</v>
      </c>
      <c r="Z57" s="28" t="n">
        <v>4.14</v>
      </c>
      <c r="AA57" s="62" t="s">
        <v>80</v>
      </c>
      <c r="AB57" s="80" t="n">
        <v>43497</v>
      </c>
      <c r="AC57" s="38" t="n">
        <v>43610</v>
      </c>
      <c r="AD57" s="38" t="n">
        <v>43656</v>
      </c>
      <c r="AE57" s="50" t="n">
        <v>45482</v>
      </c>
      <c r="AF57" s="28" t="n">
        <f aca="false">YEAR(AE57)</f>
        <v>2024</v>
      </c>
      <c r="AG57" s="63" t="n">
        <f aca="false">X57/SUMIF($Z$2:$Z$380,Z57,$X$2:$X$380)*(VLOOKUP(Z57,'затраты по департаментам-2 '!$A$2:$C$182,2,FALSE())+VLOOKUP(Z57,'затраты по департаментам-2 '!$A$2:$C$182,3,FALSE()))</f>
        <v>24497.7676970083</v>
      </c>
      <c r="AH57" s="63" t="n">
        <f aca="false">W57/60</f>
        <v>3977.61144444444</v>
      </c>
      <c r="AI57" s="64" t="s">
        <v>81</v>
      </c>
      <c r="AJ57" s="63" t="s">
        <v>100</v>
      </c>
      <c r="AK57" s="113" t="n">
        <v>85371245</v>
      </c>
      <c r="AL57" s="43"/>
      <c r="AM57" s="78" t="s">
        <v>510</v>
      </c>
      <c r="AN57" s="43" t="s">
        <v>511</v>
      </c>
      <c r="AO57" s="65" t="n">
        <v>44463</v>
      </c>
      <c r="AP57" s="43"/>
      <c r="AQ57" s="66" t="s">
        <v>512</v>
      </c>
      <c r="AR57" s="64"/>
    </row>
    <row r="58" customFormat="false" ht="14.25" hidden="false" customHeight="true" outlineLevel="0" collapsed="false">
      <c r="A58" s="26" t="n">
        <v>57</v>
      </c>
      <c r="B58" s="43" t="s">
        <v>513</v>
      </c>
      <c r="C58" s="43" t="s">
        <v>95</v>
      </c>
      <c r="D58" s="28" t="s">
        <v>46</v>
      </c>
      <c r="E58" s="43" t="n">
        <v>10.2</v>
      </c>
      <c r="F58" s="43" t="n">
        <v>1.8</v>
      </c>
      <c r="G58" s="43" t="n">
        <v>160</v>
      </c>
      <c r="H58" s="43" t="n">
        <v>2019</v>
      </c>
      <c r="I58" s="43" t="s">
        <v>96</v>
      </c>
      <c r="J58" s="43" t="s">
        <v>74</v>
      </c>
      <c r="K58" s="30" t="s">
        <v>514</v>
      </c>
      <c r="L58" s="35"/>
      <c r="M58" s="31" t="s">
        <v>515</v>
      </c>
      <c r="N58" s="32" t="s">
        <v>516</v>
      </c>
      <c r="O58" s="28" t="s">
        <v>100</v>
      </c>
      <c r="P58" s="56" t="s">
        <v>517</v>
      </c>
      <c r="Q58" s="57" t="n">
        <v>1000</v>
      </c>
      <c r="R58" s="58" t="s">
        <v>413</v>
      </c>
      <c r="S58" s="69" t="n">
        <v>4170</v>
      </c>
      <c r="T58" s="35" t="s">
        <v>102</v>
      </c>
      <c r="U58" s="28" t="n">
        <v>1084005.77</v>
      </c>
      <c r="V58" s="60" t="n">
        <v>27.74096</v>
      </c>
      <c r="W58" s="71" t="n">
        <f aca="false">715970.06/3</f>
        <v>238656.686666667</v>
      </c>
      <c r="X58" s="112" t="n">
        <f aca="false">U58/V58</f>
        <v>39076.0006142542</v>
      </c>
      <c r="Y58" s="112" t="n">
        <f aca="false">55752.06/V58/3</f>
        <v>669.912649021519</v>
      </c>
      <c r="Z58" s="28" t="n">
        <v>4.14</v>
      </c>
      <c r="AA58" s="62" t="s">
        <v>80</v>
      </c>
      <c r="AB58" s="80" t="n">
        <v>43497</v>
      </c>
      <c r="AC58" s="38" t="n">
        <v>43610</v>
      </c>
      <c r="AD58" s="38" t="n">
        <v>43656</v>
      </c>
      <c r="AE58" s="50" t="n">
        <v>45482</v>
      </c>
      <c r="AF58" s="28" t="n">
        <f aca="false">YEAR(AE58)</f>
        <v>2024</v>
      </c>
      <c r="AG58" s="63" t="n">
        <f aca="false">X58/SUMIF($Z$2:$Z$380,Z58,$X$2:$X$380)*(VLOOKUP(Z58,'затраты по департаментам-2 '!$A$2:$C$182,2,FALSE())+VLOOKUP(Z58,'затраты по департаментам-2 '!$A$2:$C$182,3,FALSE()))</f>
        <v>24497.7676970083</v>
      </c>
      <c r="AH58" s="63" t="n">
        <f aca="false">W58/60</f>
        <v>3977.61144444444</v>
      </c>
      <c r="AI58" s="64" t="s">
        <v>81</v>
      </c>
      <c r="AJ58" s="63" t="s">
        <v>100</v>
      </c>
      <c r="AK58" s="113" t="n">
        <v>85371237</v>
      </c>
      <c r="AL58" s="43"/>
      <c r="AM58" s="74" t="s">
        <v>518</v>
      </c>
      <c r="AN58" s="43" t="s">
        <v>519</v>
      </c>
      <c r="AO58" s="65" t="n">
        <v>44783</v>
      </c>
      <c r="AP58" s="43"/>
      <c r="AQ58" s="66" t="s">
        <v>520</v>
      </c>
      <c r="AR58" s="64"/>
    </row>
    <row r="59" customFormat="false" ht="14.25" hidden="false" customHeight="false" outlineLevel="0" collapsed="false">
      <c r="A59" s="26" t="n">
        <v>58</v>
      </c>
      <c r="B59" s="43" t="s">
        <v>521</v>
      </c>
      <c r="C59" s="43" t="s">
        <v>95</v>
      </c>
      <c r="D59" s="28" t="s">
        <v>46</v>
      </c>
      <c r="E59" s="43" t="n">
        <v>10.2</v>
      </c>
      <c r="F59" s="43" t="n">
        <v>1.8</v>
      </c>
      <c r="G59" s="43" t="n">
        <v>160</v>
      </c>
      <c r="H59" s="43" t="n">
        <v>2019</v>
      </c>
      <c r="I59" s="43" t="s">
        <v>96</v>
      </c>
      <c r="J59" s="43" t="s">
        <v>74</v>
      </c>
      <c r="K59" s="30" t="s">
        <v>522</v>
      </c>
      <c r="L59" s="35"/>
      <c r="M59" s="31" t="s">
        <v>523</v>
      </c>
      <c r="N59" s="32" t="s">
        <v>524</v>
      </c>
      <c r="O59" s="28" t="s">
        <v>100</v>
      </c>
      <c r="P59" s="56" t="s">
        <v>525</v>
      </c>
      <c r="Q59" s="57" t="n">
        <v>1000</v>
      </c>
      <c r="R59" s="58" t="s">
        <v>492</v>
      </c>
      <c r="S59" s="57" t="n">
        <v>4390</v>
      </c>
      <c r="T59" s="35" t="s">
        <v>102</v>
      </c>
      <c r="U59" s="28" t="n">
        <v>1084005.77</v>
      </c>
      <c r="V59" s="60" t="n">
        <v>27.74096</v>
      </c>
      <c r="W59" s="71" t="n">
        <f aca="false">715970.06/3</f>
        <v>238656.686666667</v>
      </c>
      <c r="X59" s="112" t="n">
        <f aca="false">U59/V59</f>
        <v>39076.0006142542</v>
      </c>
      <c r="Y59" s="112" t="n">
        <f aca="false">55752.06/V59/3</f>
        <v>669.912649021519</v>
      </c>
      <c r="Z59" s="28" t="n">
        <v>4.14</v>
      </c>
      <c r="AA59" s="62" t="s">
        <v>80</v>
      </c>
      <c r="AB59" s="80" t="n">
        <v>43497</v>
      </c>
      <c r="AC59" s="38" t="n">
        <v>43610</v>
      </c>
      <c r="AD59" s="38" t="n">
        <v>43656</v>
      </c>
      <c r="AE59" s="50" t="n">
        <v>45482</v>
      </c>
      <c r="AF59" s="28" t="n">
        <f aca="false">YEAR(AE59)</f>
        <v>2024</v>
      </c>
      <c r="AG59" s="63" t="n">
        <f aca="false">X59/SUMIF($Z$2:$Z$380,Z59,$X$2:$X$380)*(VLOOKUP(Z59,'затраты по департаментам-2 '!$A$2:$C$182,2,FALSE())+VLOOKUP(Z59,'затраты по департаментам-2 '!$A$2:$C$182,3,FALSE()))</f>
        <v>24497.7676970083</v>
      </c>
      <c r="AH59" s="63" t="n">
        <f aca="false">W59/60</f>
        <v>3977.61144444444</v>
      </c>
      <c r="AI59" s="64" t="s">
        <v>81</v>
      </c>
      <c r="AJ59" s="63" t="s">
        <v>100</v>
      </c>
      <c r="AK59" s="113" t="n">
        <v>88633176</v>
      </c>
      <c r="AL59" s="43"/>
      <c r="AM59" s="74" t="s">
        <v>526</v>
      </c>
      <c r="AN59" s="43" t="s">
        <v>527</v>
      </c>
      <c r="AO59" s="65" t="n">
        <v>44918</v>
      </c>
      <c r="AP59" s="43"/>
      <c r="AQ59" s="66" t="s">
        <v>528</v>
      </c>
      <c r="AR59" s="64"/>
    </row>
    <row r="60" customFormat="false" ht="14.25" hidden="false" customHeight="false" outlineLevel="0" collapsed="false">
      <c r="A60" s="26" t="n">
        <v>59</v>
      </c>
      <c r="B60" s="55" t="s">
        <v>529</v>
      </c>
      <c r="C60" s="55" t="s">
        <v>530</v>
      </c>
      <c r="D60" s="70" t="s">
        <v>73</v>
      </c>
      <c r="E60" s="55" t="n">
        <v>6.8</v>
      </c>
      <c r="F60" s="55" t="n">
        <v>2</v>
      </c>
      <c r="G60" s="55" t="n">
        <v>158</v>
      </c>
      <c r="H60" s="43" t="n">
        <v>2019</v>
      </c>
      <c r="I60" s="43" t="s">
        <v>96</v>
      </c>
      <c r="J60" s="55" t="s">
        <v>74</v>
      </c>
      <c r="K60" s="30" t="s">
        <v>531</v>
      </c>
      <c r="L60" s="59"/>
      <c r="M60" s="114" t="s">
        <v>532</v>
      </c>
      <c r="N60" s="107" t="s">
        <v>533</v>
      </c>
      <c r="O60" s="70" t="s">
        <v>100</v>
      </c>
      <c r="P60" s="56" t="s">
        <v>534</v>
      </c>
      <c r="Q60" s="93" t="n">
        <v>1000</v>
      </c>
      <c r="R60" s="115" t="s">
        <v>395</v>
      </c>
      <c r="S60" s="116" t="n">
        <v>5411</v>
      </c>
      <c r="T60" s="59" t="s">
        <v>79</v>
      </c>
      <c r="U60" s="28" t="n">
        <v>894625.77</v>
      </c>
      <c r="V60" s="60" t="n">
        <v>27.772064</v>
      </c>
      <c r="W60" s="71" t="n">
        <v>198394.35</v>
      </c>
      <c r="X60" s="112" t="n">
        <f aca="false">U60/V60</f>
        <v>32213.1538368916</v>
      </c>
      <c r="Y60" s="117" t="n">
        <f aca="false">15825.54/V60</f>
        <v>569.8366531202</v>
      </c>
      <c r="Z60" s="28" t="n">
        <v>4.15</v>
      </c>
      <c r="AA60" s="62" t="s">
        <v>80</v>
      </c>
      <c r="AB60" s="38" t="n">
        <v>43495</v>
      </c>
      <c r="AC60" s="38" t="n">
        <v>43671</v>
      </c>
      <c r="AD60" s="38" t="n">
        <v>43664</v>
      </c>
      <c r="AE60" s="50" t="n">
        <v>45491</v>
      </c>
      <c r="AF60" s="28" t="n">
        <f aca="false">YEAR(AE60)</f>
        <v>2024</v>
      </c>
      <c r="AG60" s="63" t="n">
        <f aca="false">X60/SUMIF($Z$2:$Z$380,Z60,$X$2:$X$380)*(VLOOKUP(Z60,'затраты по департаментам-2 '!$A$2:$C$182,2,FALSE())+VLOOKUP(Z60,'затраты по департаментам-2 '!$A$2:$C$182,3,FALSE()))</f>
        <v>20838.1286332914</v>
      </c>
      <c r="AH60" s="63" t="n">
        <f aca="false">W60/60</f>
        <v>3306.5725</v>
      </c>
      <c r="AI60" s="64" t="s">
        <v>81</v>
      </c>
      <c r="AJ60" s="63" t="s">
        <v>100</v>
      </c>
      <c r="AK60" s="113" t="n">
        <v>85491472</v>
      </c>
      <c r="AL60" s="43"/>
      <c r="AM60" s="74" t="s">
        <v>535</v>
      </c>
      <c r="AN60" s="43" t="s">
        <v>536</v>
      </c>
      <c r="AO60" s="65" t="n">
        <v>44783</v>
      </c>
      <c r="AP60" s="43"/>
      <c r="AQ60" s="66" t="s">
        <v>537</v>
      </c>
      <c r="AR60" s="64"/>
    </row>
    <row r="61" customFormat="false" ht="14.25" hidden="false" customHeight="false" outlineLevel="0" collapsed="false">
      <c r="A61" s="26" t="n">
        <v>60</v>
      </c>
      <c r="B61" s="55" t="s">
        <v>538</v>
      </c>
      <c r="C61" s="27" t="s">
        <v>463</v>
      </c>
      <c r="D61" s="28" t="s">
        <v>73</v>
      </c>
      <c r="E61" s="43" t="n">
        <v>5.4</v>
      </c>
      <c r="F61" s="43" t="n">
        <v>1.6</v>
      </c>
      <c r="G61" s="43" t="n">
        <v>126</v>
      </c>
      <c r="H61" s="43" t="n">
        <v>2019</v>
      </c>
      <c r="I61" s="43" t="s">
        <v>96</v>
      </c>
      <c r="J61" s="27" t="s">
        <v>87</v>
      </c>
      <c r="K61" s="118" t="s">
        <v>539</v>
      </c>
      <c r="L61" s="43"/>
      <c r="M61" s="31" t="s">
        <v>540</v>
      </c>
      <c r="N61" s="32" t="s">
        <v>466</v>
      </c>
      <c r="O61" s="28" t="s">
        <v>52</v>
      </c>
      <c r="P61" s="56" t="s">
        <v>327</v>
      </c>
      <c r="Q61" s="87" t="n">
        <v>7900</v>
      </c>
      <c r="R61" s="58" t="s">
        <v>92</v>
      </c>
      <c r="S61" s="69" t="n">
        <v>4141</v>
      </c>
      <c r="T61" s="59" t="s">
        <v>79</v>
      </c>
      <c r="U61" s="28" t="n">
        <v>491388.66</v>
      </c>
      <c r="V61" s="60" t="n">
        <v>27.790097</v>
      </c>
      <c r="W61" s="71" t="n">
        <f aca="false">1405768.26/11</f>
        <v>127797.114545455</v>
      </c>
      <c r="X61" s="112" t="n">
        <f aca="false">U61/V61</f>
        <v>17682.1498679907</v>
      </c>
      <c r="Y61" s="117" t="n">
        <f aca="false">92777.4/V61/11</f>
        <v>303.500527216911</v>
      </c>
      <c r="Z61" s="28" t="n">
        <v>4.16</v>
      </c>
      <c r="AA61" s="62" t="s">
        <v>80</v>
      </c>
      <c r="AB61" s="38" t="n">
        <v>43494</v>
      </c>
      <c r="AC61" s="38" t="n">
        <v>43631</v>
      </c>
      <c r="AD61" s="38" t="n">
        <v>43636</v>
      </c>
      <c r="AE61" s="50" t="n">
        <v>45462</v>
      </c>
      <c r="AF61" s="28" t="n">
        <f aca="false">YEAR(AE61)</f>
        <v>2024</v>
      </c>
      <c r="AG61" s="63" t="n">
        <f aca="false">X61/SUMIF($Z$2:$Z$380,Z61,$X$2:$X$380)*(VLOOKUP(Z61,'затраты по департаментам-2 '!$A$2:$C$182,2,FALSE())+VLOOKUP(Z61,'затраты по департаментам-2 '!$A$2:$C$182,3,FALSE()))</f>
        <v>11098.5893795843</v>
      </c>
      <c r="AH61" s="63" t="n">
        <f aca="false">W61/60</f>
        <v>2129.95190909091</v>
      </c>
      <c r="AI61" s="64" t="s">
        <v>81</v>
      </c>
      <c r="AJ61" s="63" t="s">
        <v>52</v>
      </c>
      <c r="AK61" s="119" t="n">
        <v>68879</v>
      </c>
      <c r="AL61" s="81" t="s">
        <v>541</v>
      </c>
      <c r="AM61" s="78" t="s">
        <v>542</v>
      </c>
      <c r="AN61" s="43" t="s">
        <v>543</v>
      </c>
      <c r="AO61" s="65" t="n">
        <v>44419</v>
      </c>
      <c r="AP61" s="43"/>
      <c r="AQ61" s="66" t="s">
        <v>544</v>
      </c>
      <c r="AR61" s="64"/>
    </row>
    <row r="62" customFormat="false" ht="14.25" hidden="false" customHeight="false" outlineLevel="0" collapsed="false">
      <c r="A62" s="26" t="n">
        <v>61</v>
      </c>
      <c r="B62" s="120" t="s">
        <v>545</v>
      </c>
      <c r="C62" s="27" t="s">
        <v>463</v>
      </c>
      <c r="D62" s="28" t="s">
        <v>73</v>
      </c>
      <c r="E62" s="43" t="n">
        <v>5.4</v>
      </c>
      <c r="F62" s="43" t="n">
        <v>1.6</v>
      </c>
      <c r="G62" s="43" t="n">
        <v>126</v>
      </c>
      <c r="H62" s="43" t="n">
        <v>2019</v>
      </c>
      <c r="I62" s="43" t="s">
        <v>96</v>
      </c>
      <c r="J62" s="27" t="s">
        <v>87</v>
      </c>
      <c r="K62" s="30" t="s">
        <v>546</v>
      </c>
      <c r="L62" s="43"/>
      <c r="M62" s="31" t="s">
        <v>547</v>
      </c>
      <c r="N62" s="32" t="s">
        <v>475</v>
      </c>
      <c r="O62" s="28" t="s">
        <v>197</v>
      </c>
      <c r="P62" s="56" t="s">
        <v>198</v>
      </c>
      <c r="Q62" s="87" t="n">
        <v>7900</v>
      </c>
      <c r="R62" s="58" t="s">
        <v>171</v>
      </c>
      <c r="S62" s="69" t="n">
        <v>4134</v>
      </c>
      <c r="T62" s="59" t="s">
        <v>79</v>
      </c>
      <c r="U62" s="28" t="n">
        <v>491388.66</v>
      </c>
      <c r="V62" s="60" t="n">
        <v>27.790097</v>
      </c>
      <c r="W62" s="71" t="n">
        <f aca="false">1405768.26/11</f>
        <v>127797.114545455</v>
      </c>
      <c r="X62" s="112" t="n">
        <f aca="false">U62/V62</f>
        <v>17682.1498679907</v>
      </c>
      <c r="Y62" s="117" t="n">
        <f aca="false">92777.4/V62/11</f>
        <v>303.500527216911</v>
      </c>
      <c r="Z62" s="28" t="n">
        <v>4.16</v>
      </c>
      <c r="AA62" s="62" t="s">
        <v>80</v>
      </c>
      <c r="AB62" s="38" t="n">
        <v>43494</v>
      </c>
      <c r="AC62" s="38" t="n">
        <v>43631</v>
      </c>
      <c r="AD62" s="38" t="n">
        <v>43636</v>
      </c>
      <c r="AE62" s="50" t="n">
        <v>45462</v>
      </c>
      <c r="AF62" s="28" t="n">
        <f aca="false">YEAR(AE62)</f>
        <v>2024</v>
      </c>
      <c r="AG62" s="63" t="n">
        <f aca="false">X62/SUMIF($Z$2:$Z$380,Z62,$X$2:$X$380)*(VLOOKUP(Z62,'затраты по департаментам-2 '!$A$2:$C$182,2,FALSE())+VLOOKUP(Z62,'затраты по департаментам-2 '!$A$2:$C$182,3,FALSE()))</f>
        <v>11098.5893795843</v>
      </c>
      <c r="AH62" s="63" t="n">
        <f aca="false">W62/60</f>
        <v>2129.95190909091</v>
      </c>
      <c r="AI62" s="64" t="s">
        <v>81</v>
      </c>
      <c r="AJ62" s="63" t="s">
        <v>197</v>
      </c>
      <c r="AK62" s="119" t="n">
        <v>16018</v>
      </c>
      <c r="AL62" s="81" t="s">
        <v>548</v>
      </c>
      <c r="AM62" s="85" t="s">
        <v>549</v>
      </c>
      <c r="AN62" s="43" t="s">
        <v>550</v>
      </c>
      <c r="AO62" s="65" t="n">
        <v>44981</v>
      </c>
      <c r="AP62" s="43"/>
      <c r="AQ62" s="66" t="s">
        <v>551</v>
      </c>
      <c r="AR62" s="64"/>
    </row>
    <row r="63" customFormat="false" ht="14.25" hidden="false" customHeight="false" outlineLevel="0" collapsed="false">
      <c r="A63" s="26" t="n">
        <v>62</v>
      </c>
      <c r="B63" s="55" t="s">
        <v>552</v>
      </c>
      <c r="C63" s="27" t="s">
        <v>463</v>
      </c>
      <c r="D63" s="28" t="s">
        <v>73</v>
      </c>
      <c r="E63" s="43" t="n">
        <v>5.4</v>
      </c>
      <c r="F63" s="43" t="n">
        <v>1.6</v>
      </c>
      <c r="G63" s="43" t="n">
        <v>126</v>
      </c>
      <c r="H63" s="43" t="n">
        <v>2019</v>
      </c>
      <c r="I63" s="43" t="s">
        <v>96</v>
      </c>
      <c r="J63" s="27" t="s">
        <v>87</v>
      </c>
      <c r="K63" s="30" t="s">
        <v>553</v>
      </c>
      <c r="L63" s="43"/>
      <c r="M63" s="31" t="s">
        <v>554</v>
      </c>
      <c r="N63" s="32" t="s">
        <v>466</v>
      </c>
      <c r="O63" s="28" t="s">
        <v>100</v>
      </c>
      <c r="P63" s="56" t="s">
        <v>181</v>
      </c>
      <c r="Q63" s="87" t="n">
        <v>7900</v>
      </c>
      <c r="R63" s="58" t="s">
        <v>92</v>
      </c>
      <c r="S63" s="69" t="n">
        <v>4143</v>
      </c>
      <c r="T63" s="59" t="s">
        <v>79</v>
      </c>
      <c r="U63" s="28" t="n">
        <v>491388.66</v>
      </c>
      <c r="V63" s="60" t="n">
        <v>27.790097</v>
      </c>
      <c r="W63" s="71" t="n">
        <f aca="false">1405768.26/11</f>
        <v>127797.114545455</v>
      </c>
      <c r="X63" s="112" t="n">
        <f aca="false">U63/V63</f>
        <v>17682.1498679907</v>
      </c>
      <c r="Y63" s="117" t="n">
        <f aca="false">92777.4/V63/11</f>
        <v>303.500527216911</v>
      </c>
      <c r="Z63" s="28" t="n">
        <v>4.16</v>
      </c>
      <c r="AA63" s="62" t="s">
        <v>80</v>
      </c>
      <c r="AB63" s="38" t="n">
        <v>43494</v>
      </c>
      <c r="AC63" s="38" t="n">
        <v>43631</v>
      </c>
      <c r="AD63" s="38" t="n">
        <v>43636</v>
      </c>
      <c r="AE63" s="50" t="n">
        <v>45462</v>
      </c>
      <c r="AF63" s="28" t="n">
        <f aca="false">YEAR(AE63)</f>
        <v>2024</v>
      </c>
      <c r="AG63" s="63" t="n">
        <f aca="false">X63/SUMIF($Z$2:$Z$380,Z63,$X$2:$X$380)*(VLOOKUP(Z63,'затраты по департаментам-2 '!$A$2:$C$182,2,FALSE())+VLOOKUP(Z63,'затраты по департаментам-2 '!$A$2:$C$182,3,FALSE()))</f>
        <v>11098.5893795843</v>
      </c>
      <c r="AH63" s="63" t="n">
        <f aca="false">W63/60</f>
        <v>2129.95190909091</v>
      </c>
      <c r="AI63" s="64" t="s">
        <v>81</v>
      </c>
      <c r="AJ63" s="63" t="s">
        <v>100</v>
      </c>
      <c r="AK63" s="119" t="n">
        <v>68861</v>
      </c>
      <c r="AL63" s="43"/>
      <c r="AM63" s="74" t="s">
        <v>555</v>
      </c>
      <c r="AN63" s="43" t="s">
        <v>556</v>
      </c>
      <c r="AO63" s="65" t="n">
        <v>44961</v>
      </c>
      <c r="AP63" s="43"/>
      <c r="AQ63" s="66" t="s">
        <v>557</v>
      </c>
      <c r="AR63" s="64"/>
    </row>
    <row r="64" customFormat="false" ht="14.25" hidden="false" customHeight="false" outlineLevel="0" collapsed="false">
      <c r="A64" s="26" t="n">
        <v>63</v>
      </c>
      <c r="B64" s="55" t="s">
        <v>558</v>
      </c>
      <c r="C64" s="27" t="s">
        <v>463</v>
      </c>
      <c r="D64" s="28" t="s">
        <v>73</v>
      </c>
      <c r="E64" s="43" t="n">
        <v>5.4</v>
      </c>
      <c r="F64" s="43" t="n">
        <v>1.6</v>
      </c>
      <c r="G64" s="43" t="n">
        <v>126</v>
      </c>
      <c r="H64" s="43" t="n">
        <v>2019</v>
      </c>
      <c r="I64" s="43" t="s">
        <v>96</v>
      </c>
      <c r="J64" s="27" t="s">
        <v>87</v>
      </c>
      <c r="K64" s="30" t="s">
        <v>559</v>
      </c>
      <c r="L64" s="43"/>
      <c r="M64" s="31" t="s">
        <v>560</v>
      </c>
      <c r="N64" s="32" t="s">
        <v>466</v>
      </c>
      <c r="O64" s="28" t="s">
        <v>52</v>
      </c>
      <c r="P64" s="28" t="s">
        <v>327</v>
      </c>
      <c r="Q64" s="87" t="n">
        <v>7900</v>
      </c>
      <c r="R64" s="58" t="s">
        <v>561</v>
      </c>
      <c r="S64" s="69" t="n">
        <v>4141</v>
      </c>
      <c r="T64" s="59" t="s">
        <v>79</v>
      </c>
      <c r="U64" s="28" t="n">
        <v>491388.66</v>
      </c>
      <c r="V64" s="60" t="n">
        <v>27.790097</v>
      </c>
      <c r="W64" s="71" t="n">
        <f aca="false">1405768.26/11</f>
        <v>127797.114545455</v>
      </c>
      <c r="X64" s="112" t="n">
        <f aca="false">U64/V64</f>
        <v>17682.1498679907</v>
      </c>
      <c r="Y64" s="117" t="n">
        <f aca="false">92777.4/V64/11</f>
        <v>303.500527216911</v>
      </c>
      <c r="Z64" s="28" t="n">
        <v>4.16</v>
      </c>
      <c r="AA64" s="62" t="s">
        <v>80</v>
      </c>
      <c r="AB64" s="38" t="n">
        <v>43494</v>
      </c>
      <c r="AC64" s="38" t="n">
        <v>43631</v>
      </c>
      <c r="AD64" s="38" t="n">
        <v>43636</v>
      </c>
      <c r="AE64" s="50" t="n">
        <v>45462</v>
      </c>
      <c r="AF64" s="28" t="n">
        <f aca="false">YEAR(AE64)</f>
        <v>2024</v>
      </c>
      <c r="AG64" s="63" t="n">
        <f aca="false">X64/SUMIF($Z$2:$Z$380,Z64,$X$2:$X$380)*(VLOOKUP(Z64,'затраты по департаментам-2 '!$A$2:$C$182,2,FALSE())+VLOOKUP(Z64,'затраты по департаментам-2 '!$A$2:$C$182,3,FALSE()))</f>
        <v>11098.5893795843</v>
      </c>
      <c r="AH64" s="63" t="n">
        <f aca="false">W64/60</f>
        <v>2129.95190909091</v>
      </c>
      <c r="AI64" s="64" t="s">
        <v>81</v>
      </c>
      <c r="AJ64" s="63" t="s">
        <v>52</v>
      </c>
      <c r="AK64" s="119" t="n">
        <v>57472</v>
      </c>
      <c r="AL64" s="81" t="s">
        <v>562</v>
      </c>
      <c r="AM64" s="78" t="s">
        <v>563</v>
      </c>
      <c r="AN64" s="43" t="s">
        <v>564</v>
      </c>
      <c r="AO64" s="65" t="n">
        <v>44412</v>
      </c>
      <c r="AP64" s="43"/>
      <c r="AQ64" s="66" t="s">
        <v>565</v>
      </c>
      <c r="AR64" s="64"/>
    </row>
    <row r="65" customFormat="false" ht="14.25" hidden="false" customHeight="false" outlineLevel="0" collapsed="false">
      <c r="A65" s="26" t="n">
        <v>64</v>
      </c>
      <c r="B65" s="55" t="s">
        <v>566</v>
      </c>
      <c r="C65" s="27" t="s">
        <v>463</v>
      </c>
      <c r="D65" s="28" t="s">
        <v>73</v>
      </c>
      <c r="E65" s="43" t="n">
        <v>5.4</v>
      </c>
      <c r="F65" s="43" t="n">
        <v>1.6</v>
      </c>
      <c r="G65" s="43" t="n">
        <v>126</v>
      </c>
      <c r="H65" s="43" t="n">
        <v>2019</v>
      </c>
      <c r="I65" s="43" t="s">
        <v>96</v>
      </c>
      <c r="J65" s="27" t="s">
        <v>87</v>
      </c>
      <c r="K65" s="30" t="s">
        <v>567</v>
      </c>
      <c r="L65" s="43"/>
      <c r="M65" s="31" t="s">
        <v>568</v>
      </c>
      <c r="N65" s="32" t="s">
        <v>466</v>
      </c>
      <c r="O65" s="28" t="s">
        <v>100</v>
      </c>
      <c r="P65" s="56" t="s">
        <v>181</v>
      </c>
      <c r="Q65" s="87" t="n">
        <v>7900</v>
      </c>
      <c r="R65" s="58" t="s">
        <v>467</v>
      </c>
      <c r="S65" s="69" t="n">
        <v>4143</v>
      </c>
      <c r="T65" s="59" t="s">
        <v>79</v>
      </c>
      <c r="U65" s="28" t="n">
        <v>491388.66</v>
      </c>
      <c r="V65" s="60" t="n">
        <v>27.790097</v>
      </c>
      <c r="W65" s="71" t="n">
        <f aca="false">1405768.26/11</f>
        <v>127797.114545455</v>
      </c>
      <c r="X65" s="112" t="n">
        <f aca="false">U65/V65</f>
        <v>17682.1498679907</v>
      </c>
      <c r="Y65" s="117" t="n">
        <f aca="false">92777.4/V65/11</f>
        <v>303.500527216911</v>
      </c>
      <c r="Z65" s="28" t="n">
        <v>4.16</v>
      </c>
      <c r="AA65" s="62" t="s">
        <v>80</v>
      </c>
      <c r="AB65" s="38" t="n">
        <v>43494</v>
      </c>
      <c r="AC65" s="38" t="n">
        <v>43631</v>
      </c>
      <c r="AD65" s="38" t="n">
        <v>43636</v>
      </c>
      <c r="AE65" s="50" t="n">
        <v>45462</v>
      </c>
      <c r="AF65" s="28" t="n">
        <f aca="false">YEAR(AE65)</f>
        <v>2024</v>
      </c>
      <c r="AG65" s="63" t="n">
        <f aca="false">X65/SUMIF($Z$2:$Z$380,Z65,$X$2:$X$380)*(VLOOKUP(Z65,'затраты по департаментам-2 '!$A$2:$C$182,2,FALSE())+VLOOKUP(Z65,'затраты по департаментам-2 '!$A$2:$C$182,3,FALSE()))</f>
        <v>11098.5893795843</v>
      </c>
      <c r="AH65" s="63" t="n">
        <f aca="false">W65/60</f>
        <v>2129.95190909091</v>
      </c>
      <c r="AI65" s="64" t="s">
        <v>81</v>
      </c>
      <c r="AJ65" s="63" t="s">
        <v>100</v>
      </c>
      <c r="AK65" s="119" t="n">
        <v>96292</v>
      </c>
      <c r="AL65" s="43"/>
      <c r="AM65" s="74" t="s">
        <v>569</v>
      </c>
      <c r="AN65" s="43" t="s">
        <v>570</v>
      </c>
      <c r="AO65" s="65" t="n">
        <v>44840</v>
      </c>
      <c r="AP65" s="43"/>
      <c r="AQ65" s="66" t="s">
        <v>571</v>
      </c>
      <c r="AR65" s="64"/>
    </row>
    <row r="66" customFormat="false" ht="14.25" hidden="false" customHeight="false" outlineLevel="0" collapsed="false">
      <c r="A66" s="26" t="n">
        <v>65</v>
      </c>
      <c r="B66" s="55" t="s">
        <v>572</v>
      </c>
      <c r="C66" s="27" t="s">
        <v>463</v>
      </c>
      <c r="D66" s="28" t="s">
        <v>73</v>
      </c>
      <c r="E66" s="43" t="n">
        <v>5.4</v>
      </c>
      <c r="F66" s="43" t="n">
        <v>1.6</v>
      </c>
      <c r="G66" s="43" t="n">
        <v>126</v>
      </c>
      <c r="H66" s="43" t="n">
        <v>2019</v>
      </c>
      <c r="I66" s="43" t="s">
        <v>96</v>
      </c>
      <c r="J66" s="27" t="s">
        <v>87</v>
      </c>
      <c r="K66" s="30" t="s">
        <v>573</v>
      </c>
      <c r="L66" s="43"/>
      <c r="M66" s="31" t="s">
        <v>574</v>
      </c>
      <c r="N66" s="32" t="s">
        <v>475</v>
      </c>
      <c r="O66" s="28" t="s">
        <v>100</v>
      </c>
      <c r="P66" s="56" t="s">
        <v>181</v>
      </c>
      <c r="Q66" s="87" t="n">
        <v>7900</v>
      </c>
      <c r="R66" s="89" t="s">
        <v>171</v>
      </c>
      <c r="S66" s="69" t="n">
        <v>4133</v>
      </c>
      <c r="T66" s="59" t="s">
        <v>79</v>
      </c>
      <c r="U66" s="28" t="n">
        <v>491388.66</v>
      </c>
      <c r="V66" s="60" t="n">
        <v>27.790097</v>
      </c>
      <c r="W66" s="71" t="n">
        <f aca="false">1405768.26/11</f>
        <v>127797.114545455</v>
      </c>
      <c r="X66" s="112" t="n">
        <f aca="false">U66/V66</f>
        <v>17682.1498679907</v>
      </c>
      <c r="Y66" s="117" t="n">
        <f aca="false">92777.4/V66/11</f>
        <v>303.500527216911</v>
      </c>
      <c r="Z66" s="28" t="n">
        <v>4.16</v>
      </c>
      <c r="AA66" s="62" t="s">
        <v>80</v>
      </c>
      <c r="AB66" s="38" t="n">
        <v>43494</v>
      </c>
      <c r="AC66" s="38" t="n">
        <v>43631</v>
      </c>
      <c r="AD66" s="38" t="n">
        <v>43636</v>
      </c>
      <c r="AE66" s="50" t="n">
        <v>45462</v>
      </c>
      <c r="AF66" s="28" t="n">
        <f aca="false">YEAR(AE66)</f>
        <v>2024</v>
      </c>
      <c r="AG66" s="63" t="n">
        <f aca="false">X66/SUMIF($Z$2:$Z$380,Z66,$X$2:$X$380)*(VLOOKUP(Z66,'затраты по департаментам-2 '!$A$2:$C$182,2,FALSE())+VLOOKUP(Z66,'затраты по департаментам-2 '!$A$2:$C$182,3,FALSE()))</f>
        <v>11098.5893795843</v>
      </c>
      <c r="AH66" s="63" t="n">
        <f aca="false">W66/60</f>
        <v>2129.95190909091</v>
      </c>
      <c r="AI66" s="64" t="s">
        <v>81</v>
      </c>
      <c r="AJ66" s="63" t="s">
        <v>100</v>
      </c>
      <c r="AK66" s="119" t="n">
        <v>69166</v>
      </c>
      <c r="AL66" s="43"/>
      <c r="AM66" s="74" t="s">
        <v>575</v>
      </c>
      <c r="AN66" s="43" t="s">
        <v>576</v>
      </c>
      <c r="AO66" s="65" t="n">
        <v>44855</v>
      </c>
      <c r="AP66" s="43"/>
      <c r="AQ66" s="66" t="s">
        <v>577</v>
      </c>
      <c r="AR66" s="76" t="n">
        <v>44508</v>
      </c>
    </row>
    <row r="67" customFormat="false" ht="14.25" hidden="false" customHeight="false" outlineLevel="0" collapsed="false">
      <c r="A67" s="26" t="n">
        <v>66</v>
      </c>
      <c r="B67" s="55" t="s">
        <v>578</v>
      </c>
      <c r="C67" s="27" t="s">
        <v>463</v>
      </c>
      <c r="D67" s="28" t="s">
        <v>73</v>
      </c>
      <c r="E67" s="43" t="n">
        <v>5.4</v>
      </c>
      <c r="F67" s="43" t="n">
        <v>1.6</v>
      </c>
      <c r="G67" s="43" t="n">
        <v>126</v>
      </c>
      <c r="H67" s="43" t="n">
        <v>2019</v>
      </c>
      <c r="I67" s="43" t="s">
        <v>96</v>
      </c>
      <c r="J67" s="27" t="s">
        <v>87</v>
      </c>
      <c r="K67" s="30" t="s">
        <v>579</v>
      </c>
      <c r="L67" s="82"/>
      <c r="M67" s="31" t="s">
        <v>580</v>
      </c>
      <c r="N67" s="32" t="s">
        <v>90</v>
      </c>
      <c r="O67" s="28" t="s">
        <v>100</v>
      </c>
      <c r="P67" s="56" t="s">
        <v>181</v>
      </c>
      <c r="Q67" s="103" t="n">
        <v>7900</v>
      </c>
      <c r="R67" s="58" t="s">
        <v>92</v>
      </c>
      <c r="S67" s="69" t="n">
        <v>4143</v>
      </c>
      <c r="T67" s="59" t="s">
        <v>79</v>
      </c>
      <c r="U67" s="28" t="n">
        <v>491388.66</v>
      </c>
      <c r="V67" s="60" t="n">
        <v>27.790097</v>
      </c>
      <c r="W67" s="71" t="n">
        <f aca="false">1405768.26/11</f>
        <v>127797.114545455</v>
      </c>
      <c r="X67" s="112" t="n">
        <f aca="false">U67/V67</f>
        <v>17682.1498679907</v>
      </c>
      <c r="Y67" s="117" t="n">
        <f aca="false">92777.4/V67/11</f>
        <v>303.500527216911</v>
      </c>
      <c r="Z67" s="28" t="n">
        <v>4.16</v>
      </c>
      <c r="AA67" s="62" t="s">
        <v>80</v>
      </c>
      <c r="AB67" s="38" t="n">
        <v>43494</v>
      </c>
      <c r="AC67" s="38" t="n">
        <v>43631</v>
      </c>
      <c r="AD67" s="38" t="n">
        <v>43619</v>
      </c>
      <c r="AE67" s="50" t="n">
        <v>45445</v>
      </c>
      <c r="AF67" s="28" t="n">
        <f aca="false">YEAR(AE67)</f>
        <v>2024</v>
      </c>
      <c r="AG67" s="63" t="n">
        <f aca="false">X67/SUMIF($Z$2:$Z$380,Z67,$X$2:$X$380)*(VLOOKUP(Z67,'затраты по департаментам-2 '!$A$2:$C$182,2,FALSE())+VLOOKUP(Z67,'затраты по департаментам-2 '!$A$2:$C$182,3,FALSE()))</f>
        <v>11098.5893795843</v>
      </c>
      <c r="AH67" s="63" t="n">
        <f aca="false">W67/60</f>
        <v>2129.95190909091</v>
      </c>
      <c r="AI67" s="64" t="s">
        <v>81</v>
      </c>
      <c r="AJ67" s="63" t="s">
        <v>100</v>
      </c>
      <c r="AK67" s="119" t="n">
        <v>494827</v>
      </c>
      <c r="AL67" s="43"/>
      <c r="AM67" s="74" t="s">
        <v>581</v>
      </c>
      <c r="AN67" s="43" t="s">
        <v>582</v>
      </c>
      <c r="AO67" s="65" t="n">
        <v>44840</v>
      </c>
      <c r="AP67" s="43"/>
      <c r="AQ67" s="66" t="s">
        <v>583</v>
      </c>
      <c r="AR67" s="64"/>
    </row>
    <row r="68" customFormat="false" ht="14.25" hidden="false" customHeight="false" outlineLevel="0" collapsed="false">
      <c r="A68" s="26" t="n">
        <v>67</v>
      </c>
      <c r="B68" s="55" t="s">
        <v>584</v>
      </c>
      <c r="C68" s="27" t="s">
        <v>463</v>
      </c>
      <c r="D68" s="28" t="s">
        <v>73</v>
      </c>
      <c r="E68" s="43" t="n">
        <v>5.4</v>
      </c>
      <c r="F68" s="43" t="n">
        <v>1.6</v>
      </c>
      <c r="G68" s="43" t="n">
        <v>126</v>
      </c>
      <c r="H68" s="43" t="n">
        <v>2019</v>
      </c>
      <c r="I68" s="43" t="s">
        <v>96</v>
      </c>
      <c r="J68" s="27" t="s">
        <v>87</v>
      </c>
      <c r="K68" s="30" t="s">
        <v>585</v>
      </c>
      <c r="L68" s="82"/>
      <c r="M68" s="31" t="s">
        <v>586</v>
      </c>
      <c r="N68" s="32" t="s">
        <v>466</v>
      </c>
      <c r="O68" s="28" t="s">
        <v>100</v>
      </c>
      <c r="P68" s="48" t="s">
        <v>181</v>
      </c>
      <c r="Q68" s="87" t="n">
        <v>7900</v>
      </c>
      <c r="R68" s="97" t="s">
        <v>467</v>
      </c>
      <c r="S68" s="69" t="n">
        <v>4143</v>
      </c>
      <c r="T68" s="59" t="s">
        <v>79</v>
      </c>
      <c r="U68" s="28" t="n">
        <v>491388.66</v>
      </c>
      <c r="V68" s="60" t="n">
        <v>27.790097</v>
      </c>
      <c r="W68" s="71" t="n">
        <f aca="false">1405768.26/11</f>
        <v>127797.114545455</v>
      </c>
      <c r="X68" s="112" t="n">
        <f aca="false">U68/V68</f>
        <v>17682.1498679907</v>
      </c>
      <c r="Y68" s="117" t="n">
        <f aca="false">92777.4/V68/11</f>
        <v>303.500527216911</v>
      </c>
      <c r="Z68" s="28" t="n">
        <v>4.16</v>
      </c>
      <c r="AA68" s="62" t="s">
        <v>80</v>
      </c>
      <c r="AB68" s="38" t="n">
        <v>43494</v>
      </c>
      <c r="AC68" s="38" t="n">
        <v>43631</v>
      </c>
      <c r="AD68" s="38" t="n">
        <v>43619</v>
      </c>
      <c r="AE68" s="50" t="n">
        <v>45445</v>
      </c>
      <c r="AF68" s="28" t="n">
        <f aca="false">YEAR(AE68)</f>
        <v>2024</v>
      </c>
      <c r="AG68" s="63" t="n">
        <f aca="false">X68/SUMIF($Z$2:$Z$380,Z68,$X$2:$X$380)*(VLOOKUP(Z68,'затраты по департаментам-2 '!$A$2:$C$182,2,FALSE())+VLOOKUP(Z68,'затраты по департаментам-2 '!$A$2:$C$182,3,FALSE()))</f>
        <v>11098.5893795843</v>
      </c>
      <c r="AH68" s="63" t="n">
        <f aca="false">W68/60</f>
        <v>2129.95190909091</v>
      </c>
      <c r="AI68" s="64" t="s">
        <v>81</v>
      </c>
      <c r="AJ68" s="63" t="s">
        <v>100</v>
      </c>
      <c r="AK68" s="119" t="n">
        <v>12092</v>
      </c>
      <c r="AL68" s="43"/>
      <c r="AM68" s="78" t="s">
        <v>587</v>
      </c>
      <c r="AN68" s="43" t="s">
        <v>588</v>
      </c>
      <c r="AO68" s="65" t="n">
        <v>44433</v>
      </c>
      <c r="AP68" s="43"/>
      <c r="AQ68" s="66" t="s">
        <v>589</v>
      </c>
      <c r="AR68" s="64"/>
    </row>
    <row r="69" customFormat="false" ht="14.25" hidden="false" customHeight="false" outlineLevel="0" collapsed="false">
      <c r="A69" s="26" t="n">
        <v>68</v>
      </c>
      <c r="B69" s="55" t="s">
        <v>590</v>
      </c>
      <c r="C69" s="27" t="s">
        <v>463</v>
      </c>
      <c r="D69" s="28" t="s">
        <v>73</v>
      </c>
      <c r="E69" s="43" t="n">
        <v>5.4</v>
      </c>
      <c r="F69" s="43" t="n">
        <v>1.6</v>
      </c>
      <c r="G69" s="43" t="n">
        <v>126</v>
      </c>
      <c r="H69" s="43" t="n">
        <v>2019</v>
      </c>
      <c r="I69" s="43" t="s">
        <v>96</v>
      </c>
      <c r="J69" s="27" t="s">
        <v>87</v>
      </c>
      <c r="K69" s="30" t="s">
        <v>591</v>
      </c>
      <c r="L69" s="82"/>
      <c r="M69" s="31" t="s">
        <v>592</v>
      </c>
      <c r="N69" s="32" t="s">
        <v>466</v>
      </c>
      <c r="O69" s="28" t="s">
        <v>100</v>
      </c>
      <c r="P69" s="28" t="s">
        <v>593</v>
      </c>
      <c r="Q69" s="103" t="n">
        <v>7900</v>
      </c>
      <c r="R69" s="58" t="s">
        <v>561</v>
      </c>
      <c r="S69" s="69" t="n">
        <v>4143</v>
      </c>
      <c r="T69" s="59" t="s">
        <v>79</v>
      </c>
      <c r="U69" s="28" t="n">
        <v>491388.66</v>
      </c>
      <c r="V69" s="60" t="n">
        <v>27.790097</v>
      </c>
      <c r="W69" s="71" t="n">
        <f aca="false">1405768.26/11</f>
        <v>127797.114545455</v>
      </c>
      <c r="X69" s="112" t="n">
        <f aca="false">U69/V69</f>
        <v>17682.1498679907</v>
      </c>
      <c r="Y69" s="117" t="n">
        <f aca="false">92777.4/V69/11</f>
        <v>303.500527216911</v>
      </c>
      <c r="Z69" s="28" t="n">
        <v>4.16</v>
      </c>
      <c r="AA69" s="62" t="s">
        <v>80</v>
      </c>
      <c r="AB69" s="38" t="n">
        <v>43494</v>
      </c>
      <c r="AC69" s="38" t="n">
        <v>43631</v>
      </c>
      <c r="AD69" s="38" t="n">
        <v>43619</v>
      </c>
      <c r="AE69" s="50" t="n">
        <v>45445</v>
      </c>
      <c r="AF69" s="28" t="n">
        <f aca="false">YEAR(AE69)</f>
        <v>2024</v>
      </c>
      <c r="AG69" s="63" t="n">
        <f aca="false">X69/SUMIF($Z$2:$Z$380,Z69,$X$2:$X$380)*(VLOOKUP(Z69,'затраты по департаментам-2 '!$A$2:$C$182,2,FALSE())+VLOOKUP(Z69,'затраты по департаментам-2 '!$A$2:$C$182,3,FALSE()))</f>
        <v>11098.5893795843</v>
      </c>
      <c r="AH69" s="63" t="n">
        <f aca="false">W69/60</f>
        <v>2129.95190909091</v>
      </c>
      <c r="AI69" s="64" t="s">
        <v>81</v>
      </c>
      <c r="AJ69" s="63" t="s">
        <v>100</v>
      </c>
      <c r="AK69" s="119" t="n">
        <v>16083</v>
      </c>
      <c r="AL69" s="43"/>
      <c r="AM69" s="78" t="s">
        <v>594</v>
      </c>
      <c r="AN69" s="43" t="s">
        <v>595</v>
      </c>
      <c r="AO69" s="65" t="n">
        <v>44433</v>
      </c>
      <c r="AP69" s="43"/>
      <c r="AQ69" s="66" t="s">
        <v>596</v>
      </c>
      <c r="AR69" s="64"/>
    </row>
    <row r="70" customFormat="false" ht="14.25" hidden="false" customHeight="false" outlineLevel="0" collapsed="false">
      <c r="A70" s="26" t="n">
        <v>69</v>
      </c>
      <c r="B70" s="55" t="s">
        <v>597</v>
      </c>
      <c r="C70" s="27" t="s">
        <v>463</v>
      </c>
      <c r="D70" s="28" t="s">
        <v>73</v>
      </c>
      <c r="E70" s="43" t="n">
        <v>5.4</v>
      </c>
      <c r="F70" s="43" t="n">
        <v>1.6</v>
      </c>
      <c r="G70" s="43" t="n">
        <v>126</v>
      </c>
      <c r="H70" s="43" t="n">
        <v>2019</v>
      </c>
      <c r="I70" s="43" t="s">
        <v>96</v>
      </c>
      <c r="J70" s="27" t="s">
        <v>87</v>
      </c>
      <c r="K70" s="30" t="s">
        <v>598</v>
      </c>
      <c r="L70" s="82"/>
      <c r="M70" s="31" t="s">
        <v>599</v>
      </c>
      <c r="N70" s="32" t="s">
        <v>466</v>
      </c>
      <c r="O70" s="70" t="s">
        <v>100</v>
      </c>
      <c r="P70" s="56" t="s">
        <v>181</v>
      </c>
      <c r="Q70" s="121" t="n">
        <v>7900</v>
      </c>
      <c r="R70" s="115" t="s">
        <v>92</v>
      </c>
      <c r="S70" s="116" t="n">
        <v>4143</v>
      </c>
      <c r="T70" s="59" t="s">
        <v>79</v>
      </c>
      <c r="U70" s="28" t="n">
        <v>491388.66</v>
      </c>
      <c r="V70" s="60" t="n">
        <v>27.790097</v>
      </c>
      <c r="W70" s="71" t="n">
        <f aca="false">1405768.26/11</f>
        <v>127797.114545455</v>
      </c>
      <c r="X70" s="112" t="n">
        <f aca="false">U70/V70</f>
        <v>17682.1498679907</v>
      </c>
      <c r="Y70" s="117" t="n">
        <f aca="false">92777.4/V70/11</f>
        <v>303.500527216911</v>
      </c>
      <c r="Z70" s="28" t="n">
        <v>4.16</v>
      </c>
      <c r="AA70" s="62" t="s">
        <v>80</v>
      </c>
      <c r="AB70" s="38" t="n">
        <v>43494</v>
      </c>
      <c r="AC70" s="38" t="n">
        <v>43631</v>
      </c>
      <c r="AD70" s="38" t="n">
        <v>43619</v>
      </c>
      <c r="AE70" s="50" t="n">
        <v>45445</v>
      </c>
      <c r="AF70" s="28" t="n">
        <f aca="false">YEAR(AE70)</f>
        <v>2024</v>
      </c>
      <c r="AG70" s="63" t="n">
        <f aca="false">X70/SUMIF($Z$2:$Z$380,Z70,$X$2:$X$380)*(VLOOKUP(Z70,'затраты по департаментам-2 '!$A$2:$C$182,2,FALSE())+VLOOKUP(Z70,'затраты по департаментам-2 '!$A$2:$C$182,3,FALSE()))</f>
        <v>11098.5893795843</v>
      </c>
      <c r="AH70" s="63" t="n">
        <f aca="false">W70/60</f>
        <v>2129.95190909091</v>
      </c>
      <c r="AI70" s="64" t="s">
        <v>81</v>
      </c>
      <c r="AJ70" s="63" t="s">
        <v>100</v>
      </c>
      <c r="AK70" s="119" t="n">
        <v>3297</v>
      </c>
      <c r="AL70" s="43"/>
      <c r="AM70" s="78" t="s">
        <v>600</v>
      </c>
      <c r="AN70" s="43" t="s">
        <v>601</v>
      </c>
      <c r="AO70" s="65" t="n">
        <v>44433</v>
      </c>
      <c r="AP70" s="43"/>
      <c r="AQ70" s="66" t="s">
        <v>602</v>
      </c>
      <c r="AR70" s="64"/>
    </row>
    <row r="71" customFormat="false" ht="14.25" hidden="false" customHeight="false" outlineLevel="0" collapsed="false">
      <c r="A71" s="26" t="n">
        <v>70</v>
      </c>
      <c r="B71" s="55" t="s">
        <v>603</v>
      </c>
      <c r="C71" s="27" t="s">
        <v>463</v>
      </c>
      <c r="D71" s="28" t="s">
        <v>73</v>
      </c>
      <c r="E71" s="43" t="n">
        <v>5.4</v>
      </c>
      <c r="F71" s="43" t="n">
        <v>1.6</v>
      </c>
      <c r="G71" s="43" t="n">
        <v>126</v>
      </c>
      <c r="H71" s="43" t="n">
        <v>2019</v>
      </c>
      <c r="I71" s="43" t="s">
        <v>96</v>
      </c>
      <c r="J71" s="27" t="s">
        <v>87</v>
      </c>
      <c r="K71" s="30" t="s">
        <v>604</v>
      </c>
      <c r="L71" s="122"/>
      <c r="M71" s="31" t="s">
        <v>605</v>
      </c>
      <c r="N71" s="32" t="s">
        <v>227</v>
      </c>
      <c r="O71" s="57" t="s">
        <v>606</v>
      </c>
      <c r="P71" s="48" t="s">
        <v>298</v>
      </c>
      <c r="Q71" s="87" t="n">
        <v>1000</v>
      </c>
      <c r="R71" s="97" t="s">
        <v>351</v>
      </c>
      <c r="S71" s="69" t="n">
        <v>4173</v>
      </c>
      <c r="T71" s="35" t="s">
        <v>172</v>
      </c>
      <c r="U71" s="28" t="n">
        <v>491388.66</v>
      </c>
      <c r="V71" s="60" t="n">
        <v>27.790097</v>
      </c>
      <c r="W71" s="71" t="n">
        <f aca="false">1405768.26/11</f>
        <v>127797.114545455</v>
      </c>
      <c r="X71" s="112" t="n">
        <f aca="false">U71/V71</f>
        <v>17682.1498679907</v>
      </c>
      <c r="Y71" s="117" t="n">
        <f aca="false">92777.4/V71/11</f>
        <v>303.500527216911</v>
      </c>
      <c r="Z71" s="28" t="n">
        <v>4.16</v>
      </c>
      <c r="AA71" s="62" t="s">
        <v>80</v>
      </c>
      <c r="AB71" s="38" t="n">
        <v>43494</v>
      </c>
      <c r="AC71" s="38" t="n">
        <v>43631</v>
      </c>
      <c r="AD71" s="38" t="n">
        <v>43636</v>
      </c>
      <c r="AE71" s="50" t="n">
        <v>45462</v>
      </c>
      <c r="AF71" s="28" t="n">
        <f aca="false">YEAR(AE71)</f>
        <v>2024</v>
      </c>
      <c r="AG71" s="63" t="n">
        <f aca="false">X71/SUMIF($Z$2:$Z$380,Z71,$X$2:$X$380)*(VLOOKUP(Z71,'затраты по департаментам-2 '!$A$2:$C$182,2,FALSE())+VLOOKUP(Z71,'затраты по департаментам-2 '!$A$2:$C$182,3,FALSE()))</f>
        <v>11098.5893795843</v>
      </c>
      <c r="AH71" s="63" t="n">
        <f aca="false">W71/60</f>
        <v>2129.95190909091</v>
      </c>
      <c r="AI71" s="64" t="s">
        <v>81</v>
      </c>
      <c r="AJ71" s="63" t="s">
        <v>100</v>
      </c>
      <c r="AK71" s="119" t="n">
        <v>11862</v>
      </c>
      <c r="AL71" s="43"/>
      <c r="AM71" s="74" t="s">
        <v>607</v>
      </c>
      <c r="AN71" s="43" t="s">
        <v>608</v>
      </c>
      <c r="AO71" s="65" t="n">
        <v>44863</v>
      </c>
      <c r="AP71" s="43"/>
      <c r="AQ71" s="66" t="s">
        <v>609</v>
      </c>
      <c r="AR71" s="64"/>
    </row>
    <row r="72" customFormat="false" ht="14.25" hidden="false" customHeight="false" outlineLevel="0" collapsed="false">
      <c r="A72" s="26" t="n">
        <v>71</v>
      </c>
      <c r="B72" s="55" t="s">
        <v>610</v>
      </c>
      <c r="C72" s="27" t="s">
        <v>463</v>
      </c>
      <c r="D72" s="28" t="s">
        <v>73</v>
      </c>
      <c r="E72" s="43" t="n">
        <v>5.4</v>
      </c>
      <c r="F72" s="43" t="n">
        <v>1.6</v>
      </c>
      <c r="G72" s="43" t="n">
        <v>126</v>
      </c>
      <c r="H72" s="43" t="n">
        <v>2019</v>
      </c>
      <c r="I72" s="43" t="s">
        <v>96</v>
      </c>
      <c r="J72" s="27" t="s">
        <v>87</v>
      </c>
      <c r="K72" s="30" t="s">
        <v>611</v>
      </c>
      <c r="L72" s="35"/>
      <c r="M72" s="31" t="s">
        <v>612</v>
      </c>
      <c r="N72" s="32" t="s">
        <v>179</v>
      </c>
      <c r="O72" s="28" t="s">
        <v>100</v>
      </c>
      <c r="P72" s="56" t="s">
        <v>181</v>
      </c>
      <c r="Q72" s="87" t="n">
        <v>7023</v>
      </c>
      <c r="R72" s="58" t="s">
        <v>171</v>
      </c>
      <c r="S72" s="69" t="n">
        <v>4133</v>
      </c>
      <c r="T72" s="35" t="s">
        <v>172</v>
      </c>
      <c r="U72" s="28" t="n">
        <v>491388.66</v>
      </c>
      <c r="V72" s="60" t="n">
        <v>27.790097</v>
      </c>
      <c r="W72" s="71" t="n">
        <v>125058.09</v>
      </c>
      <c r="X72" s="112" t="n">
        <f aca="false">U72/V72</f>
        <v>17682.1498679907</v>
      </c>
      <c r="Y72" s="117" t="n">
        <f aca="false">92777.4/V72/11</f>
        <v>303.500527216911</v>
      </c>
      <c r="Z72" s="28" t="n">
        <v>4.17</v>
      </c>
      <c r="AA72" s="62" t="s">
        <v>80</v>
      </c>
      <c r="AB72" s="38" t="n">
        <v>43494</v>
      </c>
      <c r="AC72" s="38" t="n">
        <v>43675</v>
      </c>
      <c r="AD72" s="38" t="n">
        <v>43671</v>
      </c>
      <c r="AE72" s="50" t="n">
        <v>45497</v>
      </c>
      <c r="AF72" s="28" t="n">
        <f aca="false">YEAR(AE72)</f>
        <v>2024</v>
      </c>
      <c r="AG72" s="63" t="n">
        <f aca="false">X72/SUMIF($Z$2:$Z$380,Z72,$X$2:$X$380)*(VLOOKUP(Z72,'затраты по департаментам-2 '!$A$2:$C$182,2,FALSE())+VLOOKUP(Z72,'затраты по департаментам-2 '!$A$2:$C$182,3,FALSE()))</f>
        <v>11098.6037347045</v>
      </c>
      <c r="AH72" s="63" t="n">
        <f aca="false">W72/60</f>
        <v>2084.3015</v>
      </c>
      <c r="AI72" s="64" t="s">
        <v>81</v>
      </c>
      <c r="AJ72" s="63" t="s">
        <v>100</v>
      </c>
      <c r="AK72" s="119" t="n">
        <v>2796311</v>
      </c>
      <c r="AL72" s="43"/>
      <c r="AM72" s="74" t="s">
        <v>613</v>
      </c>
      <c r="AN72" s="43" t="s">
        <v>614</v>
      </c>
      <c r="AO72" s="65" t="n">
        <v>44945</v>
      </c>
      <c r="AP72" s="43"/>
      <c r="AQ72" s="66" t="s">
        <v>615</v>
      </c>
      <c r="AR72" s="64"/>
    </row>
    <row r="73" customFormat="false" ht="14.25" hidden="false" customHeight="false" outlineLevel="0" collapsed="false">
      <c r="A73" s="26" t="n">
        <v>72</v>
      </c>
      <c r="B73" s="55" t="s">
        <v>616</v>
      </c>
      <c r="C73" s="27" t="s">
        <v>617</v>
      </c>
      <c r="D73" s="28" t="s">
        <v>73</v>
      </c>
      <c r="E73" s="43" t="n">
        <v>5.5</v>
      </c>
      <c r="F73" s="43" t="n">
        <v>1.6</v>
      </c>
      <c r="G73" s="43" t="n">
        <v>126</v>
      </c>
      <c r="H73" s="43" t="n">
        <v>2019</v>
      </c>
      <c r="I73" s="43" t="s">
        <v>96</v>
      </c>
      <c r="J73" s="43" t="s">
        <v>74</v>
      </c>
      <c r="K73" s="30" t="s">
        <v>618</v>
      </c>
      <c r="L73" s="28"/>
      <c r="M73" s="31" t="s">
        <v>619</v>
      </c>
      <c r="N73" s="32" t="s">
        <v>131</v>
      </c>
      <c r="O73" s="28" t="s">
        <v>52</v>
      </c>
      <c r="P73" s="48" t="s">
        <v>132</v>
      </c>
      <c r="Q73" s="57" t="n">
        <v>1000</v>
      </c>
      <c r="R73" s="58" t="s">
        <v>78</v>
      </c>
      <c r="S73" s="69" t="n">
        <v>5311</v>
      </c>
      <c r="T73" s="59" t="s">
        <v>79</v>
      </c>
      <c r="U73" s="28" t="n">
        <v>540354.81</v>
      </c>
      <c r="V73" s="60" t="n">
        <v>27.790097</v>
      </c>
      <c r="W73" s="71" t="n">
        <f aca="false">685294.3/5</f>
        <v>137058.86</v>
      </c>
      <c r="X73" s="112" t="n">
        <f aca="false">U73/V73</f>
        <v>19444.1498351013</v>
      </c>
      <c r="Y73" s="117" t="n">
        <f aca="false">43532.94/V73/5</f>
        <v>313.298222744599</v>
      </c>
      <c r="Z73" s="28" t="n">
        <v>4.18</v>
      </c>
      <c r="AA73" s="62" t="s">
        <v>80</v>
      </c>
      <c r="AB73" s="38" t="n">
        <v>43494</v>
      </c>
      <c r="AC73" s="38" t="n">
        <v>43631</v>
      </c>
      <c r="AD73" s="38" t="n">
        <v>43630</v>
      </c>
      <c r="AE73" s="50" t="n">
        <v>45456</v>
      </c>
      <c r="AF73" s="28" t="n">
        <f aca="false">YEAR(AE73)</f>
        <v>2024</v>
      </c>
      <c r="AG73" s="63" t="n">
        <f aca="false">X73/SUMIF($Z$2:$Z$380,Z73,$X$2:$X$380)*(VLOOKUP(Z73,'затраты по департаментам-2 '!$A$2:$C$182,2,FALSE())+VLOOKUP(Z73,'затраты по департаментам-2 '!$A$2:$C$182,3,FALSE()))</f>
        <v>11456.8773882581</v>
      </c>
      <c r="AH73" s="63" t="n">
        <f aca="false">W73/60</f>
        <v>2284.31433333333</v>
      </c>
      <c r="AI73" s="64" t="s">
        <v>81</v>
      </c>
      <c r="AJ73" s="63" t="s">
        <v>52</v>
      </c>
      <c r="AK73" s="119" t="n">
        <v>94934</v>
      </c>
      <c r="AL73" s="81" t="s">
        <v>620</v>
      </c>
      <c r="AM73" s="78" t="s">
        <v>621</v>
      </c>
      <c r="AN73" s="43" t="s">
        <v>622</v>
      </c>
      <c r="AO73" s="65" t="n">
        <v>44433</v>
      </c>
      <c r="AP73" s="43"/>
      <c r="AQ73" s="66" t="s">
        <v>623</v>
      </c>
      <c r="AR73" s="64"/>
    </row>
    <row r="74" customFormat="false" ht="14.25" hidden="false" customHeight="false" outlineLevel="0" collapsed="false">
      <c r="A74" s="26" t="n">
        <v>73</v>
      </c>
      <c r="B74" s="55" t="s">
        <v>624</v>
      </c>
      <c r="C74" s="27" t="s">
        <v>617</v>
      </c>
      <c r="D74" s="28" t="s">
        <v>73</v>
      </c>
      <c r="E74" s="43" t="n">
        <v>5.5</v>
      </c>
      <c r="F74" s="43" t="n">
        <v>1.6</v>
      </c>
      <c r="G74" s="43" t="n">
        <v>126</v>
      </c>
      <c r="H74" s="43" t="n">
        <v>2019</v>
      </c>
      <c r="I74" s="43" t="s">
        <v>96</v>
      </c>
      <c r="J74" s="43" t="s">
        <v>74</v>
      </c>
      <c r="K74" s="30" t="s">
        <v>625</v>
      </c>
      <c r="L74" s="28"/>
      <c r="M74" s="31" t="s">
        <v>626</v>
      </c>
      <c r="N74" s="32" t="s">
        <v>131</v>
      </c>
      <c r="O74" s="28" t="s">
        <v>100</v>
      </c>
      <c r="P74" s="56" t="s">
        <v>132</v>
      </c>
      <c r="Q74" s="57" t="n">
        <v>1000</v>
      </c>
      <c r="R74" s="58" t="s">
        <v>78</v>
      </c>
      <c r="S74" s="69" t="n">
        <v>5311</v>
      </c>
      <c r="T74" s="59" t="s">
        <v>79</v>
      </c>
      <c r="U74" s="28" t="n">
        <v>540354.81</v>
      </c>
      <c r="V74" s="60" t="n">
        <v>27.790097</v>
      </c>
      <c r="W74" s="71" t="n">
        <f aca="false">685294.3/5</f>
        <v>137058.86</v>
      </c>
      <c r="X74" s="112" t="n">
        <f aca="false">U74/V74</f>
        <v>19444.1498351013</v>
      </c>
      <c r="Y74" s="117" t="n">
        <f aca="false">43532.94/V74/5</f>
        <v>313.298222744599</v>
      </c>
      <c r="Z74" s="28" t="n">
        <v>4.18</v>
      </c>
      <c r="AA74" s="62" t="s">
        <v>80</v>
      </c>
      <c r="AB74" s="38" t="n">
        <v>43494</v>
      </c>
      <c r="AC74" s="38" t="n">
        <v>43631</v>
      </c>
      <c r="AD74" s="38" t="n">
        <v>43621</v>
      </c>
      <c r="AE74" s="50" t="n">
        <v>45447</v>
      </c>
      <c r="AF74" s="28" t="n">
        <f aca="false">YEAR(AE74)</f>
        <v>2024</v>
      </c>
      <c r="AG74" s="63" t="n">
        <f aca="false">X74/SUMIF($Z$2:$Z$380,Z74,$X$2:$X$380)*(VLOOKUP(Z74,'затраты по департаментам-2 '!$A$2:$C$182,2,FALSE())+VLOOKUP(Z74,'затраты по департаментам-2 '!$A$2:$C$182,3,FALSE()))</f>
        <v>11456.8773882581</v>
      </c>
      <c r="AH74" s="63" t="n">
        <f aca="false">W74/60</f>
        <v>2284.31433333333</v>
      </c>
      <c r="AI74" s="64" t="s">
        <v>81</v>
      </c>
      <c r="AJ74" s="63" t="s">
        <v>100</v>
      </c>
      <c r="AK74" s="119" t="n">
        <v>57506</v>
      </c>
      <c r="AL74" s="43"/>
      <c r="AM74" s="74" t="s">
        <v>627</v>
      </c>
      <c r="AN74" s="26" t="s">
        <v>628</v>
      </c>
      <c r="AO74" s="65" t="n">
        <v>44744</v>
      </c>
      <c r="AP74" s="43"/>
      <c r="AQ74" s="66" t="s">
        <v>629</v>
      </c>
      <c r="AR74" s="64"/>
    </row>
    <row r="75" customFormat="false" ht="14.25" hidden="false" customHeight="false" outlineLevel="0" collapsed="false">
      <c r="A75" s="26" t="n">
        <v>74</v>
      </c>
      <c r="B75" s="55" t="s">
        <v>630</v>
      </c>
      <c r="C75" s="27" t="s">
        <v>617</v>
      </c>
      <c r="D75" s="28" t="s">
        <v>73</v>
      </c>
      <c r="E75" s="43" t="n">
        <v>5.5</v>
      </c>
      <c r="F75" s="43" t="n">
        <v>1.6</v>
      </c>
      <c r="G75" s="43" t="n">
        <v>126</v>
      </c>
      <c r="H75" s="43" t="n">
        <v>2019</v>
      </c>
      <c r="I75" s="43" t="s">
        <v>96</v>
      </c>
      <c r="J75" s="43" t="s">
        <v>74</v>
      </c>
      <c r="K75" s="30" t="s">
        <v>75</v>
      </c>
      <c r="L75" s="35"/>
      <c r="M75" s="31" t="s">
        <v>76</v>
      </c>
      <c r="N75" s="32" t="s">
        <v>51</v>
      </c>
      <c r="O75" s="28" t="s">
        <v>60</v>
      </c>
      <c r="P75" s="56" t="s">
        <v>77</v>
      </c>
      <c r="Q75" s="57" t="n">
        <v>1000</v>
      </c>
      <c r="R75" s="58" t="s">
        <v>78</v>
      </c>
      <c r="S75" s="69" t="n">
        <v>5311</v>
      </c>
      <c r="T75" s="59" t="s">
        <v>79</v>
      </c>
      <c r="U75" s="28" t="n">
        <v>540354.81</v>
      </c>
      <c r="V75" s="60" t="n">
        <v>27.790097</v>
      </c>
      <c r="W75" s="71" t="n">
        <f aca="false">685294.3/5</f>
        <v>137058.86</v>
      </c>
      <c r="X75" s="112" t="n">
        <f aca="false">U75/V75</f>
        <v>19444.1498351013</v>
      </c>
      <c r="Y75" s="117" t="n">
        <f aca="false">43532.94/V75/5</f>
        <v>313.298222744599</v>
      </c>
      <c r="Z75" s="28" t="n">
        <v>4.18</v>
      </c>
      <c r="AA75" s="62" t="s">
        <v>80</v>
      </c>
      <c r="AB75" s="38" t="n">
        <v>43494</v>
      </c>
      <c r="AC75" s="38" t="n">
        <v>43631</v>
      </c>
      <c r="AD75" s="38" t="n">
        <v>43630</v>
      </c>
      <c r="AE75" s="50" t="n">
        <v>45456</v>
      </c>
      <c r="AF75" s="28" t="n">
        <f aca="false">YEAR(AE75)</f>
        <v>2024</v>
      </c>
      <c r="AG75" s="63" t="n">
        <f aca="false">X75/SUMIF($Z$2:$Z$380,Z75,$X$2:$X$380)*(VLOOKUP(Z75,'затраты по департаментам-2 '!$A$2:$C$182,2,FALSE())+VLOOKUP(Z75,'затраты по департаментам-2 '!$A$2:$C$182,3,FALSE()))</f>
        <v>11456.8773882581</v>
      </c>
      <c r="AH75" s="63" t="n">
        <f aca="false">W75/60</f>
        <v>2284.31433333333</v>
      </c>
      <c r="AI75" s="64" t="s">
        <v>81</v>
      </c>
      <c r="AJ75" s="63" t="s">
        <v>60</v>
      </c>
      <c r="AK75" s="119" t="n">
        <v>96295</v>
      </c>
      <c r="AL75" s="43"/>
      <c r="AM75" s="78" t="s">
        <v>631</v>
      </c>
      <c r="AN75" s="43" t="s">
        <v>632</v>
      </c>
      <c r="AO75" s="65" t="n">
        <v>44468</v>
      </c>
      <c r="AP75" s="43"/>
      <c r="AQ75" s="66" t="s">
        <v>84</v>
      </c>
      <c r="AR75" s="64"/>
    </row>
    <row r="76" customFormat="false" ht="14.25" hidden="false" customHeight="false" outlineLevel="0" collapsed="false">
      <c r="A76" s="26" t="n">
        <v>75</v>
      </c>
      <c r="B76" s="55" t="s">
        <v>633</v>
      </c>
      <c r="C76" s="27" t="s">
        <v>617</v>
      </c>
      <c r="D76" s="28" t="s">
        <v>73</v>
      </c>
      <c r="E76" s="43" t="n">
        <v>5.5</v>
      </c>
      <c r="F76" s="43" t="n">
        <v>1.6</v>
      </c>
      <c r="G76" s="43" t="n">
        <v>126</v>
      </c>
      <c r="H76" s="43" t="n">
        <v>2019</v>
      </c>
      <c r="I76" s="43" t="s">
        <v>96</v>
      </c>
      <c r="J76" s="43" t="s">
        <v>74</v>
      </c>
      <c r="K76" s="30" t="s">
        <v>634</v>
      </c>
      <c r="L76" s="69"/>
      <c r="M76" s="31" t="s">
        <v>635</v>
      </c>
      <c r="N76" s="84" t="s">
        <v>636</v>
      </c>
      <c r="O76" s="28" t="s">
        <v>100</v>
      </c>
      <c r="P76" s="56" t="s">
        <v>132</v>
      </c>
      <c r="Q76" s="57" t="n">
        <v>1000</v>
      </c>
      <c r="R76" s="58" t="s">
        <v>78</v>
      </c>
      <c r="S76" s="69" t="n">
        <v>5311</v>
      </c>
      <c r="T76" s="59" t="s">
        <v>79</v>
      </c>
      <c r="U76" s="28" t="n">
        <v>540354.81</v>
      </c>
      <c r="V76" s="60" t="n">
        <v>27.790097</v>
      </c>
      <c r="W76" s="71" t="n">
        <f aca="false">685294.3/5</f>
        <v>137058.86</v>
      </c>
      <c r="X76" s="112" t="n">
        <f aca="false">U76/V76</f>
        <v>19444.1498351013</v>
      </c>
      <c r="Y76" s="117" t="n">
        <f aca="false">43532.94/V76/5</f>
        <v>313.298222744599</v>
      </c>
      <c r="Z76" s="28" t="n">
        <v>4.18</v>
      </c>
      <c r="AA76" s="62" t="s">
        <v>80</v>
      </c>
      <c r="AB76" s="38" t="n">
        <v>43494</v>
      </c>
      <c r="AC76" s="38" t="n">
        <v>43631</v>
      </c>
      <c r="AD76" s="38" t="n">
        <v>43621</v>
      </c>
      <c r="AE76" s="50" t="n">
        <v>45447</v>
      </c>
      <c r="AF76" s="28" t="n">
        <f aca="false">YEAR(AE76)</f>
        <v>2024</v>
      </c>
      <c r="AG76" s="63" t="n">
        <f aca="false">X76/SUMIF($Z$2:$Z$380,Z76,$X$2:$X$380)*(VLOOKUP(Z76,'затраты по департаментам-2 '!$A$2:$C$182,2,FALSE())+VLOOKUP(Z76,'затраты по департаментам-2 '!$A$2:$C$182,3,FALSE()))</f>
        <v>11456.8773882581</v>
      </c>
      <c r="AH76" s="63" t="n">
        <f aca="false">W76/60</f>
        <v>2284.31433333333</v>
      </c>
      <c r="AI76" s="64" t="s">
        <v>81</v>
      </c>
      <c r="AJ76" s="63" t="s">
        <v>100</v>
      </c>
      <c r="AK76" s="119" t="n">
        <v>61794</v>
      </c>
      <c r="AL76" s="43"/>
      <c r="AM76" s="74" t="s">
        <v>637</v>
      </c>
      <c r="AN76" s="43" t="s">
        <v>638</v>
      </c>
      <c r="AO76" s="65" t="n">
        <v>44761</v>
      </c>
      <c r="AP76" s="43"/>
      <c r="AQ76" s="66" t="s">
        <v>639</v>
      </c>
      <c r="AR76" s="64"/>
    </row>
    <row r="77" customFormat="false" ht="14.25" hidden="false" customHeight="false" outlineLevel="0" collapsed="false">
      <c r="A77" s="26" t="n">
        <v>76</v>
      </c>
      <c r="B77" s="55" t="s">
        <v>640</v>
      </c>
      <c r="C77" s="27" t="s">
        <v>617</v>
      </c>
      <c r="D77" s="28" t="s">
        <v>73</v>
      </c>
      <c r="E77" s="43" t="n">
        <v>5.5</v>
      </c>
      <c r="F77" s="43" t="n">
        <v>1.6</v>
      </c>
      <c r="G77" s="43" t="n">
        <v>126</v>
      </c>
      <c r="H77" s="43" t="n">
        <v>2019</v>
      </c>
      <c r="I77" s="43" t="s">
        <v>96</v>
      </c>
      <c r="J77" s="43" t="s">
        <v>74</v>
      </c>
      <c r="K77" s="123" t="s">
        <v>641</v>
      </c>
      <c r="L77" s="28"/>
      <c r="M77" s="31" t="s">
        <v>642</v>
      </c>
      <c r="N77" s="32" t="s">
        <v>131</v>
      </c>
      <c r="O77" s="28" t="s">
        <v>52</v>
      </c>
      <c r="P77" s="56" t="s">
        <v>132</v>
      </c>
      <c r="Q77" s="57" t="n">
        <v>1000</v>
      </c>
      <c r="R77" s="58" t="s">
        <v>78</v>
      </c>
      <c r="S77" s="69" t="n">
        <v>5311</v>
      </c>
      <c r="T77" s="59" t="s">
        <v>79</v>
      </c>
      <c r="U77" s="28" t="n">
        <v>540354.81</v>
      </c>
      <c r="V77" s="60" t="n">
        <v>27.790097</v>
      </c>
      <c r="W77" s="71" t="n">
        <f aca="false">685294.3/5</f>
        <v>137058.86</v>
      </c>
      <c r="X77" s="112" t="n">
        <f aca="false">U77/V77</f>
        <v>19444.1498351013</v>
      </c>
      <c r="Y77" s="117" t="n">
        <f aca="false">43532.94/V77/5</f>
        <v>313.298222744599</v>
      </c>
      <c r="Z77" s="28" t="n">
        <v>4.18</v>
      </c>
      <c r="AA77" s="62" t="s">
        <v>80</v>
      </c>
      <c r="AB77" s="38" t="n">
        <v>43494</v>
      </c>
      <c r="AC77" s="38" t="n">
        <v>43631</v>
      </c>
      <c r="AD77" s="38" t="n">
        <v>43621</v>
      </c>
      <c r="AE77" s="50" t="n">
        <v>45447</v>
      </c>
      <c r="AF77" s="28" t="n">
        <f aca="false">YEAR(AE77)</f>
        <v>2024</v>
      </c>
      <c r="AG77" s="63" t="n">
        <f aca="false">X77/SUMIF($Z$2:$Z$380,Z77,$X$2:$X$380)*(VLOOKUP(Z77,'затраты по департаментам-2 '!$A$2:$C$182,2,FALSE())+VLOOKUP(Z77,'затраты по департаментам-2 '!$A$2:$C$182,3,FALSE()))</f>
        <v>11456.8773882581</v>
      </c>
      <c r="AH77" s="63" t="n">
        <f aca="false">W77/60</f>
        <v>2284.31433333333</v>
      </c>
      <c r="AI77" s="64" t="s">
        <v>643</v>
      </c>
      <c r="AJ77" s="63" t="s">
        <v>52</v>
      </c>
      <c r="AK77" s="119" t="n">
        <v>96326</v>
      </c>
      <c r="AL77" s="81" t="s">
        <v>644</v>
      </c>
      <c r="AM77" s="78" t="s">
        <v>645</v>
      </c>
      <c r="AN77" s="43" t="s">
        <v>646</v>
      </c>
      <c r="AO77" s="65" t="n">
        <v>44436</v>
      </c>
      <c r="AP77" s="43"/>
      <c r="AQ77" s="66" t="s">
        <v>647</v>
      </c>
      <c r="AR77" s="76" t="n">
        <v>44686</v>
      </c>
    </row>
    <row r="78" customFormat="false" ht="14.25" hidden="false" customHeight="false" outlineLevel="0" collapsed="false">
      <c r="A78" s="26" t="n">
        <v>77</v>
      </c>
      <c r="B78" s="43" t="s">
        <v>648</v>
      </c>
      <c r="C78" s="43" t="s">
        <v>390</v>
      </c>
      <c r="D78" s="28" t="s">
        <v>73</v>
      </c>
      <c r="E78" s="43" t="n">
        <v>5.5</v>
      </c>
      <c r="F78" s="43" t="n">
        <v>1.6</v>
      </c>
      <c r="G78" s="26" t="n">
        <v>95</v>
      </c>
      <c r="H78" s="43" t="n">
        <v>2019</v>
      </c>
      <c r="I78" s="43" t="s">
        <v>96</v>
      </c>
      <c r="J78" s="43" t="s">
        <v>74</v>
      </c>
      <c r="K78" s="30" t="s">
        <v>649</v>
      </c>
      <c r="L78" s="82"/>
      <c r="M78" s="31" t="s">
        <v>650</v>
      </c>
      <c r="N78" s="32" t="s">
        <v>651</v>
      </c>
      <c r="O78" s="28" t="s">
        <v>52</v>
      </c>
      <c r="P78" s="56" t="s">
        <v>121</v>
      </c>
      <c r="Q78" s="57" t="n">
        <v>1000</v>
      </c>
      <c r="R78" s="58" t="s">
        <v>122</v>
      </c>
      <c r="S78" s="57" t="n">
        <v>4120</v>
      </c>
      <c r="T78" s="35" t="n">
        <v>5</v>
      </c>
      <c r="U78" s="28" t="n">
        <v>558251.64</v>
      </c>
      <c r="V78" s="60" t="n">
        <v>27.790097</v>
      </c>
      <c r="W78" s="71" t="n">
        <f aca="false">572289.21/4</f>
        <v>143072.3025</v>
      </c>
      <c r="X78" s="112" t="n">
        <f aca="false">U78/V78</f>
        <v>20088.1501061331</v>
      </c>
      <c r="Y78" s="112" t="n">
        <f aca="false">40260.3/V78/4</f>
        <v>362.182075147129</v>
      </c>
      <c r="Z78" s="28" t="n">
        <v>4.19</v>
      </c>
      <c r="AA78" s="62" t="s">
        <v>80</v>
      </c>
      <c r="AB78" s="38" t="n">
        <v>43494</v>
      </c>
      <c r="AC78" s="38" t="n">
        <v>43600</v>
      </c>
      <c r="AD78" s="38" t="n">
        <v>43587</v>
      </c>
      <c r="AE78" s="38" t="n">
        <v>45413</v>
      </c>
      <c r="AF78" s="28" t="n">
        <f aca="false">YEAR(AE78)</f>
        <v>2024</v>
      </c>
      <c r="AG78" s="63" t="n">
        <f aca="false">X78/SUMIF($Z$2:$Z$380,Z78,$X$2:$X$380)*(VLOOKUP(Z78,'затраты по департаментам-2 '!$A$2:$C$182,2,FALSE())+VLOOKUP(Z78,'затраты по департаментам-2 '!$A$2:$C$182,3,FALSE()))</f>
        <v>13244.4914332253</v>
      </c>
      <c r="AH78" s="63" t="n">
        <f aca="false">W78/60</f>
        <v>2384.538375</v>
      </c>
      <c r="AI78" s="64" t="s">
        <v>81</v>
      </c>
      <c r="AJ78" s="63" t="s">
        <v>52</v>
      </c>
      <c r="AK78" s="119" t="n">
        <v>53841</v>
      </c>
      <c r="AL78" s="81" t="s">
        <v>652</v>
      </c>
      <c r="AM78" s="78" t="s">
        <v>653</v>
      </c>
      <c r="AN78" s="43" t="s">
        <v>654</v>
      </c>
      <c r="AO78" s="65" t="n">
        <v>44412</v>
      </c>
      <c r="AP78" s="43"/>
      <c r="AQ78" s="66" t="s">
        <v>655</v>
      </c>
      <c r="AR78" s="64"/>
    </row>
    <row r="79" customFormat="false" ht="14.25" hidden="false" customHeight="false" outlineLevel="0" collapsed="false">
      <c r="A79" s="26" t="n">
        <v>78</v>
      </c>
      <c r="B79" s="43" t="s">
        <v>656</v>
      </c>
      <c r="C79" s="43" t="s">
        <v>390</v>
      </c>
      <c r="D79" s="28" t="s">
        <v>73</v>
      </c>
      <c r="E79" s="43" t="n">
        <v>5.5</v>
      </c>
      <c r="F79" s="43" t="n">
        <v>1.6</v>
      </c>
      <c r="G79" s="26" t="n">
        <v>95</v>
      </c>
      <c r="H79" s="43" t="n">
        <v>2019</v>
      </c>
      <c r="I79" s="43" t="s">
        <v>96</v>
      </c>
      <c r="J79" s="43" t="s">
        <v>74</v>
      </c>
      <c r="K79" s="30" t="s">
        <v>657</v>
      </c>
      <c r="L79" s="28"/>
      <c r="M79" s="31" t="s">
        <v>658</v>
      </c>
      <c r="N79" s="84" t="s">
        <v>659</v>
      </c>
      <c r="O79" s="28" t="s">
        <v>60</v>
      </c>
      <c r="P79" s="56" t="s">
        <v>660</v>
      </c>
      <c r="Q79" s="57" t="n">
        <v>9000</v>
      </c>
      <c r="R79" s="58" t="s">
        <v>122</v>
      </c>
      <c r="S79" s="69" t="n">
        <v>4130</v>
      </c>
      <c r="T79" s="59" t="s">
        <v>123</v>
      </c>
      <c r="U79" s="28" t="n">
        <v>558251.64</v>
      </c>
      <c r="V79" s="60" t="n">
        <v>27.790097</v>
      </c>
      <c r="W79" s="71" t="n">
        <f aca="false">572289.21/4</f>
        <v>143072.3025</v>
      </c>
      <c r="X79" s="112" t="n">
        <f aca="false">U79/V79</f>
        <v>20088.1501061331</v>
      </c>
      <c r="Y79" s="112" t="n">
        <f aca="false">40260.3/V79/4</f>
        <v>362.182075147129</v>
      </c>
      <c r="Z79" s="28" t="n">
        <v>4.19</v>
      </c>
      <c r="AA79" s="62" t="s">
        <v>80</v>
      </c>
      <c r="AB79" s="38" t="n">
        <v>43494</v>
      </c>
      <c r="AC79" s="38" t="n">
        <v>43600</v>
      </c>
      <c r="AD79" s="38" t="n">
        <v>43587</v>
      </c>
      <c r="AE79" s="38" t="n">
        <v>45413</v>
      </c>
      <c r="AF79" s="28" t="n">
        <f aca="false">YEAR(AE79)</f>
        <v>2024</v>
      </c>
      <c r="AG79" s="63" t="n">
        <f aca="false">X79/SUMIF($Z$2:$Z$380,Z79,$X$2:$X$380)*(VLOOKUP(Z79,'затраты по департаментам-2 '!$A$2:$C$182,2,FALSE())+VLOOKUP(Z79,'затраты по департаментам-2 '!$A$2:$C$182,3,FALSE()))</f>
        <v>13244.4914332253</v>
      </c>
      <c r="AH79" s="63" t="n">
        <f aca="false">W79/60</f>
        <v>2384.538375</v>
      </c>
      <c r="AI79" s="64" t="s">
        <v>81</v>
      </c>
      <c r="AJ79" s="63" t="s">
        <v>100</v>
      </c>
      <c r="AK79" s="119" t="n">
        <v>9938</v>
      </c>
      <c r="AL79" s="43"/>
      <c r="AM79" s="124" t="s">
        <v>661</v>
      </c>
      <c r="AN79" s="43" t="s">
        <v>662</v>
      </c>
      <c r="AO79" s="65" t="n">
        <v>44981</v>
      </c>
      <c r="AP79" s="43"/>
      <c r="AQ79" s="66" t="s">
        <v>663</v>
      </c>
      <c r="AR79" s="64"/>
    </row>
    <row r="80" customFormat="false" ht="14.25" hidden="false" customHeight="false" outlineLevel="0" collapsed="false">
      <c r="A80" s="26" t="n">
        <v>79</v>
      </c>
      <c r="B80" s="26" t="s">
        <v>664</v>
      </c>
      <c r="C80" s="43" t="s">
        <v>390</v>
      </c>
      <c r="D80" s="28" t="s">
        <v>73</v>
      </c>
      <c r="E80" s="43" t="n">
        <v>5.5</v>
      </c>
      <c r="F80" s="43" t="n">
        <v>1.6</v>
      </c>
      <c r="G80" s="26" t="n">
        <v>95</v>
      </c>
      <c r="H80" s="43" t="n">
        <v>2019</v>
      </c>
      <c r="I80" s="43" t="s">
        <v>96</v>
      </c>
      <c r="J80" s="43" t="s">
        <v>74</v>
      </c>
      <c r="K80" s="30" t="s">
        <v>665</v>
      </c>
      <c r="L80" s="35"/>
      <c r="M80" s="31" t="s">
        <v>666</v>
      </c>
      <c r="N80" s="92" t="s">
        <v>412</v>
      </c>
      <c r="O80" s="57" t="s">
        <v>52</v>
      </c>
      <c r="P80" s="56" t="s">
        <v>228</v>
      </c>
      <c r="Q80" s="57" t="n">
        <v>1000</v>
      </c>
      <c r="R80" s="58" t="s">
        <v>189</v>
      </c>
      <c r="S80" s="69" t="n">
        <v>4171</v>
      </c>
      <c r="T80" s="35" t="s">
        <v>123</v>
      </c>
      <c r="U80" s="28" t="n">
        <v>558251.64</v>
      </c>
      <c r="V80" s="60" t="n">
        <v>27.790097</v>
      </c>
      <c r="W80" s="71" t="n">
        <f aca="false">572289.21/4</f>
        <v>143072.3025</v>
      </c>
      <c r="X80" s="112" t="n">
        <f aca="false">U80/V80</f>
        <v>20088.1501061331</v>
      </c>
      <c r="Y80" s="112" t="n">
        <f aca="false">40260.3/V80/4</f>
        <v>362.182075147129</v>
      </c>
      <c r="Z80" s="28" t="n">
        <v>4.19</v>
      </c>
      <c r="AA80" s="62" t="s">
        <v>80</v>
      </c>
      <c r="AB80" s="38" t="n">
        <v>43494</v>
      </c>
      <c r="AC80" s="38" t="n">
        <v>43600</v>
      </c>
      <c r="AD80" s="38" t="n">
        <v>43587</v>
      </c>
      <c r="AE80" s="38" t="n">
        <v>45413</v>
      </c>
      <c r="AF80" s="28" t="n">
        <f aca="false">YEAR(AE80)</f>
        <v>2024</v>
      </c>
      <c r="AG80" s="63" t="n">
        <f aca="false">X80/SUMIF($Z$2:$Z$380,Z80,$X$2:$X$380)*(VLOOKUP(Z80,'затраты по департаментам-2 '!$A$2:$C$182,2,FALSE())+VLOOKUP(Z80,'затраты по департаментам-2 '!$A$2:$C$182,3,FALSE()))</f>
        <v>13244.4914332253</v>
      </c>
      <c r="AH80" s="63" t="n">
        <f aca="false">W80/60</f>
        <v>2384.538375</v>
      </c>
      <c r="AI80" s="64" t="s">
        <v>81</v>
      </c>
      <c r="AJ80" s="63" t="s">
        <v>52</v>
      </c>
      <c r="AK80" s="119" t="n">
        <v>10985</v>
      </c>
      <c r="AL80" s="81" t="s">
        <v>667</v>
      </c>
      <c r="AM80" s="78" t="s">
        <v>668</v>
      </c>
      <c r="AN80" s="43" t="s">
        <v>669</v>
      </c>
      <c r="AO80" s="65" t="n">
        <v>44433</v>
      </c>
      <c r="AP80" s="43"/>
      <c r="AQ80" s="66" t="s">
        <v>670</v>
      </c>
      <c r="AR80" s="64"/>
    </row>
    <row r="81" customFormat="false" ht="14.25" hidden="false" customHeight="false" outlineLevel="0" collapsed="false">
      <c r="A81" s="26" t="n">
        <v>80</v>
      </c>
      <c r="B81" s="26" t="s">
        <v>671</v>
      </c>
      <c r="C81" s="43" t="s">
        <v>390</v>
      </c>
      <c r="D81" s="28" t="s">
        <v>73</v>
      </c>
      <c r="E81" s="43" t="n">
        <v>5.5</v>
      </c>
      <c r="F81" s="43" t="n">
        <v>1.6</v>
      </c>
      <c r="G81" s="26" t="n">
        <v>95</v>
      </c>
      <c r="H81" s="43" t="n">
        <v>2019</v>
      </c>
      <c r="I81" s="43" t="s">
        <v>96</v>
      </c>
      <c r="J81" s="43" t="s">
        <v>74</v>
      </c>
      <c r="K81" s="30" t="s">
        <v>672</v>
      </c>
      <c r="L81" s="35"/>
      <c r="M81" s="31" t="s">
        <v>673</v>
      </c>
      <c r="N81" s="84" t="s">
        <v>412</v>
      </c>
      <c r="O81" s="28" t="s">
        <v>52</v>
      </c>
      <c r="P81" s="56" t="s">
        <v>228</v>
      </c>
      <c r="Q81" s="57" t="n">
        <v>1000</v>
      </c>
      <c r="R81" s="58" t="s">
        <v>189</v>
      </c>
      <c r="S81" s="69" t="n">
        <v>4171</v>
      </c>
      <c r="T81" s="59" t="s">
        <v>123</v>
      </c>
      <c r="U81" s="28" t="n">
        <v>558251.64</v>
      </c>
      <c r="V81" s="60" t="n">
        <v>27.790097</v>
      </c>
      <c r="W81" s="71" t="n">
        <f aca="false">572289.21/4</f>
        <v>143072.3025</v>
      </c>
      <c r="X81" s="112" t="n">
        <f aca="false">U81/V81</f>
        <v>20088.1501061331</v>
      </c>
      <c r="Y81" s="112" t="n">
        <f aca="false">40260.3/V81/4</f>
        <v>362.182075147129</v>
      </c>
      <c r="Z81" s="28" t="n">
        <v>4.19</v>
      </c>
      <c r="AA81" s="62" t="s">
        <v>80</v>
      </c>
      <c r="AB81" s="38" t="n">
        <v>43494</v>
      </c>
      <c r="AC81" s="38" t="n">
        <v>43600</v>
      </c>
      <c r="AD81" s="38" t="n">
        <v>43587</v>
      </c>
      <c r="AE81" s="38" t="n">
        <v>45413</v>
      </c>
      <c r="AF81" s="28" t="n">
        <f aca="false">YEAR(AE81)</f>
        <v>2024</v>
      </c>
      <c r="AG81" s="63" t="n">
        <f aca="false">X81/SUMIF($Z$2:$Z$380,Z81,$X$2:$X$380)*(VLOOKUP(Z81,'затраты по департаментам-2 '!$A$2:$C$182,2,FALSE())+VLOOKUP(Z81,'затраты по департаментам-2 '!$A$2:$C$182,3,FALSE()))</f>
        <v>13244.4914332253</v>
      </c>
      <c r="AH81" s="63" t="n">
        <f aca="false">W81/60</f>
        <v>2384.538375</v>
      </c>
      <c r="AI81" s="64" t="s">
        <v>81</v>
      </c>
      <c r="AJ81" s="63" t="s">
        <v>52</v>
      </c>
      <c r="AK81" s="119" t="n">
        <v>11017</v>
      </c>
      <c r="AL81" s="81" t="s">
        <v>674</v>
      </c>
      <c r="AM81" s="78" t="s">
        <v>675</v>
      </c>
      <c r="AN81" s="43" t="s">
        <v>676</v>
      </c>
      <c r="AO81" s="65" t="n">
        <v>44419</v>
      </c>
      <c r="AP81" s="43"/>
      <c r="AQ81" s="66" t="s">
        <v>677</v>
      </c>
      <c r="AR81" s="64"/>
    </row>
    <row r="82" customFormat="false" ht="14.25" hidden="false" customHeight="false" outlineLevel="0" collapsed="false">
      <c r="A82" s="26" t="n">
        <v>81</v>
      </c>
      <c r="B82" s="125" t="s">
        <v>678</v>
      </c>
      <c r="C82" s="43" t="s">
        <v>165</v>
      </c>
      <c r="D82" s="28" t="s">
        <v>46</v>
      </c>
      <c r="E82" s="43" t="n">
        <v>6.7</v>
      </c>
      <c r="F82" s="43" t="n">
        <v>1.2</v>
      </c>
      <c r="G82" s="43" t="n">
        <v>108</v>
      </c>
      <c r="H82" s="43" t="n">
        <v>2019</v>
      </c>
      <c r="I82" s="43" t="s">
        <v>96</v>
      </c>
      <c r="J82" s="43" t="s">
        <v>74</v>
      </c>
      <c r="K82" s="30" t="s">
        <v>679</v>
      </c>
      <c r="L82" s="28"/>
      <c r="M82" s="31" t="s">
        <v>680</v>
      </c>
      <c r="N82" s="84" t="s">
        <v>179</v>
      </c>
      <c r="O82" s="28" t="s">
        <v>681</v>
      </c>
      <c r="P82" s="56" t="s">
        <v>181</v>
      </c>
      <c r="Q82" s="87" t="n">
        <v>7031</v>
      </c>
      <c r="R82" s="58" t="s">
        <v>171</v>
      </c>
      <c r="S82" s="69" t="n">
        <v>4133</v>
      </c>
      <c r="T82" s="35" t="s">
        <v>172</v>
      </c>
      <c r="U82" s="28" t="n">
        <v>421491.01</v>
      </c>
      <c r="V82" s="60" t="n">
        <v>27.790097</v>
      </c>
      <c r="W82" s="71" t="n">
        <f aca="false">3714165.41/32</f>
        <v>116067.6690625</v>
      </c>
      <c r="X82" s="112" t="n">
        <f aca="false">U82/V82</f>
        <v>15166.9499390376</v>
      </c>
      <c r="Y82" s="117" t="n">
        <f aca="false">223784.82/32/V82</f>
        <v>251.64631937053</v>
      </c>
      <c r="Z82" s="28" t="n">
        <v>4.21</v>
      </c>
      <c r="AA82" s="62" t="s">
        <v>80</v>
      </c>
      <c r="AB82" s="38" t="n">
        <v>43494</v>
      </c>
      <c r="AC82" s="38" t="n">
        <v>43600</v>
      </c>
      <c r="AD82" s="38" t="n">
        <v>43587</v>
      </c>
      <c r="AE82" s="38" t="n">
        <v>45414</v>
      </c>
      <c r="AF82" s="28" t="n">
        <f aca="false">YEAR(AE82)</f>
        <v>2024</v>
      </c>
      <c r="AG82" s="63" t="n">
        <f aca="false">X82/SUMIF($Z$2:$Z$380,Z82,$X$2:$X$380)*(VLOOKUP(Z82,'затраты по департаментам-2 '!$A$2:$C$182,2,FALSE())+VLOOKUP(Z82,'затраты по департаментам-2 '!$A$2:$C$182,3,FALSE()))</f>
        <v>9202.35350315218</v>
      </c>
      <c r="AH82" s="63" t="n">
        <f aca="false">W82/60</f>
        <v>1934.46115104167</v>
      </c>
      <c r="AI82" s="64" t="s">
        <v>81</v>
      </c>
      <c r="AJ82" s="63" t="s">
        <v>100</v>
      </c>
      <c r="AK82" s="119" t="n">
        <v>11256</v>
      </c>
      <c r="AL82" s="81" t="s">
        <v>682</v>
      </c>
      <c r="AM82" s="74" t="s">
        <v>683</v>
      </c>
      <c r="AN82" s="43" t="s">
        <v>684</v>
      </c>
      <c r="AO82" s="65" t="n">
        <v>44889</v>
      </c>
      <c r="AP82" s="43"/>
      <c r="AQ82" s="66" t="s">
        <v>685</v>
      </c>
      <c r="AR82" s="64"/>
    </row>
    <row r="83" customFormat="false" ht="14.25" hidden="false" customHeight="false" outlineLevel="0" collapsed="false">
      <c r="A83" s="26" t="n">
        <v>82</v>
      </c>
      <c r="B83" s="43" t="s">
        <v>686</v>
      </c>
      <c r="C83" s="43" t="s">
        <v>165</v>
      </c>
      <c r="D83" s="28" t="s">
        <v>46</v>
      </c>
      <c r="E83" s="43" t="n">
        <v>6.7</v>
      </c>
      <c r="F83" s="43" t="n">
        <v>1.2</v>
      </c>
      <c r="G83" s="43" t="n">
        <v>108</v>
      </c>
      <c r="H83" s="43" t="n">
        <v>2019</v>
      </c>
      <c r="I83" s="43" t="s">
        <v>96</v>
      </c>
      <c r="J83" s="43" t="s">
        <v>74</v>
      </c>
      <c r="K83" s="30" t="s">
        <v>687</v>
      </c>
      <c r="L83" s="28"/>
      <c r="M83" s="31" t="s">
        <v>688</v>
      </c>
      <c r="N83" s="32" t="s">
        <v>168</v>
      </c>
      <c r="O83" s="28" t="s">
        <v>689</v>
      </c>
      <c r="P83" s="84" t="s">
        <v>170</v>
      </c>
      <c r="Q83" s="87" t="n">
        <v>9000</v>
      </c>
      <c r="R83" s="58" t="s">
        <v>290</v>
      </c>
      <c r="S83" s="69" t="n">
        <v>4140</v>
      </c>
      <c r="T83" s="35" t="s">
        <v>172</v>
      </c>
      <c r="U83" s="28" t="n">
        <v>421491.01</v>
      </c>
      <c r="V83" s="60" t="n">
        <v>27.790097</v>
      </c>
      <c r="W83" s="71" t="n">
        <f aca="false">3714165.41/32</f>
        <v>116067.6690625</v>
      </c>
      <c r="X83" s="112" t="n">
        <f aca="false">U83/V83</f>
        <v>15166.9499390376</v>
      </c>
      <c r="Y83" s="117" t="n">
        <f aca="false">223784.82/32/V83</f>
        <v>251.64631937053</v>
      </c>
      <c r="Z83" s="28" t="n">
        <v>4.21</v>
      </c>
      <c r="AA83" s="62" t="s">
        <v>80</v>
      </c>
      <c r="AB83" s="38" t="n">
        <v>43494</v>
      </c>
      <c r="AC83" s="38" t="n">
        <v>43600</v>
      </c>
      <c r="AD83" s="38" t="n">
        <v>43580</v>
      </c>
      <c r="AE83" s="38" t="n">
        <v>45406</v>
      </c>
      <c r="AF83" s="28" t="n">
        <f aca="false">YEAR(AE83)</f>
        <v>2024</v>
      </c>
      <c r="AG83" s="63" t="n">
        <f aca="false">X83/SUMIF($Z$2:$Z$380,Z83,$X$2:$X$380)*(VLOOKUP(Z83,'затраты по департаментам-2 '!$A$2:$C$182,2,FALSE())+VLOOKUP(Z83,'затраты по департаментам-2 '!$A$2:$C$182,3,FALSE()))</f>
        <v>9202.35350315218</v>
      </c>
      <c r="AH83" s="63" t="n">
        <f aca="false">W83/60</f>
        <v>1934.46115104167</v>
      </c>
      <c r="AI83" s="64" t="s">
        <v>81</v>
      </c>
      <c r="AJ83" s="63" t="s">
        <v>82</v>
      </c>
      <c r="AK83" s="119" t="n">
        <v>47837</v>
      </c>
      <c r="AL83" s="81" t="s">
        <v>690</v>
      </c>
      <c r="AM83" s="85" t="s">
        <v>691</v>
      </c>
      <c r="AN83" s="43" t="s">
        <v>692</v>
      </c>
      <c r="AO83" s="65" t="n">
        <v>44523</v>
      </c>
      <c r="AP83" s="43"/>
      <c r="AQ83" s="66" t="s">
        <v>693</v>
      </c>
      <c r="AR83" s="64"/>
    </row>
    <row r="84" customFormat="false" ht="14.25" hidden="false" customHeight="false" outlineLevel="0" collapsed="false">
      <c r="A84" s="26" t="n">
        <v>83</v>
      </c>
      <c r="B84" s="125" t="s">
        <v>694</v>
      </c>
      <c r="C84" s="43" t="s">
        <v>165</v>
      </c>
      <c r="D84" s="28" t="s">
        <v>46</v>
      </c>
      <c r="E84" s="43" t="n">
        <v>6.7</v>
      </c>
      <c r="F84" s="43" t="n">
        <v>1.2</v>
      </c>
      <c r="G84" s="43" t="n">
        <v>108</v>
      </c>
      <c r="H84" s="43" t="n">
        <v>2019</v>
      </c>
      <c r="I84" s="43" t="s">
        <v>96</v>
      </c>
      <c r="J84" s="43" t="s">
        <v>74</v>
      </c>
      <c r="K84" s="30" t="s">
        <v>695</v>
      </c>
      <c r="L84" s="35"/>
      <c r="M84" s="31" t="s">
        <v>696</v>
      </c>
      <c r="N84" s="32" t="s">
        <v>236</v>
      </c>
      <c r="O84" s="28" t="s">
        <v>197</v>
      </c>
      <c r="P84" s="56" t="s">
        <v>198</v>
      </c>
      <c r="Q84" s="87" t="n">
        <v>7042</v>
      </c>
      <c r="R84" s="58" t="s">
        <v>171</v>
      </c>
      <c r="S84" s="69" t="n">
        <v>4134</v>
      </c>
      <c r="T84" s="35" t="s">
        <v>172</v>
      </c>
      <c r="U84" s="28" t="n">
        <v>421491.01</v>
      </c>
      <c r="V84" s="60" t="n">
        <v>27.790097</v>
      </c>
      <c r="W84" s="71" t="n">
        <f aca="false">3714165.41/32</f>
        <v>116067.6690625</v>
      </c>
      <c r="X84" s="112" t="n">
        <f aca="false">U84/V84</f>
        <v>15166.9499390376</v>
      </c>
      <c r="Y84" s="117" t="n">
        <f aca="false">223784.82/32/V84</f>
        <v>251.64631937053</v>
      </c>
      <c r="Z84" s="28" t="n">
        <v>4.21</v>
      </c>
      <c r="AA84" s="62" t="s">
        <v>80</v>
      </c>
      <c r="AB84" s="38" t="n">
        <v>43494</v>
      </c>
      <c r="AC84" s="38" t="n">
        <v>43600</v>
      </c>
      <c r="AD84" s="38" t="n">
        <v>43587</v>
      </c>
      <c r="AE84" s="38" t="n">
        <v>45414</v>
      </c>
      <c r="AF84" s="28" t="n">
        <f aca="false">YEAR(AE84)</f>
        <v>2024</v>
      </c>
      <c r="AG84" s="63" t="n">
        <f aca="false">X84/SUMIF($Z$2:$Z$380,Z84,$X$2:$X$380)*(VLOOKUP(Z84,'затраты по департаментам-2 '!$A$2:$C$182,2,FALSE())+VLOOKUP(Z84,'затраты по департаментам-2 '!$A$2:$C$182,3,FALSE()))</f>
        <v>9202.35350315218</v>
      </c>
      <c r="AH84" s="63" t="n">
        <f aca="false">W84/60</f>
        <v>1934.46115104167</v>
      </c>
      <c r="AI84" s="64" t="s">
        <v>81</v>
      </c>
      <c r="AJ84" s="63" t="s">
        <v>197</v>
      </c>
      <c r="AK84" s="119" t="n">
        <v>15141</v>
      </c>
      <c r="AL84" s="81" t="s">
        <v>697</v>
      </c>
      <c r="AM84" s="85" t="s">
        <v>698</v>
      </c>
      <c r="AN84" s="43" t="s">
        <v>699</v>
      </c>
      <c r="AO84" s="65" t="n">
        <v>44552</v>
      </c>
      <c r="AP84" s="43"/>
      <c r="AQ84" s="66" t="s">
        <v>700</v>
      </c>
      <c r="AR84" s="64"/>
    </row>
    <row r="85" customFormat="false" ht="14.25" hidden="false" customHeight="false" outlineLevel="0" collapsed="false">
      <c r="A85" s="26" t="n">
        <v>84</v>
      </c>
      <c r="B85" s="43" t="s">
        <v>701</v>
      </c>
      <c r="C85" s="43" t="s">
        <v>165</v>
      </c>
      <c r="D85" s="28" t="s">
        <v>46</v>
      </c>
      <c r="E85" s="43" t="n">
        <v>6.7</v>
      </c>
      <c r="F85" s="43" t="n">
        <v>1.2</v>
      </c>
      <c r="G85" s="43" t="n">
        <v>108</v>
      </c>
      <c r="H85" s="43" t="n">
        <v>2019</v>
      </c>
      <c r="I85" s="43" t="s">
        <v>96</v>
      </c>
      <c r="J85" s="43" t="s">
        <v>74</v>
      </c>
      <c r="K85" s="30" t="s">
        <v>702</v>
      </c>
      <c r="L85" s="28"/>
      <c r="M85" s="31" t="s">
        <v>703</v>
      </c>
      <c r="N85" s="32" t="s">
        <v>236</v>
      </c>
      <c r="O85" s="28" t="s">
        <v>197</v>
      </c>
      <c r="P85" s="56" t="s">
        <v>198</v>
      </c>
      <c r="Q85" s="87" t="n">
        <v>7042</v>
      </c>
      <c r="R85" s="58" t="s">
        <v>171</v>
      </c>
      <c r="S85" s="69" t="n">
        <v>4134</v>
      </c>
      <c r="T85" s="35" t="s">
        <v>172</v>
      </c>
      <c r="U85" s="28" t="n">
        <v>421491.01</v>
      </c>
      <c r="V85" s="60" t="n">
        <v>27.790097</v>
      </c>
      <c r="W85" s="71" t="n">
        <f aca="false">3714165.41/32</f>
        <v>116067.6690625</v>
      </c>
      <c r="X85" s="112" t="n">
        <f aca="false">U85/V85</f>
        <v>15166.9499390376</v>
      </c>
      <c r="Y85" s="117" t="n">
        <f aca="false">223784.82/32/V85</f>
        <v>251.64631937053</v>
      </c>
      <c r="Z85" s="28" t="n">
        <v>4.21</v>
      </c>
      <c r="AA85" s="62" t="s">
        <v>80</v>
      </c>
      <c r="AB85" s="38" t="n">
        <v>43494</v>
      </c>
      <c r="AC85" s="38" t="n">
        <v>43600</v>
      </c>
      <c r="AD85" s="38" t="n">
        <v>43580</v>
      </c>
      <c r="AE85" s="38" t="n">
        <v>45406</v>
      </c>
      <c r="AF85" s="28" t="n">
        <f aca="false">YEAR(AE85)</f>
        <v>2024</v>
      </c>
      <c r="AG85" s="63" t="n">
        <f aca="false">X85/SUMIF($Z$2:$Z$380,Z85,$X$2:$X$380)*(VLOOKUP(Z85,'затраты по департаментам-2 '!$A$2:$C$182,2,FALSE())+VLOOKUP(Z85,'затраты по департаментам-2 '!$A$2:$C$182,3,FALSE()))</f>
        <v>9202.35350315218</v>
      </c>
      <c r="AH85" s="63" t="n">
        <f aca="false">W85/60</f>
        <v>1934.46115104167</v>
      </c>
      <c r="AI85" s="64" t="s">
        <v>81</v>
      </c>
      <c r="AJ85" s="63" t="s">
        <v>197</v>
      </c>
      <c r="AK85" s="119" t="n">
        <v>2206</v>
      </c>
      <c r="AL85" s="81" t="s">
        <v>704</v>
      </c>
      <c r="AM85" s="85" t="s">
        <v>705</v>
      </c>
      <c r="AN85" s="43" t="s">
        <v>706</v>
      </c>
      <c r="AO85" s="65" t="n">
        <v>44552</v>
      </c>
      <c r="AP85" s="43"/>
      <c r="AQ85" s="66" t="s">
        <v>707</v>
      </c>
      <c r="AR85" s="64"/>
    </row>
    <row r="86" customFormat="false" ht="14.25" hidden="false" customHeight="false" outlineLevel="0" collapsed="false">
      <c r="A86" s="26" t="n">
        <v>85</v>
      </c>
      <c r="B86" s="43" t="s">
        <v>708</v>
      </c>
      <c r="C86" s="43" t="s">
        <v>165</v>
      </c>
      <c r="D86" s="28" t="s">
        <v>46</v>
      </c>
      <c r="E86" s="43" t="n">
        <v>6.7</v>
      </c>
      <c r="F86" s="43" t="n">
        <v>1.2</v>
      </c>
      <c r="G86" s="43" t="n">
        <v>108</v>
      </c>
      <c r="H86" s="43" t="n">
        <v>2019</v>
      </c>
      <c r="I86" s="43" t="s">
        <v>96</v>
      </c>
      <c r="J86" s="43" t="s">
        <v>74</v>
      </c>
      <c r="K86" s="30" t="s">
        <v>709</v>
      </c>
      <c r="L86" s="28"/>
      <c r="M86" s="126" t="s">
        <v>710</v>
      </c>
      <c r="N86" s="92" t="s">
        <v>179</v>
      </c>
      <c r="O86" s="28" t="s">
        <v>197</v>
      </c>
      <c r="P86" s="56" t="s">
        <v>198</v>
      </c>
      <c r="Q86" s="87" t="n">
        <v>7042</v>
      </c>
      <c r="R86" s="58" t="s">
        <v>171</v>
      </c>
      <c r="S86" s="69" t="n">
        <v>4134</v>
      </c>
      <c r="T86" s="35" t="s">
        <v>172</v>
      </c>
      <c r="U86" s="28" t="n">
        <v>421491.01</v>
      </c>
      <c r="V86" s="60" t="n">
        <v>27.790097</v>
      </c>
      <c r="W86" s="71" t="n">
        <f aca="false">3714165.41/32</f>
        <v>116067.6690625</v>
      </c>
      <c r="X86" s="112" t="n">
        <f aca="false">U86/V86</f>
        <v>15166.9499390376</v>
      </c>
      <c r="Y86" s="117" t="n">
        <f aca="false">223784.82/32/V86</f>
        <v>251.64631937053</v>
      </c>
      <c r="Z86" s="28" t="n">
        <v>4.21</v>
      </c>
      <c r="AA86" s="62" t="s">
        <v>80</v>
      </c>
      <c r="AB86" s="38" t="n">
        <v>43494</v>
      </c>
      <c r="AC86" s="38" t="n">
        <v>43600</v>
      </c>
      <c r="AD86" s="38" t="n">
        <v>43580</v>
      </c>
      <c r="AE86" s="38" t="n">
        <v>45406</v>
      </c>
      <c r="AF86" s="28" t="n">
        <f aca="false">YEAR(AE86)</f>
        <v>2024</v>
      </c>
      <c r="AG86" s="63" t="n">
        <f aca="false">X86/SUMIF($Z$2:$Z$380,Z86,$X$2:$X$380)*(VLOOKUP(Z86,'затраты по департаментам-2 '!$A$2:$C$182,2,FALSE())+VLOOKUP(Z86,'затраты по департаментам-2 '!$A$2:$C$182,3,FALSE()))</f>
        <v>9202.35350315218</v>
      </c>
      <c r="AH86" s="63" t="n">
        <f aca="false">W86/60</f>
        <v>1934.46115104167</v>
      </c>
      <c r="AI86" s="64" t="s">
        <v>81</v>
      </c>
      <c r="AJ86" s="63" t="s">
        <v>197</v>
      </c>
      <c r="AK86" s="119" t="n">
        <v>48997</v>
      </c>
      <c r="AL86" s="81" t="s">
        <v>711</v>
      </c>
      <c r="AM86" s="96" t="s">
        <v>712</v>
      </c>
      <c r="AN86" s="43" t="s">
        <v>713</v>
      </c>
      <c r="AO86" s="65" t="n">
        <v>44958</v>
      </c>
      <c r="AP86" s="43"/>
      <c r="AQ86" s="90" t="s">
        <v>714</v>
      </c>
      <c r="AR86" s="76" t="n">
        <v>44572</v>
      </c>
    </row>
    <row r="87" customFormat="false" ht="14.25" hidden="false" customHeight="false" outlineLevel="0" collapsed="false">
      <c r="A87" s="26" t="n">
        <v>86</v>
      </c>
      <c r="B87" s="43" t="s">
        <v>715</v>
      </c>
      <c r="C87" s="43" t="s">
        <v>165</v>
      </c>
      <c r="D87" s="28" t="s">
        <v>46</v>
      </c>
      <c r="E87" s="43" t="n">
        <v>6.7</v>
      </c>
      <c r="F87" s="43" t="n">
        <v>1.2</v>
      </c>
      <c r="G87" s="43" t="n">
        <v>108</v>
      </c>
      <c r="H87" s="43" t="n">
        <v>2019</v>
      </c>
      <c r="I87" s="43" t="s">
        <v>96</v>
      </c>
      <c r="J87" s="43" t="s">
        <v>74</v>
      </c>
      <c r="K87" s="30" t="s">
        <v>716</v>
      </c>
      <c r="L87" s="27"/>
      <c r="M87" s="31" t="s">
        <v>717</v>
      </c>
      <c r="N87" s="32" t="s">
        <v>168</v>
      </c>
      <c r="O87" s="127" t="s">
        <v>313</v>
      </c>
      <c r="P87" s="84" t="s">
        <v>188</v>
      </c>
      <c r="Q87" s="57" t="n">
        <v>9000</v>
      </c>
      <c r="R87" s="58" t="s">
        <v>290</v>
      </c>
      <c r="S87" s="69" t="n">
        <v>4140</v>
      </c>
      <c r="T87" s="35" t="s">
        <v>172</v>
      </c>
      <c r="U87" s="28" t="n">
        <v>421491.01</v>
      </c>
      <c r="V87" s="60" t="n">
        <v>27.790097</v>
      </c>
      <c r="W87" s="71" t="n">
        <f aca="false">3714165.41/32</f>
        <v>116067.6690625</v>
      </c>
      <c r="X87" s="112" t="n">
        <f aca="false">U87/V87</f>
        <v>15166.9499390376</v>
      </c>
      <c r="Y87" s="117" t="n">
        <f aca="false">223784.82/32/V87</f>
        <v>251.64631937053</v>
      </c>
      <c r="Z87" s="28" t="n">
        <v>4.21</v>
      </c>
      <c r="AA87" s="62" t="s">
        <v>80</v>
      </c>
      <c r="AB87" s="38" t="n">
        <v>43494</v>
      </c>
      <c r="AC87" s="38" t="n">
        <v>43600</v>
      </c>
      <c r="AD87" s="38" t="n">
        <v>43580</v>
      </c>
      <c r="AE87" s="38" t="n">
        <v>45406</v>
      </c>
      <c r="AF87" s="28" t="n">
        <f aca="false">YEAR(AE87)</f>
        <v>2024</v>
      </c>
      <c r="AG87" s="63" t="n">
        <f aca="false">X87/SUMIF($Z$2:$Z$380,Z87,$X$2:$X$380)*(VLOOKUP(Z87,'затраты по департаментам-2 '!$A$2:$C$182,2,FALSE())+VLOOKUP(Z87,'затраты по департаментам-2 '!$A$2:$C$182,3,FALSE()))</f>
        <v>9202.35350315218</v>
      </c>
      <c r="AH87" s="63" t="n">
        <f aca="false">W87/60</f>
        <v>1934.46115104167</v>
      </c>
      <c r="AI87" s="64" t="s">
        <v>81</v>
      </c>
      <c r="AJ87" s="63" t="s">
        <v>82</v>
      </c>
      <c r="AK87" s="119" t="n">
        <v>10993</v>
      </c>
      <c r="AL87" s="81" t="s">
        <v>718</v>
      </c>
      <c r="AM87" s="85" t="s">
        <v>719</v>
      </c>
      <c r="AN87" s="43" t="s">
        <v>720</v>
      </c>
      <c r="AO87" s="65" t="n">
        <v>44525</v>
      </c>
      <c r="AP87" s="43"/>
      <c r="AQ87" s="66" t="s">
        <v>721</v>
      </c>
      <c r="AR87" s="64"/>
    </row>
    <row r="88" customFormat="false" ht="14.25" hidden="false" customHeight="false" outlineLevel="0" collapsed="false">
      <c r="A88" s="26" t="n">
        <v>87</v>
      </c>
      <c r="B88" s="43" t="s">
        <v>722</v>
      </c>
      <c r="C88" s="43" t="s">
        <v>165</v>
      </c>
      <c r="D88" s="28" t="s">
        <v>46</v>
      </c>
      <c r="E88" s="43" t="n">
        <v>6.7</v>
      </c>
      <c r="F88" s="43" t="n">
        <v>1.2</v>
      </c>
      <c r="G88" s="43" t="n">
        <v>108</v>
      </c>
      <c r="H88" s="43" t="n">
        <v>2019</v>
      </c>
      <c r="I88" s="43" t="s">
        <v>96</v>
      </c>
      <c r="J88" s="43" t="s">
        <v>74</v>
      </c>
      <c r="K88" s="30" t="s">
        <v>723</v>
      </c>
      <c r="L88" s="28"/>
      <c r="M88" s="31" t="s">
        <v>724</v>
      </c>
      <c r="N88" s="32" t="s">
        <v>179</v>
      </c>
      <c r="O88" s="57" t="s">
        <v>142</v>
      </c>
      <c r="P88" s="101" t="s">
        <v>143</v>
      </c>
      <c r="Q88" s="87" t="n">
        <v>7065</v>
      </c>
      <c r="R88" s="58" t="s">
        <v>92</v>
      </c>
      <c r="S88" s="69" t="n">
        <v>4136</v>
      </c>
      <c r="T88" s="35" t="s">
        <v>172</v>
      </c>
      <c r="U88" s="28" t="n">
        <v>421491.01</v>
      </c>
      <c r="V88" s="60" t="n">
        <v>27.790097</v>
      </c>
      <c r="W88" s="71" t="n">
        <f aca="false">3714165.41/32</f>
        <v>116067.6690625</v>
      </c>
      <c r="X88" s="112" t="n">
        <f aca="false">U88/V88</f>
        <v>15166.9499390376</v>
      </c>
      <c r="Y88" s="117" t="n">
        <f aca="false">223784.82/32/V88</f>
        <v>251.64631937053</v>
      </c>
      <c r="Z88" s="28" t="n">
        <v>4.21</v>
      </c>
      <c r="AA88" s="62" t="s">
        <v>80</v>
      </c>
      <c r="AB88" s="38" t="n">
        <v>43494</v>
      </c>
      <c r="AC88" s="38" t="n">
        <v>43600</v>
      </c>
      <c r="AD88" s="38" t="n">
        <v>43587</v>
      </c>
      <c r="AE88" s="38" t="n">
        <v>45414</v>
      </c>
      <c r="AF88" s="28" t="n">
        <f aca="false">YEAR(AE88)</f>
        <v>2024</v>
      </c>
      <c r="AG88" s="63" t="n">
        <f aca="false">X88/SUMIF($Z$2:$Z$380,Z88,$X$2:$X$380)*(VLOOKUP(Z88,'затраты по департаментам-2 '!$A$2:$C$182,2,FALSE())+VLOOKUP(Z88,'затраты по департаментам-2 '!$A$2:$C$182,3,FALSE()))</f>
        <v>9202.35350315218</v>
      </c>
      <c r="AH88" s="63" t="n">
        <f aca="false">W88/60</f>
        <v>1934.46115104167</v>
      </c>
      <c r="AI88" s="64" t="s">
        <v>81</v>
      </c>
      <c r="AJ88" s="63" t="s">
        <v>142</v>
      </c>
      <c r="AK88" s="119" t="n">
        <v>12973</v>
      </c>
      <c r="AL88" s="81" t="s">
        <v>725</v>
      </c>
      <c r="AM88" s="74" t="s">
        <v>726</v>
      </c>
      <c r="AN88" s="43" t="s">
        <v>727</v>
      </c>
      <c r="AO88" s="65" t="n">
        <v>44915</v>
      </c>
      <c r="AP88" s="43"/>
      <c r="AQ88" s="66" t="s">
        <v>728</v>
      </c>
      <c r="AR88" s="64"/>
    </row>
    <row r="89" customFormat="false" ht="14.25" hidden="false" customHeight="false" outlineLevel="0" collapsed="false">
      <c r="A89" s="26" t="n">
        <v>88</v>
      </c>
      <c r="B89" s="43" t="s">
        <v>729</v>
      </c>
      <c r="C89" s="43" t="s">
        <v>165</v>
      </c>
      <c r="D89" s="28" t="s">
        <v>46</v>
      </c>
      <c r="E89" s="43" t="n">
        <v>6.7</v>
      </c>
      <c r="F89" s="43" t="n">
        <v>1.2</v>
      </c>
      <c r="G89" s="43" t="n">
        <v>108</v>
      </c>
      <c r="H89" s="43" t="n">
        <v>2019</v>
      </c>
      <c r="I89" s="43" t="s">
        <v>96</v>
      </c>
      <c r="J89" s="43" t="s">
        <v>74</v>
      </c>
      <c r="K89" s="30" t="s">
        <v>730</v>
      </c>
      <c r="L89" s="28"/>
      <c r="M89" s="31" t="s">
        <v>731</v>
      </c>
      <c r="N89" s="32" t="s">
        <v>179</v>
      </c>
      <c r="O89" s="28" t="s">
        <v>732</v>
      </c>
      <c r="P89" s="48" t="s">
        <v>91</v>
      </c>
      <c r="Q89" s="87" t="n">
        <v>7080</v>
      </c>
      <c r="R89" s="58" t="s">
        <v>171</v>
      </c>
      <c r="S89" s="69" t="n">
        <v>4138</v>
      </c>
      <c r="T89" s="35" t="s">
        <v>172</v>
      </c>
      <c r="U89" s="28" t="n">
        <v>421491.01</v>
      </c>
      <c r="V89" s="60" t="n">
        <v>27.790097</v>
      </c>
      <c r="W89" s="71" t="n">
        <f aca="false">3714165.41/32</f>
        <v>116067.6690625</v>
      </c>
      <c r="X89" s="112" t="n">
        <f aca="false">U89/V89</f>
        <v>15166.9499390376</v>
      </c>
      <c r="Y89" s="117" t="n">
        <f aca="false">223784.82/32/V89</f>
        <v>251.64631937053</v>
      </c>
      <c r="Z89" s="28" t="n">
        <v>4.21</v>
      </c>
      <c r="AA89" s="62" t="s">
        <v>80</v>
      </c>
      <c r="AB89" s="38" t="n">
        <v>43494</v>
      </c>
      <c r="AC89" s="38" t="n">
        <v>43600</v>
      </c>
      <c r="AD89" s="38" t="n">
        <v>43580</v>
      </c>
      <c r="AE89" s="38" t="n">
        <v>45406</v>
      </c>
      <c r="AF89" s="28" t="n">
        <f aca="false">YEAR(AE89)</f>
        <v>2024</v>
      </c>
      <c r="AG89" s="63" t="n">
        <f aca="false">X89/SUMIF($Z$2:$Z$380,Z89,$X$2:$X$380)*(VLOOKUP(Z89,'затраты по департаментам-2 '!$A$2:$C$182,2,FALSE())+VLOOKUP(Z89,'затраты по департаментам-2 '!$A$2:$C$182,3,FALSE()))</f>
        <v>9202.35350315218</v>
      </c>
      <c r="AH89" s="63" t="n">
        <f aca="false">W89/60</f>
        <v>1934.46115104167</v>
      </c>
      <c r="AI89" s="64" t="s">
        <v>81</v>
      </c>
      <c r="AJ89" s="63" t="s">
        <v>82</v>
      </c>
      <c r="AK89" s="119" t="n">
        <v>9961</v>
      </c>
      <c r="AL89" s="81" t="s">
        <v>733</v>
      </c>
      <c r="AM89" s="85" t="s">
        <v>734</v>
      </c>
      <c r="AN89" s="43" t="s">
        <v>735</v>
      </c>
      <c r="AO89" s="65" t="n">
        <v>44539</v>
      </c>
      <c r="AP89" s="43"/>
      <c r="AQ89" s="66" t="s">
        <v>736</v>
      </c>
      <c r="AR89" s="64"/>
    </row>
    <row r="90" customFormat="false" ht="14.25" hidden="false" customHeight="false" outlineLevel="0" collapsed="false">
      <c r="A90" s="26" t="n">
        <v>89</v>
      </c>
      <c r="B90" s="43" t="s">
        <v>737</v>
      </c>
      <c r="C90" s="43" t="s">
        <v>165</v>
      </c>
      <c r="D90" s="28" t="s">
        <v>46</v>
      </c>
      <c r="E90" s="43" t="n">
        <v>6.7</v>
      </c>
      <c r="F90" s="43" t="n">
        <v>1.2</v>
      </c>
      <c r="G90" s="43" t="n">
        <v>108</v>
      </c>
      <c r="H90" s="43" t="n">
        <v>2019</v>
      </c>
      <c r="I90" s="43" t="s">
        <v>96</v>
      </c>
      <c r="J90" s="43" t="s">
        <v>74</v>
      </c>
      <c r="K90" s="30" t="s">
        <v>738</v>
      </c>
      <c r="L90" s="82"/>
      <c r="M90" s="31" t="s">
        <v>739</v>
      </c>
      <c r="N90" s="84" t="s">
        <v>179</v>
      </c>
      <c r="O90" s="48" t="s">
        <v>142</v>
      </c>
      <c r="P90" s="48" t="s">
        <v>143</v>
      </c>
      <c r="Q90" s="87" t="n">
        <v>7065</v>
      </c>
      <c r="R90" s="58" t="s">
        <v>171</v>
      </c>
      <c r="S90" s="69" t="n">
        <v>4136</v>
      </c>
      <c r="T90" s="35" t="s">
        <v>172</v>
      </c>
      <c r="U90" s="28" t="n">
        <v>421491.01</v>
      </c>
      <c r="V90" s="60" t="n">
        <v>27.790097</v>
      </c>
      <c r="W90" s="71" t="n">
        <f aca="false">3714165.41/32</f>
        <v>116067.6690625</v>
      </c>
      <c r="X90" s="112" t="n">
        <f aca="false">U90/V90</f>
        <v>15166.9499390376</v>
      </c>
      <c r="Y90" s="117" t="n">
        <f aca="false">223784.82/32/V90</f>
        <v>251.64631937053</v>
      </c>
      <c r="Z90" s="28" t="n">
        <v>4.21</v>
      </c>
      <c r="AA90" s="62" t="s">
        <v>80</v>
      </c>
      <c r="AB90" s="38" t="n">
        <v>43494</v>
      </c>
      <c r="AC90" s="38" t="n">
        <v>43600</v>
      </c>
      <c r="AD90" s="38" t="n">
        <v>43572</v>
      </c>
      <c r="AE90" s="38" t="n">
        <v>45399</v>
      </c>
      <c r="AF90" s="28" t="n">
        <f aca="false">YEAR(AE90)</f>
        <v>2024</v>
      </c>
      <c r="AG90" s="63" t="n">
        <f aca="false">X90/SUMIF($Z$2:$Z$380,Z90,$X$2:$X$380)*(VLOOKUP(Z90,'затраты по департаментам-2 '!$A$2:$C$182,2,FALSE())+VLOOKUP(Z90,'затраты по департаментам-2 '!$A$2:$C$182,3,FALSE()))</f>
        <v>9202.35350315218</v>
      </c>
      <c r="AH90" s="63" t="n">
        <f aca="false">W90/60</f>
        <v>1934.46115104167</v>
      </c>
      <c r="AI90" s="64" t="s">
        <v>81</v>
      </c>
      <c r="AJ90" s="63" t="s">
        <v>142</v>
      </c>
      <c r="AK90" s="119" t="n">
        <v>11249</v>
      </c>
      <c r="AL90" s="81" t="s">
        <v>740</v>
      </c>
      <c r="AM90" s="85" t="s">
        <v>741</v>
      </c>
      <c r="AN90" s="43" t="s">
        <v>742</v>
      </c>
      <c r="AO90" s="65" t="n">
        <v>44552</v>
      </c>
      <c r="AP90" s="43"/>
      <c r="AQ90" s="66" t="s">
        <v>743</v>
      </c>
      <c r="AR90" s="64"/>
    </row>
    <row r="91" customFormat="false" ht="14.25" hidden="false" customHeight="false" outlineLevel="0" collapsed="false">
      <c r="A91" s="26" t="n">
        <v>90</v>
      </c>
      <c r="B91" s="43" t="s">
        <v>744</v>
      </c>
      <c r="C91" s="43" t="s">
        <v>165</v>
      </c>
      <c r="D91" s="28" t="s">
        <v>46</v>
      </c>
      <c r="E91" s="43" t="n">
        <v>6.7</v>
      </c>
      <c r="F91" s="43" t="n">
        <v>1.2</v>
      </c>
      <c r="G91" s="43" t="n">
        <v>108</v>
      </c>
      <c r="H91" s="43" t="n">
        <v>2019</v>
      </c>
      <c r="I91" s="43" t="s">
        <v>96</v>
      </c>
      <c r="J91" s="43" t="s">
        <v>74</v>
      </c>
      <c r="K91" s="30" t="s">
        <v>745</v>
      </c>
      <c r="L91" s="35"/>
      <c r="M91" s="31" t="s">
        <v>746</v>
      </c>
      <c r="N91" s="84" t="s">
        <v>179</v>
      </c>
      <c r="O91" s="28" t="s">
        <v>373</v>
      </c>
      <c r="P91" s="56" t="s">
        <v>198</v>
      </c>
      <c r="Q91" s="87" t="n">
        <v>7032</v>
      </c>
      <c r="R91" s="58" t="s">
        <v>171</v>
      </c>
      <c r="S91" s="69" t="n">
        <v>4144</v>
      </c>
      <c r="T91" s="35" t="s">
        <v>172</v>
      </c>
      <c r="U91" s="28" t="n">
        <v>421491.01</v>
      </c>
      <c r="V91" s="60" t="n">
        <v>27.790097</v>
      </c>
      <c r="W91" s="71" t="n">
        <f aca="false">3714165.41/32</f>
        <v>116067.6690625</v>
      </c>
      <c r="X91" s="112" t="n">
        <f aca="false">U91/V91</f>
        <v>15166.9499390376</v>
      </c>
      <c r="Y91" s="117" t="n">
        <f aca="false">223784.82/32/V91</f>
        <v>251.64631937053</v>
      </c>
      <c r="Z91" s="28" t="n">
        <v>4.21</v>
      </c>
      <c r="AA91" s="62" t="s">
        <v>80</v>
      </c>
      <c r="AB91" s="38" t="n">
        <v>43494</v>
      </c>
      <c r="AC91" s="38" t="n">
        <v>43600</v>
      </c>
      <c r="AD91" s="38" t="n">
        <v>43572</v>
      </c>
      <c r="AE91" s="38" t="n">
        <v>45399</v>
      </c>
      <c r="AF91" s="28" t="n">
        <f aca="false">YEAR(AE91)</f>
        <v>2024</v>
      </c>
      <c r="AG91" s="63" t="n">
        <f aca="false">X91/SUMIF($Z$2:$Z$380,Z91,$X$2:$X$380)*(VLOOKUP(Z91,'затраты по департаментам-2 '!$A$2:$C$182,2,FALSE())+VLOOKUP(Z91,'затраты по департаментам-2 '!$A$2:$C$182,3,FALSE()))</f>
        <v>9202.35350315218</v>
      </c>
      <c r="AH91" s="63" t="n">
        <f aca="false">W91/60</f>
        <v>1934.46115104167</v>
      </c>
      <c r="AI91" s="64" t="s">
        <v>81</v>
      </c>
      <c r="AJ91" s="63" t="s">
        <v>197</v>
      </c>
      <c r="AK91" s="119" t="n">
        <v>9268</v>
      </c>
      <c r="AL91" s="81" t="s">
        <v>747</v>
      </c>
      <c r="AM91" s="78" t="s">
        <v>748</v>
      </c>
      <c r="AN91" s="43" t="s">
        <v>749</v>
      </c>
      <c r="AO91" s="65" t="n">
        <v>44449</v>
      </c>
      <c r="AP91" s="43"/>
      <c r="AQ91" s="66" t="s">
        <v>750</v>
      </c>
      <c r="AR91" s="64"/>
    </row>
    <row r="92" customFormat="false" ht="14.25" hidden="false" customHeight="false" outlineLevel="0" collapsed="false">
      <c r="A92" s="26" t="n">
        <v>91</v>
      </c>
      <c r="B92" s="43" t="s">
        <v>751</v>
      </c>
      <c r="C92" s="43" t="s">
        <v>165</v>
      </c>
      <c r="D92" s="28" t="s">
        <v>46</v>
      </c>
      <c r="E92" s="43" t="n">
        <v>6.7</v>
      </c>
      <c r="F92" s="43" t="n">
        <v>1.2</v>
      </c>
      <c r="G92" s="43" t="n">
        <v>108</v>
      </c>
      <c r="H92" s="43" t="n">
        <v>2019</v>
      </c>
      <c r="I92" s="43" t="s">
        <v>96</v>
      </c>
      <c r="J92" s="43" t="s">
        <v>74</v>
      </c>
      <c r="K92" s="128" t="s">
        <v>752</v>
      </c>
      <c r="L92" s="35"/>
      <c r="M92" s="31" t="s">
        <v>753</v>
      </c>
      <c r="N92" s="84" t="s">
        <v>179</v>
      </c>
      <c r="O92" s="28" t="s">
        <v>754</v>
      </c>
      <c r="P92" s="56" t="s">
        <v>198</v>
      </c>
      <c r="Q92" s="87" t="n">
        <v>7040</v>
      </c>
      <c r="R92" s="89" t="s">
        <v>171</v>
      </c>
      <c r="S92" s="69" t="n">
        <v>4134</v>
      </c>
      <c r="T92" s="35" t="s">
        <v>172</v>
      </c>
      <c r="U92" s="28" t="n">
        <v>421491.01</v>
      </c>
      <c r="V92" s="60" t="n">
        <v>27.790097</v>
      </c>
      <c r="W92" s="71" t="n">
        <f aca="false">3714165.41/32</f>
        <v>116067.6690625</v>
      </c>
      <c r="X92" s="112" t="n">
        <f aca="false">U92/V92</f>
        <v>15166.9499390376</v>
      </c>
      <c r="Y92" s="117" t="n">
        <f aca="false">223784.82/32/V92</f>
        <v>251.64631937053</v>
      </c>
      <c r="Z92" s="28" t="n">
        <v>4.21</v>
      </c>
      <c r="AA92" s="62" t="s">
        <v>80</v>
      </c>
      <c r="AB92" s="38" t="n">
        <v>43494</v>
      </c>
      <c r="AC92" s="38" t="n">
        <v>43600</v>
      </c>
      <c r="AD92" s="38" t="n">
        <v>43572</v>
      </c>
      <c r="AE92" s="38" t="n">
        <v>45399</v>
      </c>
      <c r="AF92" s="28" t="n">
        <f aca="false">YEAR(AE92)</f>
        <v>2024</v>
      </c>
      <c r="AG92" s="63" t="n">
        <f aca="false">X92/SUMIF($Z$2:$Z$380,Z92,$X$2:$X$380)*(VLOOKUP(Z92,'затраты по департаментам-2 '!$A$2:$C$182,2,FALSE())+VLOOKUP(Z92,'затраты по департаментам-2 '!$A$2:$C$182,3,FALSE()))</f>
        <v>9202.35350315218</v>
      </c>
      <c r="AH92" s="63" t="n">
        <f aca="false">W92/60</f>
        <v>1934.46115104167</v>
      </c>
      <c r="AI92" s="64" t="s">
        <v>81</v>
      </c>
      <c r="AJ92" s="63" t="s">
        <v>197</v>
      </c>
      <c r="AK92" s="119" t="n">
        <v>53783</v>
      </c>
      <c r="AL92" s="81" t="s">
        <v>755</v>
      </c>
      <c r="AM92" s="85" t="s">
        <v>756</v>
      </c>
      <c r="AN92" s="43" t="s">
        <v>757</v>
      </c>
      <c r="AO92" s="65" t="n">
        <v>44532</v>
      </c>
      <c r="AP92" s="43"/>
      <c r="AQ92" s="66" t="s">
        <v>758</v>
      </c>
      <c r="AR92" s="64"/>
    </row>
    <row r="93" customFormat="false" ht="14.25" hidden="false" customHeight="false" outlineLevel="0" collapsed="false">
      <c r="A93" s="26" t="n">
        <v>92</v>
      </c>
      <c r="B93" s="43" t="s">
        <v>759</v>
      </c>
      <c r="C93" s="43" t="s">
        <v>165</v>
      </c>
      <c r="D93" s="28" t="s">
        <v>46</v>
      </c>
      <c r="E93" s="43" t="n">
        <v>6.7</v>
      </c>
      <c r="F93" s="43" t="n">
        <v>1.2</v>
      </c>
      <c r="G93" s="43" t="n">
        <v>108</v>
      </c>
      <c r="H93" s="43" t="n">
        <v>2019</v>
      </c>
      <c r="I93" s="43" t="s">
        <v>96</v>
      </c>
      <c r="J93" s="43" t="s">
        <v>74</v>
      </c>
      <c r="K93" s="30" t="s">
        <v>760</v>
      </c>
      <c r="L93" s="43"/>
      <c r="M93" s="31" t="s">
        <v>761</v>
      </c>
      <c r="N93" s="56" t="s">
        <v>227</v>
      </c>
      <c r="O93" s="28" t="s">
        <v>142</v>
      </c>
      <c r="P93" s="56" t="s">
        <v>298</v>
      </c>
      <c r="Q93" s="87" t="n">
        <v>1000</v>
      </c>
      <c r="R93" s="58" t="s">
        <v>189</v>
      </c>
      <c r="S93" s="69" t="n">
        <v>4176</v>
      </c>
      <c r="T93" s="35" t="s">
        <v>172</v>
      </c>
      <c r="U93" s="28" t="n">
        <v>421491.01</v>
      </c>
      <c r="V93" s="60" t="n">
        <v>27.790097</v>
      </c>
      <c r="W93" s="71" t="n">
        <f aca="false">3714165.41/32</f>
        <v>116067.6690625</v>
      </c>
      <c r="X93" s="112" t="n">
        <f aca="false">U93/V93</f>
        <v>15166.9499390376</v>
      </c>
      <c r="Y93" s="117" t="n">
        <f aca="false">223784.82/32/V93</f>
        <v>251.64631937053</v>
      </c>
      <c r="Z93" s="28" t="n">
        <v>4.21</v>
      </c>
      <c r="AA93" s="62" t="s">
        <v>80</v>
      </c>
      <c r="AB93" s="38" t="n">
        <v>43494</v>
      </c>
      <c r="AC93" s="38" t="n">
        <v>43600</v>
      </c>
      <c r="AD93" s="38" t="n">
        <v>43572</v>
      </c>
      <c r="AE93" s="38" t="n">
        <v>45399</v>
      </c>
      <c r="AF93" s="28" t="n">
        <f aca="false">YEAR(AE93)</f>
        <v>2024</v>
      </c>
      <c r="AG93" s="63" t="n">
        <f aca="false">X93/SUMIF($Z$2:$Z$380,Z93,$X$2:$X$380)*(VLOOKUP(Z93,'затраты по департаментам-2 '!$A$2:$C$182,2,FALSE())+VLOOKUP(Z93,'затраты по департаментам-2 '!$A$2:$C$182,3,FALSE()))</f>
        <v>9202.35350315218</v>
      </c>
      <c r="AH93" s="63" t="n">
        <f aca="false">W93/60</f>
        <v>1934.46115104167</v>
      </c>
      <c r="AI93" s="64" t="s">
        <v>81</v>
      </c>
      <c r="AJ93" s="63" t="s">
        <v>142</v>
      </c>
      <c r="AK93" s="119" t="n">
        <v>54070</v>
      </c>
      <c r="AL93" s="81" t="s">
        <v>762</v>
      </c>
      <c r="AM93" s="74" t="s">
        <v>763</v>
      </c>
      <c r="AN93" s="43" t="s">
        <v>764</v>
      </c>
      <c r="AO93" s="65" t="n">
        <v>44855</v>
      </c>
      <c r="AP93" s="43"/>
      <c r="AQ93" s="66" t="s">
        <v>765</v>
      </c>
      <c r="AR93" s="64"/>
    </row>
    <row r="94" customFormat="false" ht="14.25" hidden="false" customHeight="false" outlineLevel="0" collapsed="false">
      <c r="A94" s="26" t="n">
        <v>93</v>
      </c>
      <c r="B94" s="43" t="s">
        <v>766</v>
      </c>
      <c r="C94" s="43" t="s">
        <v>165</v>
      </c>
      <c r="D94" s="28" t="s">
        <v>46</v>
      </c>
      <c r="E94" s="43" t="n">
        <v>6.7</v>
      </c>
      <c r="F94" s="43" t="n">
        <v>1.2</v>
      </c>
      <c r="G94" s="43" t="n">
        <v>108</v>
      </c>
      <c r="H94" s="43" t="n">
        <v>2019</v>
      </c>
      <c r="I94" s="43" t="s">
        <v>96</v>
      </c>
      <c r="J94" s="43" t="s">
        <v>74</v>
      </c>
      <c r="K94" s="30" t="s">
        <v>767</v>
      </c>
      <c r="L94" s="28"/>
      <c r="M94" s="31" t="s">
        <v>768</v>
      </c>
      <c r="N94" s="32" t="s">
        <v>179</v>
      </c>
      <c r="O94" s="28" t="s">
        <v>754</v>
      </c>
      <c r="P94" s="56" t="s">
        <v>198</v>
      </c>
      <c r="Q94" s="87" t="n">
        <v>7040</v>
      </c>
      <c r="R94" s="58" t="s">
        <v>171</v>
      </c>
      <c r="S94" s="69" t="n">
        <v>4134</v>
      </c>
      <c r="T94" s="35" t="s">
        <v>172</v>
      </c>
      <c r="U94" s="28" t="n">
        <v>421491.01</v>
      </c>
      <c r="V94" s="60" t="n">
        <v>27.790097</v>
      </c>
      <c r="W94" s="71" t="n">
        <f aca="false">3714165.41/32</f>
        <v>116067.6690625</v>
      </c>
      <c r="X94" s="112" t="n">
        <f aca="false">U94/V94</f>
        <v>15166.9499390376</v>
      </c>
      <c r="Y94" s="117" t="n">
        <f aca="false">223784.82/32/V94</f>
        <v>251.64631937053</v>
      </c>
      <c r="Z94" s="28" t="n">
        <v>4.21</v>
      </c>
      <c r="AA94" s="62" t="s">
        <v>80</v>
      </c>
      <c r="AB94" s="38" t="n">
        <v>43494</v>
      </c>
      <c r="AC94" s="38" t="n">
        <v>43600</v>
      </c>
      <c r="AD94" s="38" t="n">
        <v>43587</v>
      </c>
      <c r="AE94" s="38" t="n">
        <v>45414</v>
      </c>
      <c r="AF94" s="28" t="n">
        <f aca="false">YEAR(AE94)</f>
        <v>2024</v>
      </c>
      <c r="AG94" s="63" t="n">
        <f aca="false">X94/SUMIF($Z$2:$Z$380,Z94,$X$2:$X$380)*(VLOOKUP(Z94,'затраты по департаментам-2 '!$A$2:$C$182,2,FALSE())+VLOOKUP(Z94,'затраты по департаментам-2 '!$A$2:$C$182,3,FALSE()))</f>
        <v>9202.35350315218</v>
      </c>
      <c r="AH94" s="63" t="n">
        <f aca="false">W94/60</f>
        <v>1934.46115104167</v>
      </c>
      <c r="AI94" s="64" t="s">
        <v>81</v>
      </c>
      <c r="AJ94" s="63" t="s">
        <v>197</v>
      </c>
      <c r="AK94" s="119" t="n">
        <v>73438</v>
      </c>
      <c r="AL94" s="81" t="s">
        <v>769</v>
      </c>
      <c r="AM94" s="85" t="s">
        <v>770</v>
      </c>
      <c r="AN94" s="43" t="s">
        <v>771</v>
      </c>
      <c r="AO94" s="65" t="n">
        <v>44532</v>
      </c>
      <c r="AP94" s="43"/>
      <c r="AQ94" s="66" t="s">
        <v>772</v>
      </c>
      <c r="AR94" s="64"/>
    </row>
    <row r="95" customFormat="false" ht="14.25" hidden="false" customHeight="false" outlineLevel="0" collapsed="false">
      <c r="A95" s="26" t="n">
        <v>94</v>
      </c>
      <c r="B95" s="43" t="s">
        <v>773</v>
      </c>
      <c r="C95" s="43" t="s">
        <v>165</v>
      </c>
      <c r="D95" s="28" t="s">
        <v>46</v>
      </c>
      <c r="E95" s="43" t="n">
        <v>6.7</v>
      </c>
      <c r="F95" s="43" t="n">
        <v>1.2</v>
      </c>
      <c r="G95" s="43" t="n">
        <v>108</v>
      </c>
      <c r="H95" s="43" t="n">
        <v>2019</v>
      </c>
      <c r="I95" s="43" t="s">
        <v>96</v>
      </c>
      <c r="J95" s="43" t="s">
        <v>74</v>
      </c>
      <c r="K95" s="30" t="s">
        <v>774</v>
      </c>
      <c r="L95" s="69"/>
      <c r="M95" s="31" t="s">
        <v>775</v>
      </c>
      <c r="N95" s="84" t="s">
        <v>179</v>
      </c>
      <c r="O95" s="57" t="s">
        <v>169</v>
      </c>
      <c r="P95" s="56" t="s">
        <v>91</v>
      </c>
      <c r="Q95" s="87" t="n">
        <v>7083</v>
      </c>
      <c r="R95" s="89" t="s">
        <v>171</v>
      </c>
      <c r="S95" s="69" t="n">
        <v>4138</v>
      </c>
      <c r="T95" s="35" t="s">
        <v>172</v>
      </c>
      <c r="U95" s="28" t="n">
        <v>421491.01</v>
      </c>
      <c r="V95" s="60" t="n">
        <v>27.790097</v>
      </c>
      <c r="W95" s="71" t="n">
        <f aca="false">3714165.41/32</f>
        <v>116067.6690625</v>
      </c>
      <c r="X95" s="112" t="n">
        <f aca="false">U95/V95</f>
        <v>15166.9499390376</v>
      </c>
      <c r="Y95" s="117" t="n">
        <f aca="false">223784.82/32/V95</f>
        <v>251.64631937053</v>
      </c>
      <c r="Z95" s="28" t="n">
        <v>4.21</v>
      </c>
      <c r="AA95" s="62" t="s">
        <v>80</v>
      </c>
      <c r="AB95" s="38" t="n">
        <v>43494</v>
      </c>
      <c r="AC95" s="38" t="n">
        <v>43600</v>
      </c>
      <c r="AD95" s="38" t="n">
        <v>43580</v>
      </c>
      <c r="AE95" s="38" t="n">
        <v>45406</v>
      </c>
      <c r="AF95" s="28" t="n">
        <f aca="false">YEAR(AE95)</f>
        <v>2024</v>
      </c>
      <c r="AG95" s="63" t="n">
        <f aca="false">X95/SUMIF($Z$2:$Z$380,Z95,$X$2:$X$380)*(VLOOKUP(Z95,'затраты по департаментам-2 '!$A$2:$C$182,2,FALSE())+VLOOKUP(Z95,'затраты по департаментам-2 '!$A$2:$C$182,3,FALSE()))</f>
        <v>9202.35350315218</v>
      </c>
      <c r="AH95" s="63" t="n">
        <f aca="false">W95/60</f>
        <v>1934.46115104167</v>
      </c>
      <c r="AI95" s="64" t="s">
        <v>81</v>
      </c>
      <c r="AJ95" s="63" t="s">
        <v>82</v>
      </c>
      <c r="AK95" s="119" t="n">
        <v>11058</v>
      </c>
      <c r="AL95" s="81" t="s">
        <v>776</v>
      </c>
      <c r="AM95" s="78" t="s">
        <v>777</v>
      </c>
      <c r="AN95" s="43" t="s">
        <v>778</v>
      </c>
      <c r="AO95" s="65" t="n">
        <v>44484</v>
      </c>
      <c r="AP95" s="43"/>
      <c r="AQ95" s="66" t="s">
        <v>779</v>
      </c>
      <c r="AR95" s="64"/>
    </row>
    <row r="96" customFormat="false" ht="14.25" hidden="false" customHeight="false" outlineLevel="0" collapsed="false">
      <c r="A96" s="26" t="n">
        <v>95</v>
      </c>
      <c r="B96" s="43" t="s">
        <v>780</v>
      </c>
      <c r="C96" s="43" t="s">
        <v>165</v>
      </c>
      <c r="D96" s="28" t="s">
        <v>46</v>
      </c>
      <c r="E96" s="43" t="n">
        <v>6.7</v>
      </c>
      <c r="F96" s="43" t="n">
        <v>1.2</v>
      </c>
      <c r="G96" s="43" t="n">
        <v>108</v>
      </c>
      <c r="H96" s="43" t="n">
        <v>2019</v>
      </c>
      <c r="I96" s="43" t="s">
        <v>96</v>
      </c>
      <c r="J96" s="43" t="s">
        <v>74</v>
      </c>
      <c r="K96" s="30" t="s">
        <v>781</v>
      </c>
      <c r="L96" s="129"/>
      <c r="M96" s="31" t="s">
        <v>782</v>
      </c>
      <c r="N96" s="32" t="s">
        <v>179</v>
      </c>
      <c r="O96" s="28" t="s">
        <v>197</v>
      </c>
      <c r="P96" s="48" t="s">
        <v>198</v>
      </c>
      <c r="Q96" s="87" t="n">
        <v>7042</v>
      </c>
      <c r="R96" s="58" t="s">
        <v>171</v>
      </c>
      <c r="S96" s="69" t="n">
        <v>4134</v>
      </c>
      <c r="T96" s="35" t="s">
        <v>172</v>
      </c>
      <c r="U96" s="28" t="n">
        <v>421491.01</v>
      </c>
      <c r="V96" s="60" t="n">
        <v>27.790097</v>
      </c>
      <c r="W96" s="71" t="n">
        <f aca="false">3714165.41/32</f>
        <v>116067.6690625</v>
      </c>
      <c r="X96" s="112" t="n">
        <f aca="false">U96/V96</f>
        <v>15166.9499390376</v>
      </c>
      <c r="Y96" s="117" t="n">
        <f aca="false">223784.82/32/V96</f>
        <v>251.64631937053</v>
      </c>
      <c r="Z96" s="28" t="n">
        <v>4.21</v>
      </c>
      <c r="AA96" s="62" t="s">
        <v>80</v>
      </c>
      <c r="AB96" s="38" t="n">
        <v>43494</v>
      </c>
      <c r="AC96" s="38" t="n">
        <v>43600</v>
      </c>
      <c r="AD96" s="38" t="n">
        <v>43587</v>
      </c>
      <c r="AE96" s="38" t="n">
        <v>45414</v>
      </c>
      <c r="AF96" s="28" t="n">
        <f aca="false">YEAR(AE96)</f>
        <v>2024</v>
      </c>
      <c r="AG96" s="63" t="n">
        <f aca="false">X96/SUMIF($Z$2:$Z$380,Z96,$X$2:$X$380)*(VLOOKUP(Z96,'затраты по департаментам-2 '!$A$2:$C$182,2,FALSE())+VLOOKUP(Z96,'затраты по департаментам-2 '!$A$2:$C$182,3,FALSE()))</f>
        <v>9202.35350315218</v>
      </c>
      <c r="AH96" s="63" t="n">
        <f aca="false">W96/60</f>
        <v>1934.46115104167</v>
      </c>
      <c r="AI96" s="64" t="s">
        <v>81</v>
      </c>
      <c r="AJ96" s="63" t="s">
        <v>197</v>
      </c>
      <c r="AK96" s="119" t="n">
        <v>9730</v>
      </c>
      <c r="AL96" s="81" t="s">
        <v>783</v>
      </c>
      <c r="AM96" s="85" t="s">
        <v>784</v>
      </c>
      <c r="AN96" s="43" t="s">
        <v>785</v>
      </c>
      <c r="AO96" s="65" t="n">
        <v>44552</v>
      </c>
      <c r="AP96" s="43"/>
      <c r="AQ96" s="66" t="s">
        <v>786</v>
      </c>
      <c r="AR96" s="64"/>
    </row>
    <row r="97" customFormat="false" ht="12.75" hidden="false" customHeight="false" outlineLevel="0" collapsed="false">
      <c r="A97" s="26" t="n">
        <v>96</v>
      </c>
      <c r="B97" s="43" t="s">
        <v>787</v>
      </c>
      <c r="C97" s="43" t="s">
        <v>165</v>
      </c>
      <c r="D97" s="28" t="s">
        <v>46</v>
      </c>
      <c r="E97" s="43" t="n">
        <v>6.7</v>
      </c>
      <c r="F97" s="43" t="n">
        <v>1.2</v>
      </c>
      <c r="G97" s="43" t="n">
        <v>108</v>
      </c>
      <c r="H97" s="43" t="n">
        <v>2019</v>
      </c>
      <c r="I97" s="43" t="s">
        <v>96</v>
      </c>
      <c r="J97" s="43" t="s">
        <v>74</v>
      </c>
      <c r="K97" s="86" t="s">
        <v>177</v>
      </c>
      <c r="L97" s="35"/>
      <c r="M97" s="31" t="s">
        <v>788</v>
      </c>
      <c r="N97" s="130" t="s">
        <v>227</v>
      </c>
      <c r="O97" s="28" t="s">
        <v>60</v>
      </c>
      <c r="P97" s="48" t="s">
        <v>298</v>
      </c>
      <c r="Q97" s="87" t="n">
        <v>1000</v>
      </c>
      <c r="R97" s="58" t="s">
        <v>189</v>
      </c>
      <c r="S97" s="69" t="n">
        <v>4178</v>
      </c>
      <c r="T97" s="35" t="s">
        <v>172</v>
      </c>
      <c r="U97" s="28" t="n">
        <v>421491.01</v>
      </c>
      <c r="V97" s="60" t="n">
        <v>27.790097</v>
      </c>
      <c r="W97" s="71" t="n">
        <f aca="false">3714165.41/32</f>
        <v>116067.6690625</v>
      </c>
      <c r="X97" s="112" t="n">
        <f aca="false">U97/V97</f>
        <v>15166.9499390376</v>
      </c>
      <c r="Y97" s="117" t="n">
        <f aca="false">223784.82/32/V97</f>
        <v>251.64631937053</v>
      </c>
      <c r="Z97" s="28" t="n">
        <v>4.21</v>
      </c>
      <c r="AA97" s="62" t="s">
        <v>80</v>
      </c>
      <c r="AB97" s="38" t="n">
        <v>43494</v>
      </c>
      <c r="AC97" s="38" t="n">
        <v>43600</v>
      </c>
      <c r="AD97" s="38" t="n">
        <v>43572</v>
      </c>
      <c r="AE97" s="38" t="n">
        <v>45399</v>
      </c>
      <c r="AF97" s="28" t="n">
        <f aca="false">YEAR(AE97)</f>
        <v>2024</v>
      </c>
      <c r="AG97" s="63" t="n">
        <f aca="false">X97/SUMIF($Z$2:$Z$380,Z97,$X$2:$X$380)*(VLOOKUP(Z97,'затраты по департаментам-2 '!$A$2:$C$182,2,FALSE())+VLOOKUP(Z97,'затраты по департаментам-2 '!$A$2:$C$182,3,FALSE()))</f>
        <v>9202.35350315218</v>
      </c>
      <c r="AH97" s="63" t="n">
        <f aca="false">W97/60</f>
        <v>1934.46115104167</v>
      </c>
      <c r="AI97" s="64" t="s">
        <v>81</v>
      </c>
      <c r="AJ97" s="63" t="s">
        <v>60</v>
      </c>
      <c r="AK97" s="119" t="n">
        <v>67176</v>
      </c>
      <c r="AL97" s="81" t="s">
        <v>789</v>
      </c>
      <c r="AM97" s="85" t="s">
        <v>790</v>
      </c>
      <c r="AN97" s="43" t="s">
        <v>791</v>
      </c>
      <c r="AO97" s="65" t="n">
        <v>44502</v>
      </c>
      <c r="AP97" s="43"/>
      <c r="AQ97" s="66" t="s">
        <v>792</v>
      </c>
      <c r="AR97" s="64"/>
    </row>
    <row r="98" customFormat="false" ht="14.25" hidden="false" customHeight="false" outlineLevel="0" collapsed="false">
      <c r="A98" s="26" t="n">
        <v>97</v>
      </c>
      <c r="B98" s="43" t="s">
        <v>793</v>
      </c>
      <c r="C98" s="43" t="s">
        <v>165</v>
      </c>
      <c r="D98" s="28" t="s">
        <v>46</v>
      </c>
      <c r="E98" s="43" t="n">
        <v>6.7</v>
      </c>
      <c r="F98" s="43" t="n">
        <v>1.2</v>
      </c>
      <c r="G98" s="43" t="n">
        <v>108</v>
      </c>
      <c r="H98" s="43" t="n">
        <v>2019</v>
      </c>
      <c r="I98" s="43" t="s">
        <v>96</v>
      </c>
      <c r="J98" s="43" t="s">
        <v>74</v>
      </c>
      <c r="K98" s="30" t="s">
        <v>794</v>
      </c>
      <c r="L98" s="35"/>
      <c r="M98" s="31" t="s">
        <v>795</v>
      </c>
      <c r="N98" s="84" t="s">
        <v>179</v>
      </c>
      <c r="O98" s="57" t="s">
        <v>796</v>
      </c>
      <c r="P98" s="48" t="s">
        <v>198</v>
      </c>
      <c r="Q98" s="87" t="n">
        <v>7032</v>
      </c>
      <c r="R98" s="58" t="s">
        <v>171</v>
      </c>
      <c r="S98" s="69" t="n">
        <v>4134</v>
      </c>
      <c r="T98" s="35" t="s">
        <v>172</v>
      </c>
      <c r="U98" s="28" t="n">
        <v>421491.01</v>
      </c>
      <c r="V98" s="60" t="n">
        <v>27.790097</v>
      </c>
      <c r="W98" s="71" t="n">
        <f aca="false">3714165.41/32</f>
        <v>116067.6690625</v>
      </c>
      <c r="X98" s="112" t="n">
        <f aca="false">U98/V98</f>
        <v>15166.9499390376</v>
      </c>
      <c r="Y98" s="117" t="n">
        <f aca="false">223784.82/32/V98</f>
        <v>251.64631937053</v>
      </c>
      <c r="Z98" s="28" t="n">
        <v>4.21</v>
      </c>
      <c r="AA98" s="62" t="s">
        <v>80</v>
      </c>
      <c r="AB98" s="38" t="n">
        <v>43494</v>
      </c>
      <c r="AC98" s="38" t="n">
        <v>43600</v>
      </c>
      <c r="AD98" s="38" t="n">
        <v>43572</v>
      </c>
      <c r="AE98" s="38" t="n">
        <v>45399</v>
      </c>
      <c r="AF98" s="28" t="n">
        <f aca="false">YEAR(AE98)</f>
        <v>2024</v>
      </c>
      <c r="AG98" s="63" t="n">
        <f aca="false">X98/SUMIF($Z$2:$Z$380,Z98,$X$2:$X$380)*(VLOOKUP(Z98,'затраты по департаментам-2 '!$A$2:$C$182,2,FALSE())+VLOOKUP(Z98,'затраты по департаментам-2 '!$A$2:$C$182,3,FALSE()))</f>
        <v>9202.35350315218</v>
      </c>
      <c r="AH98" s="63" t="n">
        <f aca="false">W98/60</f>
        <v>1934.46115104167</v>
      </c>
      <c r="AI98" s="64" t="s">
        <v>81</v>
      </c>
      <c r="AJ98" s="63" t="s">
        <v>197</v>
      </c>
      <c r="AK98" s="119" t="n">
        <v>9052</v>
      </c>
      <c r="AL98" s="81" t="s">
        <v>797</v>
      </c>
      <c r="AM98" s="85" t="s">
        <v>798</v>
      </c>
      <c r="AN98" s="43" t="s">
        <v>799</v>
      </c>
      <c r="AO98" s="65" t="n">
        <v>44649</v>
      </c>
      <c r="AP98" s="43"/>
      <c r="AQ98" s="66" t="s">
        <v>800</v>
      </c>
      <c r="AR98" s="64"/>
    </row>
    <row r="99" customFormat="false" ht="14.25" hidden="false" customHeight="false" outlineLevel="0" collapsed="false">
      <c r="A99" s="26" t="n">
        <v>98</v>
      </c>
      <c r="B99" s="43" t="s">
        <v>801</v>
      </c>
      <c r="C99" s="43" t="s">
        <v>165</v>
      </c>
      <c r="D99" s="28" t="s">
        <v>46</v>
      </c>
      <c r="E99" s="43" t="n">
        <v>6.7</v>
      </c>
      <c r="F99" s="43" t="n">
        <v>1.2</v>
      </c>
      <c r="G99" s="43" t="n">
        <v>108</v>
      </c>
      <c r="H99" s="43" t="n">
        <v>2019</v>
      </c>
      <c r="I99" s="43" t="s">
        <v>96</v>
      </c>
      <c r="J99" s="43" t="s">
        <v>74</v>
      </c>
      <c r="K99" s="30" t="s">
        <v>802</v>
      </c>
      <c r="L99" s="35"/>
      <c r="M99" s="31" t="s">
        <v>803</v>
      </c>
      <c r="N99" s="84" t="s">
        <v>179</v>
      </c>
      <c r="O99" s="28" t="s">
        <v>326</v>
      </c>
      <c r="P99" s="28" t="s">
        <v>327</v>
      </c>
      <c r="Q99" s="87" t="n">
        <v>7050</v>
      </c>
      <c r="R99" s="58" t="s">
        <v>171</v>
      </c>
      <c r="S99" s="69" t="n">
        <v>4131</v>
      </c>
      <c r="T99" s="35" t="s">
        <v>172</v>
      </c>
      <c r="U99" s="28" t="n">
        <v>421491.01</v>
      </c>
      <c r="V99" s="60" t="n">
        <v>27.790097</v>
      </c>
      <c r="W99" s="71" t="n">
        <f aca="false">3714165.41/32</f>
        <v>116067.6690625</v>
      </c>
      <c r="X99" s="112" t="n">
        <f aca="false">U99/V99</f>
        <v>15166.9499390376</v>
      </c>
      <c r="Y99" s="117" t="n">
        <f aca="false">223784.82/32/V99</f>
        <v>251.64631937053</v>
      </c>
      <c r="Z99" s="28" t="n">
        <v>4.21</v>
      </c>
      <c r="AA99" s="62" t="s">
        <v>80</v>
      </c>
      <c r="AB99" s="38" t="n">
        <v>43494</v>
      </c>
      <c r="AC99" s="38" t="n">
        <v>43600</v>
      </c>
      <c r="AD99" s="38" t="n">
        <v>43572</v>
      </c>
      <c r="AE99" s="38" t="n">
        <v>45399</v>
      </c>
      <c r="AF99" s="28" t="n">
        <f aca="false">YEAR(AE99)</f>
        <v>2024</v>
      </c>
      <c r="AG99" s="63" t="n">
        <f aca="false">X99/SUMIF($Z$2:$Z$380,Z99,$X$2:$X$380)*(VLOOKUP(Z99,'затраты по департаментам-2 '!$A$2:$C$182,2,FALSE())+VLOOKUP(Z99,'затраты по департаментам-2 '!$A$2:$C$182,3,FALSE()))</f>
        <v>9202.35350315218</v>
      </c>
      <c r="AH99" s="63" t="n">
        <f aca="false">W99/60</f>
        <v>1934.46115104167</v>
      </c>
      <c r="AI99" s="64" t="s">
        <v>81</v>
      </c>
      <c r="AJ99" s="63" t="s">
        <v>52</v>
      </c>
      <c r="AK99" s="119" t="n">
        <v>53874</v>
      </c>
      <c r="AL99" s="81" t="s">
        <v>804</v>
      </c>
      <c r="AM99" s="78" t="s">
        <v>805</v>
      </c>
      <c r="AN99" s="43" t="s">
        <v>806</v>
      </c>
      <c r="AO99" s="65" t="n">
        <v>44476</v>
      </c>
      <c r="AP99" s="43"/>
      <c r="AQ99" s="66" t="s">
        <v>807</v>
      </c>
      <c r="AR99" s="64"/>
    </row>
    <row r="100" customFormat="false" ht="14.25" hidden="false" customHeight="false" outlineLevel="0" collapsed="false">
      <c r="A100" s="26" t="n">
        <v>99</v>
      </c>
      <c r="B100" s="43" t="s">
        <v>808</v>
      </c>
      <c r="C100" s="43" t="s">
        <v>165</v>
      </c>
      <c r="D100" s="28" t="s">
        <v>46</v>
      </c>
      <c r="E100" s="43" t="n">
        <v>6.7</v>
      </c>
      <c r="F100" s="43" t="n">
        <v>1.2</v>
      </c>
      <c r="G100" s="43" t="n">
        <v>108</v>
      </c>
      <c r="H100" s="43" t="n">
        <v>2019</v>
      </c>
      <c r="I100" s="43" t="s">
        <v>96</v>
      </c>
      <c r="J100" s="43" t="s">
        <v>74</v>
      </c>
      <c r="K100" s="131" t="s">
        <v>809</v>
      </c>
      <c r="L100" s="35"/>
      <c r="M100" s="31" t="s">
        <v>810</v>
      </c>
      <c r="N100" s="32" t="s">
        <v>179</v>
      </c>
      <c r="O100" s="57" t="s">
        <v>197</v>
      </c>
      <c r="P100" s="48" t="s">
        <v>198</v>
      </c>
      <c r="Q100" s="57" t="n">
        <v>7042</v>
      </c>
      <c r="R100" s="58" t="s">
        <v>171</v>
      </c>
      <c r="S100" s="69" t="n">
        <v>4134</v>
      </c>
      <c r="T100" s="35" t="s">
        <v>172</v>
      </c>
      <c r="U100" s="28" t="n">
        <v>421491.01</v>
      </c>
      <c r="V100" s="60" t="n">
        <v>27.790097</v>
      </c>
      <c r="W100" s="71" t="n">
        <f aca="false">3714165.41/32</f>
        <v>116067.6690625</v>
      </c>
      <c r="X100" s="112" t="n">
        <f aca="false">U100/V100</f>
        <v>15166.9499390376</v>
      </c>
      <c r="Y100" s="117" t="n">
        <f aca="false">223784.82/32/V100</f>
        <v>251.64631937053</v>
      </c>
      <c r="Z100" s="28" t="n">
        <v>4.21</v>
      </c>
      <c r="AA100" s="62" t="s">
        <v>80</v>
      </c>
      <c r="AB100" s="38" t="n">
        <v>43494</v>
      </c>
      <c r="AC100" s="38" t="n">
        <v>43600</v>
      </c>
      <c r="AD100" s="38" t="n">
        <v>43572</v>
      </c>
      <c r="AE100" s="38" t="n">
        <v>45399</v>
      </c>
      <c r="AF100" s="28" t="n">
        <f aca="false">YEAR(AE100)</f>
        <v>2024</v>
      </c>
      <c r="AG100" s="63" t="n">
        <f aca="false">X100/SUMIF($Z$2:$Z$380,Z100,$X$2:$X$380)*(VLOOKUP(Z100,'затраты по департаментам-2 '!$A$2:$C$182,2,FALSE())+VLOOKUP(Z100,'затраты по департаментам-2 '!$A$2:$C$182,3,FALSE()))</f>
        <v>9202.35350315218</v>
      </c>
      <c r="AH100" s="63" t="n">
        <f aca="false">W100/60</f>
        <v>1934.46115104167</v>
      </c>
      <c r="AI100" s="64" t="s">
        <v>81</v>
      </c>
      <c r="AJ100" s="63" t="s">
        <v>197</v>
      </c>
      <c r="AK100" s="119" t="n">
        <v>81789</v>
      </c>
      <c r="AL100" s="81" t="s">
        <v>811</v>
      </c>
      <c r="AM100" s="96" t="s">
        <v>812</v>
      </c>
      <c r="AN100" s="43" t="s">
        <v>813</v>
      </c>
      <c r="AO100" s="65" t="n">
        <v>44915</v>
      </c>
      <c r="AP100" s="43"/>
      <c r="AQ100" s="66" t="s">
        <v>814</v>
      </c>
      <c r="AR100" s="64"/>
    </row>
    <row r="101" customFormat="false" ht="14.25" hidden="false" customHeight="false" outlineLevel="0" collapsed="false">
      <c r="A101" s="26" t="n">
        <v>100</v>
      </c>
      <c r="B101" s="43" t="s">
        <v>815</v>
      </c>
      <c r="C101" s="43" t="s">
        <v>165</v>
      </c>
      <c r="D101" s="28" t="s">
        <v>46</v>
      </c>
      <c r="E101" s="43" t="n">
        <v>6.7</v>
      </c>
      <c r="F101" s="43" t="n">
        <v>1.2</v>
      </c>
      <c r="G101" s="43" t="n">
        <v>108</v>
      </c>
      <c r="H101" s="43" t="n">
        <v>2019</v>
      </c>
      <c r="I101" s="43" t="s">
        <v>96</v>
      </c>
      <c r="J101" s="43" t="s">
        <v>74</v>
      </c>
      <c r="K101" s="30" t="s">
        <v>816</v>
      </c>
      <c r="L101" s="28"/>
      <c r="M101" s="31" t="s">
        <v>817</v>
      </c>
      <c r="N101" s="84" t="s">
        <v>179</v>
      </c>
      <c r="O101" s="28" t="s">
        <v>169</v>
      </c>
      <c r="P101" s="56" t="s">
        <v>91</v>
      </c>
      <c r="Q101" s="87" t="n">
        <v>7083</v>
      </c>
      <c r="R101" s="58" t="s">
        <v>171</v>
      </c>
      <c r="S101" s="69" t="n">
        <v>4138</v>
      </c>
      <c r="T101" s="35" t="s">
        <v>172</v>
      </c>
      <c r="U101" s="28" t="n">
        <v>421491.01</v>
      </c>
      <c r="V101" s="60" t="n">
        <v>27.790097</v>
      </c>
      <c r="W101" s="71" t="n">
        <f aca="false">3714165.41/32</f>
        <v>116067.6690625</v>
      </c>
      <c r="X101" s="112" t="n">
        <f aca="false">U101/V101</f>
        <v>15166.9499390376</v>
      </c>
      <c r="Y101" s="117" t="n">
        <f aca="false">223784.82/32/V101</f>
        <v>251.64631937053</v>
      </c>
      <c r="Z101" s="28" t="n">
        <v>4.21</v>
      </c>
      <c r="AA101" s="62" t="s">
        <v>80</v>
      </c>
      <c r="AB101" s="38" t="n">
        <v>43494</v>
      </c>
      <c r="AC101" s="38" t="n">
        <v>43600</v>
      </c>
      <c r="AD101" s="38" t="n">
        <v>43587</v>
      </c>
      <c r="AE101" s="38" t="n">
        <v>45414</v>
      </c>
      <c r="AF101" s="28" t="n">
        <f aca="false">YEAR(AE101)</f>
        <v>2024</v>
      </c>
      <c r="AG101" s="63" t="n">
        <f aca="false">X101/SUMIF($Z$2:$Z$380,Z101,$X$2:$X$380)*(VLOOKUP(Z101,'затраты по департаментам-2 '!$A$2:$C$182,2,FALSE())+VLOOKUP(Z101,'затраты по департаментам-2 '!$A$2:$C$182,3,FALSE()))</f>
        <v>9202.35350315218</v>
      </c>
      <c r="AH101" s="63" t="n">
        <f aca="false">W101/60</f>
        <v>1934.46115104167</v>
      </c>
      <c r="AI101" s="64" t="s">
        <v>81</v>
      </c>
      <c r="AJ101" s="63" t="s">
        <v>82</v>
      </c>
      <c r="AK101" s="119" t="n">
        <v>53858</v>
      </c>
      <c r="AL101" s="81"/>
      <c r="AM101" s="78" t="s">
        <v>818</v>
      </c>
      <c r="AN101" s="43" t="s">
        <v>819</v>
      </c>
      <c r="AO101" s="65" t="n">
        <v>44468</v>
      </c>
      <c r="AP101" s="43"/>
      <c r="AQ101" s="66" t="s">
        <v>820</v>
      </c>
      <c r="AR101" s="64"/>
    </row>
    <row r="102" customFormat="false" ht="14.25" hidden="false" customHeight="false" outlineLevel="0" collapsed="false">
      <c r="A102" s="26" t="n">
        <v>101</v>
      </c>
      <c r="B102" s="43" t="s">
        <v>821</v>
      </c>
      <c r="C102" s="43" t="s">
        <v>165</v>
      </c>
      <c r="D102" s="28" t="s">
        <v>46</v>
      </c>
      <c r="E102" s="43" t="n">
        <v>6.7</v>
      </c>
      <c r="F102" s="43" t="n">
        <v>1.2</v>
      </c>
      <c r="G102" s="43" t="n">
        <v>108</v>
      </c>
      <c r="H102" s="43" t="n">
        <v>2019</v>
      </c>
      <c r="I102" s="43" t="s">
        <v>96</v>
      </c>
      <c r="J102" s="43" t="s">
        <v>74</v>
      </c>
      <c r="K102" s="30" t="s">
        <v>822</v>
      </c>
      <c r="L102" s="35"/>
      <c r="M102" s="31" t="s">
        <v>823</v>
      </c>
      <c r="N102" s="92" t="s">
        <v>179</v>
      </c>
      <c r="O102" s="28" t="s">
        <v>142</v>
      </c>
      <c r="P102" s="56" t="s">
        <v>143</v>
      </c>
      <c r="Q102" s="87" t="n">
        <v>7065</v>
      </c>
      <c r="R102" s="132" t="s">
        <v>171</v>
      </c>
      <c r="S102" s="69" t="n">
        <v>4136</v>
      </c>
      <c r="T102" s="35" t="s">
        <v>172</v>
      </c>
      <c r="U102" s="28" t="n">
        <v>421491.01</v>
      </c>
      <c r="V102" s="60" t="n">
        <v>27.790097</v>
      </c>
      <c r="W102" s="71" t="n">
        <f aca="false">3714165.41/32</f>
        <v>116067.6690625</v>
      </c>
      <c r="X102" s="112" t="n">
        <f aca="false">U102/V102</f>
        <v>15166.9499390376</v>
      </c>
      <c r="Y102" s="117" t="n">
        <f aca="false">223784.82/32/V102</f>
        <v>251.64631937053</v>
      </c>
      <c r="Z102" s="28" t="n">
        <v>4.21</v>
      </c>
      <c r="AA102" s="62" t="s">
        <v>80</v>
      </c>
      <c r="AB102" s="38" t="n">
        <v>43494</v>
      </c>
      <c r="AC102" s="38" t="n">
        <v>43600</v>
      </c>
      <c r="AD102" s="38" t="n">
        <v>43587</v>
      </c>
      <c r="AE102" s="38" t="n">
        <v>45414</v>
      </c>
      <c r="AF102" s="28" t="n">
        <f aca="false">YEAR(AE102)</f>
        <v>2024</v>
      </c>
      <c r="AG102" s="63" t="n">
        <f aca="false">X102/SUMIF($Z$2:$Z$380,Z102,$X$2:$X$380)*(VLOOKUP(Z102,'затраты по департаментам-2 '!$A$2:$C$182,2,FALSE())+VLOOKUP(Z102,'затраты по департаментам-2 '!$A$2:$C$182,3,FALSE()))</f>
        <v>9202.35350315218</v>
      </c>
      <c r="AH102" s="63" t="n">
        <f aca="false">W102/60</f>
        <v>1934.46115104167</v>
      </c>
      <c r="AI102" s="64" t="s">
        <v>81</v>
      </c>
      <c r="AJ102" s="63" t="s">
        <v>142</v>
      </c>
      <c r="AK102" s="119" t="n">
        <v>8666</v>
      </c>
      <c r="AL102" s="81" t="s">
        <v>824</v>
      </c>
      <c r="AM102" s="78" t="s">
        <v>825</v>
      </c>
      <c r="AN102" s="43" t="s">
        <v>826</v>
      </c>
      <c r="AO102" s="65" t="n">
        <v>44600</v>
      </c>
      <c r="AP102" s="43"/>
      <c r="AQ102" s="66" t="s">
        <v>827</v>
      </c>
      <c r="AR102" s="64"/>
    </row>
    <row r="103" customFormat="false" ht="14.25" hidden="false" customHeight="false" outlineLevel="0" collapsed="false">
      <c r="A103" s="26" t="n">
        <v>102</v>
      </c>
      <c r="B103" s="43" t="s">
        <v>828</v>
      </c>
      <c r="C103" s="43" t="s">
        <v>165</v>
      </c>
      <c r="D103" s="28" t="s">
        <v>46</v>
      </c>
      <c r="E103" s="43" t="n">
        <v>6.7</v>
      </c>
      <c r="F103" s="43" t="n">
        <v>1.2</v>
      </c>
      <c r="G103" s="43" t="n">
        <v>108</v>
      </c>
      <c r="H103" s="43" t="n">
        <v>2019</v>
      </c>
      <c r="I103" s="43" t="s">
        <v>96</v>
      </c>
      <c r="J103" s="43" t="s">
        <v>74</v>
      </c>
      <c r="K103" s="30" t="s">
        <v>829</v>
      </c>
      <c r="L103" s="133"/>
      <c r="M103" s="31" t="s">
        <v>830</v>
      </c>
      <c r="N103" s="32" t="s">
        <v>168</v>
      </c>
      <c r="O103" s="133" t="s">
        <v>831</v>
      </c>
      <c r="P103" s="130" t="s">
        <v>832</v>
      </c>
      <c r="Q103" s="134" t="n">
        <v>9000</v>
      </c>
      <c r="R103" s="132" t="s">
        <v>171</v>
      </c>
      <c r="S103" s="135" t="n">
        <v>4130</v>
      </c>
      <c r="T103" s="35" t="s">
        <v>172</v>
      </c>
      <c r="U103" s="28" t="n">
        <v>421491.01</v>
      </c>
      <c r="V103" s="60" t="n">
        <v>27.790097</v>
      </c>
      <c r="W103" s="71" t="n">
        <f aca="false">3714165.41/32</f>
        <v>116067.6690625</v>
      </c>
      <c r="X103" s="112" t="n">
        <f aca="false">U103/V103</f>
        <v>15166.9499390376</v>
      </c>
      <c r="Y103" s="117" t="n">
        <f aca="false">223784.82/32/V103</f>
        <v>251.64631937053</v>
      </c>
      <c r="Z103" s="28" t="n">
        <v>4.21</v>
      </c>
      <c r="AA103" s="62" t="s">
        <v>80</v>
      </c>
      <c r="AB103" s="38" t="n">
        <v>43494</v>
      </c>
      <c r="AC103" s="38" t="n">
        <v>43600</v>
      </c>
      <c r="AD103" s="38" t="n">
        <v>43580</v>
      </c>
      <c r="AE103" s="38" t="n">
        <v>45406</v>
      </c>
      <c r="AF103" s="28" t="n">
        <f aca="false">YEAR(AE103)</f>
        <v>2024</v>
      </c>
      <c r="AG103" s="63" t="n">
        <f aca="false">X103/SUMIF($Z$2:$Z$380,Z103,$X$2:$X$380)*(VLOOKUP(Z103,'затраты по департаментам-2 '!$A$2:$C$182,2,FALSE())+VLOOKUP(Z103,'затраты по департаментам-2 '!$A$2:$C$182,3,FALSE()))</f>
        <v>9202.35350315218</v>
      </c>
      <c r="AH103" s="63" t="n">
        <f aca="false">W103/60</f>
        <v>1934.46115104167</v>
      </c>
      <c r="AI103" s="64" t="s">
        <v>81</v>
      </c>
      <c r="AJ103" s="63" t="s">
        <v>197</v>
      </c>
      <c r="AK103" s="119" t="n">
        <v>8906</v>
      </c>
      <c r="AL103" s="81" t="s">
        <v>833</v>
      </c>
      <c r="AM103" s="74" t="s">
        <v>834</v>
      </c>
      <c r="AN103" s="43" t="s">
        <v>835</v>
      </c>
      <c r="AO103" s="65" t="n">
        <v>44840</v>
      </c>
      <c r="AP103" s="43"/>
      <c r="AQ103" s="66" t="s">
        <v>836</v>
      </c>
      <c r="AR103" s="64"/>
    </row>
    <row r="104" customFormat="false" ht="14.25" hidden="false" customHeight="false" outlineLevel="0" collapsed="false">
      <c r="A104" s="26" t="n">
        <v>103</v>
      </c>
      <c r="B104" s="43" t="s">
        <v>837</v>
      </c>
      <c r="C104" s="43" t="s">
        <v>165</v>
      </c>
      <c r="D104" s="28" t="s">
        <v>46</v>
      </c>
      <c r="E104" s="43" t="n">
        <v>6.7</v>
      </c>
      <c r="F104" s="43" t="n">
        <v>1.2</v>
      </c>
      <c r="G104" s="43" t="n">
        <v>108</v>
      </c>
      <c r="H104" s="43" t="n">
        <v>2019</v>
      </c>
      <c r="I104" s="43" t="s">
        <v>96</v>
      </c>
      <c r="J104" s="43" t="s">
        <v>74</v>
      </c>
      <c r="K104" s="95" t="s">
        <v>838</v>
      </c>
      <c r="L104" s="70"/>
      <c r="M104" s="31" t="s">
        <v>839</v>
      </c>
      <c r="N104" s="56" t="s">
        <v>227</v>
      </c>
      <c r="O104" s="70" t="s">
        <v>343</v>
      </c>
      <c r="P104" s="56" t="s">
        <v>298</v>
      </c>
      <c r="Q104" s="79" t="n">
        <v>1000</v>
      </c>
      <c r="R104" s="58" t="s">
        <v>189</v>
      </c>
      <c r="S104" s="116" t="n">
        <v>4176</v>
      </c>
      <c r="T104" s="35" t="s">
        <v>172</v>
      </c>
      <c r="U104" s="28" t="n">
        <v>421491.01</v>
      </c>
      <c r="V104" s="60" t="n">
        <v>27.790097</v>
      </c>
      <c r="W104" s="71" t="n">
        <f aca="false">3714165.41/32</f>
        <v>116067.6690625</v>
      </c>
      <c r="X104" s="112" t="n">
        <f aca="false">U104/V104</f>
        <v>15166.9499390376</v>
      </c>
      <c r="Y104" s="117" t="n">
        <f aca="false">223784.82/32/V104</f>
        <v>251.64631937053</v>
      </c>
      <c r="Z104" s="28" t="n">
        <v>4.21</v>
      </c>
      <c r="AA104" s="62" t="s">
        <v>80</v>
      </c>
      <c r="AB104" s="38" t="n">
        <v>43494</v>
      </c>
      <c r="AC104" s="38" t="n">
        <v>43600</v>
      </c>
      <c r="AD104" s="38" t="n">
        <v>43580</v>
      </c>
      <c r="AE104" s="38" t="n">
        <v>45406</v>
      </c>
      <c r="AF104" s="28" t="n">
        <f aca="false">YEAR(AE104)</f>
        <v>2024</v>
      </c>
      <c r="AG104" s="63" t="n">
        <f aca="false">X104/SUMIF($Z$2:$Z$380,Z104,$X$2:$X$380)*(VLOOKUP(Z104,'затраты по департаментам-2 '!$A$2:$C$182,2,FALSE())+VLOOKUP(Z104,'затраты по департаментам-2 '!$A$2:$C$182,3,FALSE()))</f>
        <v>9202.35350315218</v>
      </c>
      <c r="AH104" s="63" t="n">
        <f aca="false">W104/60</f>
        <v>1934.46115104167</v>
      </c>
      <c r="AI104" s="64" t="s">
        <v>81</v>
      </c>
      <c r="AJ104" s="63" t="s">
        <v>142</v>
      </c>
      <c r="AK104" s="119" t="n">
        <v>11009</v>
      </c>
      <c r="AL104" s="81" t="s">
        <v>840</v>
      </c>
      <c r="AM104" s="74" t="s">
        <v>841</v>
      </c>
      <c r="AN104" s="43" t="s">
        <v>842</v>
      </c>
      <c r="AO104" s="65" t="n">
        <v>44958</v>
      </c>
      <c r="AP104" s="43"/>
      <c r="AQ104" s="66" t="s">
        <v>843</v>
      </c>
      <c r="AR104" s="64"/>
    </row>
    <row r="105" customFormat="false" ht="14.25" hidden="false" customHeight="false" outlineLevel="0" collapsed="false">
      <c r="A105" s="26" t="n">
        <v>104</v>
      </c>
      <c r="B105" s="43" t="s">
        <v>844</v>
      </c>
      <c r="C105" s="43" t="s">
        <v>165</v>
      </c>
      <c r="D105" s="28" t="s">
        <v>46</v>
      </c>
      <c r="E105" s="43" t="n">
        <v>6.7</v>
      </c>
      <c r="F105" s="43" t="n">
        <v>1.2</v>
      </c>
      <c r="G105" s="43" t="n">
        <v>108</v>
      </c>
      <c r="H105" s="43" t="n">
        <v>2019</v>
      </c>
      <c r="I105" s="43" t="s">
        <v>96</v>
      </c>
      <c r="J105" s="43" t="s">
        <v>74</v>
      </c>
      <c r="K105" s="30" t="s">
        <v>845</v>
      </c>
      <c r="L105" s="28"/>
      <c r="M105" s="31" t="s">
        <v>846</v>
      </c>
      <c r="N105" s="32" t="s">
        <v>236</v>
      </c>
      <c r="O105" s="28" t="s">
        <v>732</v>
      </c>
      <c r="P105" s="56" t="s">
        <v>91</v>
      </c>
      <c r="Q105" s="87" t="n">
        <v>7080</v>
      </c>
      <c r="R105" s="97" t="s">
        <v>467</v>
      </c>
      <c r="S105" s="69" t="n">
        <v>4148</v>
      </c>
      <c r="T105" s="35" t="s">
        <v>172</v>
      </c>
      <c r="U105" s="28" t="n">
        <v>421491.01</v>
      </c>
      <c r="V105" s="60" t="n">
        <v>27.790097</v>
      </c>
      <c r="W105" s="71" t="n">
        <f aca="false">3714165.41/32</f>
        <v>116067.6690625</v>
      </c>
      <c r="X105" s="112" t="n">
        <f aca="false">U105/V105</f>
        <v>15166.9499390376</v>
      </c>
      <c r="Y105" s="117" t="n">
        <f aca="false">223784.82/32/V105</f>
        <v>251.64631937053</v>
      </c>
      <c r="Z105" s="28" t="n">
        <v>4.21</v>
      </c>
      <c r="AA105" s="62" t="s">
        <v>80</v>
      </c>
      <c r="AB105" s="38" t="n">
        <v>43494</v>
      </c>
      <c r="AC105" s="38" t="n">
        <v>43600</v>
      </c>
      <c r="AD105" s="38" t="n">
        <v>43580</v>
      </c>
      <c r="AE105" s="38" t="n">
        <v>45406</v>
      </c>
      <c r="AF105" s="28" t="n">
        <f aca="false">YEAR(AE105)</f>
        <v>2024</v>
      </c>
      <c r="AG105" s="63" t="n">
        <f aca="false">X105/SUMIF($Z$2:$Z$380,Z105,$X$2:$X$380)*(VLOOKUP(Z105,'затраты по департаментам-2 '!$A$2:$C$182,2,FALSE())+VLOOKUP(Z105,'затраты по департаментам-2 '!$A$2:$C$182,3,FALSE()))</f>
        <v>9202.35350315218</v>
      </c>
      <c r="AH105" s="63" t="n">
        <f aca="false">W105/60</f>
        <v>1934.46115104167</v>
      </c>
      <c r="AI105" s="64" t="s">
        <v>81</v>
      </c>
      <c r="AJ105" s="63" t="s">
        <v>82</v>
      </c>
      <c r="AK105" s="119" t="n">
        <v>11272</v>
      </c>
      <c r="AL105" s="81" t="s">
        <v>847</v>
      </c>
      <c r="AM105" s="78" t="s">
        <v>848</v>
      </c>
      <c r="AN105" s="43" t="s">
        <v>849</v>
      </c>
      <c r="AO105" s="65" t="n">
        <v>44539</v>
      </c>
      <c r="AP105" s="43"/>
      <c r="AQ105" s="64" t="s">
        <v>850</v>
      </c>
      <c r="AR105" s="64"/>
    </row>
    <row r="106" customFormat="false" ht="14.25" hidden="false" customHeight="false" outlineLevel="0" collapsed="false">
      <c r="A106" s="26" t="n">
        <v>105</v>
      </c>
      <c r="B106" s="43" t="s">
        <v>851</v>
      </c>
      <c r="C106" s="43" t="s">
        <v>165</v>
      </c>
      <c r="D106" s="28" t="s">
        <v>46</v>
      </c>
      <c r="E106" s="43" t="n">
        <v>6.7</v>
      </c>
      <c r="F106" s="43" t="n">
        <v>1.2</v>
      </c>
      <c r="G106" s="43" t="n">
        <v>108</v>
      </c>
      <c r="H106" s="43" t="n">
        <v>2019</v>
      </c>
      <c r="I106" s="43" t="s">
        <v>96</v>
      </c>
      <c r="J106" s="43" t="s">
        <v>74</v>
      </c>
      <c r="K106" s="30" t="s">
        <v>852</v>
      </c>
      <c r="L106" s="35"/>
      <c r="M106" s="31" t="s">
        <v>853</v>
      </c>
      <c r="N106" s="84" t="s">
        <v>179</v>
      </c>
      <c r="O106" s="28" t="s">
        <v>854</v>
      </c>
      <c r="P106" s="56" t="s">
        <v>143</v>
      </c>
      <c r="Q106" s="87" t="n">
        <v>7065</v>
      </c>
      <c r="R106" s="58" t="s">
        <v>171</v>
      </c>
      <c r="S106" s="69" t="n">
        <v>4136</v>
      </c>
      <c r="T106" s="35" t="s">
        <v>172</v>
      </c>
      <c r="U106" s="28" t="n">
        <v>421491.01</v>
      </c>
      <c r="V106" s="60" t="n">
        <v>27.790097</v>
      </c>
      <c r="W106" s="71" t="n">
        <f aca="false">3714165.41/32</f>
        <v>116067.6690625</v>
      </c>
      <c r="X106" s="112" t="n">
        <f aca="false">U106/V106</f>
        <v>15166.9499390376</v>
      </c>
      <c r="Y106" s="117" t="n">
        <f aca="false">223784.82/32/V106</f>
        <v>251.64631937053</v>
      </c>
      <c r="Z106" s="28" t="n">
        <v>4.21</v>
      </c>
      <c r="AA106" s="62" t="s">
        <v>80</v>
      </c>
      <c r="AB106" s="38" t="n">
        <v>43494</v>
      </c>
      <c r="AC106" s="38" t="n">
        <v>43600</v>
      </c>
      <c r="AD106" s="38" t="n">
        <v>43580</v>
      </c>
      <c r="AE106" s="38" t="n">
        <v>45406</v>
      </c>
      <c r="AF106" s="28" t="n">
        <f aca="false">YEAR(AE106)</f>
        <v>2024</v>
      </c>
      <c r="AG106" s="63" t="n">
        <f aca="false">X106/SUMIF($Z$2:$Z$380,Z106,$X$2:$X$380)*(VLOOKUP(Z106,'затраты по департаментам-2 '!$A$2:$C$182,2,FALSE())+VLOOKUP(Z106,'затраты по департаментам-2 '!$A$2:$C$182,3,FALSE()))</f>
        <v>9202.35350315218</v>
      </c>
      <c r="AH106" s="63" t="n">
        <f aca="false">W106/60</f>
        <v>1934.46115104167</v>
      </c>
      <c r="AI106" s="64" t="s">
        <v>81</v>
      </c>
      <c r="AJ106" s="63" t="s">
        <v>142</v>
      </c>
      <c r="AK106" s="119" t="n">
        <v>53775</v>
      </c>
      <c r="AL106" s="81" t="s">
        <v>855</v>
      </c>
      <c r="AM106" s="78" t="s">
        <v>856</v>
      </c>
      <c r="AN106" s="43" t="s">
        <v>857</v>
      </c>
      <c r="AO106" s="65" t="n">
        <v>44525</v>
      </c>
      <c r="AP106" s="43"/>
      <c r="AQ106" s="66" t="s">
        <v>858</v>
      </c>
      <c r="AR106" s="64"/>
    </row>
    <row r="107" customFormat="false" ht="14.25" hidden="false" customHeight="false" outlineLevel="0" collapsed="false">
      <c r="A107" s="26" t="n">
        <v>106</v>
      </c>
      <c r="B107" s="43" t="s">
        <v>859</v>
      </c>
      <c r="C107" s="43" t="s">
        <v>165</v>
      </c>
      <c r="D107" s="28" t="s">
        <v>46</v>
      </c>
      <c r="E107" s="43" t="n">
        <v>6.7</v>
      </c>
      <c r="F107" s="43" t="n">
        <v>1.2</v>
      </c>
      <c r="G107" s="43" t="n">
        <v>108</v>
      </c>
      <c r="H107" s="43" t="n">
        <v>2019</v>
      </c>
      <c r="I107" s="43" t="s">
        <v>96</v>
      </c>
      <c r="J107" s="43" t="s">
        <v>74</v>
      </c>
      <c r="K107" s="30" t="s">
        <v>860</v>
      </c>
      <c r="L107" s="35"/>
      <c r="M107" s="31" t="s">
        <v>861</v>
      </c>
      <c r="N107" s="32" t="s">
        <v>236</v>
      </c>
      <c r="O107" s="28" t="s">
        <v>343</v>
      </c>
      <c r="P107" s="56" t="s">
        <v>143</v>
      </c>
      <c r="Q107" s="136" t="n">
        <v>7063</v>
      </c>
      <c r="R107" s="58" t="s">
        <v>171</v>
      </c>
      <c r="S107" s="69" t="n">
        <v>4136</v>
      </c>
      <c r="T107" s="35" t="s">
        <v>172</v>
      </c>
      <c r="U107" s="28" t="n">
        <v>421491.01</v>
      </c>
      <c r="V107" s="60" t="n">
        <v>27.790097</v>
      </c>
      <c r="W107" s="71" t="n">
        <f aca="false">3714165.41/32</f>
        <v>116067.6690625</v>
      </c>
      <c r="X107" s="112" t="n">
        <f aca="false">U107/V107</f>
        <v>15166.9499390376</v>
      </c>
      <c r="Y107" s="117" t="n">
        <f aca="false">223784.82/32/V107</f>
        <v>251.64631937053</v>
      </c>
      <c r="Z107" s="28" t="n">
        <v>4.21</v>
      </c>
      <c r="AA107" s="62" t="s">
        <v>80</v>
      </c>
      <c r="AB107" s="38" t="n">
        <v>43494</v>
      </c>
      <c r="AC107" s="38" t="n">
        <v>43600</v>
      </c>
      <c r="AD107" s="38" t="n">
        <v>43587</v>
      </c>
      <c r="AE107" s="38" t="n">
        <v>45414</v>
      </c>
      <c r="AF107" s="28" t="n">
        <f aca="false">YEAR(AE107)</f>
        <v>2024</v>
      </c>
      <c r="AG107" s="63" t="n">
        <f aca="false">X107/SUMIF($Z$2:$Z$380,Z107,$X$2:$X$380)*(VLOOKUP(Z107,'затраты по департаментам-2 '!$A$2:$C$182,2,FALSE())+VLOOKUP(Z107,'затраты по департаментам-2 '!$A$2:$C$182,3,FALSE()))</f>
        <v>9202.35350315218</v>
      </c>
      <c r="AH107" s="63" t="n">
        <f aca="false">W107/60</f>
        <v>1934.46115104167</v>
      </c>
      <c r="AI107" s="64" t="s">
        <v>81</v>
      </c>
      <c r="AJ107" s="63" t="s">
        <v>142</v>
      </c>
      <c r="AK107" s="119" t="n">
        <v>9722</v>
      </c>
      <c r="AL107" s="81" t="s">
        <v>862</v>
      </c>
      <c r="AM107" s="74" t="s">
        <v>863</v>
      </c>
      <c r="AN107" s="43" t="s">
        <v>864</v>
      </c>
      <c r="AO107" s="65" t="n">
        <v>44958</v>
      </c>
      <c r="AP107" s="43"/>
      <c r="AQ107" s="66" t="s">
        <v>865</v>
      </c>
      <c r="AR107" s="64"/>
    </row>
    <row r="108" customFormat="false" ht="14.25" hidden="false" customHeight="false" outlineLevel="0" collapsed="false">
      <c r="A108" s="26" t="n">
        <v>107</v>
      </c>
      <c r="B108" s="43" t="s">
        <v>866</v>
      </c>
      <c r="C108" s="43" t="s">
        <v>165</v>
      </c>
      <c r="D108" s="28" t="s">
        <v>46</v>
      </c>
      <c r="E108" s="43" t="n">
        <v>6.7</v>
      </c>
      <c r="F108" s="43" t="n">
        <v>1.2</v>
      </c>
      <c r="G108" s="43" t="n">
        <v>108</v>
      </c>
      <c r="H108" s="43" t="n">
        <v>2019</v>
      </c>
      <c r="I108" s="43" t="s">
        <v>96</v>
      </c>
      <c r="J108" s="43" t="s">
        <v>74</v>
      </c>
      <c r="K108" s="30" t="s">
        <v>867</v>
      </c>
      <c r="L108" s="28"/>
      <c r="M108" s="31" t="s">
        <v>868</v>
      </c>
      <c r="N108" s="32" t="s">
        <v>236</v>
      </c>
      <c r="O108" s="57" t="s">
        <v>869</v>
      </c>
      <c r="P108" s="48" t="s">
        <v>143</v>
      </c>
      <c r="Q108" s="87" t="n">
        <v>7065</v>
      </c>
      <c r="R108" s="58" t="s">
        <v>171</v>
      </c>
      <c r="S108" s="69" t="n">
        <v>4136</v>
      </c>
      <c r="T108" s="35" t="s">
        <v>172</v>
      </c>
      <c r="U108" s="28" t="n">
        <v>421491.01</v>
      </c>
      <c r="V108" s="60" t="n">
        <v>27.790097</v>
      </c>
      <c r="W108" s="71" t="n">
        <f aca="false">3714165.41/32</f>
        <v>116067.6690625</v>
      </c>
      <c r="X108" s="112" t="n">
        <f aca="false">U108/V108</f>
        <v>15166.9499390376</v>
      </c>
      <c r="Y108" s="117" t="n">
        <f aca="false">223784.82/32/V108</f>
        <v>251.64631937053</v>
      </c>
      <c r="Z108" s="28" t="n">
        <v>4.21</v>
      </c>
      <c r="AA108" s="62" t="s">
        <v>80</v>
      </c>
      <c r="AB108" s="38" t="n">
        <v>43494</v>
      </c>
      <c r="AC108" s="38" t="n">
        <v>43600</v>
      </c>
      <c r="AD108" s="38" t="n">
        <v>43587</v>
      </c>
      <c r="AE108" s="38" t="n">
        <v>45414</v>
      </c>
      <c r="AF108" s="28" t="n">
        <f aca="false">YEAR(AE108)</f>
        <v>2024</v>
      </c>
      <c r="AG108" s="63" t="n">
        <f aca="false">X108/SUMIF($Z$2:$Z$380,Z108,$X$2:$X$380)*(VLOOKUP(Z108,'затраты по департаментам-2 '!$A$2:$C$182,2,FALSE())+VLOOKUP(Z108,'затраты по департаментам-2 '!$A$2:$C$182,3,FALSE()))</f>
        <v>9202.35350315218</v>
      </c>
      <c r="AH108" s="63" t="n">
        <f aca="false">W108/60</f>
        <v>1934.46115104167</v>
      </c>
      <c r="AI108" s="64" t="s">
        <v>81</v>
      </c>
      <c r="AJ108" s="63" t="s">
        <v>142</v>
      </c>
      <c r="AK108" s="119" t="n">
        <v>11181</v>
      </c>
      <c r="AL108" s="81" t="s">
        <v>870</v>
      </c>
      <c r="AM108" s="74" t="s">
        <v>871</v>
      </c>
      <c r="AN108" s="43" t="s">
        <v>872</v>
      </c>
      <c r="AO108" s="65" t="n">
        <v>44714</v>
      </c>
      <c r="AQ108" s="66" t="s">
        <v>873</v>
      </c>
      <c r="AR108" s="64"/>
    </row>
    <row r="109" customFormat="false" ht="14.25" hidden="false" customHeight="false" outlineLevel="0" collapsed="false">
      <c r="A109" s="26" t="n">
        <v>108</v>
      </c>
      <c r="B109" s="43" t="s">
        <v>874</v>
      </c>
      <c r="C109" s="43" t="s">
        <v>165</v>
      </c>
      <c r="D109" s="28" t="s">
        <v>46</v>
      </c>
      <c r="E109" s="43" t="n">
        <v>6.7</v>
      </c>
      <c r="F109" s="43" t="n">
        <v>1.2</v>
      </c>
      <c r="G109" s="43" t="n">
        <v>108</v>
      </c>
      <c r="H109" s="43" t="n">
        <v>2019</v>
      </c>
      <c r="I109" s="43" t="s">
        <v>96</v>
      </c>
      <c r="J109" s="43" t="s">
        <v>74</v>
      </c>
      <c r="K109" s="30" t="s">
        <v>875</v>
      </c>
      <c r="L109" s="35"/>
      <c r="M109" s="31" t="s">
        <v>876</v>
      </c>
      <c r="N109" s="56" t="s">
        <v>227</v>
      </c>
      <c r="O109" s="28" t="s">
        <v>252</v>
      </c>
      <c r="P109" s="56" t="s">
        <v>298</v>
      </c>
      <c r="Q109" s="57" t="n">
        <v>1000</v>
      </c>
      <c r="R109" s="58" t="s">
        <v>189</v>
      </c>
      <c r="S109" s="57" t="n">
        <v>4176</v>
      </c>
      <c r="T109" s="35" t="s">
        <v>172</v>
      </c>
      <c r="U109" s="28" t="n">
        <v>421491.01</v>
      </c>
      <c r="V109" s="60" t="n">
        <v>27.790097</v>
      </c>
      <c r="W109" s="71" t="n">
        <f aca="false">2161342.24/19</f>
        <v>113754.854736842</v>
      </c>
      <c r="X109" s="112" t="n">
        <f aca="false">U109/V109</f>
        <v>15166.9499390376</v>
      </c>
      <c r="Y109" s="117" t="n">
        <f aca="false">223784.82/32/V109</f>
        <v>251.64631937053</v>
      </c>
      <c r="Z109" s="28" t="n">
        <v>4.22</v>
      </c>
      <c r="AA109" s="62" t="s">
        <v>80</v>
      </c>
      <c r="AB109" s="38" t="n">
        <v>43494</v>
      </c>
      <c r="AC109" s="38" t="n">
        <v>43633</v>
      </c>
      <c r="AD109" s="38" t="n">
        <v>43608</v>
      </c>
      <c r="AE109" s="50" t="n">
        <v>45434</v>
      </c>
      <c r="AF109" s="28" t="n">
        <f aca="false">YEAR(AE109)</f>
        <v>2024</v>
      </c>
      <c r="AG109" s="63" t="n">
        <f aca="false">X109/SUMIF($Z$2:$Z$380,Z109,$X$2:$X$380)*(VLOOKUP(Z109,'затраты по департаментам-2 '!$A$2:$C$182,2,FALSE())+VLOOKUP(Z109,'затраты по департаментам-2 '!$A$2:$C$182,3,FALSE()))</f>
        <v>9202.3524258186</v>
      </c>
      <c r="AH109" s="63" t="n">
        <f aca="false">W109/60</f>
        <v>1895.91424561404</v>
      </c>
      <c r="AI109" s="64" t="s">
        <v>81</v>
      </c>
      <c r="AJ109" s="63" t="s">
        <v>142</v>
      </c>
      <c r="AK109" s="119" t="n">
        <v>64126</v>
      </c>
      <c r="AL109" s="81" t="s">
        <v>877</v>
      </c>
      <c r="AM109" s="78" t="s">
        <v>878</v>
      </c>
      <c r="AN109" s="43" t="s">
        <v>879</v>
      </c>
      <c r="AO109" s="65" t="n">
        <v>44534</v>
      </c>
      <c r="AP109" s="43"/>
      <c r="AQ109" s="66" t="s">
        <v>880</v>
      </c>
      <c r="AR109" s="64"/>
    </row>
    <row r="110" customFormat="false" ht="14.25" hidden="false" customHeight="false" outlineLevel="0" collapsed="false">
      <c r="A110" s="26" t="n">
        <v>109</v>
      </c>
      <c r="B110" s="43" t="s">
        <v>881</v>
      </c>
      <c r="C110" s="43" t="s">
        <v>165</v>
      </c>
      <c r="D110" s="28" t="s">
        <v>46</v>
      </c>
      <c r="E110" s="43" t="n">
        <v>6.7</v>
      </c>
      <c r="F110" s="43" t="n">
        <v>1.2</v>
      </c>
      <c r="G110" s="43" t="n">
        <v>108</v>
      </c>
      <c r="H110" s="43" t="n">
        <v>2019</v>
      </c>
      <c r="I110" s="43" t="s">
        <v>96</v>
      </c>
      <c r="J110" s="43" t="s">
        <v>74</v>
      </c>
      <c r="K110" s="30" t="s">
        <v>882</v>
      </c>
      <c r="L110" s="35"/>
      <c r="M110" s="31" t="s">
        <v>883</v>
      </c>
      <c r="N110" s="84" t="s">
        <v>179</v>
      </c>
      <c r="O110" s="28" t="s">
        <v>831</v>
      </c>
      <c r="P110" s="56" t="s">
        <v>198</v>
      </c>
      <c r="Q110" s="87" t="n">
        <v>7032</v>
      </c>
      <c r="R110" s="97" t="s">
        <v>171</v>
      </c>
      <c r="S110" s="69" t="n">
        <v>4134</v>
      </c>
      <c r="T110" s="35" t="s">
        <v>172</v>
      </c>
      <c r="U110" s="28" t="n">
        <v>421491.01</v>
      </c>
      <c r="V110" s="60" t="n">
        <v>27.790097</v>
      </c>
      <c r="W110" s="71" t="n">
        <f aca="false">2161342.24/19</f>
        <v>113754.854736842</v>
      </c>
      <c r="X110" s="112" t="n">
        <f aca="false">U110/V110</f>
        <v>15166.9499390376</v>
      </c>
      <c r="Y110" s="117" t="n">
        <f aca="false">223784.82/32/V110</f>
        <v>251.64631937053</v>
      </c>
      <c r="Z110" s="28" t="n">
        <v>4.22</v>
      </c>
      <c r="AA110" s="62" t="s">
        <v>80</v>
      </c>
      <c r="AB110" s="38" t="n">
        <v>43494</v>
      </c>
      <c r="AC110" s="38" t="n">
        <v>43633</v>
      </c>
      <c r="AD110" s="38" t="n">
        <v>43608</v>
      </c>
      <c r="AE110" s="50" t="n">
        <v>45434</v>
      </c>
      <c r="AF110" s="28" t="n">
        <f aca="false">YEAR(AE110)</f>
        <v>2024</v>
      </c>
      <c r="AG110" s="63" t="n">
        <f aca="false">X110/SUMIF($Z$2:$Z$380,Z110,$X$2:$X$380)*(VLOOKUP(Z110,'затраты по департаментам-2 '!$A$2:$C$182,2,FALSE())+VLOOKUP(Z110,'затраты по департаментам-2 '!$A$2:$C$182,3,FALSE()))</f>
        <v>9202.3524258186</v>
      </c>
      <c r="AH110" s="63" t="n">
        <f aca="false">W110/60</f>
        <v>1895.91424561404</v>
      </c>
      <c r="AI110" s="64" t="s">
        <v>81</v>
      </c>
      <c r="AJ110" s="63" t="s">
        <v>197</v>
      </c>
      <c r="AK110" s="119" t="n">
        <v>94751</v>
      </c>
      <c r="AL110" s="81" t="s">
        <v>884</v>
      </c>
      <c r="AM110" s="78" t="s">
        <v>885</v>
      </c>
      <c r="AN110" s="43" t="s">
        <v>886</v>
      </c>
      <c r="AO110" s="65" t="n">
        <v>44981</v>
      </c>
      <c r="AP110" s="43"/>
      <c r="AQ110" s="66" t="s">
        <v>887</v>
      </c>
      <c r="AR110" s="64"/>
    </row>
    <row r="111" s="1" customFormat="true" ht="14.25" hidden="false" customHeight="false" outlineLevel="0" collapsed="false">
      <c r="A111" s="26" t="n">
        <v>110</v>
      </c>
      <c r="B111" s="43" t="s">
        <v>888</v>
      </c>
      <c r="C111" s="43" t="s">
        <v>165</v>
      </c>
      <c r="D111" s="28" t="s">
        <v>46</v>
      </c>
      <c r="E111" s="43" t="n">
        <v>6.7</v>
      </c>
      <c r="F111" s="43" t="n">
        <v>1.2</v>
      </c>
      <c r="G111" s="43" t="n">
        <v>108</v>
      </c>
      <c r="H111" s="43" t="n">
        <v>2019</v>
      </c>
      <c r="I111" s="43" t="s">
        <v>96</v>
      </c>
      <c r="J111" s="43" t="s">
        <v>74</v>
      </c>
      <c r="K111" s="30" t="s">
        <v>889</v>
      </c>
      <c r="L111" s="35"/>
      <c r="M111" s="31" t="s">
        <v>890</v>
      </c>
      <c r="N111" s="32" t="s">
        <v>236</v>
      </c>
      <c r="O111" s="28" t="s">
        <v>891</v>
      </c>
      <c r="P111" s="56" t="s">
        <v>143</v>
      </c>
      <c r="Q111" s="87" t="n">
        <v>7065</v>
      </c>
      <c r="R111" s="58" t="s">
        <v>171</v>
      </c>
      <c r="S111" s="69" t="n">
        <v>4136</v>
      </c>
      <c r="T111" s="35" t="s">
        <v>172</v>
      </c>
      <c r="U111" s="28" t="n">
        <v>421491.01</v>
      </c>
      <c r="V111" s="60" t="n">
        <v>27.790097</v>
      </c>
      <c r="W111" s="71" t="n">
        <f aca="false">2161342.24/19</f>
        <v>113754.854736842</v>
      </c>
      <c r="X111" s="112" t="n">
        <f aca="false">U111/V111</f>
        <v>15166.9499390376</v>
      </c>
      <c r="Y111" s="117" t="n">
        <f aca="false">223784.82/32/V111</f>
        <v>251.64631937053</v>
      </c>
      <c r="Z111" s="28" t="n">
        <v>4.22</v>
      </c>
      <c r="AA111" s="62" t="s">
        <v>80</v>
      </c>
      <c r="AB111" s="38" t="n">
        <v>43494</v>
      </c>
      <c r="AC111" s="38" t="n">
        <v>43633</v>
      </c>
      <c r="AD111" s="38" t="n">
        <v>43608</v>
      </c>
      <c r="AE111" s="50" t="n">
        <v>45434</v>
      </c>
      <c r="AF111" s="28" t="n">
        <f aca="false">YEAR(AE111)</f>
        <v>2024</v>
      </c>
      <c r="AG111" s="63" t="n">
        <f aca="false">X111/SUMIF($Z$2:$Z$380,Z111,$X$2:$X$380)*(VLOOKUP(Z111,'затраты по департаментам-2 '!$A$2:$C$182,2,FALSE())+VLOOKUP(Z111,'затраты по департаментам-2 '!$A$2:$C$182,3,FALSE()))</f>
        <v>9202.3524258186</v>
      </c>
      <c r="AH111" s="63" t="n">
        <f aca="false">W111/60</f>
        <v>1895.91424561404</v>
      </c>
      <c r="AI111" s="64" t="s">
        <v>81</v>
      </c>
      <c r="AJ111" s="63" t="s">
        <v>142</v>
      </c>
      <c r="AK111" s="119" t="n">
        <v>41577</v>
      </c>
      <c r="AL111" s="81" t="s">
        <v>892</v>
      </c>
      <c r="AM111" s="78" t="s">
        <v>893</v>
      </c>
      <c r="AN111" s="43" t="s">
        <v>894</v>
      </c>
      <c r="AO111" s="65" t="n">
        <v>44656</v>
      </c>
      <c r="AP111" s="43"/>
      <c r="AQ111" s="66" t="s">
        <v>895</v>
      </c>
      <c r="AR111" s="26"/>
    </row>
    <row r="112" customFormat="false" ht="14.25" hidden="false" customHeight="false" outlineLevel="0" collapsed="false">
      <c r="A112" s="26" t="n">
        <v>111</v>
      </c>
      <c r="B112" s="43" t="s">
        <v>896</v>
      </c>
      <c r="C112" s="43" t="s">
        <v>165</v>
      </c>
      <c r="D112" s="28" t="s">
        <v>46</v>
      </c>
      <c r="E112" s="43" t="n">
        <v>6.7</v>
      </c>
      <c r="F112" s="43" t="n">
        <v>1.2</v>
      </c>
      <c r="G112" s="43" t="n">
        <v>108</v>
      </c>
      <c r="H112" s="43" t="n">
        <v>2019</v>
      </c>
      <c r="I112" s="43" t="s">
        <v>96</v>
      </c>
      <c r="J112" s="43" t="s">
        <v>74</v>
      </c>
      <c r="K112" s="30" t="s">
        <v>897</v>
      </c>
      <c r="L112" s="82"/>
      <c r="M112" s="31" t="s">
        <v>898</v>
      </c>
      <c r="N112" s="92" t="s">
        <v>179</v>
      </c>
      <c r="O112" s="28" t="s">
        <v>899</v>
      </c>
      <c r="P112" s="56" t="s">
        <v>327</v>
      </c>
      <c r="Q112" s="87" t="n">
        <v>7014</v>
      </c>
      <c r="R112" s="58" t="s">
        <v>171</v>
      </c>
      <c r="S112" s="69" t="n">
        <v>4131</v>
      </c>
      <c r="T112" s="35" t="s">
        <v>172</v>
      </c>
      <c r="U112" s="28" t="n">
        <v>421491.01</v>
      </c>
      <c r="V112" s="60" t="n">
        <v>27.790097</v>
      </c>
      <c r="W112" s="71" t="n">
        <f aca="false">2161342.24/19</f>
        <v>113754.854736842</v>
      </c>
      <c r="X112" s="112" t="n">
        <f aca="false">U112/V112</f>
        <v>15166.9499390376</v>
      </c>
      <c r="Y112" s="117" t="n">
        <f aca="false">223784.82/32/V112</f>
        <v>251.64631937053</v>
      </c>
      <c r="Z112" s="28" t="n">
        <v>4.22</v>
      </c>
      <c r="AA112" s="62" t="s">
        <v>80</v>
      </c>
      <c r="AB112" s="38" t="n">
        <v>43494</v>
      </c>
      <c r="AC112" s="38" t="n">
        <v>43633</v>
      </c>
      <c r="AD112" s="38" t="n">
        <v>43608</v>
      </c>
      <c r="AE112" s="50" t="n">
        <v>45434</v>
      </c>
      <c r="AF112" s="28" t="n">
        <f aca="false">YEAR(AE112)</f>
        <v>2024</v>
      </c>
      <c r="AG112" s="63" t="n">
        <f aca="false">X112/SUMIF($Z$2:$Z$380,Z112,$X$2:$X$380)*(VLOOKUP(Z112,'затраты по департаментам-2 '!$A$2:$C$182,2,FALSE())+VLOOKUP(Z112,'затраты по департаментам-2 '!$A$2:$C$182,3,FALSE()))</f>
        <v>9202.3524258186</v>
      </c>
      <c r="AH112" s="63" t="n">
        <f aca="false">W112/60</f>
        <v>1895.91424561404</v>
      </c>
      <c r="AI112" s="64" t="s">
        <v>81</v>
      </c>
      <c r="AJ112" s="63" t="s">
        <v>52</v>
      </c>
      <c r="AK112" s="119" t="n">
        <v>69018</v>
      </c>
      <c r="AL112" s="81" t="s">
        <v>900</v>
      </c>
      <c r="AM112" s="78" t="s">
        <v>901</v>
      </c>
      <c r="AN112" s="43" t="s">
        <v>902</v>
      </c>
      <c r="AO112" s="65" t="n">
        <v>44491</v>
      </c>
      <c r="AP112" s="43"/>
      <c r="AQ112" s="66" t="s">
        <v>903</v>
      </c>
      <c r="AR112" s="64"/>
    </row>
    <row r="113" customFormat="false" ht="14.25" hidden="false" customHeight="false" outlineLevel="0" collapsed="false">
      <c r="A113" s="26" t="n">
        <v>112</v>
      </c>
      <c r="B113" s="43" t="s">
        <v>904</v>
      </c>
      <c r="C113" s="43" t="s">
        <v>165</v>
      </c>
      <c r="D113" s="28" t="s">
        <v>46</v>
      </c>
      <c r="E113" s="43" t="n">
        <v>6.7</v>
      </c>
      <c r="F113" s="43" t="n">
        <v>1.2</v>
      </c>
      <c r="G113" s="43" t="n">
        <v>108</v>
      </c>
      <c r="H113" s="43" t="n">
        <v>2019</v>
      </c>
      <c r="I113" s="43" t="s">
        <v>96</v>
      </c>
      <c r="J113" s="43" t="s">
        <v>74</v>
      </c>
      <c r="K113" s="30" t="s">
        <v>905</v>
      </c>
      <c r="L113" s="35"/>
      <c r="M113" s="31" t="s">
        <v>906</v>
      </c>
      <c r="N113" s="32" t="s">
        <v>227</v>
      </c>
      <c r="O113" s="57" t="s">
        <v>100</v>
      </c>
      <c r="P113" s="56" t="s">
        <v>298</v>
      </c>
      <c r="Q113" s="103" t="n">
        <v>1000</v>
      </c>
      <c r="R113" s="58" t="s">
        <v>189</v>
      </c>
      <c r="S113" s="69" t="n">
        <v>4173</v>
      </c>
      <c r="T113" s="35" t="s">
        <v>172</v>
      </c>
      <c r="U113" s="28" t="n">
        <v>421491.01</v>
      </c>
      <c r="V113" s="60" t="n">
        <v>27.790097</v>
      </c>
      <c r="W113" s="71" t="n">
        <f aca="false">2161342.24/19</f>
        <v>113754.854736842</v>
      </c>
      <c r="X113" s="112" t="n">
        <f aca="false">U113/V113</f>
        <v>15166.9499390376</v>
      </c>
      <c r="Y113" s="117" t="n">
        <f aca="false">223784.82/32/V113</f>
        <v>251.64631937053</v>
      </c>
      <c r="Z113" s="28" t="n">
        <v>4.22</v>
      </c>
      <c r="AA113" s="62" t="s">
        <v>80</v>
      </c>
      <c r="AB113" s="38" t="n">
        <v>43494</v>
      </c>
      <c r="AC113" s="38" t="n">
        <v>43633</v>
      </c>
      <c r="AD113" s="38" t="n">
        <v>43608</v>
      </c>
      <c r="AE113" s="50" t="n">
        <v>45434</v>
      </c>
      <c r="AF113" s="28" t="n">
        <f aca="false">YEAR(AE113)</f>
        <v>2024</v>
      </c>
      <c r="AG113" s="63" t="n">
        <f aca="false">X113/SUMIF($Z$2:$Z$380,Z113,$X$2:$X$380)*(VLOOKUP(Z113,'затраты по департаментам-2 '!$A$2:$C$182,2,FALSE())+VLOOKUP(Z113,'затраты по департаментам-2 '!$A$2:$C$182,3,FALSE()))</f>
        <v>9202.3524258186</v>
      </c>
      <c r="AH113" s="63" t="n">
        <f aca="false">W113/60</f>
        <v>1895.91424561404</v>
      </c>
      <c r="AI113" s="64" t="s">
        <v>81</v>
      </c>
      <c r="AJ113" s="63" t="s">
        <v>100</v>
      </c>
      <c r="AK113" s="119" t="n">
        <v>64340</v>
      </c>
      <c r="AL113" s="43"/>
      <c r="AM113" s="74" t="s">
        <v>907</v>
      </c>
      <c r="AN113" s="43" t="s">
        <v>908</v>
      </c>
      <c r="AO113" s="65" t="n">
        <v>44818</v>
      </c>
      <c r="AP113" s="43"/>
      <c r="AQ113" s="66" t="s">
        <v>909</v>
      </c>
      <c r="AR113" s="64"/>
    </row>
    <row r="114" customFormat="false" ht="14.25" hidden="false" customHeight="false" outlineLevel="0" collapsed="false">
      <c r="A114" s="26" t="n">
        <v>113</v>
      </c>
      <c r="B114" s="43" t="s">
        <v>910</v>
      </c>
      <c r="C114" s="43" t="s">
        <v>165</v>
      </c>
      <c r="D114" s="28" t="s">
        <v>46</v>
      </c>
      <c r="E114" s="43" t="n">
        <v>6.7</v>
      </c>
      <c r="F114" s="43" t="n">
        <v>1.2</v>
      </c>
      <c r="G114" s="43" t="n">
        <v>108</v>
      </c>
      <c r="H114" s="43" t="n">
        <v>2019</v>
      </c>
      <c r="I114" s="43" t="s">
        <v>96</v>
      </c>
      <c r="J114" s="43" t="s">
        <v>74</v>
      </c>
      <c r="K114" s="30" t="s">
        <v>911</v>
      </c>
      <c r="L114" s="27"/>
      <c r="M114" s="31" t="s">
        <v>912</v>
      </c>
      <c r="N114" s="84" t="s">
        <v>913</v>
      </c>
      <c r="O114" s="28" t="s">
        <v>100</v>
      </c>
      <c r="P114" s="56" t="s">
        <v>439</v>
      </c>
      <c r="Q114" s="87" t="n">
        <v>1000</v>
      </c>
      <c r="R114" s="58" t="s">
        <v>189</v>
      </c>
      <c r="S114" s="69" t="n">
        <v>4170</v>
      </c>
      <c r="T114" s="35" t="s">
        <v>172</v>
      </c>
      <c r="U114" s="28" t="n">
        <v>421491.01</v>
      </c>
      <c r="V114" s="60" t="n">
        <v>27.790097</v>
      </c>
      <c r="W114" s="71" t="n">
        <f aca="false">2161342.24/19</f>
        <v>113754.854736842</v>
      </c>
      <c r="X114" s="112" t="n">
        <f aca="false">U114/V114</f>
        <v>15166.9499390376</v>
      </c>
      <c r="Y114" s="117" t="n">
        <f aca="false">223784.82/32/V114</f>
        <v>251.64631937053</v>
      </c>
      <c r="Z114" s="28" t="n">
        <v>4.22</v>
      </c>
      <c r="AA114" s="62" t="s">
        <v>80</v>
      </c>
      <c r="AB114" s="38" t="n">
        <v>43494</v>
      </c>
      <c r="AC114" s="38" t="n">
        <v>43633</v>
      </c>
      <c r="AD114" s="38" t="n">
        <v>43608</v>
      </c>
      <c r="AE114" s="50" t="n">
        <v>45434</v>
      </c>
      <c r="AF114" s="28" t="n">
        <f aca="false">YEAR(AE114)</f>
        <v>2024</v>
      </c>
      <c r="AG114" s="63" t="n">
        <f aca="false">X114/SUMIF($Z$2:$Z$380,Z114,$X$2:$X$380)*(VLOOKUP(Z114,'затраты по департаментам-2 '!$A$2:$C$182,2,FALSE())+VLOOKUP(Z114,'затраты по департаментам-2 '!$A$2:$C$182,3,FALSE()))</f>
        <v>9202.3524258186</v>
      </c>
      <c r="AH114" s="63" t="n">
        <f aca="false">W114/60</f>
        <v>1895.91424561404</v>
      </c>
      <c r="AI114" s="64" t="s">
        <v>81</v>
      </c>
      <c r="AJ114" s="63" t="s">
        <v>100</v>
      </c>
      <c r="AK114" s="119" t="n">
        <v>57514</v>
      </c>
      <c r="AL114" s="43"/>
      <c r="AM114" s="74" t="s">
        <v>914</v>
      </c>
      <c r="AN114" s="43" t="s">
        <v>915</v>
      </c>
      <c r="AO114" s="65" t="n">
        <v>44863</v>
      </c>
      <c r="AP114" s="43"/>
      <c r="AQ114" s="66" t="s">
        <v>916</v>
      </c>
      <c r="AR114" s="64"/>
    </row>
    <row r="115" customFormat="false" ht="14.25" hidden="false" customHeight="false" outlineLevel="0" collapsed="false">
      <c r="A115" s="26" t="n">
        <v>114</v>
      </c>
      <c r="B115" s="43" t="s">
        <v>917</v>
      </c>
      <c r="C115" s="43" t="s">
        <v>165</v>
      </c>
      <c r="D115" s="28" t="s">
        <v>46</v>
      </c>
      <c r="E115" s="43" t="n">
        <v>6.7</v>
      </c>
      <c r="F115" s="43" t="n">
        <v>1.2</v>
      </c>
      <c r="G115" s="43" t="n">
        <v>108</v>
      </c>
      <c r="H115" s="43" t="n">
        <v>2019</v>
      </c>
      <c r="I115" s="43" t="s">
        <v>96</v>
      </c>
      <c r="J115" s="43" t="s">
        <v>74</v>
      </c>
      <c r="K115" s="30" t="s">
        <v>918</v>
      </c>
      <c r="L115" s="35"/>
      <c r="M115" s="31" t="s">
        <v>919</v>
      </c>
      <c r="N115" s="32" t="s">
        <v>168</v>
      </c>
      <c r="O115" s="57" t="s">
        <v>681</v>
      </c>
      <c r="P115" s="56" t="s">
        <v>920</v>
      </c>
      <c r="Q115" s="87" t="n">
        <v>9000</v>
      </c>
      <c r="R115" s="58" t="s">
        <v>171</v>
      </c>
      <c r="S115" s="69" t="n">
        <v>4130</v>
      </c>
      <c r="T115" s="35" t="s">
        <v>172</v>
      </c>
      <c r="U115" s="28" t="n">
        <v>421491.01</v>
      </c>
      <c r="V115" s="60" t="n">
        <v>27.790097</v>
      </c>
      <c r="W115" s="71" t="n">
        <f aca="false">2161342.24/19</f>
        <v>113754.854736842</v>
      </c>
      <c r="X115" s="112" t="n">
        <f aca="false">U115/V115</f>
        <v>15166.9499390376</v>
      </c>
      <c r="Y115" s="117" t="n">
        <f aca="false">223784.82/32/V115</f>
        <v>251.64631937053</v>
      </c>
      <c r="Z115" s="28" t="n">
        <v>4.22</v>
      </c>
      <c r="AA115" s="62" t="s">
        <v>80</v>
      </c>
      <c r="AB115" s="38" t="n">
        <v>43494</v>
      </c>
      <c r="AC115" s="38" t="n">
        <v>43633</v>
      </c>
      <c r="AD115" s="38" t="n">
        <v>43608</v>
      </c>
      <c r="AE115" s="50" t="n">
        <v>45434</v>
      </c>
      <c r="AF115" s="28" t="n">
        <f aca="false">YEAR(AE115)</f>
        <v>2024</v>
      </c>
      <c r="AG115" s="63" t="n">
        <f aca="false">X115/SUMIF($Z$2:$Z$380,Z115,$X$2:$X$380)*(VLOOKUP(Z115,'затраты по департаментам-2 '!$A$2:$C$182,2,FALSE())+VLOOKUP(Z115,'затраты по департаментам-2 '!$A$2:$C$182,3,FALSE()))</f>
        <v>9202.3524258186</v>
      </c>
      <c r="AH115" s="63" t="n">
        <f aca="false">W115/60</f>
        <v>1895.91424561404</v>
      </c>
      <c r="AI115" s="64" t="s">
        <v>81</v>
      </c>
      <c r="AJ115" s="63" t="s">
        <v>100</v>
      </c>
      <c r="AK115" s="119" t="n">
        <v>96201</v>
      </c>
      <c r="AL115" s="81" t="s">
        <v>921</v>
      </c>
      <c r="AM115" s="74" t="s">
        <v>922</v>
      </c>
      <c r="AN115" s="43" t="s">
        <v>923</v>
      </c>
      <c r="AO115" s="65" t="n">
        <v>44924</v>
      </c>
      <c r="AP115" s="43"/>
      <c r="AQ115" s="66" t="s">
        <v>924</v>
      </c>
      <c r="AR115" s="76" t="n">
        <v>44419</v>
      </c>
    </row>
    <row r="116" customFormat="false" ht="14.25" hidden="false" customHeight="false" outlineLevel="0" collapsed="false">
      <c r="A116" s="26" t="n">
        <v>115</v>
      </c>
      <c r="B116" s="43" t="s">
        <v>925</v>
      </c>
      <c r="C116" s="43" t="s">
        <v>165</v>
      </c>
      <c r="D116" s="28" t="s">
        <v>46</v>
      </c>
      <c r="E116" s="43" t="n">
        <v>6.7</v>
      </c>
      <c r="F116" s="43" t="n">
        <v>1.2</v>
      </c>
      <c r="G116" s="43" t="n">
        <v>108</v>
      </c>
      <c r="H116" s="43" t="n">
        <v>2019</v>
      </c>
      <c r="I116" s="43" t="s">
        <v>96</v>
      </c>
      <c r="J116" s="43" t="s">
        <v>74</v>
      </c>
      <c r="K116" s="30" t="s">
        <v>926</v>
      </c>
      <c r="L116" s="35"/>
      <c r="M116" s="31" t="s">
        <v>927</v>
      </c>
      <c r="N116" s="92" t="s">
        <v>179</v>
      </c>
      <c r="O116" s="28" t="s">
        <v>928</v>
      </c>
      <c r="P116" s="56" t="s">
        <v>91</v>
      </c>
      <c r="Q116" s="87" t="n">
        <v>7080</v>
      </c>
      <c r="R116" s="58" t="s">
        <v>171</v>
      </c>
      <c r="S116" s="69" t="n">
        <v>4138</v>
      </c>
      <c r="T116" s="35" t="s">
        <v>172</v>
      </c>
      <c r="U116" s="28" t="n">
        <v>421491.01</v>
      </c>
      <c r="V116" s="60" t="n">
        <v>27.790097</v>
      </c>
      <c r="W116" s="71" t="n">
        <f aca="false">2161342.24/19</f>
        <v>113754.854736842</v>
      </c>
      <c r="X116" s="112" t="n">
        <f aca="false">U116/V116</f>
        <v>15166.9499390376</v>
      </c>
      <c r="Y116" s="117" t="n">
        <f aca="false">223784.82/32/V116</f>
        <v>251.64631937053</v>
      </c>
      <c r="Z116" s="28" t="n">
        <v>4.22</v>
      </c>
      <c r="AA116" s="62" t="s">
        <v>80</v>
      </c>
      <c r="AB116" s="38" t="n">
        <v>43494</v>
      </c>
      <c r="AC116" s="38" t="n">
        <v>43633</v>
      </c>
      <c r="AD116" s="38" t="n">
        <v>43608</v>
      </c>
      <c r="AE116" s="50" t="n">
        <v>45434</v>
      </c>
      <c r="AF116" s="28" t="n">
        <f aca="false">YEAR(AE116)</f>
        <v>2024</v>
      </c>
      <c r="AG116" s="63" t="n">
        <f aca="false">X116/SUMIF($Z$2:$Z$380,Z116,$X$2:$X$380)*(VLOOKUP(Z116,'затраты по департаментам-2 '!$A$2:$C$182,2,FALSE())+VLOOKUP(Z116,'затраты по департаментам-2 '!$A$2:$C$182,3,FALSE()))</f>
        <v>9202.3524258186</v>
      </c>
      <c r="AH116" s="63" t="n">
        <f aca="false">W116/60</f>
        <v>1895.91424561404</v>
      </c>
      <c r="AI116" s="64" t="s">
        <v>81</v>
      </c>
      <c r="AJ116" s="63" t="s">
        <v>82</v>
      </c>
      <c r="AK116" s="119" t="n">
        <v>96334</v>
      </c>
      <c r="AL116" s="43"/>
      <c r="AM116" s="78" t="s">
        <v>929</v>
      </c>
      <c r="AN116" s="43" t="s">
        <v>930</v>
      </c>
      <c r="AO116" s="65" t="n">
        <v>44525</v>
      </c>
      <c r="AP116" s="43"/>
      <c r="AQ116" s="66" t="s">
        <v>931</v>
      </c>
      <c r="AR116" s="64"/>
    </row>
    <row r="117" customFormat="false" ht="14.25" hidden="false" customHeight="false" outlineLevel="0" collapsed="false">
      <c r="A117" s="26" t="n">
        <v>116</v>
      </c>
      <c r="B117" s="43" t="s">
        <v>932</v>
      </c>
      <c r="C117" s="43" t="s">
        <v>165</v>
      </c>
      <c r="D117" s="28" t="s">
        <v>46</v>
      </c>
      <c r="E117" s="43" t="n">
        <v>6.7</v>
      </c>
      <c r="F117" s="43" t="n">
        <v>1.2</v>
      </c>
      <c r="G117" s="43" t="n">
        <v>108</v>
      </c>
      <c r="H117" s="43" t="n">
        <v>2019</v>
      </c>
      <c r="I117" s="43" t="s">
        <v>96</v>
      </c>
      <c r="J117" s="43" t="s">
        <v>74</v>
      </c>
      <c r="K117" s="30" t="s">
        <v>933</v>
      </c>
      <c r="L117" s="35"/>
      <c r="M117" s="31" t="s">
        <v>934</v>
      </c>
      <c r="N117" s="32" t="s">
        <v>236</v>
      </c>
      <c r="O117" s="28" t="s">
        <v>754</v>
      </c>
      <c r="P117" s="56" t="s">
        <v>198</v>
      </c>
      <c r="Q117" s="87" t="n">
        <v>7040</v>
      </c>
      <c r="R117" s="58" t="s">
        <v>171</v>
      </c>
      <c r="S117" s="69" t="n">
        <v>4134</v>
      </c>
      <c r="T117" s="35" t="s">
        <v>172</v>
      </c>
      <c r="U117" s="28" t="n">
        <v>421491.01</v>
      </c>
      <c r="V117" s="60" t="n">
        <v>27.790097</v>
      </c>
      <c r="W117" s="71" t="n">
        <f aca="false">2161342.24/19</f>
        <v>113754.854736842</v>
      </c>
      <c r="X117" s="112" t="n">
        <f aca="false">U117/V117</f>
        <v>15166.9499390376</v>
      </c>
      <c r="Y117" s="117" t="n">
        <f aca="false">223784.82/32/V117</f>
        <v>251.64631937053</v>
      </c>
      <c r="Z117" s="28" t="n">
        <v>4.22</v>
      </c>
      <c r="AA117" s="62" t="s">
        <v>80</v>
      </c>
      <c r="AB117" s="38" t="n">
        <v>43494</v>
      </c>
      <c r="AC117" s="38" t="n">
        <v>43633</v>
      </c>
      <c r="AD117" s="38" t="n">
        <v>43608</v>
      </c>
      <c r="AE117" s="50" t="n">
        <v>45434</v>
      </c>
      <c r="AF117" s="28" t="n">
        <f aca="false">YEAR(AE117)</f>
        <v>2024</v>
      </c>
      <c r="AG117" s="63" t="n">
        <f aca="false">X117/SUMIF($Z$2:$Z$380,Z117,$X$2:$X$380)*(VLOOKUP(Z117,'затраты по департаментам-2 '!$A$2:$C$182,2,FALSE())+VLOOKUP(Z117,'затраты по департаментам-2 '!$A$2:$C$182,3,FALSE()))</f>
        <v>9202.3524258186</v>
      </c>
      <c r="AH117" s="63" t="n">
        <f aca="false">W117/60</f>
        <v>1895.91424561404</v>
      </c>
      <c r="AI117" s="64" t="s">
        <v>81</v>
      </c>
      <c r="AJ117" s="63" t="s">
        <v>197</v>
      </c>
      <c r="AK117" s="119" t="n">
        <v>57431</v>
      </c>
      <c r="AL117" s="81" t="s">
        <v>935</v>
      </c>
      <c r="AM117" s="78" t="s">
        <v>936</v>
      </c>
      <c r="AN117" s="43" t="s">
        <v>937</v>
      </c>
      <c r="AO117" s="65" t="n">
        <v>44532</v>
      </c>
      <c r="AP117" s="43"/>
      <c r="AQ117" s="66" t="s">
        <v>938</v>
      </c>
      <c r="AR117" s="64"/>
    </row>
    <row r="118" customFormat="false" ht="14.25" hidden="false" customHeight="false" outlineLevel="0" collapsed="false">
      <c r="A118" s="26" t="n">
        <v>117</v>
      </c>
      <c r="B118" s="43" t="s">
        <v>939</v>
      </c>
      <c r="C118" s="43" t="s">
        <v>165</v>
      </c>
      <c r="D118" s="28" t="s">
        <v>46</v>
      </c>
      <c r="E118" s="43" t="n">
        <v>6.7</v>
      </c>
      <c r="F118" s="43" t="n">
        <v>1.2</v>
      </c>
      <c r="G118" s="43" t="n">
        <v>108</v>
      </c>
      <c r="H118" s="43" t="n">
        <v>2019</v>
      </c>
      <c r="I118" s="43" t="s">
        <v>96</v>
      </c>
      <c r="J118" s="43" t="s">
        <v>74</v>
      </c>
      <c r="K118" s="30" t="s">
        <v>940</v>
      </c>
      <c r="L118" s="35"/>
      <c r="M118" s="31" t="s">
        <v>941</v>
      </c>
      <c r="N118" s="56" t="s">
        <v>227</v>
      </c>
      <c r="O118" s="28" t="s">
        <v>942</v>
      </c>
      <c r="P118" s="56" t="s">
        <v>298</v>
      </c>
      <c r="Q118" s="87" t="n">
        <v>1000</v>
      </c>
      <c r="R118" s="137" t="s">
        <v>189</v>
      </c>
      <c r="S118" s="69" t="n">
        <v>4173</v>
      </c>
      <c r="T118" s="35" t="s">
        <v>172</v>
      </c>
      <c r="U118" s="28" t="n">
        <v>421491.01</v>
      </c>
      <c r="V118" s="60" t="n">
        <v>27.790097</v>
      </c>
      <c r="W118" s="71" t="n">
        <f aca="false">2161342.24/19</f>
        <v>113754.854736842</v>
      </c>
      <c r="X118" s="112" t="n">
        <f aca="false">U118/V118</f>
        <v>15166.9499390376</v>
      </c>
      <c r="Y118" s="117" t="n">
        <f aca="false">223784.82/32/V118</f>
        <v>251.64631937053</v>
      </c>
      <c r="Z118" s="28" t="n">
        <v>4.22</v>
      </c>
      <c r="AA118" s="62" t="s">
        <v>80</v>
      </c>
      <c r="AB118" s="38" t="n">
        <v>43494</v>
      </c>
      <c r="AC118" s="38" t="n">
        <v>43633</v>
      </c>
      <c r="AD118" s="38" t="n">
        <v>43608</v>
      </c>
      <c r="AE118" s="50" t="n">
        <v>45434</v>
      </c>
      <c r="AF118" s="28" t="n">
        <f aca="false">YEAR(AE118)</f>
        <v>2024</v>
      </c>
      <c r="AG118" s="63" t="n">
        <f aca="false">X118/SUMIF($Z$2:$Z$380,Z118,$X$2:$X$380)*(VLOOKUP(Z118,'затраты по департаментам-2 '!$A$2:$C$182,2,FALSE())+VLOOKUP(Z118,'затраты по департаментам-2 '!$A$2:$C$182,3,FALSE()))</f>
        <v>9202.3524258186</v>
      </c>
      <c r="AH118" s="63" t="n">
        <f aca="false">W118/60</f>
        <v>1895.91424561404</v>
      </c>
      <c r="AI118" s="64" t="s">
        <v>81</v>
      </c>
      <c r="AJ118" s="63" t="s">
        <v>82</v>
      </c>
      <c r="AK118" s="119" t="n">
        <v>69109</v>
      </c>
      <c r="AL118" s="43"/>
      <c r="AM118" s="78" t="s">
        <v>943</v>
      </c>
      <c r="AN118" s="43" t="s">
        <v>944</v>
      </c>
      <c r="AO118" s="65" t="n">
        <v>44513</v>
      </c>
      <c r="AP118" s="43"/>
      <c r="AQ118" s="66" t="s">
        <v>945</v>
      </c>
      <c r="AR118" s="64"/>
    </row>
    <row r="119" customFormat="false" ht="12.75" hidden="false" customHeight="false" outlineLevel="0" collapsed="false">
      <c r="A119" s="26" t="n">
        <v>118</v>
      </c>
      <c r="B119" s="43" t="s">
        <v>946</v>
      </c>
      <c r="C119" s="43" t="s">
        <v>165</v>
      </c>
      <c r="D119" s="28" t="s">
        <v>46</v>
      </c>
      <c r="E119" s="43" t="n">
        <v>6.7</v>
      </c>
      <c r="F119" s="43" t="n">
        <v>1.2</v>
      </c>
      <c r="G119" s="43" t="n">
        <v>108</v>
      </c>
      <c r="H119" s="43" t="n">
        <v>2019</v>
      </c>
      <c r="I119" s="43" t="s">
        <v>96</v>
      </c>
      <c r="J119" s="43" t="s">
        <v>74</v>
      </c>
      <c r="K119" s="30" t="s">
        <v>947</v>
      </c>
      <c r="L119" s="35"/>
      <c r="M119" s="31" t="s">
        <v>948</v>
      </c>
      <c r="N119" s="130" t="s">
        <v>227</v>
      </c>
      <c r="O119" s="28" t="s">
        <v>689</v>
      </c>
      <c r="P119" s="48" t="s">
        <v>298</v>
      </c>
      <c r="Q119" s="138" t="n">
        <v>1000</v>
      </c>
      <c r="R119" s="58" t="s">
        <v>351</v>
      </c>
      <c r="S119" s="69" t="n">
        <v>4178</v>
      </c>
      <c r="T119" s="35" t="s">
        <v>172</v>
      </c>
      <c r="U119" s="28" t="n">
        <v>421491.01</v>
      </c>
      <c r="V119" s="60" t="n">
        <v>27.790097</v>
      </c>
      <c r="W119" s="71" t="n">
        <f aca="false">2161342.24/19</f>
        <v>113754.854736842</v>
      </c>
      <c r="X119" s="112" t="n">
        <f aca="false">U119/V119</f>
        <v>15166.9499390376</v>
      </c>
      <c r="Y119" s="117" t="n">
        <f aca="false">223784.82/32/V119</f>
        <v>251.64631937053</v>
      </c>
      <c r="Z119" s="28" t="n">
        <v>4.22</v>
      </c>
      <c r="AA119" s="62" t="s">
        <v>80</v>
      </c>
      <c r="AB119" s="38" t="n">
        <v>43494</v>
      </c>
      <c r="AC119" s="38" t="n">
        <v>43633</v>
      </c>
      <c r="AD119" s="38" t="n">
        <v>43608</v>
      </c>
      <c r="AE119" s="50" t="n">
        <v>45434</v>
      </c>
      <c r="AF119" s="28" t="n">
        <f aca="false">YEAR(AE119)</f>
        <v>2024</v>
      </c>
      <c r="AG119" s="63" t="n">
        <f aca="false">X119/SUMIF($Z$2:$Z$380,Z119,$X$2:$X$380)*(VLOOKUP(Z119,'затраты по департаментам-2 '!$A$2:$C$182,2,FALSE())+VLOOKUP(Z119,'затраты по департаментам-2 '!$A$2:$C$182,3,FALSE()))</f>
        <v>9202.3524258186</v>
      </c>
      <c r="AH119" s="63" t="n">
        <f aca="false">W119/60</f>
        <v>1895.91424561404</v>
      </c>
      <c r="AI119" s="64" t="s">
        <v>81</v>
      </c>
      <c r="AJ119" s="63" t="s">
        <v>82</v>
      </c>
      <c r="AK119" s="119" t="n">
        <v>5637</v>
      </c>
      <c r="AL119" s="43"/>
      <c r="AM119" s="78" t="s">
        <v>949</v>
      </c>
      <c r="AN119" s="43" t="s">
        <v>950</v>
      </c>
      <c r="AO119" s="65" t="n">
        <v>44523</v>
      </c>
      <c r="AP119" s="43"/>
      <c r="AQ119" s="66" t="s">
        <v>951</v>
      </c>
      <c r="AR119" s="64"/>
    </row>
    <row r="120" customFormat="false" ht="14.25" hidden="false" customHeight="false" outlineLevel="0" collapsed="false">
      <c r="A120" s="26" t="n">
        <v>119</v>
      </c>
      <c r="B120" s="43" t="s">
        <v>952</v>
      </c>
      <c r="C120" s="43" t="s">
        <v>165</v>
      </c>
      <c r="D120" s="28" t="s">
        <v>46</v>
      </c>
      <c r="E120" s="43" t="n">
        <v>6.7</v>
      </c>
      <c r="F120" s="43" t="n">
        <v>1.2</v>
      </c>
      <c r="G120" s="43" t="n">
        <v>108</v>
      </c>
      <c r="H120" s="43" t="n">
        <v>2019</v>
      </c>
      <c r="I120" s="43" t="s">
        <v>96</v>
      </c>
      <c r="J120" s="43" t="s">
        <v>74</v>
      </c>
      <c r="K120" s="95" t="s">
        <v>953</v>
      </c>
      <c r="L120" s="35"/>
      <c r="M120" s="31" t="s">
        <v>954</v>
      </c>
      <c r="N120" s="32" t="s">
        <v>227</v>
      </c>
      <c r="O120" s="28" t="s">
        <v>100</v>
      </c>
      <c r="P120" s="56" t="s">
        <v>298</v>
      </c>
      <c r="Q120" s="87" t="n">
        <v>1000</v>
      </c>
      <c r="R120" s="58" t="s">
        <v>189</v>
      </c>
      <c r="S120" s="69" t="n">
        <v>4173</v>
      </c>
      <c r="T120" s="35" t="s">
        <v>172</v>
      </c>
      <c r="U120" s="28" t="n">
        <v>421491.01</v>
      </c>
      <c r="V120" s="60" t="n">
        <v>27.790097</v>
      </c>
      <c r="W120" s="71" t="n">
        <f aca="false">2161342.24/19</f>
        <v>113754.854736842</v>
      </c>
      <c r="X120" s="112" t="n">
        <f aca="false">U120/V120</f>
        <v>15166.9499390376</v>
      </c>
      <c r="Y120" s="117" t="n">
        <f aca="false">223784.82/32/V120</f>
        <v>251.64631937053</v>
      </c>
      <c r="Z120" s="28" t="n">
        <v>4.22</v>
      </c>
      <c r="AA120" s="62" t="s">
        <v>80</v>
      </c>
      <c r="AB120" s="38" t="n">
        <v>43494</v>
      </c>
      <c r="AC120" s="38" t="n">
        <v>43633</v>
      </c>
      <c r="AD120" s="38" t="n">
        <v>43608</v>
      </c>
      <c r="AE120" s="50" t="n">
        <v>45434</v>
      </c>
      <c r="AF120" s="28" t="n">
        <f aca="false">YEAR(AE120)</f>
        <v>2024</v>
      </c>
      <c r="AG120" s="63" t="n">
        <f aca="false">X120/SUMIF($Z$2:$Z$380,Z120,$X$2:$X$380)*(VLOOKUP(Z120,'затраты по департаментам-2 '!$A$2:$C$182,2,FALSE())+VLOOKUP(Z120,'затраты по департаментам-2 '!$A$2:$C$182,3,FALSE()))</f>
        <v>9202.3524258186</v>
      </c>
      <c r="AH120" s="63" t="n">
        <f aca="false">W120/60</f>
        <v>1895.91424561404</v>
      </c>
      <c r="AI120" s="64" t="s">
        <v>81</v>
      </c>
      <c r="AJ120" s="63" t="s">
        <v>100</v>
      </c>
      <c r="AK120" s="119" t="n">
        <v>23164</v>
      </c>
      <c r="AL120" s="43"/>
      <c r="AM120" s="74" t="s">
        <v>955</v>
      </c>
      <c r="AN120" s="43" t="s">
        <v>956</v>
      </c>
      <c r="AO120" s="65" t="n">
        <v>44764</v>
      </c>
      <c r="AP120" s="43"/>
      <c r="AQ120" s="66" t="s">
        <v>957</v>
      </c>
      <c r="AR120" s="64"/>
    </row>
    <row r="121" customFormat="false" ht="14.25" hidden="false" customHeight="false" outlineLevel="0" collapsed="false">
      <c r="A121" s="26" t="n">
        <v>120</v>
      </c>
      <c r="B121" s="43" t="s">
        <v>958</v>
      </c>
      <c r="C121" s="43" t="s">
        <v>165</v>
      </c>
      <c r="D121" s="28" t="s">
        <v>46</v>
      </c>
      <c r="E121" s="43" t="n">
        <v>6.7</v>
      </c>
      <c r="F121" s="43" t="n">
        <v>1.2</v>
      </c>
      <c r="G121" s="43" t="n">
        <v>108</v>
      </c>
      <c r="H121" s="43" t="n">
        <v>2019</v>
      </c>
      <c r="I121" s="43" t="s">
        <v>96</v>
      </c>
      <c r="J121" s="43" t="s">
        <v>74</v>
      </c>
      <c r="K121" s="30" t="s">
        <v>959</v>
      </c>
      <c r="L121" s="69"/>
      <c r="M121" s="31" t="s">
        <v>960</v>
      </c>
      <c r="N121" s="84" t="s">
        <v>179</v>
      </c>
      <c r="O121" s="57" t="s">
        <v>961</v>
      </c>
      <c r="P121" s="56" t="s">
        <v>327</v>
      </c>
      <c r="Q121" s="87" t="n">
        <v>1000</v>
      </c>
      <c r="R121" s="58" t="s">
        <v>189</v>
      </c>
      <c r="S121" s="69" t="n">
        <v>4171</v>
      </c>
      <c r="T121" s="35" t="s">
        <v>172</v>
      </c>
      <c r="U121" s="28" t="n">
        <v>421491.01</v>
      </c>
      <c r="V121" s="60" t="n">
        <v>27.790097</v>
      </c>
      <c r="W121" s="71" t="n">
        <f aca="false">2161342.24/19</f>
        <v>113754.854736842</v>
      </c>
      <c r="X121" s="112" t="n">
        <f aca="false">U121/V121</f>
        <v>15166.9499390376</v>
      </c>
      <c r="Y121" s="117" t="n">
        <f aca="false">223784.82/32/V121</f>
        <v>251.64631937053</v>
      </c>
      <c r="Z121" s="28" t="n">
        <v>4.22</v>
      </c>
      <c r="AA121" s="62" t="s">
        <v>80</v>
      </c>
      <c r="AB121" s="38" t="n">
        <v>43494</v>
      </c>
      <c r="AC121" s="38" t="n">
        <v>43633</v>
      </c>
      <c r="AD121" s="38" t="n">
        <v>43608</v>
      </c>
      <c r="AE121" s="50" t="n">
        <v>45434</v>
      </c>
      <c r="AF121" s="28" t="n">
        <f aca="false">YEAR(AE121)</f>
        <v>2024</v>
      </c>
      <c r="AG121" s="63" t="n">
        <f aca="false">X121/SUMIF($Z$2:$Z$380,Z121,$X$2:$X$380)*(VLOOKUP(Z121,'затраты по департаментам-2 '!$A$2:$C$182,2,FALSE())+VLOOKUP(Z121,'затраты по департаментам-2 '!$A$2:$C$182,3,FALSE()))</f>
        <v>9202.3524258186</v>
      </c>
      <c r="AH121" s="63" t="n">
        <f aca="false">W121/60</f>
        <v>1895.91424561404</v>
      </c>
      <c r="AI121" s="64" t="s">
        <v>81</v>
      </c>
      <c r="AJ121" s="63" t="s">
        <v>52</v>
      </c>
      <c r="AK121" s="119" t="n">
        <v>76684</v>
      </c>
      <c r="AL121" s="81" t="s">
        <v>962</v>
      </c>
      <c r="AM121" s="78" t="s">
        <v>963</v>
      </c>
      <c r="AN121" s="43" t="s">
        <v>964</v>
      </c>
      <c r="AO121" s="65" t="n">
        <v>44449</v>
      </c>
      <c r="AP121" s="43"/>
      <c r="AQ121" s="66" t="s">
        <v>965</v>
      </c>
      <c r="AR121" s="64"/>
    </row>
    <row r="122" customFormat="false" ht="14.25" hidden="false" customHeight="false" outlineLevel="0" collapsed="false">
      <c r="A122" s="26" t="n">
        <v>121</v>
      </c>
      <c r="B122" s="43" t="s">
        <v>966</v>
      </c>
      <c r="C122" s="43" t="s">
        <v>165</v>
      </c>
      <c r="D122" s="28" t="s">
        <v>46</v>
      </c>
      <c r="E122" s="43" t="n">
        <v>6.7</v>
      </c>
      <c r="F122" s="43" t="n">
        <v>1.2</v>
      </c>
      <c r="G122" s="43" t="n">
        <v>108</v>
      </c>
      <c r="H122" s="43" t="n">
        <v>2019</v>
      </c>
      <c r="I122" s="43" t="s">
        <v>96</v>
      </c>
      <c r="J122" s="43" t="s">
        <v>74</v>
      </c>
      <c r="K122" s="30" t="s">
        <v>967</v>
      </c>
      <c r="L122" s="35"/>
      <c r="M122" s="31" t="s">
        <v>968</v>
      </c>
      <c r="N122" s="92" t="s">
        <v>179</v>
      </c>
      <c r="O122" s="28" t="s">
        <v>281</v>
      </c>
      <c r="P122" s="56" t="s">
        <v>143</v>
      </c>
      <c r="Q122" s="87" t="n">
        <v>7060</v>
      </c>
      <c r="R122" s="58" t="s">
        <v>171</v>
      </c>
      <c r="S122" s="69" t="n">
        <v>4136</v>
      </c>
      <c r="T122" s="35" t="s">
        <v>172</v>
      </c>
      <c r="U122" s="28" t="n">
        <v>421491.01</v>
      </c>
      <c r="V122" s="60" t="n">
        <v>27.790097</v>
      </c>
      <c r="W122" s="71" t="n">
        <f aca="false">2161342.24/19</f>
        <v>113754.854736842</v>
      </c>
      <c r="X122" s="112" t="n">
        <f aca="false">U122/V122</f>
        <v>15166.9499390376</v>
      </c>
      <c r="Y122" s="117" t="n">
        <f aca="false">223784.82/32/V122</f>
        <v>251.64631937053</v>
      </c>
      <c r="Z122" s="28" t="n">
        <v>4.22</v>
      </c>
      <c r="AA122" s="62" t="s">
        <v>80</v>
      </c>
      <c r="AB122" s="38" t="n">
        <v>43494</v>
      </c>
      <c r="AC122" s="38" t="n">
        <v>43633</v>
      </c>
      <c r="AD122" s="38" t="n">
        <v>43608</v>
      </c>
      <c r="AE122" s="50" t="n">
        <v>45434</v>
      </c>
      <c r="AF122" s="28" t="n">
        <f aca="false">YEAR(AE122)</f>
        <v>2024</v>
      </c>
      <c r="AG122" s="63" t="n">
        <f aca="false">X122/SUMIF($Z$2:$Z$380,Z122,$X$2:$X$380)*(VLOOKUP(Z122,'затраты по департаментам-2 '!$A$2:$C$182,2,FALSE())+VLOOKUP(Z122,'затраты по департаментам-2 '!$A$2:$C$182,3,FALSE()))</f>
        <v>9202.3524258186</v>
      </c>
      <c r="AH122" s="63" t="n">
        <f aca="false">W122/60</f>
        <v>1895.91424561404</v>
      </c>
      <c r="AI122" s="64" t="s">
        <v>81</v>
      </c>
      <c r="AJ122" s="63" t="s">
        <v>142</v>
      </c>
      <c r="AK122" s="119" t="n">
        <v>69075</v>
      </c>
      <c r="AL122" s="81" t="s">
        <v>969</v>
      </c>
      <c r="AM122" s="78" t="s">
        <v>970</v>
      </c>
      <c r="AN122" s="43" t="s">
        <v>971</v>
      </c>
      <c r="AO122" s="65" t="n">
        <v>44656</v>
      </c>
      <c r="AP122" s="43"/>
      <c r="AQ122" s="66" t="s">
        <v>972</v>
      </c>
      <c r="AR122" s="64"/>
    </row>
    <row r="123" customFormat="false" ht="14.25" hidden="false" customHeight="false" outlineLevel="0" collapsed="false">
      <c r="A123" s="26" t="n">
        <v>122</v>
      </c>
      <c r="B123" s="26" t="s">
        <v>973</v>
      </c>
      <c r="C123" s="26" t="s">
        <v>165</v>
      </c>
      <c r="D123" s="57" t="s">
        <v>46</v>
      </c>
      <c r="E123" s="26" t="n">
        <v>6.7</v>
      </c>
      <c r="F123" s="26" t="n">
        <v>1.2</v>
      </c>
      <c r="G123" s="43" t="n">
        <v>108</v>
      </c>
      <c r="H123" s="26" t="n">
        <v>2019</v>
      </c>
      <c r="I123" s="26" t="s">
        <v>96</v>
      </c>
      <c r="J123" s="26" t="s">
        <v>74</v>
      </c>
      <c r="K123" s="30" t="s">
        <v>974</v>
      </c>
      <c r="L123" s="69"/>
      <c r="M123" s="31" t="s">
        <v>975</v>
      </c>
      <c r="N123" s="32" t="s">
        <v>976</v>
      </c>
      <c r="O123" s="57" t="s">
        <v>100</v>
      </c>
      <c r="P123" s="48" t="s">
        <v>977</v>
      </c>
      <c r="Q123" s="57" t="n">
        <v>1000</v>
      </c>
      <c r="R123" s="139" t="s">
        <v>405</v>
      </c>
      <c r="S123" s="57" t="n">
        <v>3480</v>
      </c>
      <c r="T123" s="35" t="s">
        <v>172</v>
      </c>
      <c r="U123" s="57" t="n">
        <v>421491.01</v>
      </c>
      <c r="V123" s="140" t="n">
        <v>27.790097</v>
      </c>
      <c r="W123" s="71" t="n">
        <f aca="false">2161342.24/19</f>
        <v>113754.854736842</v>
      </c>
      <c r="X123" s="141" t="n">
        <f aca="false">U123/V123</f>
        <v>15166.9499390376</v>
      </c>
      <c r="Y123" s="142" t="n">
        <f aca="false">223784.82/32/V123</f>
        <v>251.64631937053</v>
      </c>
      <c r="Z123" s="57" t="n">
        <v>4.22</v>
      </c>
      <c r="AA123" s="62" t="s">
        <v>80</v>
      </c>
      <c r="AB123" s="143" t="n">
        <v>43494</v>
      </c>
      <c r="AC123" s="143" t="n">
        <v>43633</v>
      </c>
      <c r="AD123" s="143" t="n">
        <v>43608</v>
      </c>
      <c r="AE123" s="50" t="n">
        <v>45434</v>
      </c>
      <c r="AF123" s="28" t="n">
        <f aca="false">YEAR(AE123)</f>
        <v>2024</v>
      </c>
      <c r="AG123" s="63" t="n">
        <f aca="false">X123/SUMIF($Z$2:$Z$380,Z123,$X$2:$X$380)*(VLOOKUP(Z123,'затраты по департаментам-2 '!$A$2:$C$182,2,FALSE())+VLOOKUP(Z123,'затраты по департаментам-2 '!$A$2:$C$182,3,FALSE()))</f>
        <v>9202.3524258186</v>
      </c>
      <c r="AH123" s="63" t="n">
        <f aca="false">W123/60</f>
        <v>1895.91424561404</v>
      </c>
      <c r="AI123" s="64" t="s">
        <v>81</v>
      </c>
      <c r="AJ123" s="63" t="s">
        <v>100</v>
      </c>
      <c r="AK123" s="119" t="n">
        <v>41585</v>
      </c>
      <c r="AL123" s="26"/>
      <c r="AM123" s="74" t="s">
        <v>978</v>
      </c>
      <c r="AN123" s="26" t="s">
        <v>979</v>
      </c>
      <c r="AO123" s="65" t="n">
        <v>44799</v>
      </c>
      <c r="AP123" s="26"/>
      <c r="AQ123" s="66" t="s">
        <v>980</v>
      </c>
      <c r="AR123" s="64"/>
    </row>
    <row r="124" customFormat="false" ht="14.25" hidden="false" customHeight="false" outlineLevel="0" collapsed="false">
      <c r="A124" s="26" t="n">
        <v>123</v>
      </c>
      <c r="B124" s="43" t="s">
        <v>981</v>
      </c>
      <c r="C124" s="43" t="s">
        <v>165</v>
      </c>
      <c r="D124" s="28" t="s">
        <v>46</v>
      </c>
      <c r="E124" s="43" t="n">
        <v>6.7</v>
      </c>
      <c r="F124" s="43" t="n">
        <v>1.2</v>
      </c>
      <c r="G124" s="43" t="n">
        <v>108</v>
      </c>
      <c r="H124" s="43" t="n">
        <v>2019</v>
      </c>
      <c r="I124" s="43" t="s">
        <v>96</v>
      </c>
      <c r="J124" s="43" t="s">
        <v>74</v>
      </c>
      <c r="K124" s="30" t="s">
        <v>982</v>
      </c>
      <c r="L124" s="67"/>
      <c r="M124" s="31" t="s">
        <v>983</v>
      </c>
      <c r="N124" s="84" t="s">
        <v>179</v>
      </c>
      <c r="O124" s="28" t="s">
        <v>252</v>
      </c>
      <c r="P124" s="56" t="s">
        <v>143</v>
      </c>
      <c r="Q124" s="87" t="n">
        <v>7060</v>
      </c>
      <c r="R124" s="58" t="s">
        <v>171</v>
      </c>
      <c r="S124" s="69" t="n">
        <v>4136</v>
      </c>
      <c r="T124" s="35" t="s">
        <v>172</v>
      </c>
      <c r="U124" s="28" t="n">
        <v>421491.01</v>
      </c>
      <c r="V124" s="60" t="n">
        <v>27.790097</v>
      </c>
      <c r="W124" s="71" t="n">
        <f aca="false">2161342.24/19</f>
        <v>113754.854736842</v>
      </c>
      <c r="X124" s="112" t="n">
        <f aca="false">U124/V124</f>
        <v>15166.9499390376</v>
      </c>
      <c r="Y124" s="117" t="n">
        <f aca="false">223784.82/32/V124</f>
        <v>251.64631937053</v>
      </c>
      <c r="Z124" s="28" t="n">
        <v>4.22</v>
      </c>
      <c r="AA124" s="62" t="s">
        <v>80</v>
      </c>
      <c r="AB124" s="38" t="n">
        <v>43494</v>
      </c>
      <c r="AC124" s="38" t="n">
        <v>43633</v>
      </c>
      <c r="AD124" s="38" t="n">
        <v>43608</v>
      </c>
      <c r="AE124" s="50" t="n">
        <v>45434</v>
      </c>
      <c r="AF124" s="28" t="n">
        <f aca="false">YEAR(AE124)</f>
        <v>2024</v>
      </c>
      <c r="AG124" s="63" t="n">
        <f aca="false">X124/SUMIF($Z$2:$Z$380,Z124,$X$2:$X$380)*(VLOOKUP(Z124,'затраты по департаментам-2 '!$A$2:$C$182,2,FALSE())+VLOOKUP(Z124,'затраты по департаментам-2 '!$A$2:$C$182,3,FALSE()))</f>
        <v>9202.3524258186</v>
      </c>
      <c r="AH124" s="63" t="n">
        <f aca="false">W124/60</f>
        <v>1895.91424561404</v>
      </c>
      <c r="AI124" s="64" t="s">
        <v>81</v>
      </c>
      <c r="AJ124" s="63" t="s">
        <v>142</v>
      </c>
      <c r="AK124" s="119" t="n">
        <v>5553</v>
      </c>
      <c r="AL124" s="81" t="s">
        <v>984</v>
      </c>
      <c r="AM124" s="78" t="s">
        <v>985</v>
      </c>
      <c r="AN124" s="43" t="s">
        <v>986</v>
      </c>
      <c r="AO124" s="65" t="n">
        <v>44552</v>
      </c>
      <c r="AP124" s="43"/>
      <c r="AQ124" s="66" t="s">
        <v>987</v>
      </c>
      <c r="AR124" s="64"/>
    </row>
    <row r="125" customFormat="false" ht="14.25" hidden="false" customHeight="false" outlineLevel="0" collapsed="false">
      <c r="A125" s="26" t="n">
        <v>124</v>
      </c>
      <c r="B125" s="43" t="s">
        <v>988</v>
      </c>
      <c r="C125" s="43" t="s">
        <v>165</v>
      </c>
      <c r="D125" s="28" t="s">
        <v>46</v>
      </c>
      <c r="E125" s="43" t="n">
        <v>6.7</v>
      </c>
      <c r="F125" s="43" t="n">
        <v>1.2</v>
      </c>
      <c r="G125" s="43" t="n">
        <v>108</v>
      </c>
      <c r="H125" s="43" t="n">
        <v>2019</v>
      </c>
      <c r="I125" s="43" t="s">
        <v>96</v>
      </c>
      <c r="J125" s="43" t="s">
        <v>74</v>
      </c>
      <c r="K125" s="30" t="s">
        <v>989</v>
      </c>
      <c r="L125" s="35"/>
      <c r="M125" s="31" t="s">
        <v>990</v>
      </c>
      <c r="N125" s="84" t="s">
        <v>179</v>
      </c>
      <c r="O125" s="28" t="s">
        <v>991</v>
      </c>
      <c r="P125" s="28" t="s">
        <v>181</v>
      </c>
      <c r="Q125" s="87" t="n">
        <v>7080</v>
      </c>
      <c r="R125" s="58" t="s">
        <v>171</v>
      </c>
      <c r="S125" s="69" t="n">
        <v>4138</v>
      </c>
      <c r="T125" s="35" t="s">
        <v>172</v>
      </c>
      <c r="U125" s="28" t="n">
        <v>421491.01</v>
      </c>
      <c r="V125" s="60" t="n">
        <v>27.790097</v>
      </c>
      <c r="W125" s="71" t="n">
        <f aca="false">2161342.24/19</f>
        <v>113754.854736842</v>
      </c>
      <c r="X125" s="112" t="n">
        <f aca="false">U125/V125</f>
        <v>15166.9499390376</v>
      </c>
      <c r="Y125" s="117" t="n">
        <f aca="false">223784.82/32/V125</f>
        <v>251.64631937053</v>
      </c>
      <c r="Z125" s="28" t="n">
        <v>4.22</v>
      </c>
      <c r="AA125" s="62" t="s">
        <v>80</v>
      </c>
      <c r="AB125" s="38" t="n">
        <v>43494</v>
      </c>
      <c r="AC125" s="38" t="n">
        <v>43633</v>
      </c>
      <c r="AD125" s="38" t="n">
        <v>43608</v>
      </c>
      <c r="AE125" s="50" t="n">
        <v>45434</v>
      </c>
      <c r="AF125" s="28" t="n">
        <f aca="false">YEAR(AE125)</f>
        <v>2024</v>
      </c>
      <c r="AG125" s="63" t="n">
        <f aca="false">X125/SUMIF($Z$2:$Z$380,Z125,$X$2:$X$380)*(VLOOKUP(Z125,'затраты по департаментам-2 '!$A$2:$C$182,2,FALSE())+VLOOKUP(Z125,'затраты по департаментам-2 '!$A$2:$C$182,3,FALSE()))</f>
        <v>9202.3524258186</v>
      </c>
      <c r="AH125" s="63" t="n">
        <f aca="false">W125/60</f>
        <v>1895.91424561404</v>
      </c>
      <c r="AI125" s="64" t="s">
        <v>81</v>
      </c>
      <c r="AJ125" s="63" t="s">
        <v>82</v>
      </c>
      <c r="AK125" s="119" t="n">
        <v>68895</v>
      </c>
      <c r="AL125" s="43"/>
      <c r="AM125" s="78" t="s">
        <v>992</v>
      </c>
      <c r="AN125" s="43" t="s">
        <v>993</v>
      </c>
      <c r="AO125" s="65" t="n">
        <v>44468</v>
      </c>
      <c r="AP125" s="43"/>
      <c r="AQ125" s="66" t="s">
        <v>994</v>
      </c>
      <c r="AR125" s="64"/>
    </row>
    <row r="126" customFormat="false" ht="14.25" hidden="false" customHeight="false" outlineLevel="0" collapsed="false">
      <c r="A126" s="26" t="n">
        <v>125</v>
      </c>
      <c r="B126" s="43" t="s">
        <v>995</v>
      </c>
      <c r="C126" s="43" t="s">
        <v>165</v>
      </c>
      <c r="D126" s="28" t="s">
        <v>46</v>
      </c>
      <c r="E126" s="43" t="n">
        <v>6.7</v>
      </c>
      <c r="F126" s="43" t="n">
        <v>1.2</v>
      </c>
      <c r="G126" s="43" t="n">
        <v>108</v>
      </c>
      <c r="H126" s="43" t="n">
        <v>2019</v>
      </c>
      <c r="I126" s="43" t="s">
        <v>96</v>
      </c>
      <c r="J126" s="43" t="s">
        <v>74</v>
      </c>
      <c r="K126" s="86" t="s">
        <v>177</v>
      </c>
      <c r="L126" s="82"/>
      <c r="M126" s="31" t="s">
        <v>996</v>
      </c>
      <c r="N126" s="84" t="s">
        <v>179</v>
      </c>
      <c r="O126" s="28" t="s">
        <v>100</v>
      </c>
      <c r="P126" s="56" t="s">
        <v>181</v>
      </c>
      <c r="Q126" s="144" t="n">
        <v>7023</v>
      </c>
      <c r="R126" s="132" t="s">
        <v>171</v>
      </c>
      <c r="S126" s="69" t="n">
        <v>4133</v>
      </c>
      <c r="T126" s="35" t="s">
        <v>172</v>
      </c>
      <c r="U126" s="28" t="n">
        <v>421491.01</v>
      </c>
      <c r="V126" s="60" t="n">
        <v>27.790097</v>
      </c>
      <c r="W126" s="71" t="n">
        <f aca="false">2161342.24/19</f>
        <v>113754.854736842</v>
      </c>
      <c r="X126" s="112" t="n">
        <f aca="false">U126/V126</f>
        <v>15166.9499390376</v>
      </c>
      <c r="Y126" s="117" t="n">
        <f aca="false">223784.82/32/V126</f>
        <v>251.64631937053</v>
      </c>
      <c r="Z126" s="28" t="n">
        <v>4.22</v>
      </c>
      <c r="AA126" s="62" t="s">
        <v>80</v>
      </c>
      <c r="AB126" s="38" t="n">
        <v>43494</v>
      </c>
      <c r="AC126" s="38" t="n">
        <v>43633</v>
      </c>
      <c r="AD126" s="38" t="n">
        <v>43608</v>
      </c>
      <c r="AE126" s="50" t="n">
        <v>45434</v>
      </c>
      <c r="AF126" s="28" t="n">
        <f aca="false">YEAR(AE126)</f>
        <v>2024</v>
      </c>
      <c r="AG126" s="63" t="n">
        <f aca="false">X126/SUMIF($Z$2:$Z$380,Z126,$X$2:$X$380)*(VLOOKUP(Z126,'затраты по департаментам-2 '!$A$2:$C$182,2,FALSE())+VLOOKUP(Z126,'затраты по департаментам-2 '!$A$2:$C$182,3,FALSE()))</f>
        <v>9202.3524258186</v>
      </c>
      <c r="AH126" s="63" t="n">
        <f aca="false">W126/60</f>
        <v>1895.91424561404</v>
      </c>
      <c r="AI126" s="64"/>
      <c r="AJ126" s="63" t="s">
        <v>100</v>
      </c>
      <c r="AK126" s="119" t="n">
        <v>11946</v>
      </c>
      <c r="AL126" s="43"/>
      <c r="AM126" s="74" t="s">
        <v>997</v>
      </c>
      <c r="AN126" s="43" t="s">
        <v>998</v>
      </c>
      <c r="AO126" s="65" t="n">
        <v>44775</v>
      </c>
      <c r="AP126" s="43"/>
      <c r="AQ126" s="66" t="s">
        <v>999</v>
      </c>
      <c r="AR126" s="76" t="n">
        <v>44533</v>
      </c>
    </row>
    <row r="127" customFormat="false" ht="14.25" hidden="false" customHeight="false" outlineLevel="0" collapsed="false">
      <c r="A127" s="26" t="n">
        <v>126</v>
      </c>
      <c r="B127" s="43" t="s">
        <v>1000</v>
      </c>
      <c r="C127" s="43" t="s">
        <v>165</v>
      </c>
      <c r="D127" s="28" t="s">
        <v>46</v>
      </c>
      <c r="E127" s="43" t="n">
        <v>6.7</v>
      </c>
      <c r="F127" s="43" t="n">
        <v>1.2</v>
      </c>
      <c r="G127" s="43" t="n">
        <v>108</v>
      </c>
      <c r="H127" s="43" t="n">
        <v>2019</v>
      </c>
      <c r="I127" s="43" t="s">
        <v>96</v>
      </c>
      <c r="J127" s="43" t="s">
        <v>74</v>
      </c>
      <c r="K127" s="30" t="s">
        <v>1001</v>
      </c>
      <c r="M127" s="31" t="s">
        <v>1002</v>
      </c>
      <c r="N127" s="32" t="s">
        <v>236</v>
      </c>
      <c r="O127" s="28" t="s">
        <v>1003</v>
      </c>
      <c r="P127" s="56" t="s">
        <v>327</v>
      </c>
      <c r="Q127" s="87" t="n">
        <v>7014</v>
      </c>
      <c r="R127" s="58" t="s">
        <v>171</v>
      </c>
      <c r="S127" s="69" t="n">
        <v>4131</v>
      </c>
      <c r="T127" s="35" t="s">
        <v>172</v>
      </c>
      <c r="U127" s="28" t="n">
        <v>421491.01</v>
      </c>
      <c r="V127" s="60" t="n">
        <v>27.790097</v>
      </c>
      <c r="W127" s="71" t="n">
        <f aca="false">2161342.24/19</f>
        <v>113754.854736842</v>
      </c>
      <c r="X127" s="112" t="n">
        <f aca="false">U127/V127</f>
        <v>15166.9499390376</v>
      </c>
      <c r="Y127" s="117" t="n">
        <f aca="false">223784.82/32/V127</f>
        <v>251.64631937053</v>
      </c>
      <c r="Z127" s="28" t="n">
        <v>4.22</v>
      </c>
      <c r="AA127" s="62" t="s">
        <v>80</v>
      </c>
      <c r="AB127" s="38" t="n">
        <v>43494</v>
      </c>
      <c r="AC127" s="38" t="n">
        <v>43633</v>
      </c>
      <c r="AD127" s="38" t="n">
        <v>43608</v>
      </c>
      <c r="AE127" s="50" t="n">
        <v>45434</v>
      </c>
      <c r="AF127" s="28" t="n">
        <f aca="false">YEAR(AE127)</f>
        <v>2024</v>
      </c>
      <c r="AG127" s="63" t="n">
        <f aca="false">X127/SUMIF($Z$2:$Z$380,Z127,$X$2:$X$380)*(VLOOKUP(Z127,'затраты по департаментам-2 '!$A$2:$C$182,2,FALSE())+VLOOKUP(Z127,'затраты по департаментам-2 '!$A$2:$C$182,3,FALSE()))</f>
        <v>9202.3524258186</v>
      </c>
      <c r="AH127" s="63" t="n">
        <f aca="false">W127/60</f>
        <v>1895.91424561404</v>
      </c>
      <c r="AI127" s="64" t="s">
        <v>81</v>
      </c>
      <c r="AJ127" s="63" t="s">
        <v>52</v>
      </c>
      <c r="AK127" s="119" t="n">
        <v>11041</v>
      </c>
      <c r="AL127" s="81" t="s">
        <v>1004</v>
      </c>
      <c r="AM127" s="78" t="s">
        <v>1005</v>
      </c>
      <c r="AN127" s="43" t="s">
        <v>1006</v>
      </c>
      <c r="AO127" s="65" t="n">
        <v>44491</v>
      </c>
      <c r="AP127" s="43"/>
      <c r="AQ127" s="66" t="s">
        <v>1007</v>
      </c>
      <c r="AR127" s="64"/>
    </row>
    <row r="128" customFormat="false" ht="12.75" hidden="false" customHeight="true" outlineLevel="0" collapsed="false">
      <c r="A128" s="26" t="n">
        <v>127</v>
      </c>
      <c r="B128" s="43" t="s">
        <v>1008</v>
      </c>
      <c r="C128" s="43" t="s">
        <v>1009</v>
      </c>
      <c r="D128" s="28" t="s">
        <v>73</v>
      </c>
      <c r="E128" s="43" t="n">
        <v>10.2</v>
      </c>
      <c r="F128" s="43" t="n">
        <v>2</v>
      </c>
      <c r="G128" s="43" t="n">
        <v>185</v>
      </c>
      <c r="H128" s="43" t="n">
        <v>2019</v>
      </c>
      <c r="I128" s="43" t="s">
        <v>96</v>
      </c>
      <c r="J128" s="43" t="s">
        <v>74</v>
      </c>
      <c r="K128" s="30" t="s">
        <v>1010</v>
      </c>
      <c r="L128" s="59"/>
      <c r="M128" s="31" t="s">
        <v>1011</v>
      </c>
      <c r="N128" s="32" t="s">
        <v>1012</v>
      </c>
      <c r="O128" s="93" t="s">
        <v>100</v>
      </c>
      <c r="P128" s="56" t="s">
        <v>1013</v>
      </c>
      <c r="Q128" s="93" t="n">
        <v>1000</v>
      </c>
      <c r="R128" s="145" t="s">
        <v>1014</v>
      </c>
      <c r="S128" s="116" t="n">
        <v>5110</v>
      </c>
      <c r="T128" s="59" t="s">
        <v>1015</v>
      </c>
      <c r="U128" s="28" t="n">
        <v>1154118.17</v>
      </c>
      <c r="V128" s="60" t="n">
        <v>27.256311</v>
      </c>
      <c r="W128" s="71" t="n">
        <v>246925.11</v>
      </c>
      <c r="X128" s="112" t="n">
        <f aca="false">U128/V128</f>
        <v>42343.153847929</v>
      </c>
      <c r="Y128" s="117" t="n">
        <f aca="false">20031.78/V128</f>
        <v>734.940983025913</v>
      </c>
      <c r="Z128" s="146" t="s">
        <v>1016</v>
      </c>
      <c r="AA128" s="62" t="s">
        <v>80</v>
      </c>
      <c r="AB128" s="38" t="n">
        <v>43546</v>
      </c>
      <c r="AC128" s="38" t="n">
        <v>43646</v>
      </c>
      <c r="AD128" s="38" t="n">
        <v>43683</v>
      </c>
      <c r="AE128" s="50" t="n">
        <v>45509</v>
      </c>
      <c r="AF128" s="28" t="n">
        <f aca="false">YEAR(AE128)</f>
        <v>2024</v>
      </c>
      <c r="AG128" s="63" t="n">
        <f aca="false">X128/SUMIF($Z$2:$Z$380,Z128,$X$2:$X$380)*(VLOOKUP(Z128,'затраты по департаментам-2 '!$A$2:$C$182,2,FALSE())+VLOOKUP(Z128,'затраты по департаментам-2 '!$A$2:$C$182,3,FALSE()))</f>
        <v>26875.7628318814</v>
      </c>
      <c r="AH128" s="63" t="n">
        <f aca="false">W128/60</f>
        <v>4115.4185</v>
      </c>
      <c r="AI128" s="64" t="s">
        <v>81</v>
      </c>
      <c r="AJ128" s="63" t="s">
        <v>100</v>
      </c>
      <c r="AK128" s="106" t="n">
        <v>83968476</v>
      </c>
      <c r="AL128" s="43"/>
      <c r="AM128" s="74" t="s">
        <v>1017</v>
      </c>
      <c r="AN128" s="43" t="s">
        <v>1018</v>
      </c>
      <c r="AO128" s="65" t="n">
        <v>44761</v>
      </c>
      <c r="AP128" s="43"/>
      <c r="AQ128" s="66" t="s">
        <v>1019</v>
      </c>
      <c r="AR128" s="76" t="n">
        <v>44468</v>
      </c>
    </row>
    <row r="129" customFormat="false" ht="15" hidden="false" customHeight="false" outlineLevel="0" collapsed="false">
      <c r="A129" s="26" t="n">
        <v>128</v>
      </c>
      <c r="B129" s="125" t="s">
        <v>1020</v>
      </c>
      <c r="C129" s="43" t="s">
        <v>390</v>
      </c>
      <c r="D129" s="28" t="s">
        <v>73</v>
      </c>
      <c r="E129" s="43" t="n">
        <v>5.5</v>
      </c>
      <c r="F129" s="43" t="n">
        <v>1.6</v>
      </c>
      <c r="G129" s="26" t="n">
        <v>95</v>
      </c>
      <c r="H129" s="43" t="n">
        <v>2019</v>
      </c>
      <c r="I129" s="43" t="s">
        <v>96</v>
      </c>
      <c r="J129" s="43" t="s">
        <v>74</v>
      </c>
      <c r="K129" s="30" t="s">
        <v>1021</v>
      </c>
      <c r="L129" s="35"/>
      <c r="M129" s="31" t="s">
        <v>1022</v>
      </c>
      <c r="N129" s="32" t="s">
        <v>1023</v>
      </c>
      <c r="O129" s="28" t="s">
        <v>100</v>
      </c>
      <c r="P129" s="56" t="s">
        <v>181</v>
      </c>
      <c r="Q129" s="57" t="n">
        <v>1000</v>
      </c>
      <c r="R129" s="58" t="s">
        <v>122</v>
      </c>
      <c r="S129" s="69" t="n">
        <v>4193</v>
      </c>
      <c r="T129" s="35" t="s">
        <v>123</v>
      </c>
      <c r="U129" s="28" t="n">
        <v>536104.01</v>
      </c>
      <c r="V129" s="60" t="n">
        <v>26.687575</v>
      </c>
      <c r="W129" s="71" t="n">
        <f aca="false">704296.35/5</f>
        <v>140859.27</v>
      </c>
      <c r="X129" s="112" t="n">
        <f aca="false">U129/V129</f>
        <v>20088.1500098829</v>
      </c>
      <c r="Y129" s="117" t="n">
        <f aca="false">48333.6/5/V129</f>
        <v>362.21799845059</v>
      </c>
      <c r="Z129" s="146" t="n">
        <v>4.11</v>
      </c>
      <c r="AA129" s="62" t="s">
        <v>80</v>
      </c>
      <c r="AB129" s="38" t="n">
        <v>43573</v>
      </c>
      <c r="AC129" s="38" t="n">
        <v>43642</v>
      </c>
      <c r="AD129" s="38" t="n">
        <v>43637</v>
      </c>
      <c r="AE129" s="50" t="n">
        <v>45463</v>
      </c>
      <c r="AF129" s="28" t="n">
        <f aca="false">YEAR(AE129)</f>
        <v>2024</v>
      </c>
      <c r="AG129" s="63" t="n">
        <f aca="false">X129/SUMIF($Z$2:$Z$380,Z129,$X$2:$X$380)*(VLOOKUP(Z129,'затраты по департаментам-2 '!$A$2:$C$182,2,FALSE())+VLOOKUP(Z129,'затраты по департаментам-2 '!$A$2:$C$182,3,FALSE()))</f>
        <v>13245.8050981402</v>
      </c>
      <c r="AH129" s="63" t="n">
        <f aca="false">W129/60</f>
        <v>2347.6545</v>
      </c>
      <c r="AI129" s="64" t="s">
        <v>81</v>
      </c>
      <c r="AJ129" s="63" t="s">
        <v>100</v>
      </c>
      <c r="AK129" s="147" t="n">
        <v>475988</v>
      </c>
      <c r="AL129" s="43"/>
      <c r="AM129" s="74" t="s">
        <v>1024</v>
      </c>
      <c r="AN129" s="43" t="s">
        <v>1025</v>
      </c>
      <c r="AO129" s="65" t="n">
        <v>44831</v>
      </c>
      <c r="AP129" s="43"/>
      <c r="AQ129" s="66" t="s">
        <v>1026</v>
      </c>
      <c r="AR129" s="64"/>
    </row>
    <row r="130" customFormat="false" ht="15" hidden="false" customHeight="false" outlineLevel="0" collapsed="false">
      <c r="A130" s="26" t="n">
        <v>129</v>
      </c>
      <c r="B130" s="43" t="s">
        <v>1027</v>
      </c>
      <c r="C130" s="43" t="s">
        <v>390</v>
      </c>
      <c r="D130" s="28" t="s">
        <v>73</v>
      </c>
      <c r="E130" s="43" t="n">
        <v>5.5</v>
      </c>
      <c r="F130" s="43" t="n">
        <v>1.6</v>
      </c>
      <c r="G130" s="26" t="n">
        <v>95</v>
      </c>
      <c r="H130" s="43" t="n">
        <v>2019</v>
      </c>
      <c r="I130" s="43" t="s">
        <v>96</v>
      </c>
      <c r="J130" s="43" t="s">
        <v>74</v>
      </c>
      <c r="K130" s="30" t="s">
        <v>1028</v>
      </c>
      <c r="L130" s="69"/>
      <c r="M130" s="31" t="s">
        <v>1029</v>
      </c>
      <c r="N130" s="32" t="s">
        <v>913</v>
      </c>
      <c r="O130" s="57" t="s">
        <v>100</v>
      </c>
      <c r="P130" s="56" t="s">
        <v>1030</v>
      </c>
      <c r="Q130" s="57" t="n">
        <v>1000</v>
      </c>
      <c r="R130" s="58" t="s">
        <v>413</v>
      </c>
      <c r="S130" s="69" t="n">
        <v>4170</v>
      </c>
      <c r="T130" s="69" t="s">
        <v>123</v>
      </c>
      <c r="U130" s="28" t="n">
        <v>536104.01</v>
      </c>
      <c r="V130" s="60" t="n">
        <v>26.687575</v>
      </c>
      <c r="W130" s="71" t="n">
        <f aca="false">704296.35/5</f>
        <v>140859.27</v>
      </c>
      <c r="X130" s="112" t="n">
        <f aca="false">U130/V130</f>
        <v>20088.1500098829</v>
      </c>
      <c r="Y130" s="117" t="n">
        <f aca="false">48333.6/5/V130</f>
        <v>362.21799845059</v>
      </c>
      <c r="Z130" s="146" t="n">
        <v>4.11</v>
      </c>
      <c r="AA130" s="62" t="s">
        <v>80</v>
      </c>
      <c r="AB130" s="38" t="n">
        <v>43573</v>
      </c>
      <c r="AC130" s="38" t="n">
        <v>43642</v>
      </c>
      <c r="AD130" s="38" t="n">
        <v>43637</v>
      </c>
      <c r="AE130" s="50" t="n">
        <v>45463</v>
      </c>
      <c r="AF130" s="28" t="n">
        <f aca="false">YEAR(AE130)</f>
        <v>2024</v>
      </c>
      <c r="AG130" s="63" t="n">
        <f aca="false">X130/SUMIF($Z$2:$Z$380,Z130,$X$2:$X$380)*(VLOOKUP(Z130,'затраты по департаментам-2 '!$A$2:$C$182,2,FALSE())+VLOOKUP(Z130,'затраты по департаментам-2 '!$A$2:$C$182,3,FALSE()))</f>
        <v>13245.8050981402</v>
      </c>
      <c r="AH130" s="63" t="n">
        <f aca="false">W130/60</f>
        <v>2347.6545</v>
      </c>
      <c r="AI130" s="64" t="s">
        <v>81</v>
      </c>
      <c r="AJ130" s="63" t="s">
        <v>100</v>
      </c>
      <c r="AK130" s="147" t="n">
        <v>91241</v>
      </c>
      <c r="AL130" s="43"/>
      <c r="AM130" s="74" t="s">
        <v>1031</v>
      </c>
      <c r="AN130" s="43" t="s">
        <v>1032</v>
      </c>
      <c r="AO130" s="65" t="n">
        <v>44945</v>
      </c>
      <c r="AP130" s="43"/>
      <c r="AQ130" s="66" t="s">
        <v>1033</v>
      </c>
      <c r="AR130" s="76" t="n">
        <v>44707</v>
      </c>
    </row>
    <row r="131" customFormat="false" ht="15" hidden="false" customHeight="false" outlineLevel="0" collapsed="false">
      <c r="A131" s="26" t="n">
        <v>130</v>
      </c>
      <c r="B131" s="43" t="s">
        <v>1034</v>
      </c>
      <c r="C131" s="43" t="s">
        <v>390</v>
      </c>
      <c r="D131" s="28" t="s">
        <v>73</v>
      </c>
      <c r="E131" s="43" t="n">
        <v>5.5</v>
      </c>
      <c r="F131" s="43" t="n">
        <v>1.6</v>
      </c>
      <c r="G131" s="26" t="n">
        <v>95</v>
      </c>
      <c r="H131" s="43" t="n">
        <v>2019</v>
      </c>
      <c r="I131" s="43" t="s">
        <v>96</v>
      </c>
      <c r="J131" s="43" t="s">
        <v>74</v>
      </c>
      <c r="K131" s="30" t="s">
        <v>1035</v>
      </c>
      <c r="L131" s="35"/>
      <c r="M131" s="31" t="s">
        <v>1036</v>
      </c>
      <c r="N131" s="84" t="s">
        <v>1023</v>
      </c>
      <c r="O131" s="28" t="s">
        <v>52</v>
      </c>
      <c r="P131" s="56" t="s">
        <v>327</v>
      </c>
      <c r="Q131" s="57" t="n">
        <v>1000</v>
      </c>
      <c r="R131" s="58" t="s">
        <v>122</v>
      </c>
      <c r="S131" s="69" t="n">
        <v>4191</v>
      </c>
      <c r="T131" s="69" t="s">
        <v>123</v>
      </c>
      <c r="U131" s="28" t="n">
        <v>536104.01</v>
      </c>
      <c r="V131" s="60" t="n">
        <v>26.687575</v>
      </c>
      <c r="W131" s="71" t="n">
        <f aca="false">704296.35/5</f>
        <v>140859.27</v>
      </c>
      <c r="X131" s="112" t="n">
        <f aca="false">U131/V131</f>
        <v>20088.1500098829</v>
      </c>
      <c r="Y131" s="117" t="n">
        <f aca="false">48333.6/5/V131</f>
        <v>362.21799845059</v>
      </c>
      <c r="Z131" s="146" t="n">
        <v>4.11</v>
      </c>
      <c r="AA131" s="62" t="s">
        <v>80</v>
      </c>
      <c r="AB131" s="38" t="n">
        <v>43573</v>
      </c>
      <c r="AC131" s="38" t="n">
        <v>43642</v>
      </c>
      <c r="AD131" s="38" t="n">
        <v>43637</v>
      </c>
      <c r="AE131" s="50" t="n">
        <v>45463</v>
      </c>
      <c r="AF131" s="28" t="n">
        <f aca="false">YEAR(AE131)</f>
        <v>2024</v>
      </c>
      <c r="AG131" s="63" t="n">
        <f aca="false">X131/SUMIF($Z$2:$Z$380,Z131,$X$2:$X$380)*(VLOOKUP(Z131,'затраты по департаментам-2 '!$A$2:$C$182,2,FALSE())+VLOOKUP(Z131,'затраты по департаментам-2 '!$A$2:$C$182,3,FALSE()))</f>
        <v>13245.8050981402</v>
      </c>
      <c r="AH131" s="63" t="n">
        <f aca="false">W131/60</f>
        <v>2347.6545</v>
      </c>
      <c r="AI131" s="64" t="s">
        <v>81</v>
      </c>
      <c r="AJ131" s="63" t="s">
        <v>52</v>
      </c>
      <c r="AK131" s="147" t="n">
        <v>75962</v>
      </c>
      <c r="AL131" s="81" t="s">
        <v>1037</v>
      </c>
      <c r="AM131" s="74" t="s">
        <v>1038</v>
      </c>
      <c r="AN131" s="43" t="s">
        <v>1039</v>
      </c>
      <c r="AO131" s="65" t="n">
        <v>44775</v>
      </c>
      <c r="AP131" s="43"/>
      <c r="AQ131" s="66" t="s">
        <v>1040</v>
      </c>
      <c r="AR131" s="64"/>
    </row>
    <row r="132" customFormat="false" ht="15" hidden="false" customHeight="false" outlineLevel="0" collapsed="false">
      <c r="A132" s="26" t="n">
        <v>131</v>
      </c>
      <c r="B132" s="43" t="s">
        <v>1041</v>
      </c>
      <c r="C132" s="43" t="s">
        <v>390</v>
      </c>
      <c r="D132" s="28" t="s">
        <v>73</v>
      </c>
      <c r="E132" s="43" t="n">
        <v>5.5</v>
      </c>
      <c r="F132" s="43" t="n">
        <v>1.6</v>
      </c>
      <c r="G132" s="26" t="n">
        <v>95</v>
      </c>
      <c r="H132" s="43" t="n">
        <v>2019</v>
      </c>
      <c r="I132" s="43" t="s">
        <v>96</v>
      </c>
      <c r="J132" s="43" t="s">
        <v>74</v>
      </c>
      <c r="K132" s="30" t="s">
        <v>1042</v>
      </c>
      <c r="L132" s="28"/>
      <c r="M132" s="31" t="s">
        <v>1043</v>
      </c>
      <c r="N132" s="84" t="s">
        <v>1023</v>
      </c>
      <c r="O132" s="57" t="s">
        <v>142</v>
      </c>
      <c r="P132" s="56" t="s">
        <v>517</v>
      </c>
      <c r="Q132" s="57" t="n">
        <v>1000</v>
      </c>
      <c r="R132" s="58" t="s">
        <v>189</v>
      </c>
      <c r="S132" s="69" t="n">
        <v>4170</v>
      </c>
      <c r="T132" s="59" t="s">
        <v>123</v>
      </c>
      <c r="U132" s="28" t="n">
        <v>536104.01</v>
      </c>
      <c r="V132" s="60" t="n">
        <v>26.687575</v>
      </c>
      <c r="W132" s="71" t="n">
        <f aca="false">704296.35/5</f>
        <v>140859.27</v>
      </c>
      <c r="X132" s="112" t="n">
        <f aca="false">U132/V132</f>
        <v>20088.1500098829</v>
      </c>
      <c r="Y132" s="117" t="n">
        <f aca="false">48333.6/5/V132</f>
        <v>362.21799845059</v>
      </c>
      <c r="Z132" s="146" t="n">
        <v>4.11</v>
      </c>
      <c r="AA132" s="62" t="s">
        <v>80</v>
      </c>
      <c r="AB132" s="38" t="n">
        <v>43573</v>
      </c>
      <c r="AC132" s="38" t="n">
        <v>43642</v>
      </c>
      <c r="AD132" s="38" t="n">
        <v>43637</v>
      </c>
      <c r="AE132" s="50" t="n">
        <v>45463</v>
      </c>
      <c r="AF132" s="28" t="n">
        <f aca="false">YEAR(AE132)</f>
        <v>2024</v>
      </c>
      <c r="AG132" s="63" t="n">
        <f aca="false">X132/SUMIF($Z$2:$Z$380,Z132,$X$2:$X$380)*(VLOOKUP(Z132,'затраты по департаментам-2 '!$A$2:$C$182,2,FALSE())+VLOOKUP(Z132,'затраты по департаментам-2 '!$A$2:$C$182,3,FALSE()))</f>
        <v>13245.8050981402</v>
      </c>
      <c r="AH132" s="63" t="n">
        <f aca="false">W132/60</f>
        <v>2347.6545</v>
      </c>
      <c r="AI132" s="64" t="s">
        <v>81</v>
      </c>
      <c r="AJ132" s="63" t="s">
        <v>142</v>
      </c>
      <c r="AK132" s="147" t="n">
        <v>992677</v>
      </c>
      <c r="AL132" s="81" t="s">
        <v>1044</v>
      </c>
      <c r="AM132" s="78" t="s">
        <v>1045</v>
      </c>
      <c r="AN132" s="43" t="s">
        <v>1046</v>
      </c>
      <c r="AO132" s="65" t="n">
        <v>44540</v>
      </c>
      <c r="AP132" s="43"/>
      <c r="AQ132" s="66" t="s">
        <v>1047</v>
      </c>
      <c r="AR132" s="64"/>
    </row>
    <row r="133" customFormat="false" ht="15" hidden="false" customHeight="false" outlineLevel="0" collapsed="false">
      <c r="A133" s="26" t="n">
        <v>132</v>
      </c>
      <c r="B133" s="43" t="s">
        <v>1048</v>
      </c>
      <c r="C133" s="43" t="s">
        <v>390</v>
      </c>
      <c r="D133" s="28" t="s">
        <v>73</v>
      </c>
      <c r="E133" s="43" t="n">
        <v>5.5</v>
      </c>
      <c r="F133" s="43" t="n">
        <v>1.6</v>
      </c>
      <c r="G133" s="26" t="n">
        <v>95</v>
      </c>
      <c r="H133" s="43" t="n">
        <v>2019</v>
      </c>
      <c r="I133" s="43" t="s">
        <v>96</v>
      </c>
      <c r="J133" s="43" t="s">
        <v>74</v>
      </c>
      <c r="K133" s="86" t="s">
        <v>1049</v>
      </c>
      <c r="L133" s="35"/>
      <c r="M133" s="31" t="s">
        <v>1050</v>
      </c>
      <c r="N133" s="84" t="s">
        <v>412</v>
      </c>
      <c r="O133" s="57" t="s">
        <v>100</v>
      </c>
      <c r="P133" s="56" t="s">
        <v>228</v>
      </c>
      <c r="Q133" s="57" t="n">
        <v>1000</v>
      </c>
      <c r="R133" s="58" t="s">
        <v>189</v>
      </c>
      <c r="S133" s="69" t="n">
        <v>4174</v>
      </c>
      <c r="T133" s="116" t="s">
        <v>123</v>
      </c>
      <c r="U133" s="28" t="n">
        <v>536104.01</v>
      </c>
      <c r="V133" s="60" t="n">
        <v>26.687575</v>
      </c>
      <c r="W133" s="71" t="n">
        <f aca="false">704296.35/5</f>
        <v>140859.27</v>
      </c>
      <c r="X133" s="112" t="n">
        <f aca="false">U133/V133</f>
        <v>20088.1500098829</v>
      </c>
      <c r="Y133" s="117" t="n">
        <f aca="false">48333.6/5/V133</f>
        <v>362.21799845059</v>
      </c>
      <c r="Z133" s="146" t="n">
        <v>4.11</v>
      </c>
      <c r="AA133" s="62" t="s">
        <v>80</v>
      </c>
      <c r="AB133" s="38" t="n">
        <v>43573</v>
      </c>
      <c r="AC133" s="38" t="n">
        <v>43642</v>
      </c>
      <c r="AD133" s="38" t="n">
        <v>43637</v>
      </c>
      <c r="AE133" s="50" t="n">
        <v>45463</v>
      </c>
      <c r="AF133" s="28" t="n">
        <f aca="false">YEAR(AE133)</f>
        <v>2024</v>
      </c>
      <c r="AG133" s="63" t="n">
        <f aca="false">X133/SUMIF($Z$2:$Z$380,Z133,$X$2:$X$380)*(VLOOKUP(Z133,'затраты по департаментам-2 '!$A$2:$C$182,2,FALSE())+VLOOKUP(Z133,'затраты по департаментам-2 '!$A$2:$C$182,3,FALSE()))</f>
        <v>13245.8050981402</v>
      </c>
      <c r="AH133" s="63" t="n">
        <f aca="false">W133/60</f>
        <v>2347.6545</v>
      </c>
      <c r="AI133" s="64" t="s">
        <v>81</v>
      </c>
      <c r="AJ133" s="63" t="s">
        <v>197</v>
      </c>
      <c r="AK133" s="147" t="n">
        <v>491506</v>
      </c>
      <c r="AL133" s="81" t="s">
        <v>1051</v>
      </c>
      <c r="AM133" s="74" t="s">
        <v>1052</v>
      </c>
      <c r="AN133" s="43" t="s">
        <v>1053</v>
      </c>
      <c r="AO133" s="65" t="n">
        <v>44889</v>
      </c>
      <c r="AP133" s="43"/>
      <c r="AQ133" s="66" t="s">
        <v>1054</v>
      </c>
      <c r="AR133" s="64"/>
    </row>
    <row r="134" customFormat="false" ht="14.25" hidden="false" customHeight="false" outlineLevel="0" collapsed="false">
      <c r="A134" s="26" t="n">
        <v>133</v>
      </c>
      <c r="B134" s="43" t="s">
        <v>1055</v>
      </c>
      <c r="C134" s="43" t="s">
        <v>165</v>
      </c>
      <c r="D134" s="28" t="s">
        <v>46</v>
      </c>
      <c r="E134" s="43" t="n">
        <v>6.7</v>
      </c>
      <c r="F134" s="43" t="n">
        <v>1.2</v>
      </c>
      <c r="G134" s="43" t="n">
        <v>108</v>
      </c>
      <c r="H134" s="43" t="n">
        <v>2019</v>
      </c>
      <c r="I134" s="43" t="s">
        <v>96</v>
      </c>
      <c r="J134" s="43" t="s">
        <v>74</v>
      </c>
      <c r="K134" s="30" t="s">
        <v>1056</v>
      </c>
      <c r="L134" s="28"/>
      <c r="M134" s="31" t="s">
        <v>1057</v>
      </c>
      <c r="N134" s="84" t="s">
        <v>179</v>
      </c>
      <c r="O134" s="28" t="s">
        <v>1003</v>
      </c>
      <c r="P134" s="56" t="s">
        <v>327</v>
      </c>
      <c r="Q134" s="57" t="n">
        <v>7014</v>
      </c>
      <c r="R134" s="89" t="s">
        <v>171</v>
      </c>
      <c r="S134" s="69" t="n">
        <v>4131</v>
      </c>
      <c r="T134" s="35" t="s">
        <v>172</v>
      </c>
      <c r="U134" s="28" t="n">
        <v>421491.01</v>
      </c>
      <c r="V134" s="60" t="n">
        <v>27.790097</v>
      </c>
      <c r="W134" s="71" t="n">
        <f aca="false">3194648.08/28</f>
        <v>114094.574285714</v>
      </c>
      <c r="X134" s="112" t="n">
        <f aca="false">U134/V134</f>
        <v>15166.9499390376</v>
      </c>
      <c r="Y134" s="117" t="n">
        <f aca="false">223784.82/32/V134</f>
        <v>251.64631937053</v>
      </c>
      <c r="Z134" s="28" t="n">
        <v>4.23</v>
      </c>
      <c r="AA134" s="62" t="s">
        <v>80</v>
      </c>
      <c r="AB134" s="38" t="n">
        <v>43494</v>
      </c>
      <c r="AC134" s="38" t="n">
        <v>43670</v>
      </c>
      <c r="AD134" s="38" t="n">
        <v>43668</v>
      </c>
      <c r="AE134" s="50" t="n">
        <v>45494</v>
      </c>
      <c r="AF134" s="28" t="n">
        <f aca="false">YEAR(AE134)</f>
        <v>2024</v>
      </c>
      <c r="AG134" s="63" t="n">
        <f aca="false">X134/SUMIF($Z$2:$Z$380,Z134,$X$2:$X$380)*(VLOOKUP(Z134,'затраты по департаментам-2 '!$A$2:$C$182,2,FALSE())+VLOOKUP(Z134,'затраты по департаментам-2 '!$A$2:$C$182,3,FALSE()))</f>
        <v>9202.35183218582</v>
      </c>
      <c r="AH134" s="63" t="n">
        <f aca="false">W134/60</f>
        <v>1901.57623809524</v>
      </c>
      <c r="AI134" s="64" t="s">
        <v>81</v>
      </c>
      <c r="AJ134" s="63" t="s">
        <v>52</v>
      </c>
      <c r="AK134" s="119" t="n">
        <v>55917</v>
      </c>
      <c r="AL134" s="81" t="s">
        <v>1058</v>
      </c>
      <c r="AM134" s="78" t="s">
        <v>1059</v>
      </c>
      <c r="AN134" s="43" t="s">
        <v>1060</v>
      </c>
      <c r="AO134" s="65" t="n">
        <v>44491</v>
      </c>
      <c r="AP134" s="43"/>
      <c r="AQ134" s="66" t="s">
        <v>1061</v>
      </c>
      <c r="AR134" s="64"/>
    </row>
    <row r="135" customFormat="false" ht="12.75" hidden="false" customHeight="false" outlineLevel="0" collapsed="false">
      <c r="A135" s="26" t="n">
        <v>134</v>
      </c>
      <c r="B135" s="44" t="s">
        <v>1062</v>
      </c>
      <c r="C135" s="43" t="s">
        <v>165</v>
      </c>
      <c r="D135" s="28" t="s">
        <v>46</v>
      </c>
      <c r="E135" s="43" t="n">
        <v>6.7</v>
      </c>
      <c r="F135" s="43" t="n">
        <v>1.2</v>
      </c>
      <c r="G135" s="43" t="n">
        <v>108</v>
      </c>
      <c r="H135" s="43" t="n">
        <v>2019</v>
      </c>
      <c r="I135" s="43" t="s">
        <v>96</v>
      </c>
      <c r="J135" s="43" t="s">
        <v>74</v>
      </c>
      <c r="K135" s="30" t="s">
        <v>1063</v>
      </c>
      <c r="L135" s="28"/>
      <c r="M135" s="31" t="s">
        <v>1064</v>
      </c>
      <c r="N135" s="130" t="s">
        <v>227</v>
      </c>
      <c r="O135" s="57" t="s">
        <v>218</v>
      </c>
      <c r="P135" s="48" t="s">
        <v>228</v>
      </c>
      <c r="Q135" s="57" t="n">
        <v>1000</v>
      </c>
      <c r="R135" s="58" t="s">
        <v>351</v>
      </c>
      <c r="S135" s="69" t="n">
        <v>4171</v>
      </c>
      <c r="T135" s="35" t="s">
        <v>172</v>
      </c>
      <c r="U135" s="28" t="n">
        <v>421491.01</v>
      </c>
      <c r="V135" s="60" t="n">
        <v>27.790097</v>
      </c>
      <c r="W135" s="71" t="n">
        <f aca="false">3194648.08/28</f>
        <v>114094.574285714</v>
      </c>
      <c r="X135" s="112" t="n">
        <f aca="false">U135/V135</f>
        <v>15166.9499390376</v>
      </c>
      <c r="Y135" s="117" t="n">
        <f aca="false">223784.82/32/V135</f>
        <v>251.64631937053</v>
      </c>
      <c r="Z135" s="28" t="n">
        <v>4.23</v>
      </c>
      <c r="AA135" s="62" t="s">
        <v>80</v>
      </c>
      <c r="AB135" s="38" t="n">
        <v>43494</v>
      </c>
      <c r="AC135" s="38" t="n">
        <v>43670</v>
      </c>
      <c r="AD135" s="38" t="n">
        <v>43668</v>
      </c>
      <c r="AE135" s="50" t="n">
        <v>45494</v>
      </c>
      <c r="AF135" s="28" t="n">
        <f aca="false">YEAR(AE135)</f>
        <v>2024</v>
      </c>
      <c r="AG135" s="63" t="n">
        <f aca="false">X135/SUMIF($Z$2:$Z$380,Z135,$X$2:$X$380)*(VLOOKUP(Z135,'затраты по департаментам-2 '!$A$2:$C$182,2,FALSE())+VLOOKUP(Z135,'затраты по департаментам-2 '!$A$2:$C$182,3,FALSE()))</f>
        <v>9202.35183218582</v>
      </c>
      <c r="AH135" s="63" t="n">
        <f aca="false">W135/60</f>
        <v>1901.57623809524</v>
      </c>
      <c r="AI135" s="64" t="s">
        <v>81</v>
      </c>
      <c r="AJ135" s="63" t="s">
        <v>52</v>
      </c>
      <c r="AK135" s="119" t="n">
        <v>81475</v>
      </c>
      <c r="AL135" s="81" t="s">
        <v>1065</v>
      </c>
      <c r="AM135" s="78" t="s">
        <v>1066</v>
      </c>
      <c r="AN135" s="43" t="s">
        <v>1067</v>
      </c>
      <c r="AO135" s="65" t="n">
        <v>44449</v>
      </c>
      <c r="AP135" s="43"/>
      <c r="AQ135" s="66" t="s">
        <v>1068</v>
      </c>
      <c r="AR135" s="64"/>
    </row>
    <row r="136" customFormat="false" ht="14.25" hidden="false" customHeight="false" outlineLevel="0" collapsed="false">
      <c r="A136" s="26" t="n">
        <v>135</v>
      </c>
      <c r="B136" s="43" t="s">
        <v>1069</v>
      </c>
      <c r="C136" s="43" t="s">
        <v>165</v>
      </c>
      <c r="D136" s="28" t="s">
        <v>46</v>
      </c>
      <c r="E136" s="43" t="n">
        <v>6.7</v>
      </c>
      <c r="F136" s="43" t="n">
        <v>1.2</v>
      </c>
      <c r="G136" s="43" t="n">
        <v>108</v>
      </c>
      <c r="H136" s="43" t="n">
        <v>2019</v>
      </c>
      <c r="I136" s="43" t="s">
        <v>96</v>
      </c>
      <c r="J136" s="43" t="s">
        <v>74</v>
      </c>
      <c r="K136" s="30" t="s">
        <v>1070</v>
      </c>
      <c r="L136" s="35"/>
      <c r="M136" s="31" t="s">
        <v>1071</v>
      </c>
      <c r="N136" s="97" t="s">
        <v>227</v>
      </c>
      <c r="O136" s="28" t="s">
        <v>100</v>
      </c>
      <c r="P136" s="28" t="s">
        <v>228</v>
      </c>
      <c r="Q136" s="57" t="n">
        <v>1000</v>
      </c>
      <c r="R136" s="97" t="s">
        <v>351</v>
      </c>
      <c r="S136" s="69" t="n">
        <v>4173</v>
      </c>
      <c r="T136" s="35" t="s">
        <v>172</v>
      </c>
      <c r="U136" s="28" t="n">
        <v>421491.01</v>
      </c>
      <c r="V136" s="60" t="n">
        <v>27.790097</v>
      </c>
      <c r="W136" s="71" t="n">
        <f aca="false">3194648.08/28</f>
        <v>114094.574285714</v>
      </c>
      <c r="X136" s="112" t="n">
        <f aca="false">U136/V136</f>
        <v>15166.9499390376</v>
      </c>
      <c r="Y136" s="117" t="n">
        <f aca="false">223784.82/32/V136</f>
        <v>251.64631937053</v>
      </c>
      <c r="Z136" s="28" t="n">
        <v>4.23</v>
      </c>
      <c r="AA136" s="62" t="s">
        <v>80</v>
      </c>
      <c r="AB136" s="38" t="n">
        <v>43494</v>
      </c>
      <c r="AC136" s="38" t="n">
        <v>43670</v>
      </c>
      <c r="AD136" s="38" t="n">
        <v>43668</v>
      </c>
      <c r="AE136" s="50" t="n">
        <v>45494</v>
      </c>
      <c r="AF136" s="28" t="n">
        <f aca="false">YEAR(AE136)</f>
        <v>2024</v>
      </c>
      <c r="AG136" s="63" t="n">
        <f aca="false">X136/SUMIF($Z$2:$Z$380,Z136,$X$2:$X$380)*(VLOOKUP(Z136,'затраты по департаментам-2 '!$A$2:$C$182,2,FALSE())+VLOOKUP(Z136,'затраты по департаментам-2 '!$A$2:$C$182,3,FALSE()))</f>
        <v>9202.35183218582</v>
      </c>
      <c r="AH136" s="63" t="n">
        <f aca="false">W136/60</f>
        <v>1901.57623809524</v>
      </c>
      <c r="AI136" s="64" t="s">
        <v>81</v>
      </c>
      <c r="AJ136" s="63" t="s">
        <v>100</v>
      </c>
      <c r="AK136" s="119" t="n">
        <v>56022</v>
      </c>
      <c r="AL136" s="43"/>
      <c r="AM136" s="74" t="s">
        <v>1072</v>
      </c>
      <c r="AN136" s="43" t="s">
        <v>1073</v>
      </c>
      <c r="AO136" s="65" t="n">
        <v>44793</v>
      </c>
      <c r="AP136" s="43"/>
      <c r="AQ136" s="66" t="s">
        <v>1074</v>
      </c>
      <c r="AR136" s="64"/>
    </row>
    <row r="137" customFormat="false" ht="14.25" hidden="false" customHeight="false" outlineLevel="0" collapsed="false">
      <c r="A137" s="26" t="n">
        <v>136</v>
      </c>
      <c r="B137" s="43" t="s">
        <v>1075</v>
      </c>
      <c r="C137" s="43" t="s">
        <v>165</v>
      </c>
      <c r="D137" s="28" t="s">
        <v>46</v>
      </c>
      <c r="E137" s="43" t="n">
        <v>6.7</v>
      </c>
      <c r="F137" s="43" t="n">
        <v>1.2</v>
      </c>
      <c r="G137" s="43" t="n">
        <v>108</v>
      </c>
      <c r="H137" s="43" t="n">
        <v>2019</v>
      </c>
      <c r="I137" s="43" t="s">
        <v>96</v>
      </c>
      <c r="J137" s="43" t="s">
        <v>74</v>
      </c>
      <c r="K137" s="30" t="s">
        <v>1076</v>
      </c>
      <c r="L137" s="35"/>
      <c r="M137" s="31" t="s">
        <v>1077</v>
      </c>
      <c r="N137" s="32" t="s">
        <v>179</v>
      </c>
      <c r="O137" s="28" t="s">
        <v>100</v>
      </c>
      <c r="P137" s="56" t="s">
        <v>181</v>
      </c>
      <c r="Q137" s="57" t="n">
        <v>7030</v>
      </c>
      <c r="R137" s="58" t="s">
        <v>171</v>
      </c>
      <c r="S137" s="69" t="n">
        <v>4133</v>
      </c>
      <c r="T137" s="35" t="s">
        <v>172</v>
      </c>
      <c r="U137" s="28" t="n">
        <v>421491.01</v>
      </c>
      <c r="V137" s="60" t="n">
        <v>27.790097</v>
      </c>
      <c r="W137" s="71" t="n">
        <f aca="false">3194648.08/28</f>
        <v>114094.574285714</v>
      </c>
      <c r="X137" s="112" t="n">
        <f aca="false">U137/V137</f>
        <v>15166.9499390376</v>
      </c>
      <c r="Y137" s="117" t="n">
        <f aca="false">223784.82/32/V137</f>
        <v>251.64631937053</v>
      </c>
      <c r="Z137" s="28" t="n">
        <v>4.23</v>
      </c>
      <c r="AA137" s="62" t="s">
        <v>80</v>
      </c>
      <c r="AB137" s="38" t="n">
        <v>43494</v>
      </c>
      <c r="AC137" s="38" t="n">
        <v>43670</v>
      </c>
      <c r="AD137" s="38" t="n">
        <v>43668</v>
      </c>
      <c r="AE137" s="50" t="n">
        <v>45494</v>
      </c>
      <c r="AF137" s="28" t="n">
        <f aca="false">YEAR(AE137)</f>
        <v>2024</v>
      </c>
      <c r="AG137" s="63" t="n">
        <f aca="false">X137/SUMIF($Z$2:$Z$380,Z137,$X$2:$X$380)*(VLOOKUP(Z137,'затраты по департаментам-2 '!$A$2:$C$182,2,FALSE())+VLOOKUP(Z137,'затраты по департаментам-2 '!$A$2:$C$182,3,FALSE()))</f>
        <v>9202.35183218582</v>
      </c>
      <c r="AH137" s="63" t="n">
        <f aca="false">W137/60</f>
        <v>1901.57623809524</v>
      </c>
      <c r="AI137" s="64" t="s">
        <v>81</v>
      </c>
      <c r="AJ137" s="63" t="s">
        <v>100</v>
      </c>
      <c r="AK137" s="119" t="n">
        <v>60495</v>
      </c>
      <c r="AL137" s="43"/>
      <c r="AM137" s="74" t="s">
        <v>1078</v>
      </c>
      <c r="AN137" s="43" t="s">
        <v>1079</v>
      </c>
      <c r="AO137" s="65" t="n">
        <v>44775</v>
      </c>
      <c r="AP137" s="43"/>
      <c r="AQ137" s="64" t="s">
        <v>1080</v>
      </c>
      <c r="AR137" s="76" t="n">
        <v>44449</v>
      </c>
    </row>
    <row r="138" customFormat="false" ht="14.25" hidden="false" customHeight="false" outlineLevel="0" collapsed="false">
      <c r="A138" s="26" t="n">
        <v>137</v>
      </c>
      <c r="B138" s="43" t="s">
        <v>1081</v>
      </c>
      <c r="C138" s="43" t="s">
        <v>165</v>
      </c>
      <c r="D138" s="28" t="s">
        <v>46</v>
      </c>
      <c r="E138" s="43" t="n">
        <v>6.7</v>
      </c>
      <c r="F138" s="43" t="n">
        <v>1.2</v>
      </c>
      <c r="G138" s="43" t="n">
        <v>108</v>
      </c>
      <c r="H138" s="43" t="n">
        <v>2019</v>
      </c>
      <c r="I138" s="43" t="s">
        <v>96</v>
      </c>
      <c r="J138" s="43" t="s">
        <v>74</v>
      </c>
      <c r="K138" s="30" t="s">
        <v>1082</v>
      </c>
      <c r="L138" s="28"/>
      <c r="M138" s="31" t="s">
        <v>1083</v>
      </c>
      <c r="N138" s="32" t="s">
        <v>179</v>
      </c>
      <c r="O138" s="57" t="s">
        <v>681</v>
      </c>
      <c r="P138" s="56" t="s">
        <v>181</v>
      </c>
      <c r="Q138" s="87" t="n">
        <v>7031</v>
      </c>
      <c r="R138" s="58" t="s">
        <v>171</v>
      </c>
      <c r="S138" s="69" t="n">
        <v>4133</v>
      </c>
      <c r="T138" s="35" t="s">
        <v>172</v>
      </c>
      <c r="U138" s="28" t="n">
        <v>421491.01</v>
      </c>
      <c r="V138" s="60" t="n">
        <v>27.790097</v>
      </c>
      <c r="W138" s="71" t="n">
        <f aca="false">3194648.08/28</f>
        <v>114094.574285714</v>
      </c>
      <c r="X138" s="112" t="n">
        <f aca="false">U138/V138</f>
        <v>15166.9499390376</v>
      </c>
      <c r="Y138" s="117" t="n">
        <f aca="false">223784.82/32/V138</f>
        <v>251.64631937053</v>
      </c>
      <c r="Z138" s="28" t="n">
        <v>4.23</v>
      </c>
      <c r="AA138" s="62" t="s">
        <v>80</v>
      </c>
      <c r="AB138" s="38" t="n">
        <v>43494</v>
      </c>
      <c r="AC138" s="38" t="n">
        <v>43670</v>
      </c>
      <c r="AD138" s="38" t="n">
        <v>43668</v>
      </c>
      <c r="AE138" s="50" t="n">
        <v>45494</v>
      </c>
      <c r="AF138" s="28" t="n">
        <f aca="false">YEAR(AE138)</f>
        <v>2024</v>
      </c>
      <c r="AG138" s="63" t="n">
        <f aca="false">X138/SUMIF($Z$2:$Z$380,Z138,$X$2:$X$380)*(VLOOKUP(Z138,'затраты по департаментам-2 '!$A$2:$C$182,2,FALSE())+VLOOKUP(Z138,'затраты по департаментам-2 '!$A$2:$C$182,3,FALSE()))</f>
        <v>9202.35183218582</v>
      </c>
      <c r="AH138" s="63" t="n">
        <f aca="false">W138/60</f>
        <v>1901.57623809524</v>
      </c>
      <c r="AI138" s="64" t="s">
        <v>81</v>
      </c>
      <c r="AJ138" s="63" t="s">
        <v>100</v>
      </c>
      <c r="AK138" s="119" t="n">
        <v>91860</v>
      </c>
      <c r="AL138" s="43"/>
      <c r="AM138" s="78" t="s">
        <v>1084</v>
      </c>
      <c r="AN138" s="43" t="s">
        <v>1085</v>
      </c>
      <c r="AO138" s="65" t="n">
        <v>44967</v>
      </c>
      <c r="AP138" s="43"/>
      <c r="AQ138" s="64" t="s">
        <v>1086</v>
      </c>
      <c r="AR138" s="64"/>
    </row>
    <row r="139" customFormat="false" ht="14.25" hidden="false" customHeight="false" outlineLevel="0" collapsed="false">
      <c r="A139" s="26" t="n">
        <v>138</v>
      </c>
      <c r="B139" s="43" t="s">
        <v>1087</v>
      </c>
      <c r="C139" s="43" t="s">
        <v>165</v>
      </c>
      <c r="D139" s="28" t="s">
        <v>46</v>
      </c>
      <c r="E139" s="43" t="n">
        <v>6.7</v>
      </c>
      <c r="F139" s="43" t="n">
        <v>1.2</v>
      </c>
      <c r="G139" s="43" t="n">
        <v>108</v>
      </c>
      <c r="H139" s="43" t="n">
        <v>2019</v>
      </c>
      <c r="I139" s="43" t="s">
        <v>96</v>
      </c>
      <c r="J139" s="43" t="s">
        <v>74</v>
      </c>
      <c r="K139" s="30" t="s">
        <v>1088</v>
      </c>
      <c r="L139" s="35"/>
      <c r="M139" s="31" t="s">
        <v>1089</v>
      </c>
      <c r="N139" s="32" t="s">
        <v>1090</v>
      </c>
      <c r="O139" s="57" t="s">
        <v>681</v>
      </c>
      <c r="P139" s="56" t="s">
        <v>181</v>
      </c>
      <c r="Q139" s="87" t="n">
        <v>7031</v>
      </c>
      <c r="R139" s="58" t="s">
        <v>171</v>
      </c>
      <c r="S139" s="69" t="n">
        <v>4133</v>
      </c>
      <c r="T139" s="35" t="s">
        <v>172</v>
      </c>
      <c r="U139" s="28" t="n">
        <v>421491.01</v>
      </c>
      <c r="V139" s="60" t="n">
        <v>27.790097</v>
      </c>
      <c r="W139" s="71" t="n">
        <f aca="false">3194648.08/28</f>
        <v>114094.574285714</v>
      </c>
      <c r="X139" s="112" t="n">
        <f aca="false">U139/V139</f>
        <v>15166.9499390376</v>
      </c>
      <c r="Y139" s="117" t="n">
        <f aca="false">223784.82/32/V139</f>
        <v>251.64631937053</v>
      </c>
      <c r="Z139" s="28" t="n">
        <v>4.23</v>
      </c>
      <c r="AA139" s="62" t="s">
        <v>80</v>
      </c>
      <c r="AB139" s="38" t="n">
        <v>43494</v>
      </c>
      <c r="AC139" s="38" t="n">
        <v>43670</v>
      </c>
      <c r="AD139" s="38" t="n">
        <v>43668</v>
      </c>
      <c r="AE139" s="50" t="n">
        <v>45494</v>
      </c>
      <c r="AF139" s="28" t="n">
        <f aca="false">YEAR(AE139)</f>
        <v>2024</v>
      </c>
      <c r="AG139" s="63" t="n">
        <f aca="false">X139/SUMIF($Z$2:$Z$380,Z139,$X$2:$X$380)*(VLOOKUP(Z139,'затраты по департаментам-2 '!$A$2:$C$182,2,FALSE())+VLOOKUP(Z139,'затраты по департаментам-2 '!$A$2:$C$182,3,FALSE()))</f>
        <v>9202.35183218582</v>
      </c>
      <c r="AH139" s="63" t="n">
        <f aca="false">W139/60</f>
        <v>1901.57623809524</v>
      </c>
      <c r="AI139" s="64" t="s">
        <v>81</v>
      </c>
      <c r="AJ139" s="63" t="s">
        <v>100</v>
      </c>
      <c r="AK139" s="119" t="n">
        <v>27948</v>
      </c>
      <c r="AL139" s="43"/>
      <c r="AM139" s="74" t="s">
        <v>1091</v>
      </c>
      <c r="AN139" s="43" t="s">
        <v>1092</v>
      </c>
      <c r="AO139" s="65" t="n">
        <v>44735</v>
      </c>
      <c r="AP139" s="43"/>
      <c r="AQ139" s="66" t="s">
        <v>1093</v>
      </c>
      <c r="AR139" s="64"/>
    </row>
    <row r="140" customFormat="false" ht="12.75" hidden="false" customHeight="false" outlineLevel="0" collapsed="false">
      <c r="A140" s="26" t="n">
        <v>139</v>
      </c>
      <c r="B140" s="43" t="s">
        <v>1094</v>
      </c>
      <c r="C140" s="43" t="s">
        <v>165</v>
      </c>
      <c r="D140" s="28" t="s">
        <v>46</v>
      </c>
      <c r="E140" s="43" t="n">
        <v>6.7</v>
      </c>
      <c r="F140" s="43" t="n">
        <v>1.2</v>
      </c>
      <c r="G140" s="43" t="n">
        <v>108</v>
      </c>
      <c r="H140" s="43" t="n">
        <v>2019</v>
      </c>
      <c r="I140" s="43" t="s">
        <v>96</v>
      </c>
      <c r="J140" s="43" t="s">
        <v>74</v>
      </c>
      <c r="K140" s="30" t="s">
        <v>1095</v>
      </c>
      <c r="L140" s="35"/>
      <c r="M140" s="31" t="s">
        <v>1096</v>
      </c>
      <c r="N140" s="130" t="s">
        <v>227</v>
      </c>
      <c r="O140" s="28" t="s">
        <v>100</v>
      </c>
      <c r="P140" s="28" t="s">
        <v>298</v>
      </c>
      <c r="Q140" s="87" t="n">
        <v>1000</v>
      </c>
      <c r="R140" s="89" t="s">
        <v>189</v>
      </c>
      <c r="S140" s="69" t="n">
        <v>4173</v>
      </c>
      <c r="T140" s="35" t="s">
        <v>172</v>
      </c>
      <c r="U140" s="28" t="n">
        <v>421491.01</v>
      </c>
      <c r="V140" s="60" t="n">
        <v>27.790097</v>
      </c>
      <c r="W140" s="71" t="n">
        <f aca="false">3194648.08/28</f>
        <v>114094.574285714</v>
      </c>
      <c r="X140" s="112" t="n">
        <f aca="false">U140/V140</f>
        <v>15166.9499390376</v>
      </c>
      <c r="Y140" s="117" t="n">
        <f aca="false">223784.82/32/V140</f>
        <v>251.64631937053</v>
      </c>
      <c r="Z140" s="28" t="n">
        <v>4.23</v>
      </c>
      <c r="AA140" s="62" t="s">
        <v>80</v>
      </c>
      <c r="AB140" s="38" t="n">
        <v>43494</v>
      </c>
      <c r="AC140" s="38" t="n">
        <v>43670</v>
      </c>
      <c r="AD140" s="38" t="n">
        <v>43668</v>
      </c>
      <c r="AE140" s="50" t="n">
        <v>45494</v>
      </c>
      <c r="AF140" s="28" t="n">
        <f aca="false">YEAR(AE140)</f>
        <v>2024</v>
      </c>
      <c r="AG140" s="63" t="n">
        <f aca="false">X140/SUMIF($Z$2:$Z$380,Z140,$X$2:$X$380)*(VLOOKUP(Z140,'затраты по департаментам-2 '!$A$2:$C$182,2,FALSE())+VLOOKUP(Z140,'затраты по департаментам-2 '!$A$2:$C$182,3,FALSE()))</f>
        <v>9202.35183218582</v>
      </c>
      <c r="AH140" s="63" t="n">
        <f aca="false">W140/60</f>
        <v>1901.57623809524</v>
      </c>
      <c r="AI140" s="64" t="s">
        <v>81</v>
      </c>
      <c r="AJ140" s="63" t="s">
        <v>100</v>
      </c>
      <c r="AK140" s="119" t="n">
        <v>46534</v>
      </c>
      <c r="AL140" s="43"/>
      <c r="AM140" s="74" t="s">
        <v>1097</v>
      </c>
      <c r="AN140" s="43" t="s">
        <v>1098</v>
      </c>
      <c r="AO140" s="65" t="n">
        <v>44831</v>
      </c>
      <c r="AP140" s="43"/>
      <c r="AQ140" s="66" t="s">
        <v>1099</v>
      </c>
      <c r="AR140" s="76" t="n">
        <v>44596</v>
      </c>
    </row>
    <row r="141" customFormat="false" ht="14.25" hidden="false" customHeight="false" outlineLevel="0" collapsed="false">
      <c r="A141" s="26" t="n">
        <v>140</v>
      </c>
      <c r="B141" s="43" t="s">
        <v>1100</v>
      </c>
      <c r="C141" s="43" t="s">
        <v>165</v>
      </c>
      <c r="D141" s="28" t="s">
        <v>46</v>
      </c>
      <c r="E141" s="43" t="n">
        <v>6.7</v>
      </c>
      <c r="F141" s="43" t="n">
        <v>1.2</v>
      </c>
      <c r="G141" s="43" t="n">
        <v>108</v>
      </c>
      <c r="H141" s="43" t="n">
        <v>2019</v>
      </c>
      <c r="I141" s="43" t="s">
        <v>96</v>
      </c>
      <c r="J141" s="43" t="s">
        <v>74</v>
      </c>
      <c r="K141" s="30" t="s">
        <v>1101</v>
      </c>
      <c r="L141" s="28"/>
      <c r="M141" s="31" t="s">
        <v>1102</v>
      </c>
      <c r="N141" s="32" t="s">
        <v>179</v>
      </c>
      <c r="O141" s="57" t="s">
        <v>218</v>
      </c>
      <c r="P141" s="56" t="s">
        <v>327</v>
      </c>
      <c r="Q141" s="57" t="n">
        <v>7010</v>
      </c>
      <c r="R141" s="58" t="s">
        <v>171</v>
      </c>
      <c r="S141" s="69" t="n">
        <v>4131</v>
      </c>
      <c r="T141" s="35" t="s">
        <v>172</v>
      </c>
      <c r="U141" s="28" t="n">
        <v>421491.01</v>
      </c>
      <c r="V141" s="60" t="n">
        <v>27.790097</v>
      </c>
      <c r="W141" s="71" t="n">
        <f aca="false">3194648.08/28</f>
        <v>114094.574285714</v>
      </c>
      <c r="X141" s="112" t="n">
        <f aca="false">U141/V141</f>
        <v>15166.9499390376</v>
      </c>
      <c r="Y141" s="117" t="n">
        <f aca="false">223784.82/32/V141</f>
        <v>251.64631937053</v>
      </c>
      <c r="Z141" s="28" t="n">
        <v>4.23</v>
      </c>
      <c r="AA141" s="62" t="s">
        <v>80</v>
      </c>
      <c r="AB141" s="38" t="n">
        <v>43494</v>
      </c>
      <c r="AC141" s="38" t="n">
        <v>43670</v>
      </c>
      <c r="AD141" s="38" t="n">
        <v>43668</v>
      </c>
      <c r="AE141" s="50" t="n">
        <v>45494</v>
      </c>
      <c r="AF141" s="28" t="n">
        <f aca="false">YEAR(AE141)</f>
        <v>2024</v>
      </c>
      <c r="AG141" s="63" t="n">
        <f aca="false">X141/SUMIF($Z$2:$Z$380,Z141,$X$2:$X$380)*(VLOOKUP(Z141,'затраты по департаментам-2 '!$A$2:$C$182,2,FALSE())+VLOOKUP(Z141,'затраты по департаментам-2 '!$A$2:$C$182,3,FALSE()))</f>
        <v>9202.35183218582</v>
      </c>
      <c r="AH141" s="63" t="n">
        <f aca="false">W141/60</f>
        <v>1901.57623809524</v>
      </c>
      <c r="AI141" s="64" t="s">
        <v>81</v>
      </c>
      <c r="AJ141" s="63" t="s">
        <v>52</v>
      </c>
      <c r="AK141" s="119" t="n">
        <v>51551</v>
      </c>
      <c r="AL141" s="81" t="s">
        <v>1103</v>
      </c>
      <c r="AM141" s="78" t="s">
        <v>1104</v>
      </c>
      <c r="AN141" s="43" t="s">
        <v>1105</v>
      </c>
      <c r="AO141" s="65" t="n">
        <v>44449</v>
      </c>
      <c r="AP141" s="43"/>
      <c r="AQ141" s="66" t="s">
        <v>1106</v>
      </c>
      <c r="AR141" s="64"/>
    </row>
    <row r="142" customFormat="false" ht="14.25" hidden="false" customHeight="false" outlineLevel="0" collapsed="false">
      <c r="A142" s="26" t="n">
        <v>141</v>
      </c>
      <c r="B142" s="43" t="s">
        <v>1107</v>
      </c>
      <c r="C142" s="43" t="s">
        <v>165</v>
      </c>
      <c r="D142" s="28" t="s">
        <v>46</v>
      </c>
      <c r="E142" s="43" t="n">
        <v>6.7</v>
      </c>
      <c r="F142" s="43" t="n">
        <v>1.2</v>
      </c>
      <c r="G142" s="43" t="n">
        <v>108</v>
      </c>
      <c r="H142" s="43" t="n">
        <v>2019</v>
      </c>
      <c r="I142" s="43" t="s">
        <v>96</v>
      </c>
      <c r="J142" s="43" t="s">
        <v>74</v>
      </c>
      <c r="K142" s="30" t="s">
        <v>1108</v>
      </c>
      <c r="L142" s="28"/>
      <c r="M142" s="31" t="s">
        <v>1109</v>
      </c>
      <c r="N142" s="92" t="s">
        <v>179</v>
      </c>
      <c r="O142" s="28" t="s">
        <v>1003</v>
      </c>
      <c r="P142" s="56" t="s">
        <v>327</v>
      </c>
      <c r="Q142" s="57" t="n">
        <v>7014</v>
      </c>
      <c r="R142" s="58" t="s">
        <v>171</v>
      </c>
      <c r="S142" s="69" t="n">
        <v>4131</v>
      </c>
      <c r="T142" s="35" t="s">
        <v>172</v>
      </c>
      <c r="U142" s="28" t="n">
        <v>421491.01</v>
      </c>
      <c r="V142" s="60" t="n">
        <v>27.790097</v>
      </c>
      <c r="W142" s="71" t="n">
        <f aca="false">3194648.08/28</f>
        <v>114094.574285714</v>
      </c>
      <c r="X142" s="112" t="n">
        <f aca="false">U142/V142</f>
        <v>15166.9499390376</v>
      </c>
      <c r="Y142" s="117" t="n">
        <f aca="false">223784.82/32/V142</f>
        <v>251.64631937053</v>
      </c>
      <c r="Z142" s="28" t="n">
        <v>4.23</v>
      </c>
      <c r="AA142" s="62" t="s">
        <v>80</v>
      </c>
      <c r="AB142" s="38" t="n">
        <v>43494</v>
      </c>
      <c r="AC142" s="38" t="n">
        <v>43670</v>
      </c>
      <c r="AD142" s="38" t="n">
        <v>43668</v>
      </c>
      <c r="AE142" s="50" t="n">
        <v>45494</v>
      </c>
      <c r="AF142" s="28" t="n">
        <f aca="false">YEAR(AE142)</f>
        <v>2024</v>
      </c>
      <c r="AG142" s="63" t="n">
        <f aca="false">X142/SUMIF($Z$2:$Z$380,Z142,$X$2:$X$380)*(VLOOKUP(Z142,'затраты по департаментам-2 '!$A$2:$C$182,2,FALSE())+VLOOKUP(Z142,'затраты по департаментам-2 '!$A$2:$C$182,3,FALSE()))</f>
        <v>9202.35183218582</v>
      </c>
      <c r="AH142" s="63" t="n">
        <f aca="false">W142/60</f>
        <v>1901.57623809524</v>
      </c>
      <c r="AI142" s="64" t="s">
        <v>81</v>
      </c>
      <c r="AJ142" s="63" t="s">
        <v>52</v>
      </c>
      <c r="AK142" s="119" t="n">
        <v>85318</v>
      </c>
      <c r="AL142" s="81" t="s">
        <v>1110</v>
      </c>
      <c r="AM142" s="78" t="s">
        <v>1111</v>
      </c>
      <c r="AN142" s="43" t="s">
        <v>1112</v>
      </c>
      <c r="AO142" s="65" t="n">
        <v>44491</v>
      </c>
      <c r="AP142" s="43"/>
      <c r="AQ142" s="66" t="s">
        <v>1113</v>
      </c>
      <c r="AR142" s="64"/>
    </row>
    <row r="143" customFormat="false" ht="14.25" hidden="false" customHeight="false" outlineLevel="0" collapsed="false">
      <c r="A143" s="26" t="n">
        <v>142</v>
      </c>
      <c r="B143" s="43" t="s">
        <v>1114</v>
      </c>
      <c r="C143" s="43" t="s">
        <v>165</v>
      </c>
      <c r="D143" s="28" t="s">
        <v>46</v>
      </c>
      <c r="E143" s="43" t="n">
        <v>6.7</v>
      </c>
      <c r="F143" s="43" t="n">
        <v>1.2</v>
      </c>
      <c r="G143" s="43" t="n">
        <v>108</v>
      </c>
      <c r="H143" s="43" t="n">
        <v>2019</v>
      </c>
      <c r="I143" s="43" t="s">
        <v>96</v>
      </c>
      <c r="J143" s="43" t="s">
        <v>74</v>
      </c>
      <c r="K143" s="128" t="s">
        <v>1115</v>
      </c>
      <c r="L143" s="148"/>
      <c r="M143" s="31" t="s">
        <v>1116</v>
      </c>
      <c r="N143" s="32" t="s">
        <v>168</v>
      </c>
      <c r="O143" s="148" t="s">
        <v>197</v>
      </c>
      <c r="P143" s="130" t="s">
        <v>832</v>
      </c>
      <c r="Q143" s="134" t="n">
        <v>9000</v>
      </c>
      <c r="R143" s="58" t="s">
        <v>171</v>
      </c>
      <c r="S143" s="135" t="n">
        <v>4130</v>
      </c>
      <c r="T143" s="35" t="s">
        <v>172</v>
      </c>
      <c r="U143" s="28" t="n">
        <v>421491.01</v>
      </c>
      <c r="V143" s="60" t="n">
        <v>27.790097</v>
      </c>
      <c r="W143" s="71" t="n">
        <f aca="false">3194648.08/28</f>
        <v>114094.574285714</v>
      </c>
      <c r="X143" s="112" t="n">
        <f aca="false">U143/V143</f>
        <v>15166.9499390376</v>
      </c>
      <c r="Y143" s="117" t="n">
        <f aca="false">223784.82/32/V143</f>
        <v>251.64631937053</v>
      </c>
      <c r="Z143" s="28" t="n">
        <v>4.23</v>
      </c>
      <c r="AA143" s="62" t="s">
        <v>80</v>
      </c>
      <c r="AB143" s="38" t="n">
        <v>43494</v>
      </c>
      <c r="AC143" s="38" t="n">
        <v>43670</v>
      </c>
      <c r="AD143" s="38" t="n">
        <v>43668</v>
      </c>
      <c r="AE143" s="50" t="n">
        <v>45494</v>
      </c>
      <c r="AF143" s="28" t="n">
        <f aca="false">YEAR(AE143)</f>
        <v>2024</v>
      </c>
      <c r="AG143" s="63" t="n">
        <f aca="false">X143/SUMIF($Z$2:$Z$380,Z143,$X$2:$X$380)*(VLOOKUP(Z143,'затраты по департаментам-2 '!$A$2:$C$182,2,FALSE())+VLOOKUP(Z143,'затраты по департаментам-2 '!$A$2:$C$182,3,FALSE()))</f>
        <v>9202.35183218582</v>
      </c>
      <c r="AH143" s="63" t="n">
        <f aca="false">W143/60</f>
        <v>1901.57623809524</v>
      </c>
      <c r="AI143" s="64" t="s">
        <v>81</v>
      </c>
      <c r="AJ143" s="63" t="s">
        <v>197</v>
      </c>
      <c r="AK143" s="119" t="n">
        <v>46658</v>
      </c>
      <c r="AL143" s="43"/>
      <c r="AM143" s="74" t="s">
        <v>1117</v>
      </c>
      <c r="AN143" s="43" t="s">
        <v>1118</v>
      </c>
      <c r="AO143" s="65" t="n">
        <v>44789</v>
      </c>
      <c r="AP143" s="43"/>
      <c r="AQ143" s="66" t="s">
        <v>1119</v>
      </c>
      <c r="AR143" s="64"/>
    </row>
    <row r="144" customFormat="false" ht="14.25" hidden="false" customHeight="false" outlineLevel="0" collapsed="false">
      <c r="A144" s="26" t="n">
        <v>143</v>
      </c>
      <c r="B144" s="43" t="s">
        <v>1120</v>
      </c>
      <c r="C144" s="43" t="s">
        <v>165</v>
      </c>
      <c r="D144" s="28" t="s">
        <v>46</v>
      </c>
      <c r="E144" s="43" t="n">
        <v>6.7</v>
      </c>
      <c r="F144" s="43" t="n">
        <v>1.2</v>
      </c>
      <c r="G144" s="43" t="n">
        <v>108</v>
      </c>
      <c r="H144" s="43" t="n">
        <v>2019</v>
      </c>
      <c r="I144" s="43" t="s">
        <v>96</v>
      </c>
      <c r="J144" s="43" t="s">
        <v>74</v>
      </c>
      <c r="K144" s="30" t="s">
        <v>1121</v>
      </c>
      <c r="L144" s="28"/>
      <c r="M144" s="31" t="s">
        <v>1122</v>
      </c>
      <c r="N144" s="130" t="s">
        <v>227</v>
      </c>
      <c r="O144" s="57" t="s">
        <v>218</v>
      </c>
      <c r="P144" s="56" t="s">
        <v>228</v>
      </c>
      <c r="Q144" s="57" t="n">
        <v>1000</v>
      </c>
      <c r="R144" s="89" t="s">
        <v>189</v>
      </c>
      <c r="S144" s="69" t="n">
        <v>4171</v>
      </c>
      <c r="T144" s="35" t="s">
        <v>172</v>
      </c>
      <c r="U144" s="28" t="n">
        <v>421491.01</v>
      </c>
      <c r="V144" s="60" t="n">
        <v>27.790097</v>
      </c>
      <c r="W144" s="71" t="n">
        <f aca="false">3194648.08/28</f>
        <v>114094.574285714</v>
      </c>
      <c r="X144" s="112" t="n">
        <f aca="false">U144/V144</f>
        <v>15166.9499390376</v>
      </c>
      <c r="Y144" s="117" t="n">
        <f aca="false">223784.82/32/V144</f>
        <v>251.64631937053</v>
      </c>
      <c r="Z144" s="28" t="n">
        <v>4.23</v>
      </c>
      <c r="AA144" s="62" t="s">
        <v>80</v>
      </c>
      <c r="AB144" s="38" t="n">
        <v>43494</v>
      </c>
      <c r="AC144" s="38" t="n">
        <v>43670</v>
      </c>
      <c r="AD144" s="38" t="n">
        <v>43668</v>
      </c>
      <c r="AE144" s="50" t="n">
        <v>45494</v>
      </c>
      <c r="AF144" s="28" t="n">
        <f aca="false">YEAR(AE144)</f>
        <v>2024</v>
      </c>
      <c r="AG144" s="63" t="n">
        <f aca="false">X144/SUMIF($Z$2:$Z$380,Z144,$X$2:$X$380)*(VLOOKUP(Z144,'затраты по департаментам-2 '!$A$2:$C$182,2,FALSE())+VLOOKUP(Z144,'затраты по департаментам-2 '!$A$2:$C$182,3,FALSE()))</f>
        <v>9202.35183218582</v>
      </c>
      <c r="AH144" s="63" t="n">
        <f aca="false">W144/60</f>
        <v>1901.57623809524</v>
      </c>
      <c r="AI144" s="64" t="s">
        <v>81</v>
      </c>
      <c r="AJ144" s="63" t="s">
        <v>52</v>
      </c>
      <c r="AK144" s="119" t="n">
        <v>89231</v>
      </c>
      <c r="AL144" s="81" t="s">
        <v>1123</v>
      </c>
      <c r="AM144" s="78" t="s">
        <v>1124</v>
      </c>
      <c r="AN144" s="43" t="s">
        <v>1125</v>
      </c>
      <c r="AO144" s="65" t="n">
        <v>44491</v>
      </c>
      <c r="AP144" s="43"/>
      <c r="AQ144" s="66" t="s">
        <v>1126</v>
      </c>
      <c r="AR144" s="64"/>
    </row>
    <row r="145" customFormat="false" ht="14.25" hidden="false" customHeight="false" outlineLevel="0" collapsed="false">
      <c r="A145" s="26" t="n">
        <v>144</v>
      </c>
      <c r="B145" s="43" t="s">
        <v>1127</v>
      </c>
      <c r="C145" s="43" t="s">
        <v>165</v>
      </c>
      <c r="D145" s="28" t="s">
        <v>46</v>
      </c>
      <c r="E145" s="43" t="n">
        <v>6.7</v>
      </c>
      <c r="F145" s="43" t="n">
        <v>1.2</v>
      </c>
      <c r="G145" s="43" t="n">
        <v>108</v>
      </c>
      <c r="H145" s="43" t="n">
        <v>2019</v>
      </c>
      <c r="I145" s="43" t="s">
        <v>96</v>
      </c>
      <c r="J145" s="43" t="s">
        <v>74</v>
      </c>
      <c r="K145" s="30" t="s">
        <v>1128</v>
      </c>
      <c r="L145" s="69"/>
      <c r="M145" s="31" t="s">
        <v>1129</v>
      </c>
      <c r="N145" s="32" t="s">
        <v>913</v>
      </c>
      <c r="O145" s="57" t="s">
        <v>100</v>
      </c>
      <c r="P145" s="56" t="s">
        <v>298</v>
      </c>
      <c r="Q145" s="57" t="n">
        <v>1000</v>
      </c>
      <c r="R145" s="58" t="s">
        <v>189</v>
      </c>
      <c r="S145" s="69" t="n">
        <v>4173</v>
      </c>
      <c r="T145" s="35" t="s">
        <v>172</v>
      </c>
      <c r="U145" s="28" t="n">
        <v>421491.01</v>
      </c>
      <c r="V145" s="60" t="n">
        <v>27.790097</v>
      </c>
      <c r="W145" s="71" t="n">
        <f aca="false">3194648.08/28</f>
        <v>114094.574285714</v>
      </c>
      <c r="X145" s="112" t="n">
        <f aca="false">U145/V145</f>
        <v>15166.9499390376</v>
      </c>
      <c r="Y145" s="117" t="n">
        <f aca="false">223784.82/32/V145</f>
        <v>251.64631937053</v>
      </c>
      <c r="Z145" s="28" t="n">
        <v>4.23</v>
      </c>
      <c r="AA145" s="62" t="s">
        <v>80</v>
      </c>
      <c r="AB145" s="38" t="n">
        <v>43494</v>
      </c>
      <c r="AC145" s="38" t="n">
        <v>43670</v>
      </c>
      <c r="AD145" s="38" t="n">
        <v>43668</v>
      </c>
      <c r="AE145" s="50" t="n">
        <v>45494</v>
      </c>
      <c r="AF145" s="28" t="n">
        <f aca="false">YEAR(AE145)</f>
        <v>2024</v>
      </c>
      <c r="AG145" s="63" t="n">
        <f aca="false">X145/SUMIF($Z$2:$Z$380,Z145,$X$2:$X$380)*(VLOOKUP(Z145,'затраты по департаментам-2 '!$A$2:$C$182,2,FALSE())+VLOOKUP(Z145,'затраты по департаментам-2 '!$A$2:$C$182,3,FALSE()))</f>
        <v>9202.35183218582</v>
      </c>
      <c r="AH145" s="63" t="n">
        <f aca="false">W145/60</f>
        <v>1901.57623809524</v>
      </c>
      <c r="AI145" s="64" t="s">
        <v>81</v>
      </c>
      <c r="AJ145" s="63" t="s">
        <v>100</v>
      </c>
      <c r="AK145" s="119" t="n">
        <v>46567</v>
      </c>
      <c r="AL145" s="43"/>
      <c r="AM145" s="74" t="s">
        <v>1130</v>
      </c>
      <c r="AN145" s="43" t="s">
        <v>1131</v>
      </c>
      <c r="AO145" s="65" t="n">
        <v>44793</v>
      </c>
      <c r="AP145" s="43"/>
      <c r="AQ145" s="66" t="s">
        <v>1132</v>
      </c>
      <c r="AR145" s="64"/>
    </row>
    <row r="146" customFormat="false" ht="14.25" hidden="false" customHeight="false" outlineLevel="0" collapsed="false">
      <c r="A146" s="26" t="n">
        <v>145</v>
      </c>
      <c r="B146" s="43" t="s">
        <v>1133</v>
      </c>
      <c r="C146" s="43" t="s">
        <v>165</v>
      </c>
      <c r="D146" s="28" t="s">
        <v>46</v>
      </c>
      <c r="E146" s="43" t="n">
        <v>6.7</v>
      </c>
      <c r="F146" s="43" t="n">
        <v>1.2</v>
      </c>
      <c r="G146" s="43" t="n">
        <v>108</v>
      </c>
      <c r="H146" s="43" t="n">
        <v>2019</v>
      </c>
      <c r="I146" s="43" t="s">
        <v>96</v>
      </c>
      <c r="J146" s="43" t="s">
        <v>74</v>
      </c>
      <c r="K146" s="30" t="s">
        <v>1134</v>
      </c>
      <c r="L146" s="35"/>
      <c r="M146" s="31" t="s">
        <v>1135</v>
      </c>
      <c r="N146" s="32" t="s">
        <v>179</v>
      </c>
      <c r="O146" s="28" t="s">
        <v>100</v>
      </c>
      <c r="P146" s="56" t="s">
        <v>181</v>
      </c>
      <c r="Q146" s="57" t="n">
        <v>7023</v>
      </c>
      <c r="R146" s="58" t="s">
        <v>171</v>
      </c>
      <c r="S146" s="69" t="n">
        <v>4133</v>
      </c>
      <c r="T146" s="35" t="s">
        <v>172</v>
      </c>
      <c r="U146" s="28" t="n">
        <v>421491.01</v>
      </c>
      <c r="V146" s="60" t="n">
        <v>27.790097</v>
      </c>
      <c r="W146" s="71" t="n">
        <f aca="false">3194648.08/28</f>
        <v>114094.574285714</v>
      </c>
      <c r="X146" s="112" t="n">
        <f aca="false">U146/V146</f>
        <v>15166.9499390376</v>
      </c>
      <c r="Y146" s="117" t="n">
        <f aca="false">223784.82/32/V146</f>
        <v>251.64631937053</v>
      </c>
      <c r="Z146" s="28" t="n">
        <v>4.23</v>
      </c>
      <c r="AA146" s="62" t="s">
        <v>80</v>
      </c>
      <c r="AB146" s="38" t="n">
        <v>43494</v>
      </c>
      <c r="AC146" s="38" t="n">
        <v>43670</v>
      </c>
      <c r="AD146" s="38" t="n">
        <v>43668</v>
      </c>
      <c r="AE146" s="50" t="n">
        <v>45494</v>
      </c>
      <c r="AF146" s="28" t="n">
        <f aca="false">YEAR(AE146)</f>
        <v>2024</v>
      </c>
      <c r="AG146" s="63" t="n">
        <f aca="false">X146/SUMIF($Z$2:$Z$380,Z146,$X$2:$X$380)*(VLOOKUP(Z146,'затраты по департаментам-2 '!$A$2:$C$182,2,FALSE())+VLOOKUP(Z146,'затраты по департаментам-2 '!$A$2:$C$182,3,FALSE()))</f>
        <v>9202.35183218582</v>
      </c>
      <c r="AH146" s="63" t="n">
        <f aca="false">W146/60</f>
        <v>1901.57623809524</v>
      </c>
      <c r="AI146" s="64" t="s">
        <v>81</v>
      </c>
      <c r="AJ146" s="63" t="s">
        <v>100</v>
      </c>
      <c r="AK146" s="119" t="n">
        <v>61766</v>
      </c>
      <c r="AL146" s="43"/>
      <c r="AM146" s="74" t="s">
        <v>1136</v>
      </c>
      <c r="AN146" s="43" t="s">
        <v>1137</v>
      </c>
      <c r="AO146" s="65" t="n">
        <v>44813</v>
      </c>
      <c r="AP146" s="43"/>
      <c r="AQ146" s="64" t="s">
        <v>1138</v>
      </c>
      <c r="AR146" s="76" t="n">
        <v>44413</v>
      </c>
    </row>
    <row r="147" customFormat="false" ht="14.25" hidden="false" customHeight="false" outlineLevel="0" collapsed="false">
      <c r="A147" s="26" t="n">
        <v>146</v>
      </c>
      <c r="B147" s="43" t="s">
        <v>1139</v>
      </c>
      <c r="C147" s="43" t="s">
        <v>165</v>
      </c>
      <c r="D147" s="28" t="s">
        <v>46</v>
      </c>
      <c r="E147" s="43" t="n">
        <v>6.7</v>
      </c>
      <c r="F147" s="43" t="n">
        <v>1.2</v>
      </c>
      <c r="G147" s="43" t="n">
        <v>108</v>
      </c>
      <c r="H147" s="43" t="n">
        <v>2019</v>
      </c>
      <c r="I147" s="43" t="s">
        <v>96</v>
      </c>
      <c r="J147" s="43" t="s">
        <v>74</v>
      </c>
      <c r="K147" s="30" t="s">
        <v>1140</v>
      </c>
      <c r="L147" s="35"/>
      <c r="M147" s="31" t="s">
        <v>1141</v>
      </c>
      <c r="N147" s="32" t="s">
        <v>1142</v>
      </c>
      <c r="O147" s="28" t="s">
        <v>100</v>
      </c>
      <c r="P147" s="56" t="s">
        <v>228</v>
      </c>
      <c r="Q147" s="57" t="n">
        <v>1000</v>
      </c>
      <c r="R147" s="58" t="s">
        <v>189</v>
      </c>
      <c r="S147" s="69" t="n">
        <v>4173</v>
      </c>
      <c r="T147" s="35" t="s">
        <v>172</v>
      </c>
      <c r="U147" s="28" t="n">
        <v>421491.01</v>
      </c>
      <c r="V147" s="60" t="n">
        <v>27.790097</v>
      </c>
      <c r="W147" s="71" t="n">
        <f aca="false">3194648.08/28</f>
        <v>114094.574285714</v>
      </c>
      <c r="X147" s="112" t="n">
        <f aca="false">U147/V147</f>
        <v>15166.9499390376</v>
      </c>
      <c r="Y147" s="117" t="n">
        <f aca="false">223784.82/32/V147</f>
        <v>251.64631937053</v>
      </c>
      <c r="Z147" s="28" t="n">
        <v>4.23</v>
      </c>
      <c r="AA147" s="62" t="s">
        <v>80</v>
      </c>
      <c r="AB147" s="38" t="n">
        <v>43494</v>
      </c>
      <c r="AC147" s="38" t="n">
        <v>43670</v>
      </c>
      <c r="AD147" s="38" t="n">
        <v>43668</v>
      </c>
      <c r="AE147" s="50" t="n">
        <v>45494</v>
      </c>
      <c r="AF147" s="28" t="n">
        <f aca="false">YEAR(AE147)</f>
        <v>2024</v>
      </c>
      <c r="AG147" s="63" t="n">
        <f aca="false">X147/SUMIF($Z$2:$Z$380,Z147,$X$2:$X$380)*(VLOOKUP(Z147,'затраты по департаментам-2 '!$A$2:$C$182,2,FALSE())+VLOOKUP(Z147,'затраты по департаментам-2 '!$A$2:$C$182,3,FALSE()))</f>
        <v>9202.35183218582</v>
      </c>
      <c r="AH147" s="63" t="n">
        <f aca="false">W147/60</f>
        <v>1901.57623809524</v>
      </c>
      <c r="AI147" s="64" t="s">
        <v>81</v>
      </c>
      <c r="AJ147" s="63" t="s">
        <v>100</v>
      </c>
      <c r="AK147" s="119" t="n">
        <v>71468</v>
      </c>
      <c r="AL147" s="43"/>
      <c r="AM147" s="74" t="s">
        <v>1143</v>
      </c>
      <c r="AN147" s="43" t="s">
        <v>1144</v>
      </c>
      <c r="AO147" s="65" t="n">
        <v>44818</v>
      </c>
      <c r="AP147" s="43"/>
      <c r="AQ147" s="66" t="s">
        <v>1145</v>
      </c>
      <c r="AR147" s="64"/>
    </row>
    <row r="148" customFormat="false" ht="14.25" hidden="false" customHeight="false" outlineLevel="0" collapsed="false">
      <c r="A148" s="26" t="n">
        <v>147</v>
      </c>
      <c r="B148" s="43" t="s">
        <v>1146</v>
      </c>
      <c r="C148" s="43" t="s">
        <v>165</v>
      </c>
      <c r="D148" s="28" t="s">
        <v>46</v>
      </c>
      <c r="E148" s="43" t="n">
        <v>6.7</v>
      </c>
      <c r="F148" s="43" t="n">
        <v>1.2</v>
      </c>
      <c r="G148" s="43" t="n">
        <v>108</v>
      </c>
      <c r="H148" s="43" t="n">
        <v>2019</v>
      </c>
      <c r="I148" s="43" t="s">
        <v>96</v>
      </c>
      <c r="J148" s="43" t="s">
        <v>74</v>
      </c>
      <c r="K148" s="30" t="s">
        <v>1147</v>
      </c>
      <c r="L148" s="28"/>
      <c r="M148" s="31" t="s">
        <v>1148</v>
      </c>
      <c r="N148" s="32" t="s">
        <v>179</v>
      </c>
      <c r="O148" s="28" t="s">
        <v>1149</v>
      </c>
      <c r="P148" s="56" t="s">
        <v>181</v>
      </c>
      <c r="Q148" s="57" t="n">
        <v>7020</v>
      </c>
      <c r="R148" s="97" t="s">
        <v>171</v>
      </c>
      <c r="S148" s="69" t="n">
        <v>4133</v>
      </c>
      <c r="T148" s="35" t="s">
        <v>172</v>
      </c>
      <c r="U148" s="28" t="n">
        <v>421491.01</v>
      </c>
      <c r="V148" s="60" t="n">
        <v>27.790097</v>
      </c>
      <c r="W148" s="71" t="n">
        <f aca="false">3194648.08/28</f>
        <v>114094.574285714</v>
      </c>
      <c r="X148" s="112" t="n">
        <f aca="false">U148/V148</f>
        <v>15166.9499390376</v>
      </c>
      <c r="Y148" s="117" t="n">
        <f aca="false">223784.82/32/V148</f>
        <v>251.64631937053</v>
      </c>
      <c r="Z148" s="28" t="n">
        <v>4.23</v>
      </c>
      <c r="AA148" s="62" t="s">
        <v>80</v>
      </c>
      <c r="AB148" s="38" t="n">
        <v>43494</v>
      </c>
      <c r="AC148" s="38" t="n">
        <v>43670</v>
      </c>
      <c r="AD148" s="38" t="n">
        <v>43668</v>
      </c>
      <c r="AE148" s="50" t="n">
        <v>45494</v>
      </c>
      <c r="AF148" s="28" t="n">
        <f aca="false">YEAR(AE148)</f>
        <v>2024</v>
      </c>
      <c r="AG148" s="63" t="n">
        <f aca="false">X148/SUMIF($Z$2:$Z$380,Z148,$X$2:$X$380)*(VLOOKUP(Z148,'затраты по департаментам-2 '!$A$2:$C$182,2,FALSE())+VLOOKUP(Z148,'затраты по департаментам-2 '!$A$2:$C$182,3,FALSE()))</f>
        <v>9202.35183218582</v>
      </c>
      <c r="AH148" s="63" t="n">
        <f aca="false">W148/60</f>
        <v>1901.57623809524</v>
      </c>
      <c r="AI148" s="64" t="s">
        <v>81</v>
      </c>
      <c r="AJ148" s="63" t="s">
        <v>100</v>
      </c>
      <c r="AK148" s="119" t="n">
        <v>71211</v>
      </c>
      <c r="AL148" s="43"/>
      <c r="AM148" s="74" t="s">
        <v>1150</v>
      </c>
      <c r="AN148" s="43" t="s">
        <v>1151</v>
      </c>
      <c r="AO148" s="65" t="n">
        <v>44834</v>
      </c>
      <c r="AP148" s="43"/>
      <c r="AQ148" s="66" t="s">
        <v>1152</v>
      </c>
      <c r="AR148" s="64"/>
    </row>
    <row r="149" customFormat="false" ht="14.25" hidden="false" customHeight="false" outlineLevel="0" collapsed="false">
      <c r="A149" s="26" t="n">
        <v>148</v>
      </c>
      <c r="B149" s="43" t="s">
        <v>1153</v>
      </c>
      <c r="C149" s="43" t="s">
        <v>165</v>
      </c>
      <c r="D149" s="28" t="s">
        <v>46</v>
      </c>
      <c r="E149" s="43" t="n">
        <v>6.7</v>
      </c>
      <c r="F149" s="43" t="n">
        <v>1.2</v>
      </c>
      <c r="G149" s="43" t="n">
        <v>108</v>
      </c>
      <c r="H149" s="43" t="n">
        <v>2019</v>
      </c>
      <c r="I149" s="43" t="s">
        <v>96</v>
      </c>
      <c r="J149" s="43" t="s">
        <v>74</v>
      </c>
      <c r="K149" s="30" t="s">
        <v>1154</v>
      </c>
      <c r="L149" s="27"/>
      <c r="M149" s="31" t="s">
        <v>1155</v>
      </c>
      <c r="N149" s="32" t="s">
        <v>179</v>
      </c>
      <c r="O149" s="28" t="s">
        <v>1156</v>
      </c>
      <c r="P149" s="48" t="s">
        <v>327</v>
      </c>
      <c r="Q149" s="57" t="n">
        <v>7011</v>
      </c>
      <c r="R149" s="58" t="s">
        <v>171</v>
      </c>
      <c r="S149" s="69" t="n">
        <v>4131</v>
      </c>
      <c r="T149" s="35" t="s">
        <v>172</v>
      </c>
      <c r="U149" s="28" t="n">
        <v>421491.01</v>
      </c>
      <c r="V149" s="60" t="n">
        <v>27.790097</v>
      </c>
      <c r="W149" s="71" t="n">
        <f aca="false">3194648.08/28</f>
        <v>114094.574285714</v>
      </c>
      <c r="X149" s="112" t="n">
        <f aca="false">U149/V149</f>
        <v>15166.9499390376</v>
      </c>
      <c r="Y149" s="117" t="n">
        <f aca="false">223784.82/32/V149</f>
        <v>251.64631937053</v>
      </c>
      <c r="Z149" s="28" t="n">
        <v>4.23</v>
      </c>
      <c r="AA149" s="62" t="s">
        <v>80</v>
      </c>
      <c r="AB149" s="38" t="n">
        <v>43494</v>
      </c>
      <c r="AC149" s="38" t="n">
        <v>43670</v>
      </c>
      <c r="AD149" s="38" t="n">
        <v>43668</v>
      </c>
      <c r="AE149" s="50" t="n">
        <v>45494</v>
      </c>
      <c r="AF149" s="28" t="n">
        <f aca="false">YEAR(AE149)</f>
        <v>2024</v>
      </c>
      <c r="AG149" s="63" t="n">
        <f aca="false">X149/SUMIF($Z$2:$Z$380,Z149,$X$2:$X$380)*(VLOOKUP(Z149,'затраты по департаментам-2 '!$A$2:$C$182,2,FALSE())+VLOOKUP(Z149,'затраты по департаментам-2 '!$A$2:$C$182,3,FALSE()))</f>
        <v>9202.35183218582</v>
      </c>
      <c r="AH149" s="63" t="n">
        <f aca="false">W149/60</f>
        <v>1901.57623809524</v>
      </c>
      <c r="AI149" s="64" t="s">
        <v>81</v>
      </c>
      <c r="AJ149" s="63" t="s">
        <v>52</v>
      </c>
      <c r="AK149" s="119" t="n">
        <v>61592</v>
      </c>
      <c r="AL149" s="81" t="s">
        <v>1157</v>
      </c>
      <c r="AM149" s="78" t="s">
        <v>1158</v>
      </c>
      <c r="AN149" s="43" t="s">
        <v>1159</v>
      </c>
      <c r="AO149" s="65" t="n">
        <v>44476</v>
      </c>
      <c r="AP149" s="43"/>
      <c r="AQ149" s="66" t="s">
        <v>1160</v>
      </c>
      <c r="AR149" s="64"/>
    </row>
    <row r="150" customFormat="false" ht="14.25" hidden="false" customHeight="false" outlineLevel="0" collapsed="false">
      <c r="A150" s="26" t="n">
        <v>149</v>
      </c>
      <c r="B150" s="43" t="s">
        <v>1161</v>
      </c>
      <c r="C150" s="43" t="s">
        <v>165</v>
      </c>
      <c r="D150" s="28" t="s">
        <v>46</v>
      </c>
      <c r="E150" s="43" t="n">
        <v>6.7</v>
      </c>
      <c r="F150" s="43" t="n">
        <v>1.2</v>
      </c>
      <c r="G150" s="43" t="n">
        <v>108</v>
      </c>
      <c r="H150" s="43" t="n">
        <v>2019</v>
      </c>
      <c r="I150" s="43" t="s">
        <v>96</v>
      </c>
      <c r="J150" s="43" t="s">
        <v>74</v>
      </c>
      <c r="K150" s="30" t="s">
        <v>1162</v>
      </c>
      <c r="L150" s="28"/>
      <c r="M150" s="31" t="s">
        <v>1163</v>
      </c>
      <c r="N150" s="32" t="s">
        <v>179</v>
      </c>
      <c r="O150" s="28" t="s">
        <v>52</v>
      </c>
      <c r="P150" s="56" t="s">
        <v>327</v>
      </c>
      <c r="Q150" s="57" t="n">
        <v>7011</v>
      </c>
      <c r="R150" s="58" t="s">
        <v>171</v>
      </c>
      <c r="S150" s="69" t="n">
        <v>4131</v>
      </c>
      <c r="T150" s="35" t="s">
        <v>172</v>
      </c>
      <c r="U150" s="28" t="n">
        <v>421491.01</v>
      </c>
      <c r="V150" s="60" t="n">
        <v>27.790097</v>
      </c>
      <c r="W150" s="71" t="n">
        <f aca="false">3194648.08/28</f>
        <v>114094.574285714</v>
      </c>
      <c r="X150" s="112" t="n">
        <f aca="false">U150/V150</f>
        <v>15166.9499390376</v>
      </c>
      <c r="Y150" s="117" t="n">
        <f aca="false">223784.82/32/V150</f>
        <v>251.64631937053</v>
      </c>
      <c r="Z150" s="28" t="n">
        <v>4.23</v>
      </c>
      <c r="AA150" s="62" t="s">
        <v>80</v>
      </c>
      <c r="AB150" s="38" t="n">
        <v>43494</v>
      </c>
      <c r="AC150" s="38" t="n">
        <v>43670</v>
      </c>
      <c r="AD150" s="38" t="n">
        <v>43668</v>
      </c>
      <c r="AE150" s="50" t="n">
        <v>45494</v>
      </c>
      <c r="AF150" s="28" t="n">
        <f aca="false">YEAR(AE150)</f>
        <v>2024</v>
      </c>
      <c r="AG150" s="63" t="n">
        <f aca="false">X150/SUMIF($Z$2:$Z$380,Z150,$X$2:$X$380)*(VLOOKUP(Z150,'затраты по департаментам-2 '!$A$2:$C$182,2,FALSE())+VLOOKUP(Z150,'затраты по департаментам-2 '!$A$2:$C$182,3,FALSE()))</f>
        <v>9202.35183218582</v>
      </c>
      <c r="AH150" s="63" t="n">
        <f aca="false">W150/60</f>
        <v>1901.57623809524</v>
      </c>
      <c r="AI150" s="64" t="s">
        <v>81</v>
      </c>
      <c r="AJ150" s="63" t="s">
        <v>52</v>
      </c>
      <c r="AK150" s="119" t="n">
        <v>53409</v>
      </c>
      <c r="AL150" s="81" t="s">
        <v>1164</v>
      </c>
      <c r="AM150" s="78" t="s">
        <v>1165</v>
      </c>
      <c r="AN150" s="43" t="s">
        <v>1166</v>
      </c>
      <c r="AO150" s="65" t="n">
        <v>44412</v>
      </c>
      <c r="AP150" s="43"/>
      <c r="AQ150" s="66" t="s">
        <v>1167</v>
      </c>
      <c r="AR150" s="64"/>
    </row>
    <row r="151" customFormat="false" ht="14.25" hidden="false" customHeight="false" outlineLevel="0" collapsed="false">
      <c r="A151" s="26" t="n">
        <v>150</v>
      </c>
      <c r="B151" s="43" t="s">
        <v>1168</v>
      </c>
      <c r="C151" s="43" t="s">
        <v>165</v>
      </c>
      <c r="D151" s="28" t="s">
        <v>46</v>
      </c>
      <c r="E151" s="43" t="n">
        <v>6.7</v>
      </c>
      <c r="F151" s="43" t="n">
        <v>1.2</v>
      </c>
      <c r="G151" s="43" t="n">
        <v>108</v>
      </c>
      <c r="H151" s="43" t="n">
        <v>2019</v>
      </c>
      <c r="I151" s="43" t="s">
        <v>96</v>
      </c>
      <c r="J151" s="43" t="s">
        <v>74</v>
      </c>
      <c r="K151" s="30" t="s">
        <v>1169</v>
      </c>
      <c r="L151" s="28"/>
      <c r="M151" s="31" t="s">
        <v>1170</v>
      </c>
      <c r="N151" s="32" t="s">
        <v>179</v>
      </c>
      <c r="O151" s="57" t="s">
        <v>218</v>
      </c>
      <c r="P151" s="56" t="s">
        <v>327</v>
      </c>
      <c r="Q151" s="87" t="n">
        <v>7010</v>
      </c>
      <c r="R151" s="97" t="s">
        <v>171</v>
      </c>
      <c r="S151" s="69" t="n">
        <v>4131</v>
      </c>
      <c r="T151" s="35" t="s">
        <v>172</v>
      </c>
      <c r="U151" s="28" t="n">
        <v>421491.01</v>
      </c>
      <c r="V151" s="60" t="n">
        <v>27.790097</v>
      </c>
      <c r="W151" s="71" t="n">
        <f aca="false">3194648.08/28</f>
        <v>114094.574285714</v>
      </c>
      <c r="X151" s="112" t="n">
        <f aca="false">U151/V151</f>
        <v>15166.9499390376</v>
      </c>
      <c r="Y151" s="117" t="n">
        <f aca="false">223784.82/32/V151</f>
        <v>251.64631937053</v>
      </c>
      <c r="Z151" s="28" t="n">
        <v>4.23</v>
      </c>
      <c r="AA151" s="62" t="s">
        <v>80</v>
      </c>
      <c r="AB151" s="38" t="n">
        <v>43494</v>
      </c>
      <c r="AC151" s="38" t="n">
        <v>43670</v>
      </c>
      <c r="AD151" s="38" t="n">
        <v>43668</v>
      </c>
      <c r="AE151" s="50" t="n">
        <v>45494</v>
      </c>
      <c r="AF151" s="28" t="n">
        <f aca="false">YEAR(AE151)</f>
        <v>2024</v>
      </c>
      <c r="AG151" s="63" t="n">
        <f aca="false">X151/SUMIF($Z$2:$Z$380,Z151,$X$2:$X$380)*(VLOOKUP(Z151,'затраты по департаментам-2 '!$A$2:$C$182,2,FALSE())+VLOOKUP(Z151,'затраты по департаментам-2 '!$A$2:$C$182,3,FALSE()))</f>
        <v>9202.35183218582</v>
      </c>
      <c r="AH151" s="63" t="n">
        <f aca="false">W151/60</f>
        <v>1901.57623809524</v>
      </c>
      <c r="AI151" s="64" t="s">
        <v>81</v>
      </c>
      <c r="AJ151" s="63" t="s">
        <v>52</v>
      </c>
      <c r="AK151" s="119" t="n">
        <v>81517</v>
      </c>
      <c r="AL151" s="81" t="s">
        <v>1171</v>
      </c>
      <c r="AM151" s="78" t="s">
        <v>1172</v>
      </c>
      <c r="AN151" s="43" t="s">
        <v>1173</v>
      </c>
      <c r="AO151" s="65" t="n">
        <v>44449</v>
      </c>
      <c r="AP151" s="43"/>
      <c r="AQ151" s="66" t="s">
        <v>1174</v>
      </c>
      <c r="AR151" s="64"/>
    </row>
    <row r="152" customFormat="false" ht="14.25" hidden="false" customHeight="false" outlineLevel="0" collapsed="false">
      <c r="A152" s="26" t="n">
        <v>151</v>
      </c>
      <c r="B152" s="43" t="s">
        <v>1175</v>
      </c>
      <c r="C152" s="43" t="s">
        <v>165</v>
      </c>
      <c r="D152" s="28" t="s">
        <v>46</v>
      </c>
      <c r="E152" s="43" t="n">
        <v>6.7</v>
      </c>
      <c r="F152" s="43" t="n">
        <v>1.2</v>
      </c>
      <c r="G152" s="43" t="n">
        <v>108</v>
      </c>
      <c r="H152" s="43" t="n">
        <v>2019</v>
      </c>
      <c r="I152" s="43" t="s">
        <v>96</v>
      </c>
      <c r="J152" s="43" t="s">
        <v>74</v>
      </c>
      <c r="K152" s="30" t="s">
        <v>1176</v>
      </c>
      <c r="L152" s="35"/>
      <c r="M152" s="31" t="s">
        <v>1177</v>
      </c>
      <c r="N152" s="32" t="s">
        <v>227</v>
      </c>
      <c r="O152" s="28" t="s">
        <v>100</v>
      </c>
      <c r="P152" s="56" t="s">
        <v>228</v>
      </c>
      <c r="Q152" s="57" t="n">
        <v>1000</v>
      </c>
      <c r="R152" s="58" t="s">
        <v>189</v>
      </c>
      <c r="S152" s="69" t="n">
        <v>4173</v>
      </c>
      <c r="T152" s="35" t="s">
        <v>172</v>
      </c>
      <c r="U152" s="28" t="n">
        <v>421491.01</v>
      </c>
      <c r="V152" s="60" t="n">
        <v>27.790097</v>
      </c>
      <c r="W152" s="71" t="n">
        <f aca="false">3194648.08/28</f>
        <v>114094.574285714</v>
      </c>
      <c r="X152" s="112" t="n">
        <f aca="false">U152/V152</f>
        <v>15166.9499390376</v>
      </c>
      <c r="Y152" s="117" t="n">
        <f aca="false">223784.82/32/V152</f>
        <v>251.64631937053</v>
      </c>
      <c r="Z152" s="28" t="n">
        <v>4.23</v>
      </c>
      <c r="AA152" s="62" t="s">
        <v>80</v>
      </c>
      <c r="AB152" s="38" t="n">
        <v>43494</v>
      </c>
      <c r="AC152" s="38" t="n">
        <v>43670</v>
      </c>
      <c r="AD152" s="38" t="n">
        <v>43668</v>
      </c>
      <c r="AE152" s="50" t="n">
        <v>45494</v>
      </c>
      <c r="AF152" s="28" t="n">
        <f aca="false">YEAR(AE152)</f>
        <v>2024</v>
      </c>
      <c r="AG152" s="63" t="n">
        <f aca="false">X152/SUMIF($Z$2:$Z$380,Z152,$X$2:$X$380)*(VLOOKUP(Z152,'затраты по департаментам-2 '!$A$2:$C$182,2,FALSE())+VLOOKUP(Z152,'затраты по департаментам-2 '!$A$2:$C$182,3,FALSE()))</f>
        <v>9202.35183218582</v>
      </c>
      <c r="AH152" s="63" t="n">
        <f aca="false">W152/60</f>
        <v>1901.57623809524</v>
      </c>
      <c r="AI152" s="64" t="s">
        <v>81</v>
      </c>
      <c r="AJ152" s="63" t="s">
        <v>100</v>
      </c>
      <c r="AK152" s="119" t="n">
        <v>81483</v>
      </c>
      <c r="AL152" s="43"/>
      <c r="AM152" s="74" t="s">
        <v>1178</v>
      </c>
      <c r="AN152" s="43" t="s">
        <v>1179</v>
      </c>
      <c r="AO152" s="65" t="n">
        <v>44831</v>
      </c>
      <c r="AP152" s="43"/>
      <c r="AQ152" s="66" t="s">
        <v>1180</v>
      </c>
      <c r="AR152" s="76" t="n">
        <v>44524</v>
      </c>
    </row>
    <row r="153" customFormat="false" ht="14.25" hidden="false" customHeight="false" outlineLevel="0" collapsed="false">
      <c r="A153" s="26" t="n">
        <v>152</v>
      </c>
      <c r="B153" s="43" t="s">
        <v>1181</v>
      </c>
      <c r="C153" s="43" t="s">
        <v>165</v>
      </c>
      <c r="D153" s="28" t="s">
        <v>46</v>
      </c>
      <c r="E153" s="43" t="n">
        <v>6.7</v>
      </c>
      <c r="F153" s="43" t="n">
        <v>1.2</v>
      </c>
      <c r="G153" s="43" t="n">
        <v>108</v>
      </c>
      <c r="H153" s="43" t="n">
        <v>2019</v>
      </c>
      <c r="I153" s="43" t="s">
        <v>96</v>
      </c>
      <c r="J153" s="43" t="s">
        <v>74</v>
      </c>
      <c r="K153" s="30" t="s">
        <v>1182</v>
      </c>
      <c r="L153" s="28"/>
      <c r="M153" s="31" t="s">
        <v>1183</v>
      </c>
      <c r="N153" s="84" t="s">
        <v>179</v>
      </c>
      <c r="O153" s="28" t="s">
        <v>1184</v>
      </c>
      <c r="P153" s="56" t="s">
        <v>327</v>
      </c>
      <c r="Q153" s="57" t="n">
        <v>7014</v>
      </c>
      <c r="R153" s="58" t="s">
        <v>171</v>
      </c>
      <c r="S153" s="69" t="n">
        <v>4131</v>
      </c>
      <c r="T153" s="35" t="s">
        <v>172</v>
      </c>
      <c r="U153" s="28" t="n">
        <v>421491.01</v>
      </c>
      <c r="V153" s="60" t="n">
        <v>27.790097</v>
      </c>
      <c r="W153" s="71" t="n">
        <f aca="false">3194648.08/28</f>
        <v>114094.574285714</v>
      </c>
      <c r="X153" s="112" t="n">
        <f aca="false">U153/V153</f>
        <v>15166.9499390376</v>
      </c>
      <c r="Y153" s="117" t="n">
        <f aca="false">223784.82/32/V153</f>
        <v>251.64631937053</v>
      </c>
      <c r="Z153" s="28" t="n">
        <v>4.23</v>
      </c>
      <c r="AA153" s="62" t="s">
        <v>80</v>
      </c>
      <c r="AB153" s="38" t="n">
        <v>43494</v>
      </c>
      <c r="AC153" s="38" t="n">
        <v>43670</v>
      </c>
      <c r="AD153" s="38" t="n">
        <v>43668</v>
      </c>
      <c r="AE153" s="50" t="n">
        <v>45494</v>
      </c>
      <c r="AF153" s="28" t="n">
        <f aca="false">YEAR(AE153)</f>
        <v>2024</v>
      </c>
      <c r="AG153" s="63" t="n">
        <f aca="false">X153/SUMIF($Z$2:$Z$380,Z153,$X$2:$X$380)*(VLOOKUP(Z153,'затраты по департаментам-2 '!$A$2:$C$182,2,FALSE())+VLOOKUP(Z153,'затраты по департаментам-2 '!$A$2:$C$182,3,FALSE()))</f>
        <v>9202.35183218582</v>
      </c>
      <c r="AH153" s="63" t="n">
        <f aca="false">W153/60</f>
        <v>1901.57623809524</v>
      </c>
      <c r="AI153" s="64" t="s">
        <v>81</v>
      </c>
      <c r="AJ153" s="63" t="s">
        <v>52</v>
      </c>
      <c r="AK153" s="119" t="n">
        <v>81608</v>
      </c>
      <c r="AL153" s="81" t="s">
        <v>1185</v>
      </c>
      <c r="AM153" s="78" t="s">
        <v>1186</v>
      </c>
      <c r="AN153" s="43" t="s">
        <v>1187</v>
      </c>
      <c r="AO153" s="65" t="n">
        <v>44476</v>
      </c>
      <c r="AP153" s="43"/>
      <c r="AQ153" s="66" t="s">
        <v>1188</v>
      </c>
      <c r="AR153" s="64"/>
    </row>
    <row r="154" customFormat="false" ht="14.25" hidden="false" customHeight="false" outlineLevel="0" collapsed="false">
      <c r="A154" s="26" t="n">
        <v>153</v>
      </c>
      <c r="B154" s="43" t="s">
        <v>1189</v>
      </c>
      <c r="C154" s="43" t="s">
        <v>165</v>
      </c>
      <c r="D154" s="28" t="s">
        <v>46</v>
      </c>
      <c r="E154" s="43" t="n">
        <v>6.7</v>
      </c>
      <c r="F154" s="43" t="n">
        <v>1.2</v>
      </c>
      <c r="G154" s="43" t="n">
        <v>108</v>
      </c>
      <c r="H154" s="43" t="n">
        <v>2019</v>
      </c>
      <c r="I154" s="43" t="s">
        <v>96</v>
      </c>
      <c r="J154" s="43" t="s">
        <v>74</v>
      </c>
      <c r="K154" s="30" t="s">
        <v>1190</v>
      </c>
      <c r="L154" s="35"/>
      <c r="M154" s="31" t="s">
        <v>1191</v>
      </c>
      <c r="N154" s="32" t="s">
        <v>227</v>
      </c>
      <c r="O154" s="28" t="s">
        <v>100</v>
      </c>
      <c r="P154" s="48" t="s">
        <v>298</v>
      </c>
      <c r="Q154" s="57" t="n">
        <v>1000</v>
      </c>
      <c r="R154" s="58" t="s">
        <v>189</v>
      </c>
      <c r="S154" s="69" t="n">
        <v>4173</v>
      </c>
      <c r="T154" s="35" t="s">
        <v>172</v>
      </c>
      <c r="U154" s="28" t="n">
        <v>421491.01</v>
      </c>
      <c r="V154" s="60" t="n">
        <v>27.790097</v>
      </c>
      <c r="W154" s="71" t="n">
        <f aca="false">3194648.08/28</f>
        <v>114094.574285714</v>
      </c>
      <c r="X154" s="112" t="n">
        <f aca="false">U154/V154</f>
        <v>15166.9499390376</v>
      </c>
      <c r="Y154" s="117" t="n">
        <f aca="false">223784.82/32/V154</f>
        <v>251.64631937053</v>
      </c>
      <c r="Z154" s="28" t="n">
        <v>4.23</v>
      </c>
      <c r="AA154" s="62" t="s">
        <v>80</v>
      </c>
      <c r="AB154" s="38" t="n">
        <v>43494</v>
      </c>
      <c r="AC154" s="38" t="n">
        <v>43670</v>
      </c>
      <c r="AD154" s="38" t="n">
        <v>43668</v>
      </c>
      <c r="AE154" s="50" t="n">
        <v>45494</v>
      </c>
      <c r="AF154" s="28" t="n">
        <f aca="false">YEAR(AE154)</f>
        <v>2024</v>
      </c>
      <c r="AG154" s="63" t="n">
        <f aca="false">X154/SUMIF($Z$2:$Z$380,Z154,$X$2:$X$380)*(VLOOKUP(Z154,'затраты по департаментам-2 '!$A$2:$C$182,2,FALSE())+VLOOKUP(Z154,'затраты по департаментам-2 '!$A$2:$C$182,3,FALSE()))</f>
        <v>9202.35183218582</v>
      </c>
      <c r="AH154" s="63" t="n">
        <f aca="false">W154/60</f>
        <v>1901.57623809524</v>
      </c>
      <c r="AI154" s="64" t="s">
        <v>81</v>
      </c>
      <c r="AJ154" s="63" t="s">
        <v>100</v>
      </c>
      <c r="AK154" s="119" t="n">
        <v>81566</v>
      </c>
      <c r="AL154" s="43"/>
      <c r="AM154" s="74" t="s">
        <v>1192</v>
      </c>
      <c r="AN154" s="43" t="s">
        <v>1193</v>
      </c>
      <c r="AO154" s="65" t="n">
        <v>44818</v>
      </c>
      <c r="AP154" s="43"/>
      <c r="AQ154" s="66" t="s">
        <v>1194</v>
      </c>
      <c r="AR154" s="64"/>
    </row>
    <row r="155" customFormat="false" ht="14.25" hidden="false" customHeight="false" outlineLevel="0" collapsed="false">
      <c r="A155" s="26" t="n">
        <v>154</v>
      </c>
      <c r="B155" s="43" t="s">
        <v>1195</v>
      </c>
      <c r="C155" s="43" t="s">
        <v>165</v>
      </c>
      <c r="D155" s="28" t="s">
        <v>46</v>
      </c>
      <c r="E155" s="43" t="n">
        <v>6.7</v>
      </c>
      <c r="F155" s="43" t="n">
        <v>1.2</v>
      </c>
      <c r="G155" s="43" t="n">
        <v>108</v>
      </c>
      <c r="H155" s="43" t="n">
        <v>2019</v>
      </c>
      <c r="I155" s="43" t="s">
        <v>96</v>
      </c>
      <c r="J155" s="43" t="s">
        <v>74</v>
      </c>
      <c r="K155" s="30" t="s">
        <v>1196</v>
      </c>
      <c r="L155" s="35"/>
      <c r="M155" s="31" t="s">
        <v>1197</v>
      </c>
      <c r="N155" s="32" t="s">
        <v>179</v>
      </c>
      <c r="O155" s="28" t="s">
        <v>1149</v>
      </c>
      <c r="P155" s="56" t="s">
        <v>181</v>
      </c>
      <c r="Q155" s="57" t="n">
        <v>7020</v>
      </c>
      <c r="R155" s="58" t="s">
        <v>171</v>
      </c>
      <c r="S155" s="69" t="n">
        <v>4133</v>
      </c>
      <c r="T155" s="35" t="s">
        <v>172</v>
      </c>
      <c r="U155" s="28" t="n">
        <v>421491.01</v>
      </c>
      <c r="V155" s="60" t="n">
        <v>27.790097</v>
      </c>
      <c r="W155" s="71" t="n">
        <f aca="false">3194648.08/28</f>
        <v>114094.574285714</v>
      </c>
      <c r="X155" s="112" t="n">
        <f aca="false">U155/V155</f>
        <v>15166.9499390376</v>
      </c>
      <c r="Y155" s="117" t="n">
        <f aca="false">223784.82/32/V155</f>
        <v>251.64631937053</v>
      </c>
      <c r="Z155" s="28" t="n">
        <v>4.23</v>
      </c>
      <c r="AA155" s="62" t="s">
        <v>80</v>
      </c>
      <c r="AB155" s="38" t="n">
        <v>43494</v>
      </c>
      <c r="AC155" s="38" t="n">
        <v>43670</v>
      </c>
      <c r="AD155" s="38" t="n">
        <v>43668</v>
      </c>
      <c r="AE155" s="50" t="n">
        <v>45494</v>
      </c>
      <c r="AF155" s="28" t="n">
        <f aca="false">YEAR(AE155)</f>
        <v>2024</v>
      </c>
      <c r="AG155" s="63" t="n">
        <f aca="false">X155/SUMIF($Z$2:$Z$380,Z155,$X$2:$X$380)*(VLOOKUP(Z155,'затраты по департаментам-2 '!$A$2:$C$182,2,FALSE())+VLOOKUP(Z155,'затраты по департаментам-2 '!$A$2:$C$182,3,FALSE()))</f>
        <v>9202.35183218582</v>
      </c>
      <c r="AH155" s="63" t="n">
        <f aca="false">W155/60</f>
        <v>1901.57623809524</v>
      </c>
      <c r="AI155" s="64" t="s">
        <v>81</v>
      </c>
      <c r="AJ155" s="63" t="s">
        <v>100</v>
      </c>
      <c r="AK155" s="119" t="n">
        <v>46591</v>
      </c>
      <c r="AL155" s="43"/>
      <c r="AM155" s="74" t="s">
        <v>1198</v>
      </c>
      <c r="AN155" s="43" t="s">
        <v>1199</v>
      </c>
      <c r="AO155" s="65" t="n">
        <v>44831</v>
      </c>
      <c r="AP155" s="43"/>
      <c r="AQ155" s="66" t="s">
        <v>1200</v>
      </c>
      <c r="AR155" s="64"/>
    </row>
    <row r="156" customFormat="false" ht="15" hidden="false" customHeight="false" outlineLevel="0" collapsed="false">
      <c r="A156" s="26" t="n">
        <v>155</v>
      </c>
      <c r="B156" s="43" t="s">
        <v>1201</v>
      </c>
      <c r="C156" s="43" t="s">
        <v>165</v>
      </c>
      <c r="D156" s="28" t="s">
        <v>46</v>
      </c>
      <c r="E156" s="43" t="n">
        <v>6.7</v>
      </c>
      <c r="F156" s="43" t="n">
        <v>1.2</v>
      </c>
      <c r="G156" s="43" t="n">
        <v>108</v>
      </c>
      <c r="H156" s="43" t="n">
        <v>2019</v>
      </c>
      <c r="I156" s="43" t="s">
        <v>96</v>
      </c>
      <c r="J156" s="43" t="s">
        <v>74</v>
      </c>
      <c r="K156" s="149" t="s">
        <v>1202</v>
      </c>
      <c r="L156" s="28"/>
      <c r="M156" s="31" t="s">
        <v>1203</v>
      </c>
      <c r="N156" s="84" t="s">
        <v>1023</v>
      </c>
      <c r="O156" s="28" t="s">
        <v>1204</v>
      </c>
      <c r="P156" s="56" t="s">
        <v>327</v>
      </c>
      <c r="Q156" s="57" t="n">
        <v>7011</v>
      </c>
      <c r="R156" s="58" t="s">
        <v>171</v>
      </c>
      <c r="S156" s="69" t="n">
        <v>4131</v>
      </c>
      <c r="T156" s="35" t="s">
        <v>172</v>
      </c>
      <c r="U156" s="28" t="n">
        <v>421491.01</v>
      </c>
      <c r="V156" s="60" t="n">
        <v>27.790097</v>
      </c>
      <c r="W156" s="71" t="n">
        <f aca="false">3194648.08/28</f>
        <v>114094.574285714</v>
      </c>
      <c r="X156" s="112" t="n">
        <f aca="false">U156/V156</f>
        <v>15166.9499390376</v>
      </c>
      <c r="Y156" s="117" t="n">
        <f aca="false">223784.82/32/V156</f>
        <v>251.64631937053</v>
      </c>
      <c r="Z156" s="28" t="n">
        <v>4.23</v>
      </c>
      <c r="AA156" s="62" t="s">
        <v>80</v>
      </c>
      <c r="AB156" s="38" t="n">
        <v>43494</v>
      </c>
      <c r="AC156" s="38" t="n">
        <v>43670</v>
      </c>
      <c r="AD156" s="38" t="n">
        <v>43668</v>
      </c>
      <c r="AE156" s="50" t="n">
        <v>45494</v>
      </c>
      <c r="AF156" s="28" t="n">
        <f aca="false">YEAR(AE156)</f>
        <v>2024</v>
      </c>
      <c r="AG156" s="63" t="n">
        <f aca="false">X156/SUMIF($Z$2:$Z$380,Z156,$X$2:$X$380)*(VLOOKUP(Z156,'затраты по департаментам-2 '!$A$2:$C$182,2,FALSE())+VLOOKUP(Z156,'затраты по департаментам-2 '!$A$2:$C$182,3,FALSE()))</f>
        <v>9202.35183218582</v>
      </c>
      <c r="AH156" s="63" t="n">
        <f aca="false">W156/60</f>
        <v>1901.57623809524</v>
      </c>
      <c r="AI156" s="64" t="s">
        <v>81</v>
      </c>
      <c r="AJ156" s="63" t="s">
        <v>52</v>
      </c>
      <c r="AK156" s="119" t="n">
        <v>53573</v>
      </c>
      <c r="AL156" s="81" t="s">
        <v>1205</v>
      </c>
      <c r="AM156" s="78" t="s">
        <v>1206</v>
      </c>
      <c r="AN156" s="43" t="s">
        <v>1207</v>
      </c>
      <c r="AO156" s="65" t="n">
        <v>44412</v>
      </c>
      <c r="AP156" s="43"/>
      <c r="AQ156" s="66" t="s">
        <v>1208</v>
      </c>
      <c r="AR156" s="64"/>
    </row>
    <row r="157" customFormat="false" ht="14.25" hidden="false" customHeight="false" outlineLevel="0" collapsed="false">
      <c r="A157" s="26" t="n">
        <v>156</v>
      </c>
      <c r="B157" s="43" t="s">
        <v>1209</v>
      </c>
      <c r="C157" s="43" t="s">
        <v>165</v>
      </c>
      <c r="D157" s="28" t="s">
        <v>46</v>
      </c>
      <c r="E157" s="43" t="n">
        <v>6.7</v>
      </c>
      <c r="F157" s="43" t="n">
        <v>1.2</v>
      </c>
      <c r="G157" s="43" t="n">
        <v>108</v>
      </c>
      <c r="H157" s="43" t="n">
        <v>2019</v>
      </c>
      <c r="I157" s="43" t="s">
        <v>96</v>
      </c>
      <c r="J157" s="43" t="s">
        <v>74</v>
      </c>
      <c r="K157" s="30" t="s">
        <v>1210</v>
      </c>
      <c r="L157" s="82"/>
      <c r="M157" s="31" t="s">
        <v>1211</v>
      </c>
      <c r="N157" s="97" t="s">
        <v>179</v>
      </c>
      <c r="O157" s="28" t="s">
        <v>100</v>
      </c>
      <c r="P157" s="48" t="s">
        <v>181</v>
      </c>
      <c r="Q157" s="57" t="n">
        <v>7023</v>
      </c>
      <c r="R157" s="58" t="s">
        <v>171</v>
      </c>
      <c r="S157" s="69" t="n">
        <v>4133</v>
      </c>
      <c r="T157" s="35" t="s">
        <v>172</v>
      </c>
      <c r="U157" s="28" t="n">
        <v>421491.01</v>
      </c>
      <c r="V157" s="60" t="n">
        <v>27.790097</v>
      </c>
      <c r="W157" s="71" t="n">
        <f aca="false">3194648.08/28</f>
        <v>114094.574285714</v>
      </c>
      <c r="X157" s="112" t="n">
        <f aca="false">U157/V157</f>
        <v>15166.9499390376</v>
      </c>
      <c r="Y157" s="117" t="n">
        <f aca="false">223784.82/32/V157</f>
        <v>251.64631937053</v>
      </c>
      <c r="Z157" s="28" t="n">
        <v>4.23</v>
      </c>
      <c r="AA157" s="62" t="s">
        <v>80</v>
      </c>
      <c r="AB157" s="38" t="n">
        <v>43494</v>
      </c>
      <c r="AC157" s="38" t="n">
        <v>43670</v>
      </c>
      <c r="AD157" s="38" t="n">
        <v>43668</v>
      </c>
      <c r="AE157" s="50" t="n">
        <v>45494</v>
      </c>
      <c r="AF157" s="28" t="n">
        <f aca="false">YEAR(AE157)</f>
        <v>2024</v>
      </c>
      <c r="AG157" s="63" t="n">
        <f aca="false">X157/SUMIF($Z$2:$Z$380,Z157,$X$2:$X$380)*(VLOOKUP(Z157,'затраты по департаментам-2 '!$A$2:$C$182,2,FALSE())+VLOOKUP(Z157,'затраты по департаментам-2 '!$A$2:$C$182,3,FALSE()))</f>
        <v>9202.35183218582</v>
      </c>
      <c r="AH157" s="63" t="n">
        <f aca="false">W157/60</f>
        <v>1901.57623809524</v>
      </c>
      <c r="AI157" s="64" t="s">
        <v>81</v>
      </c>
      <c r="AJ157" s="63" t="s">
        <v>100</v>
      </c>
      <c r="AK157" s="43" t="n">
        <v>46468</v>
      </c>
      <c r="AL157" s="43"/>
      <c r="AM157" s="74" t="s">
        <v>1212</v>
      </c>
      <c r="AN157" s="43" t="s">
        <v>1213</v>
      </c>
      <c r="AO157" s="65" t="n">
        <v>44755</v>
      </c>
      <c r="AP157" s="43"/>
      <c r="AQ157" s="66" t="s">
        <v>1214</v>
      </c>
      <c r="AR157" s="64"/>
    </row>
    <row r="158" customFormat="false" ht="12.75" hidden="false" customHeight="false" outlineLevel="0" collapsed="false">
      <c r="A158" s="26" t="n">
        <v>157</v>
      </c>
      <c r="B158" s="43" t="s">
        <v>1215</v>
      </c>
      <c r="C158" s="43" t="s">
        <v>165</v>
      </c>
      <c r="D158" s="28" t="s">
        <v>46</v>
      </c>
      <c r="E158" s="43" t="n">
        <v>6.7</v>
      </c>
      <c r="F158" s="43" t="n">
        <v>1.2</v>
      </c>
      <c r="G158" s="43" t="n">
        <v>108</v>
      </c>
      <c r="H158" s="43" t="n">
        <v>2019</v>
      </c>
      <c r="I158" s="43" t="s">
        <v>96</v>
      </c>
      <c r="J158" s="43" t="s">
        <v>74</v>
      </c>
      <c r="K158" s="30" t="s">
        <v>1216</v>
      </c>
      <c r="L158" s="28"/>
      <c r="M158" s="31" t="s">
        <v>1217</v>
      </c>
      <c r="N158" s="130" t="s">
        <v>179</v>
      </c>
      <c r="O158" s="28" t="s">
        <v>52</v>
      </c>
      <c r="P158" s="48" t="s">
        <v>327</v>
      </c>
      <c r="Q158" s="57" t="n">
        <v>7011</v>
      </c>
      <c r="R158" s="58" t="s">
        <v>171</v>
      </c>
      <c r="S158" s="69" t="n">
        <v>4131</v>
      </c>
      <c r="T158" s="35" t="s">
        <v>172</v>
      </c>
      <c r="U158" s="28" t="n">
        <v>421491.01</v>
      </c>
      <c r="V158" s="60" t="n">
        <v>27.790097</v>
      </c>
      <c r="W158" s="71" t="n">
        <f aca="false">3194648.08/28</f>
        <v>114094.574285714</v>
      </c>
      <c r="X158" s="112" t="n">
        <f aca="false">U158/V158</f>
        <v>15166.9499390376</v>
      </c>
      <c r="Y158" s="117" t="n">
        <f aca="false">223784.82/32/V158</f>
        <v>251.64631937053</v>
      </c>
      <c r="Z158" s="28" t="n">
        <v>4.23</v>
      </c>
      <c r="AA158" s="62" t="s">
        <v>80</v>
      </c>
      <c r="AB158" s="38" t="n">
        <v>43494</v>
      </c>
      <c r="AC158" s="38" t="n">
        <v>43670</v>
      </c>
      <c r="AD158" s="38" t="n">
        <v>43668</v>
      </c>
      <c r="AE158" s="50" t="n">
        <v>45494</v>
      </c>
      <c r="AF158" s="28" t="n">
        <f aca="false">YEAR(AE158)</f>
        <v>2024</v>
      </c>
      <c r="AG158" s="63" t="n">
        <f aca="false">X158/SUMIF($Z$2:$Z$380,Z158,$X$2:$X$380)*(VLOOKUP(Z158,'затраты по департаментам-2 '!$A$2:$C$182,2,FALSE())+VLOOKUP(Z158,'затраты по департаментам-2 '!$A$2:$C$182,3,FALSE()))</f>
        <v>9202.35183218582</v>
      </c>
      <c r="AH158" s="63" t="n">
        <f aca="false">W158/60</f>
        <v>1901.57623809524</v>
      </c>
      <c r="AI158" s="64" t="s">
        <v>81</v>
      </c>
      <c r="AJ158" s="63" t="s">
        <v>52</v>
      </c>
      <c r="AK158" s="119" t="n">
        <v>91886</v>
      </c>
      <c r="AL158" s="81" t="s">
        <v>1218</v>
      </c>
      <c r="AM158" s="78" t="s">
        <v>1219</v>
      </c>
      <c r="AN158" s="43" t="s">
        <v>1220</v>
      </c>
      <c r="AO158" s="65" t="n">
        <v>44412</v>
      </c>
      <c r="AP158" s="43"/>
      <c r="AQ158" s="66" t="s">
        <v>1221</v>
      </c>
      <c r="AR158" s="64"/>
    </row>
    <row r="159" customFormat="false" ht="14.25" hidden="false" customHeight="false" outlineLevel="0" collapsed="false">
      <c r="A159" s="26" t="n">
        <v>158</v>
      </c>
      <c r="B159" s="43" t="s">
        <v>1222</v>
      </c>
      <c r="C159" s="43" t="s">
        <v>165</v>
      </c>
      <c r="D159" s="28" t="s">
        <v>46</v>
      </c>
      <c r="E159" s="43" t="n">
        <v>6.7</v>
      </c>
      <c r="F159" s="43" t="n">
        <v>1.2</v>
      </c>
      <c r="G159" s="43" t="n">
        <v>108</v>
      </c>
      <c r="H159" s="43" t="n">
        <v>2019</v>
      </c>
      <c r="I159" s="43" t="s">
        <v>96</v>
      </c>
      <c r="J159" s="43" t="s">
        <v>74</v>
      </c>
      <c r="K159" s="30" t="s">
        <v>1223</v>
      </c>
      <c r="L159" s="28"/>
      <c r="M159" s="31" t="s">
        <v>1224</v>
      </c>
      <c r="N159" s="84" t="s">
        <v>179</v>
      </c>
      <c r="O159" s="57" t="s">
        <v>218</v>
      </c>
      <c r="P159" s="56" t="s">
        <v>327</v>
      </c>
      <c r="Q159" s="57" t="n">
        <v>7010</v>
      </c>
      <c r="R159" s="58" t="s">
        <v>171</v>
      </c>
      <c r="S159" s="69" t="n">
        <v>4131</v>
      </c>
      <c r="T159" s="35" t="s">
        <v>172</v>
      </c>
      <c r="U159" s="28" t="n">
        <v>421491.01</v>
      </c>
      <c r="V159" s="60" t="n">
        <v>27.790097</v>
      </c>
      <c r="W159" s="71" t="n">
        <f aca="false">3194648.08/28</f>
        <v>114094.574285714</v>
      </c>
      <c r="X159" s="112" t="n">
        <f aca="false">U159/V159</f>
        <v>15166.9499390376</v>
      </c>
      <c r="Y159" s="117" t="n">
        <f aca="false">223784.82/32/V159</f>
        <v>251.64631937053</v>
      </c>
      <c r="Z159" s="28" t="n">
        <v>4.23</v>
      </c>
      <c r="AA159" s="62" t="s">
        <v>80</v>
      </c>
      <c r="AB159" s="38" t="n">
        <v>43494</v>
      </c>
      <c r="AC159" s="38" t="n">
        <v>43670</v>
      </c>
      <c r="AD159" s="38" t="n">
        <v>43668</v>
      </c>
      <c r="AE159" s="50" t="n">
        <v>45494</v>
      </c>
      <c r="AF159" s="28" t="n">
        <f aca="false">YEAR(AE159)</f>
        <v>2024</v>
      </c>
      <c r="AG159" s="63" t="n">
        <f aca="false">X159/SUMIF($Z$2:$Z$380,Z159,$X$2:$X$380)*(VLOOKUP(Z159,'затраты по департаментам-2 '!$A$2:$C$182,2,FALSE())+VLOOKUP(Z159,'затраты по департаментам-2 '!$A$2:$C$182,3,FALSE()))</f>
        <v>9202.35183218582</v>
      </c>
      <c r="AH159" s="63" t="n">
        <f aca="false">W159/60</f>
        <v>1901.57623809524</v>
      </c>
      <c r="AI159" s="64" t="s">
        <v>81</v>
      </c>
      <c r="AJ159" s="63" t="s">
        <v>52</v>
      </c>
      <c r="AK159" s="119" t="n">
        <v>51502</v>
      </c>
      <c r="AL159" s="81" t="s">
        <v>1225</v>
      </c>
      <c r="AM159" s="78" t="s">
        <v>1226</v>
      </c>
      <c r="AN159" s="43" t="s">
        <v>1227</v>
      </c>
      <c r="AO159" s="65" t="n">
        <v>44449</v>
      </c>
      <c r="AP159" s="43"/>
      <c r="AQ159" s="66" t="s">
        <v>1228</v>
      </c>
      <c r="AR159" s="64"/>
    </row>
    <row r="160" customFormat="false" ht="14.25" hidden="false" customHeight="false" outlineLevel="0" collapsed="false">
      <c r="A160" s="26" t="n">
        <v>159</v>
      </c>
      <c r="B160" s="43" t="s">
        <v>1229</v>
      </c>
      <c r="C160" s="43" t="s">
        <v>165</v>
      </c>
      <c r="D160" s="28" t="s">
        <v>46</v>
      </c>
      <c r="E160" s="43" t="n">
        <v>6.7</v>
      </c>
      <c r="F160" s="43" t="n">
        <v>1.2</v>
      </c>
      <c r="G160" s="43" t="n">
        <v>108</v>
      </c>
      <c r="H160" s="43" t="n">
        <v>2019</v>
      </c>
      <c r="I160" s="43" t="s">
        <v>96</v>
      </c>
      <c r="J160" s="43" t="s">
        <v>74</v>
      </c>
      <c r="K160" s="30" t="s">
        <v>1230</v>
      </c>
      <c r="L160" s="57"/>
      <c r="M160" s="31" t="s">
        <v>1231</v>
      </c>
      <c r="N160" s="150" t="s">
        <v>168</v>
      </c>
      <c r="O160" s="57" t="s">
        <v>52</v>
      </c>
      <c r="P160" s="101" t="s">
        <v>832</v>
      </c>
      <c r="Q160" s="57" t="n">
        <v>9000</v>
      </c>
      <c r="R160" s="58" t="s">
        <v>92</v>
      </c>
      <c r="S160" s="57" t="n">
        <v>4140</v>
      </c>
      <c r="T160" s="35" t="s">
        <v>172</v>
      </c>
      <c r="U160" s="28" t="n">
        <v>421491.01</v>
      </c>
      <c r="V160" s="60" t="n">
        <v>27.790097</v>
      </c>
      <c r="W160" s="71" t="n">
        <f aca="false">3194648.08/28</f>
        <v>114094.574285714</v>
      </c>
      <c r="X160" s="112" t="n">
        <f aca="false">U160/V160</f>
        <v>15166.9499390376</v>
      </c>
      <c r="Y160" s="117" t="n">
        <f aca="false">223784.82/32/V160</f>
        <v>251.64631937053</v>
      </c>
      <c r="Z160" s="28" t="n">
        <v>4.23</v>
      </c>
      <c r="AA160" s="62" t="s">
        <v>80</v>
      </c>
      <c r="AB160" s="38" t="n">
        <v>43494</v>
      </c>
      <c r="AC160" s="38" t="n">
        <v>43670</v>
      </c>
      <c r="AD160" s="38" t="n">
        <v>43668</v>
      </c>
      <c r="AE160" s="50" t="n">
        <v>45494</v>
      </c>
      <c r="AF160" s="28" t="n">
        <f aca="false">YEAR(AE160)</f>
        <v>2024</v>
      </c>
      <c r="AG160" s="63" t="n">
        <f aca="false">X160/SUMIF($Z$2:$Z$380,Z160,$X$2:$X$380)*(VLOOKUP(Z160,'затраты по департаментам-2 '!$A$2:$C$182,2,FALSE())+VLOOKUP(Z160,'затраты по департаментам-2 '!$A$2:$C$182,3,FALSE()))</f>
        <v>9202.35183218582</v>
      </c>
      <c r="AH160" s="63" t="n">
        <f aca="false">W160/60</f>
        <v>1901.57623809524</v>
      </c>
      <c r="AI160" s="64" t="s">
        <v>81</v>
      </c>
      <c r="AJ160" s="63" t="s">
        <v>52</v>
      </c>
      <c r="AK160" s="119" t="n">
        <v>53383</v>
      </c>
      <c r="AL160" s="81" t="s">
        <v>1232</v>
      </c>
      <c r="AM160" s="78" t="s">
        <v>1233</v>
      </c>
      <c r="AN160" s="43" t="s">
        <v>1234</v>
      </c>
      <c r="AO160" s="65" t="n">
        <v>44419</v>
      </c>
      <c r="AP160" s="43"/>
      <c r="AQ160" s="66" t="s">
        <v>1235</v>
      </c>
      <c r="AR160" s="64"/>
    </row>
    <row r="161" customFormat="false" ht="14.25" hidden="false" customHeight="false" outlineLevel="0" collapsed="false">
      <c r="A161" s="26" t="n">
        <v>160</v>
      </c>
      <c r="B161" s="55" t="s">
        <v>1236</v>
      </c>
      <c r="C161" s="43" t="s">
        <v>165</v>
      </c>
      <c r="D161" s="28" t="s">
        <v>46</v>
      </c>
      <c r="E161" s="43" t="n">
        <v>6.7</v>
      </c>
      <c r="F161" s="43" t="n">
        <v>1.2</v>
      </c>
      <c r="G161" s="43" t="n">
        <v>108</v>
      </c>
      <c r="H161" s="43" t="n">
        <v>2019</v>
      </c>
      <c r="I161" s="43" t="s">
        <v>96</v>
      </c>
      <c r="J161" s="43" t="s">
        <v>74</v>
      </c>
      <c r="K161" s="30" t="s">
        <v>1237</v>
      </c>
      <c r="L161" s="28"/>
      <c r="M161" s="31" t="s">
        <v>1238</v>
      </c>
      <c r="N161" s="84" t="s">
        <v>179</v>
      </c>
      <c r="O161" s="28" t="s">
        <v>1239</v>
      </c>
      <c r="P161" s="56" t="s">
        <v>327</v>
      </c>
      <c r="Q161" s="57" t="n">
        <v>7050</v>
      </c>
      <c r="R161" s="58" t="s">
        <v>171</v>
      </c>
      <c r="S161" s="69" t="n">
        <v>4131</v>
      </c>
      <c r="T161" s="35" t="s">
        <v>172</v>
      </c>
      <c r="U161" s="28" t="n">
        <v>421491.01</v>
      </c>
      <c r="V161" s="60" t="n">
        <v>27.790097</v>
      </c>
      <c r="W161" s="71" t="n">
        <f aca="false">3194648.08/28</f>
        <v>114094.574285714</v>
      </c>
      <c r="X161" s="112" t="n">
        <f aca="false">U161/V161</f>
        <v>15166.9499390376</v>
      </c>
      <c r="Y161" s="117" t="n">
        <f aca="false">223784.82/32/V161</f>
        <v>251.64631937053</v>
      </c>
      <c r="Z161" s="28" t="n">
        <v>4.23</v>
      </c>
      <c r="AA161" s="62" t="s">
        <v>80</v>
      </c>
      <c r="AB161" s="38" t="n">
        <v>43494</v>
      </c>
      <c r="AC161" s="38" t="n">
        <v>43670</v>
      </c>
      <c r="AD161" s="38" t="n">
        <v>43668</v>
      </c>
      <c r="AE161" s="50" t="n">
        <v>45494</v>
      </c>
      <c r="AF161" s="28" t="n">
        <f aca="false">YEAR(AE161)</f>
        <v>2024</v>
      </c>
      <c r="AG161" s="63" t="n">
        <f aca="false">X161/SUMIF($Z$2:$Z$380,Z161,$X$2:$X$380)*(VLOOKUP(Z161,'затраты по департаментам-2 '!$A$2:$C$182,2,FALSE())+VLOOKUP(Z161,'затраты по департаментам-2 '!$A$2:$C$182,3,FALSE()))</f>
        <v>9202.35183218582</v>
      </c>
      <c r="AH161" s="63" t="n">
        <f aca="false">W161/60</f>
        <v>1901.57623809524</v>
      </c>
      <c r="AI161" s="64" t="s">
        <v>81</v>
      </c>
      <c r="AJ161" s="63" t="s">
        <v>52</v>
      </c>
      <c r="AK161" s="119" t="n">
        <v>81467</v>
      </c>
      <c r="AL161" s="81" t="s">
        <v>1240</v>
      </c>
      <c r="AM161" s="78" t="s">
        <v>1241</v>
      </c>
      <c r="AN161" s="43" t="s">
        <v>1242</v>
      </c>
      <c r="AO161" s="65" t="n">
        <v>44463</v>
      </c>
      <c r="AP161" s="43"/>
      <c r="AQ161" s="66" t="s">
        <v>1243</v>
      </c>
      <c r="AR161" s="64"/>
    </row>
    <row r="162" customFormat="false" ht="14.25" hidden="false" customHeight="false" outlineLevel="0" collapsed="false">
      <c r="A162" s="26" t="n">
        <v>161</v>
      </c>
      <c r="B162" s="43" t="s">
        <v>1244</v>
      </c>
      <c r="C162" s="43" t="s">
        <v>1245</v>
      </c>
      <c r="D162" s="28" t="s">
        <v>73</v>
      </c>
      <c r="E162" s="43" t="n">
        <v>6.8</v>
      </c>
      <c r="F162" s="43" t="n">
        <v>2</v>
      </c>
      <c r="G162" s="55" t="n">
        <v>158</v>
      </c>
      <c r="H162" s="43" t="n">
        <v>2019</v>
      </c>
      <c r="I162" s="43" t="s">
        <v>96</v>
      </c>
      <c r="J162" s="43" t="s">
        <v>74</v>
      </c>
      <c r="K162" s="30" t="s">
        <v>1246</v>
      </c>
      <c r="L162" s="35"/>
      <c r="M162" s="31" t="s">
        <v>1247</v>
      </c>
      <c r="N162" s="32" t="s">
        <v>1248</v>
      </c>
      <c r="O162" s="28" t="s">
        <v>100</v>
      </c>
      <c r="P162" s="48" t="s">
        <v>534</v>
      </c>
      <c r="Q162" s="87" t="n">
        <v>1000</v>
      </c>
      <c r="R162" s="58" t="s">
        <v>395</v>
      </c>
      <c r="S162" s="69" t="n">
        <v>5411</v>
      </c>
      <c r="T162" s="35" t="s">
        <v>79</v>
      </c>
      <c r="U162" s="28" t="n">
        <v>840629.66</v>
      </c>
      <c r="V162" s="60" t="n">
        <v>27.74096</v>
      </c>
      <c r="W162" s="71" t="n">
        <v>188663.64</v>
      </c>
      <c r="X162" s="112" t="n">
        <f aca="false">U162/V162</f>
        <v>30302.8323461048</v>
      </c>
      <c r="Y162" s="117" t="n">
        <f aca="false">14839.74/V162</f>
        <v>534.939670436784</v>
      </c>
      <c r="Z162" s="28" t="n">
        <v>4.24</v>
      </c>
      <c r="AA162" s="62" t="s">
        <v>80</v>
      </c>
      <c r="AB162" s="28" t="s">
        <v>1249</v>
      </c>
      <c r="AC162" s="38" t="n">
        <v>43671</v>
      </c>
      <c r="AD162" s="38" t="n">
        <v>43664</v>
      </c>
      <c r="AE162" s="50" t="n">
        <v>45491</v>
      </c>
      <c r="AF162" s="28" t="n">
        <f aca="false">YEAR(AE162)</f>
        <v>2024</v>
      </c>
      <c r="AG162" s="63" t="n">
        <f aca="false">X162/SUMIF($Z$2:$Z$380,Z162,$X$2:$X$380)*(VLOOKUP(Z162,'затраты по департаментам-2 '!$A$2:$C$182,2,FALSE())+VLOOKUP(Z162,'затраты по департаментам-2 '!$A$2:$C$182,3,FALSE()))</f>
        <v>19561.9948323346</v>
      </c>
      <c r="AH162" s="63" t="n">
        <f aca="false">W162/60</f>
        <v>3144.394</v>
      </c>
      <c r="AI162" s="64" t="s">
        <v>81</v>
      </c>
      <c r="AJ162" s="63" t="s">
        <v>100</v>
      </c>
      <c r="AK162" s="119" t="n">
        <v>87622475</v>
      </c>
      <c r="AL162" s="43"/>
      <c r="AM162" s="74" t="s">
        <v>1250</v>
      </c>
      <c r="AN162" s="43" t="s">
        <v>1251</v>
      </c>
      <c r="AO162" s="65" t="n">
        <v>44775</v>
      </c>
      <c r="AP162" s="43"/>
      <c r="AQ162" s="66" t="s">
        <v>1252</v>
      </c>
      <c r="AR162" s="64"/>
    </row>
    <row r="163" customFormat="false" ht="14.25" hidden="false" customHeight="false" outlineLevel="0" collapsed="false">
      <c r="A163" s="26" t="n">
        <v>162</v>
      </c>
      <c r="B163" s="43" t="s">
        <v>1253</v>
      </c>
      <c r="C163" s="43" t="s">
        <v>95</v>
      </c>
      <c r="D163" s="70" t="s">
        <v>46</v>
      </c>
      <c r="E163" s="55" t="n">
        <v>10.2</v>
      </c>
      <c r="F163" s="55" t="n">
        <v>1.8</v>
      </c>
      <c r="G163" s="43" t="n">
        <v>160</v>
      </c>
      <c r="H163" s="43" t="n">
        <v>2019</v>
      </c>
      <c r="I163" s="43" t="s">
        <v>96</v>
      </c>
      <c r="J163" s="43" t="s">
        <v>74</v>
      </c>
      <c r="K163" s="30" t="s">
        <v>1254</v>
      </c>
      <c r="L163" s="35"/>
      <c r="M163" s="31" t="s">
        <v>1255</v>
      </c>
      <c r="N163" s="32" t="s">
        <v>1256</v>
      </c>
      <c r="O163" s="28" t="s">
        <v>100</v>
      </c>
      <c r="P163" s="56" t="s">
        <v>660</v>
      </c>
      <c r="Q163" s="57" t="n">
        <v>1000</v>
      </c>
      <c r="R163" s="58" t="s">
        <v>122</v>
      </c>
      <c r="S163" s="69" t="n">
        <v>4190</v>
      </c>
      <c r="T163" s="35" t="s">
        <v>102</v>
      </c>
      <c r="U163" s="28" t="n">
        <v>1043973.51</v>
      </c>
      <c r="V163" s="60" t="n">
        <v>26.716488</v>
      </c>
      <c r="W163" s="71" t="n">
        <v>230523.6</v>
      </c>
      <c r="X163" s="112" t="n">
        <f aca="false">U163/V163</f>
        <v>39076.0009324579</v>
      </c>
      <c r="Y163" s="117" t="n">
        <f aca="false">17897.7/V163</f>
        <v>669.912153124318</v>
      </c>
      <c r="Z163" s="28" t="n">
        <v>4.25</v>
      </c>
      <c r="AA163" s="62" t="s">
        <v>80</v>
      </c>
      <c r="AB163" s="38" t="n">
        <v>43539</v>
      </c>
      <c r="AC163" s="38" t="n">
        <v>43726</v>
      </c>
      <c r="AD163" s="38" t="n">
        <v>43726</v>
      </c>
      <c r="AE163" s="38" t="n">
        <v>45552</v>
      </c>
      <c r="AF163" s="28" t="n">
        <f aca="false">YEAR(AE163)</f>
        <v>2024</v>
      </c>
      <c r="AG163" s="63" t="n">
        <f aca="false">X163/SUMIF($Z$2:$Z$380,Z163,$X$2:$X$380)*(VLOOKUP(Z163,'затраты по департаментам-2 '!$A$2:$C$182,2,FALSE())+VLOOKUP(Z163,'затраты по департаментам-2 '!$A$2:$C$182,3,FALSE()))</f>
        <v>24497.7495627419</v>
      </c>
      <c r="AH163" s="63" t="n">
        <f aca="false">W163/60</f>
        <v>3842.06</v>
      </c>
      <c r="AI163" s="64" t="s">
        <v>81</v>
      </c>
      <c r="AJ163" s="63" t="s">
        <v>100</v>
      </c>
      <c r="AK163" s="119" t="n">
        <v>89041018</v>
      </c>
      <c r="AL163" s="43"/>
      <c r="AM163" s="74" t="s">
        <v>1257</v>
      </c>
      <c r="AN163" s="43" t="s">
        <v>1258</v>
      </c>
      <c r="AO163" s="65" t="n">
        <v>44783</v>
      </c>
      <c r="AP163" s="43"/>
      <c r="AQ163" s="66" t="s">
        <v>1259</v>
      </c>
      <c r="AR163" s="64"/>
    </row>
    <row r="164" customFormat="false" ht="15" hidden="false" customHeight="true" outlineLevel="0" collapsed="false">
      <c r="A164" s="26" t="n">
        <v>163</v>
      </c>
      <c r="B164" s="43" t="s">
        <v>1260</v>
      </c>
      <c r="C164" s="43" t="s">
        <v>445</v>
      </c>
      <c r="D164" s="28" t="s">
        <v>73</v>
      </c>
      <c r="E164" s="43" t="n">
        <v>5.5</v>
      </c>
      <c r="F164" s="43" t="n">
        <v>1.6</v>
      </c>
      <c r="G164" s="26" t="n">
        <v>95</v>
      </c>
      <c r="H164" s="43" t="n">
        <v>2019</v>
      </c>
      <c r="I164" s="43" t="s">
        <v>96</v>
      </c>
      <c r="J164" s="43" t="s">
        <v>74</v>
      </c>
      <c r="K164" s="30" t="s">
        <v>1261</v>
      </c>
      <c r="L164" s="35"/>
      <c r="M164" s="31" t="s">
        <v>1262</v>
      </c>
      <c r="N164" s="48" t="s">
        <v>1263</v>
      </c>
      <c r="O164" s="28" t="s">
        <v>100</v>
      </c>
      <c r="P164" s="48" t="s">
        <v>383</v>
      </c>
      <c r="Q164" s="57" t="n">
        <v>1000</v>
      </c>
      <c r="R164" s="58" t="s">
        <v>53</v>
      </c>
      <c r="S164" s="69" t="n">
        <v>3690</v>
      </c>
      <c r="T164" s="59" t="s">
        <v>421</v>
      </c>
      <c r="U164" s="28" t="n">
        <v>659296.43</v>
      </c>
      <c r="V164" s="60" t="n">
        <v>27.790097</v>
      </c>
      <c r="W164" s="71" t="n">
        <v>154782.49</v>
      </c>
      <c r="X164" s="112" t="n">
        <f aca="false">U164/V164</f>
        <v>23724.1500092641</v>
      </c>
      <c r="Y164" s="112" t="n">
        <f aca="false">11443.38/V164</f>
        <v>411.779059281441</v>
      </c>
      <c r="Z164" s="28" t="n">
        <v>4.26</v>
      </c>
      <c r="AA164" s="62" t="s">
        <v>80</v>
      </c>
      <c r="AB164" s="38" t="n">
        <v>43494</v>
      </c>
      <c r="AC164" s="38" t="n">
        <v>43692</v>
      </c>
      <c r="AD164" s="38" t="n">
        <v>43690</v>
      </c>
      <c r="AE164" s="38" t="n">
        <v>45516</v>
      </c>
      <c r="AF164" s="28" t="n">
        <f aca="false">YEAR(AE164)</f>
        <v>2024</v>
      </c>
      <c r="AG164" s="63" t="n">
        <f aca="false">X164/SUMIF($Z$2:$Z$380,Z164,$X$2:$X$380)*(VLOOKUP(Z164,'затраты по департаментам-2 '!$A$2:$C$182,2,FALSE())+VLOOKUP(Z164,'затраты по департаментам-2 '!$A$2:$C$182,3,FALSE()))</f>
        <v>15058.1837072393</v>
      </c>
      <c r="AH164" s="63" t="n">
        <f aca="false">W164/60</f>
        <v>2579.70816666667</v>
      </c>
      <c r="AI164" s="64" t="s">
        <v>81</v>
      </c>
      <c r="AJ164" s="63" t="s">
        <v>100</v>
      </c>
      <c r="AK164" s="147" t="n">
        <v>90277</v>
      </c>
      <c r="AL164" s="43"/>
      <c r="AM164" s="78" t="s">
        <v>1264</v>
      </c>
      <c r="AN164" s="43" t="s">
        <v>1265</v>
      </c>
      <c r="AO164" s="65" t="n">
        <v>44433</v>
      </c>
      <c r="AP164" s="43"/>
      <c r="AQ164" s="66" t="s">
        <v>1266</v>
      </c>
      <c r="AR164" s="64"/>
    </row>
    <row r="165" customFormat="false" ht="14.25" hidden="false" customHeight="false" outlineLevel="0" collapsed="false">
      <c r="A165" s="26" t="n">
        <v>164</v>
      </c>
      <c r="B165" s="125" t="s">
        <v>1267</v>
      </c>
      <c r="C165" s="43" t="s">
        <v>390</v>
      </c>
      <c r="D165" s="28" t="s">
        <v>73</v>
      </c>
      <c r="E165" s="43" t="n">
        <v>5.5</v>
      </c>
      <c r="F165" s="43" t="n">
        <v>1.6</v>
      </c>
      <c r="G165" s="26" t="n">
        <v>95</v>
      </c>
      <c r="H165" s="43" t="n">
        <v>2019</v>
      </c>
      <c r="I165" s="43" t="s">
        <v>96</v>
      </c>
      <c r="J165" s="43" t="s">
        <v>74</v>
      </c>
      <c r="K165" s="151" t="s">
        <v>1268</v>
      </c>
      <c r="L165" s="35"/>
      <c r="M165" s="31" t="s">
        <v>1269</v>
      </c>
      <c r="N165" s="92" t="s">
        <v>438</v>
      </c>
      <c r="O165" s="57" t="s">
        <v>218</v>
      </c>
      <c r="P165" s="56" t="s">
        <v>1030</v>
      </c>
      <c r="Q165" s="87" t="n">
        <v>1000</v>
      </c>
      <c r="R165" s="58" t="s">
        <v>189</v>
      </c>
      <c r="S165" s="69" t="n">
        <v>4171</v>
      </c>
      <c r="T165" s="59" t="s">
        <v>123</v>
      </c>
      <c r="U165" s="71" t="n">
        <v>529688.4</v>
      </c>
      <c r="V165" s="60" t="n">
        <v>26.368202</v>
      </c>
      <c r="W165" s="71" t="n">
        <v>134922.93</v>
      </c>
      <c r="X165" s="112" t="n">
        <f aca="false">U165/V165</f>
        <v>20088.1501135345</v>
      </c>
      <c r="Y165" s="112" t="n">
        <f aca="false">9551.04/V165</f>
        <v>362.218098905644</v>
      </c>
      <c r="Z165" s="28" t="n">
        <v>4.27</v>
      </c>
      <c r="AA165" s="62" t="s">
        <v>80</v>
      </c>
      <c r="AB165" s="38" t="n">
        <v>43605</v>
      </c>
      <c r="AC165" s="38" t="n">
        <v>43733</v>
      </c>
      <c r="AD165" s="38" t="n">
        <v>43726</v>
      </c>
      <c r="AE165" s="38" t="n">
        <v>45552</v>
      </c>
      <c r="AF165" s="28" t="n">
        <f aca="false">YEAR(AE165)</f>
        <v>2024</v>
      </c>
      <c r="AG165" s="63" t="n">
        <f aca="false">X165/SUMIF($Z$2:$Z$380,Z165,$X$2:$X$380)*(VLOOKUP(Z165,'затраты по департаментам-2 '!$A$2:$C$182,2,FALSE())+VLOOKUP(Z165,'затраты по департаментам-2 '!$A$2:$C$182,3,FALSE()))</f>
        <v>13245.8</v>
      </c>
      <c r="AH165" s="63" t="n">
        <f aca="false">W165/60</f>
        <v>2248.7155</v>
      </c>
      <c r="AI165" s="64" t="s">
        <v>81</v>
      </c>
      <c r="AJ165" s="63" t="s">
        <v>52</v>
      </c>
      <c r="AK165" s="106" t="n">
        <v>40978</v>
      </c>
      <c r="AL165" s="43"/>
      <c r="AM165" s="152" t="s">
        <v>1270</v>
      </c>
      <c r="AN165" s="43" t="s">
        <v>1271</v>
      </c>
      <c r="AO165" s="65" t="n">
        <v>44037</v>
      </c>
      <c r="AQ165" s="66" t="s">
        <v>1272</v>
      </c>
      <c r="AR165" s="64"/>
    </row>
    <row r="166" customFormat="false" ht="14.25" hidden="false" customHeight="false" outlineLevel="0" collapsed="false">
      <c r="A166" s="26" t="n">
        <v>165</v>
      </c>
      <c r="B166" s="43" t="s">
        <v>1273</v>
      </c>
      <c r="C166" s="43" t="s">
        <v>390</v>
      </c>
      <c r="D166" s="28" t="s">
        <v>73</v>
      </c>
      <c r="E166" s="43" t="n">
        <v>5.5</v>
      </c>
      <c r="F166" s="43" t="n">
        <v>1.6</v>
      </c>
      <c r="G166" s="26" t="n">
        <v>95</v>
      </c>
      <c r="H166" s="43" t="n">
        <v>2019</v>
      </c>
      <c r="I166" s="43" t="s">
        <v>96</v>
      </c>
      <c r="J166" s="43" t="s">
        <v>74</v>
      </c>
      <c r="K166" s="30" t="s">
        <v>1274</v>
      </c>
      <c r="L166" s="35"/>
      <c r="M166" s="31" t="s">
        <v>1275</v>
      </c>
      <c r="N166" s="32" t="s">
        <v>1276</v>
      </c>
      <c r="O166" s="28" t="s">
        <v>60</v>
      </c>
      <c r="P166" s="56" t="s">
        <v>1277</v>
      </c>
      <c r="Q166" s="87" t="n">
        <v>6000</v>
      </c>
      <c r="R166" s="58" t="s">
        <v>53</v>
      </c>
      <c r="S166" s="69" t="n">
        <v>3511</v>
      </c>
      <c r="T166" s="59" t="s">
        <v>123</v>
      </c>
      <c r="U166" s="28" t="n">
        <v>558251.64</v>
      </c>
      <c r="V166" s="60" t="n">
        <v>27.790097</v>
      </c>
      <c r="W166" s="71" t="n">
        <f aca="false">269775.8/2</f>
        <v>134887.9</v>
      </c>
      <c r="X166" s="112" t="n">
        <f aca="false">U166/V166</f>
        <v>20088.1501061331</v>
      </c>
      <c r="Y166" s="112" t="n">
        <f aca="false">40260.3/V166/4</f>
        <v>362.182075147129</v>
      </c>
      <c r="Z166" s="146" t="s">
        <v>1278</v>
      </c>
      <c r="AA166" s="62" t="s">
        <v>80</v>
      </c>
      <c r="AB166" s="38" t="n">
        <v>43494</v>
      </c>
      <c r="AC166" s="38" t="n">
        <v>43726</v>
      </c>
      <c r="AD166" s="38" t="n">
        <v>43726</v>
      </c>
      <c r="AE166" s="38" t="n">
        <v>45552</v>
      </c>
      <c r="AF166" s="28" t="n">
        <f aca="false">YEAR(AE166)</f>
        <v>2024</v>
      </c>
      <c r="AG166" s="63" t="n">
        <f aca="false">X166/SUMIF($Z$2:$Z$380,Z166,$X$2:$X$380)*(VLOOKUP(Z166,'затраты по департаментам-2 '!$A$2:$C$182,2,FALSE())+VLOOKUP(Z166,'затраты по департаментам-2 '!$A$2:$C$182,3,FALSE()))</f>
        <v>13245.2612265441</v>
      </c>
      <c r="AH166" s="63" t="n">
        <f aca="false">W166/60</f>
        <v>2248.13166666667</v>
      </c>
      <c r="AI166" s="64" t="s">
        <v>112</v>
      </c>
      <c r="AJ166" s="63" t="s">
        <v>60</v>
      </c>
      <c r="AK166" s="43" t="n">
        <v>84281</v>
      </c>
      <c r="AL166" s="43"/>
      <c r="AM166" s="78" t="s">
        <v>1279</v>
      </c>
      <c r="AN166" s="43" t="s">
        <v>1280</v>
      </c>
      <c r="AO166" s="65" t="n">
        <v>44468</v>
      </c>
      <c r="AP166" s="43"/>
      <c r="AQ166" s="66" t="s">
        <v>1281</v>
      </c>
      <c r="AR166" s="64"/>
    </row>
    <row r="167" customFormat="false" ht="14.25" hidden="false" customHeight="false" outlineLevel="0" collapsed="false">
      <c r="A167" s="26" t="n">
        <v>166</v>
      </c>
      <c r="B167" s="43" t="s">
        <v>1282</v>
      </c>
      <c r="C167" s="43" t="s">
        <v>390</v>
      </c>
      <c r="D167" s="28" t="s">
        <v>73</v>
      </c>
      <c r="E167" s="43" t="n">
        <v>5.5</v>
      </c>
      <c r="F167" s="43" t="n">
        <v>1.6</v>
      </c>
      <c r="G167" s="120" t="n">
        <v>95</v>
      </c>
      <c r="H167" s="43" t="n">
        <v>2019</v>
      </c>
      <c r="I167" s="43" t="s">
        <v>96</v>
      </c>
      <c r="J167" s="43" t="s">
        <v>74</v>
      </c>
      <c r="K167" s="30" t="s">
        <v>1283</v>
      </c>
      <c r="L167" s="35"/>
      <c r="M167" s="31" t="s">
        <v>1284</v>
      </c>
      <c r="N167" s="32" t="s">
        <v>1285</v>
      </c>
      <c r="O167" s="48" t="s">
        <v>100</v>
      </c>
      <c r="P167" s="28" t="s">
        <v>1286</v>
      </c>
      <c r="Q167" s="100" t="n">
        <v>9000</v>
      </c>
      <c r="R167" s="89" t="s">
        <v>189</v>
      </c>
      <c r="S167" s="69" t="n">
        <v>4170</v>
      </c>
      <c r="T167" s="59" t="s">
        <v>123</v>
      </c>
      <c r="U167" s="28" t="n">
        <v>558251.64</v>
      </c>
      <c r="V167" s="60" t="n">
        <v>27.790097</v>
      </c>
      <c r="W167" s="71" t="n">
        <f aca="false">269775.8/2</f>
        <v>134887.9</v>
      </c>
      <c r="X167" s="112" t="n">
        <f aca="false">U167/V167</f>
        <v>20088.1501061331</v>
      </c>
      <c r="Y167" s="112" t="n">
        <f aca="false">40260.3/V167/4</f>
        <v>362.182075147129</v>
      </c>
      <c r="Z167" s="146" t="s">
        <v>1278</v>
      </c>
      <c r="AA167" s="62" t="s">
        <v>80</v>
      </c>
      <c r="AB167" s="38" t="n">
        <v>43494</v>
      </c>
      <c r="AC167" s="38" t="n">
        <v>43726</v>
      </c>
      <c r="AD167" s="38" t="n">
        <v>43726</v>
      </c>
      <c r="AE167" s="38" t="n">
        <v>45552</v>
      </c>
      <c r="AF167" s="28" t="n">
        <f aca="false">YEAR(AE167)</f>
        <v>2024</v>
      </c>
      <c r="AG167" s="63" t="n">
        <f aca="false">X167/SUMIF($Z$2:$Z$380,Z167,$X$2:$X$380)*(VLOOKUP(Z167,'затраты по департаментам-2 '!$A$2:$C$182,2,FALSE())+VLOOKUP(Z167,'затраты по департаментам-2 '!$A$2:$C$182,3,FALSE()))</f>
        <v>13245.2612265441</v>
      </c>
      <c r="AH167" s="63" t="n">
        <f aca="false">W167/60</f>
        <v>2248.13166666667</v>
      </c>
      <c r="AI167" s="64" t="s">
        <v>81</v>
      </c>
      <c r="AJ167" s="63" t="s">
        <v>100</v>
      </c>
      <c r="AK167" s="43" t="n">
        <v>41471</v>
      </c>
      <c r="AL167" s="43"/>
      <c r="AM167" s="74" t="s">
        <v>1287</v>
      </c>
      <c r="AN167" s="43" t="s">
        <v>1288</v>
      </c>
      <c r="AO167" s="65" t="n">
        <v>44852</v>
      </c>
      <c r="AP167" s="43"/>
      <c r="AQ167" s="64" t="s">
        <v>1289</v>
      </c>
      <c r="AR167" s="64"/>
    </row>
    <row r="168" customFormat="false" ht="14.25" hidden="false" customHeight="false" outlineLevel="0" collapsed="false">
      <c r="A168" s="26" t="n">
        <v>167</v>
      </c>
      <c r="B168" s="43" t="s">
        <v>1290</v>
      </c>
      <c r="C168" s="43" t="s">
        <v>1291</v>
      </c>
      <c r="D168" s="28" t="s">
        <v>73</v>
      </c>
      <c r="E168" s="2" t="n">
        <v>5.3</v>
      </c>
      <c r="F168" s="43" t="n">
        <v>1.5</v>
      </c>
      <c r="G168" s="43" t="n">
        <v>113</v>
      </c>
      <c r="H168" s="43" t="n">
        <v>2020</v>
      </c>
      <c r="I168" s="43" t="s">
        <v>1292</v>
      </c>
      <c r="J168" s="43" t="s">
        <v>74</v>
      </c>
      <c r="K168" s="30" t="s">
        <v>1293</v>
      </c>
      <c r="L168" s="28"/>
      <c r="M168" s="31" t="s">
        <v>1294</v>
      </c>
      <c r="N168" s="84" t="s">
        <v>412</v>
      </c>
      <c r="O168" s="28" t="s">
        <v>313</v>
      </c>
      <c r="P168" s="56" t="s">
        <v>298</v>
      </c>
      <c r="Q168" s="57" t="n">
        <v>1000</v>
      </c>
      <c r="R168" s="58" t="s">
        <v>189</v>
      </c>
      <c r="S168" s="69" t="n">
        <v>4173</v>
      </c>
      <c r="T168" s="59" t="s">
        <v>123</v>
      </c>
      <c r="U168" s="71" t="n">
        <v>457128.22</v>
      </c>
      <c r="V168" s="60" t="n">
        <v>24.4431</v>
      </c>
      <c r="W168" s="71" t="n">
        <f aca="false">392930.88/3</f>
        <v>130976.96</v>
      </c>
      <c r="X168" s="112" t="n">
        <f aca="false">U168/V168</f>
        <v>18701.7285041586</v>
      </c>
      <c r="Y168" s="112" t="n">
        <f aca="false">22641.36/V168/3</f>
        <v>308.762800135826</v>
      </c>
      <c r="Z168" s="28" t="n">
        <v>5.1</v>
      </c>
      <c r="AA168" s="62" t="s">
        <v>80</v>
      </c>
      <c r="AB168" s="38" t="n">
        <v>43880</v>
      </c>
      <c r="AC168" s="38" t="n">
        <v>43995</v>
      </c>
      <c r="AD168" s="38" t="n">
        <v>43994</v>
      </c>
      <c r="AE168" s="50" t="n">
        <v>45819</v>
      </c>
      <c r="AF168" s="28" t="n">
        <f aca="false">YEAR(AE168)</f>
        <v>2025</v>
      </c>
      <c r="AG168" s="63" t="n">
        <f aca="false">X168/SUMIF($Z$2:$Z$380,Z168,$X$2:$X$380)*(VLOOKUP(Z168,'затраты по департаментам-2 '!$A$2:$C$182,2,FALSE())+VLOOKUP(Z168,'затраты по департаментам-2 '!$A$2:$C$182,3,FALSE()))</f>
        <v>11291.023333047</v>
      </c>
      <c r="AH168" s="153" t="n">
        <f aca="false">W168/60</f>
        <v>2182.94933333333</v>
      </c>
      <c r="AI168" s="64" t="s">
        <v>81</v>
      </c>
      <c r="AJ168" s="63" t="s">
        <v>82</v>
      </c>
      <c r="AK168" s="43" t="n">
        <v>134282</v>
      </c>
      <c r="AL168" s="43"/>
      <c r="AM168" s="44" t="s">
        <v>1295</v>
      </c>
      <c r="AN168" s="74" t="s">
        <v>1296</v>
      </c>
      <c r="AO168" s="65" t="n">
        <v>44889</v>
      </c>
      <c r="AP168" s="43" t="s">
        <v>1297</v>
      </c>
      <c r="AQ168" s="66" t="s">
        <v>1298</v>
      </c>
      <c r="AR168" s="64"/>
    </row>
    <row r="169" customFormat="false" ht="13.5" hidden="false" customHeight="true" outlineLevel="0" collapsed="false">
      <c r="A169" s="26" t="n">
        <v>168</v>
      </c>
      <c r="B169" s="43" t="s">
        <v>1299</v>
      </c>
      <c r="C169" s="43" t="s">
        <v>1291</v>
      </c>
      <c r="D169" s="28" t="s">
        <v>73</v>
      </c>
      <c r="E169" s="2" t="n">
        <v>5.3</v>
      </c>
      <c r="F169" s="43" t="n">
        <v>1.5</v>
      </c>
      <c r="G169" s="43" t="n">
        <v>113</v>
      </c>
      <c r="H169" s="43" t="n">
        <v>2020</v>
      </c>
      <c r="I169" s="43" t="s">
        <v>1292</v>
      </c>
      <c r="J169" s="43" t="s">
        <v>74</v>
      </c>
      <c r="K169" s="30" t="s">
        <v>1300</v>
      </c>
      <c r="L169" s="35"/>
      <c r="M169" s="31" t="s">
        <v>1301</v>
      </c>
      <c r="N169" s="97" t="s">
        <v>412</v>
      </c>
      <c r="O169" s="57" t="s">
        <v>100</v>
      </c>
      <c r="P169" s="48" t="s">
        <v>298</v>
      </c>
      <c r="Q169" s="57" t="n">
        <v>1000</v>
      </c>
      <c r="R169" s="58" t="s">
        <v>189</v>
      </c>
      <c r="S169" s="69" t="n">
        <v>4173</v>
      </c>
      <c r="T169" s="69" t="s">
        <v>123</v>
      </c>
      <c r="U169" s="71" t="n">
        <v>457128.22</v>
      </c>
      <c r="V169" s="60" t="n">
        <v>24.4431</v>
      </c>
      <c r="W169" s="71" t="n">
        <f aca="false">392930.88/3</f>
        <v>130976.96</v>
      </c>
      <c r="X169" s="112" t="n">
        <f aca="false">U169/V169</f>
        <v>18701.7285041586</v>
      </c>
      <c r="Y169" s="112" t="n">
        <f aca="false">22641.36/V169/3</f>
        <v>308.762800135826</v>
      </c>
      <c r="Z169" s="28" t="n">
        <v>5.1</v>
      </c>
      <c r="AA169" s="62" t="s">
        <v>80</v>
      </c>
      <c r="AB169" s="38" t="n">
        <v>43880</v>
      </c>
      <c r="AC169" s="38" t="n">
        <v>43995</v>
      </c>
      <c r="AD169" s="38" t="n">
        <v>43994</v>
      </c>
      <c r="AE169" s="50" t="n">
        <v>45819</v>
      </c>
      <c r="AF169" s="28" t="n">
        <f aca="false">YEAR(AE169)</f>
        <v>2025</v>
      </c>
      <c r="AG169" s="63" t="n">
        <f aca="false">X169/SUMIF($Z$2:$Z$380,Z169,$X$2:$X$380)*(VLOOKUP(Z169,'затраты по департаментам-2 '!$A$2:$C$182,2,FALSE())+VLOOKUP(Z169,'затраты по департаментам-2 '!$A$2:$C$182,3,FALSE()))</f>
        <v>11291.023333047</v>
      </c>
      <c r="AH169" s="153" t="n">
        <f aca="false">W169/60</f>
        <v>2182.94933333333</v>
      </c>
      <c r="AI169" s="64" t="s">
        <v>81</v>
      </c>
      <c r="AJ169" s="63" t="s">
        <v>100</v>
      </c>
      <c r="AK169" s="43" t="n">
        <v>137509</v>
      </c>
      <c r="AL169" s="43"/>
      <c r="AM169" s="44" t="s">
        <v>1302</v>
      </c>
      <c r="AN169" s="74" t="s">
        <v>1303</v>
      </c>
      <c r="AO169" s="65" t="n">
        <v>44714</v>
      </c>
      <c r="AP169" s="43" t="s">
        <v>1304</v>
      </c>
      <c r="AQ169" s="66" t="s">
        <v>1305</v>
      </c>
      <c r="AR169" s="64"/>
    </row>
    <row r="170" customFormat="false" ht="14.25" hidden="false" customHeight="false" outlineLevel="0" collapsed="false">
      <c r="A170" s="26" t="n">
        <v>169</v>
      </c>
      <c r="B170" s="43" t="s">
        <v>1306</v>
      </c>
      <c r="C170" s="43" t="s">
        <v>1291</v>
      </c>
      <c r="D170" s="28" t="s">
        <v>73</v>
      </c>
      <c r="E170" s="2" t="n">
        <v>5.3</v>
      </c>
      <c r="F170" s="43" t="n">
        <v>1.5</v>
      </c>
      <c r="G170" s="43" t="n">
        <v>113</v>
      </c>
      <c r="H170" s="43" t="n">
        <v>2020</v>
      </c>
      <c r="I170" s="43" t="s">
        <v>1292</v>
      </c>
      <c r="J170" s="43" t="s">
        <v>74</v>
      </c>
      <c r="K170" s="30" t="s">
        <v>1307</v>
      </c>
      <c r="L170" s="35"/>
      <c r="M170" s="31" t="s">
        <v>1308</v>
      </c>
      <c r="N170" s="92" t="s">
        <v>1309</v>
      </c>
      <c r="O170" s="28" t="s">
        <v>100</v>
      </c>
      <c r="P170" s="56" t="s">
        <v>1310</v>
      </c>
      <c r="Q170" s="57" t="n">
        <v>1000</v>
      </c>
      <c r="R170" s="58" t="s">
        <v>1311</v>
      </c>
      <c r="S170" s="69" t="n">
        <v>4140</v>
      </c>
      <c r="T170" s="59" t="s">
        <v>123</v>
      </c>
      <c r="U170" s="71" t="n">
        <v>457128.22</v>
      </c>
      <c r="V170" s="60" t="n">
        <v>24.4431</v>
      </c>
      <c r="W170" s="71" t="n">
        <f aca="false">392930.88/3</f>
        <v>130976.96</v>
      </c>
      <c r="X170" s="112" t="n">
        <f aca="false">U170/V170</f>
        <v>18701.7285041586</v>
      </c>
      <c r="Y170" s="112" t="n">
        <f aca="false">22641.36/V170/3</f>
        <v>308.762800135826</v>
      </c>
      <c r="Z170" s="28" t="n">
        <v>5.1</v>
      </c>
      <c r="AA170" s="62" t="s">
        <v>80</v>
      </c>
      <c r="AB170" s="38" t="n">
        <v>43880</v>
      </c>
      <c r="AC170" s="38" t="n">
        <v>43995</v>
      </c>
      <c r="AD170" s="38" t="n">
        <v>43994</v>
      </c>
      <c r="AE170" s="50" t="n">
        <v>45819</v>
      </c>
      <c r="AF170" s="28" t="n">
        <f aca="false">YEAR(AE170)</f>
        <v>2025</v>
      </c>
      <c r="AG170" s="63" t="n">
        <f aca="false">X170/SUMIF($Z$2:$Z$380,Z170,$X$2:$X$380)*(VLOOKUP(Z170,'затраты по департаментам-2 '!$A$2:$C$182,2,FALSE())+VLOOKUP(Z170,'затраты по департаментам-2 '!$A$2:$C$182,3,FALSE()))</f>
        <v>11291.023333047</v>
      </c>
      <c r="AH170" s="153" t="n">
        <f aca="false">W170/60</f>
        <v>2182.94933333333</v>
      </c>
      <c r="AI170" s="64" t="s">
        <v>81</v>
      </c>
      <c r="AJ170" s="63" t="s">
        <v>100</v>
      </c>
      <c r="AK170" s="43" t="n">
        <v>137699</v>
      </c>
      <c r="AL170" s="43"/>
      <c r="AM170" s="44" t="s">
        <v>1312</v>
      </c>
      <c r="AN170" s="74" t="s">
        <v>1313</v>
      </c>
      <c r="AO170" s="65" t="n">
        <v>44714</v>
      </c>
      <c r="AP170" s="43" t="s">
        <v>1314</v>
      </c>
      <c r="AQ170" s="66" t="s">
        <v>1315</v>
      </c>
      <c r="AR170" s="64"/>
    </row>
    <row r="171" customFormat="false" ht="14.25" hidden="false" customHeight="false" outlineLevel="0" collapsed="false">
      <c r="A171" s="26" t="n">
        <v>170</v>
      </c>
      <c r="B171" s="43" t="s">
        <v>1316</v>
      </c>
      <c r="C171" s="43" t="s">
        <v>1291</v>
      </c>
      <c r="D171" s="28" t="s">
        <v>73</v>
      </c>
      <c r="E171" s="2" t="n">
        <v>5.3</v>
      </c>
      <c r="F171" s="43" t="n">
        <v>1.5</v>
      </c>
      <c r="G171" s="43" t="n">
        <v>113</v>
      </c>
      <c r="H171" s="43" t="n">
        <v>2020</v>
      </c>
      <c r="I171" s="43" t="s">
        <v>1292</v>
      </c>
      <c r="J171" s="43" t="s">
        <v>74</v>
      </c>
      <c r="K171" s="30" t="s">
        <v>1317</v>
      </c>
      <c r="L171" s="69"/>
      <c r="M171" s="31" t="s">
        <v>1318</v>
      </c>
      <c r="N171" s="154" t="s">
        <v>1319</v>
      </c>
      <c r="O171" s="93" t="s">
        <v>100</v>
      </c>
      <c r="P171" s="56" t="s">
        <v>1320</v>
      </c>
      <c r="Q171" s="87" t="n">
        <v>1000</v>
      </c>
      <c r="R171" s="58" t="s">
        <v>457</v>
      </c>
      <c r="S171" s="69" t="n">
        <v>5210</v>
      </c>
      <c r="T171" s="59" t="s">
        <v>123</v>
      </c>
      <c r="U171" s="71" t="n">
        <v>457128.22</v>
      </c>
      <c r="V171" s="60" t="n">
        <v>24.4431</v>
      </c>
      <c r="W171" s="71" t="n">
        <v>130470.270290102</v>
      </c>
      <c r="X171" s="112" t="n">
        <f aca="false">U171/V171</f>
        <v>18701.7285041586</v>
      </c>
      <c r="Y171" s="112" t="n">
        <f aca="false">7547.16/V171</f>
        <v>308.764436589467</v>
      </c>
      <c r="Z171" s="28" t="n">
        <v>5.3</v>
      </c>
      <c r="AA171" s="62" t="s">
        <v>80</v>
      </c>
      <c r="AB171" s="38" t="n">
        <v>43880</v>
      </c>
      <c r="AC171" s="38" t="n">
        <v>44018</v>
      </c>
      <c r="AD171" s="38" t="n">
        <v>44018</v>
      </c>
      <c r="AE171" s="38" t="n">
        <v>45843</v>
      </c>
      <c r="AF171" s="28" t="n">
        <f aca="false">YEAR(AE171)</f>
        <v>2025</v>
      </c>
      <c r="AG171" s="63" t="n">
        <f aca="false">X171/SUMIF($Z$2:$Z$380,Z171,$X$2:$X$380)*(VLOOKUP(Z171,'затраты по департаментам-2 '!$A$2:$C$182,2,FALSE())+VLOOKUP(Z171,'затраты по департаментам-2 '!$A$2:$C$182,3,FALSE()))</f>
        <v>11291.0831758656</v>
      </c>
      <c r="AH171" s="153" t="n">
        <f aca="false">W171/60</f>
        <v>2174.50450483504</v>
      </c>
      <c r="AI171" s="64" t="s">
        <v>81</v>
      </c>
      <c r="AJ171" s="63" t="s">
        <v>100</v>
      </c>
      <c r="AK171" s="43" t="n">
        <v>6921765</v>
      </c>
      <c r="AL171" s="43"/>
      <c r="AM171" s="43" t="s">
        <v>1321</v>
      </c>
      <c r="AN171" s="74" t="s">
        <v>1322</v>
      </c>
      <c r="AO171" s="65" t="n">
        <v>44743</v>
      </c>
      <c r="AP171" s="43" t="s">
        <v>1323</v>
      </c>
      <c r="AQ171" s="66" t="s">
        <v>1324</v>
      </c>
      <c r="AR171" s="64"/>
    </row>
    <row r="172" customFormat="false" ht="14.25" hidden="false" customHeight="false" outlineLevel="0" collapsed="false">
      <c r="A172" s="26" t="n">
        <v>171</v>
      </c>
      <c r="B172" s="125" t="s">
        <v>1325</v>
      </c>
      <c r="C172" s="43" t="s">
        <v>1326</v>
      </c>
      <c r="D172" s="28" t="s">
        <v>73</v>
      </c>
      <c r="E172" s="2" t="n">
        <v>5.3</v>
      </c>
      <c r="F172" s="43" t="n">
        <v>1.5</v>
      </c>
      <c r="G172" s="43" t="n">
        <v>113</v>
      </c>
      <c r="H172" s="43" t="n">
        <v>2020</v>
      </c>
      <c r="I172" s="43" t="s">
        <v>1292</v>
      </c>
      <c r="J172" s="43" t="s">
        <v>74</v>
      </c>
      <c r="K172" s="86" t="s">
        <v>177</v>
      </c>
      <c r="L172" s="69"/>
      <c r="M172" s="31" t="s">
        <v>1327</v>
      </c>
      <c r="N172" s="32" t="s">
        <v>1328</v>
      </c>
      <c r="O172" s="93" t="s">
        <v>100</v>
      </c>
      <c r="P172" s="48" t="s">
        <v>1329</v>
      </c>
      <c r="Q172" s="87" t="n">
        <v>1000</v>
      </c>
      <c r="R172" s="58" t="s">
        <v>1330</v>
      </c>
      <c r="S172" s="69" t="n">
        <v>3490</v>
      </c>
      <c r="T172" s="59" t="s">
        <v>421</v>
      </c>
      <c r="U172" s="71" t="n">
        <v>508996.38</v>
      </c>
      <c r="V172" s="60" t="n">
        <v>24.4431</v>
      </c>
      <c r="W172" s="71" t="n">
        <v>141780.88865549</v>
      </c>
      <c r="X172" s="112" t="n">
        <f aca="false">U172/V172</f>
        <v>20823.7244866649</v>
      </c>
      <c r="Y172" s="112" t="n">
        <f aca="false">8369.34/V172</f>
        <v>342.400922959854</v>
      </c>
      <c r="Z172" s="28" t="n">
        <v>5.4</v>
      </c>
      <c r="AA172" s="62" t="s">
        <v>80</v>
      </c>
      <c r="AB172" s="38" t="n">
        <v>43880</v>
      </c>
      <c r="AC172" s="38" t="n">
        <v>44018</v>
      </c>
      <c r="AD172" s="38" t="n">
        <v>44018</v>
      </c>
      <c r="AE172" s="38" t="n">
        <v>45843</v>
      </c>
      <c r="AF172" s="28" t="n">
        <f aca="false">YEAR(AE172)</f>
        <v>2025</v>
      </c>
      <c r="AG172" s="63" t="n">
        <f aca="false">X172/SUMIF($Z$2:$Z$380,Z172,$X$2:$X$380)*(VLOOKUP(Z172,'затраты по департаментам-2 '!$A$2:$C$182,2,FALSE())+VLOOKUP(Z172,'затраты по департаментам-2 '!$A$2:$C$182,3,FALSE()))</f>
        <v>12521.1223913497</v>
      </c>
      <c r="AH172" s="153" t="n">
        <f aca="false">W172/60</f>
        <v>2363.01481092483</v>
      </c>
      <c r="AI172" s="64" t="s">
        <v>81</v>
      </c>
      <c r="AJ172" s="63" t="s">
        <v>100</v>
      </c>
      <c r="AK172" s="43" t="n">
        <v>6808871</v>
      </c>
      <c r="AL172" s="43"/>
      <c r="AM172" s="43" t="s">
        <v>1331</v>
      </c>
      <c r="AN172" s="74" t="s">
        <v>1332</v>
      </c>
      <c r="AO172" s="65" t="n">
        <v>44761</v>
      </c>
      <c r="AP172" s="43" t="s">
        <v>1333</v>
      </c>
      <c r="AQ172" s="66" t="s">
        <v>1334</v>
      </c>
      <c r="AR172" s="64"/>
    </row>
    <row r="173" customFormat="false" ht="14.25" hidden="false" customHeight="false" outlineLevel="0" collapsed="false">
      <c r="A173" s="26" t="n">
        <v>172</v>
      </c>
      <c r="B173" s="43" t="s">
        <v>1335</v>
      </c>
      <c r="C173" s="43" t="s">
        <v>1336</v>
      </c>
      <c r="D173" s="28" t="s">
        <v>73</v>
      </c>
      <c r="E173" s="43" t="n">
        <v>4.9</v>
      </c>
      <c r="F173" s="43" t="n">
        <v>1.5</v>
      </c>
      <c r="G173" s="43" t="n">
        <v>103</v>
      </c>
      <c r="H173" s="43" t="n">
        <v>2020</v>
      </c>
      <c r="I173" s="43" t="s">
        <v>1292</v>
      </c>
      <c r="J173" s="43" t="s">
        <v>74</v>
      </c>
      <c r="K173" s="30" t="s">
        <v>1337</v>
      </c>
      <c r="L173" s="35"/>
      <c r="M173" s="31" t="s">
        <v>1338</v>
      </c>
      <c r="N173" s="32" t="s">
        <v>227</v>
      </c>
      <c r="O173" s="28" t="s">
        <v>100</v>
      </c>
      <c r="P173" s="48" t="s">
        <v>298</v>
      </c>
      <c r="Q173" s="57" t="n">
        <v>1000</v>
      </c>
      <c r="R173" s="97" t="s">
        <v>351</v>
      </c>
      <c r="S173" s="69" t="n">
        <v>4173</v>
      </c>
      <c r="T173" s="35" t="s">
        <v>172</v>
      </c>
      <c r="U173" s="155" t="n">
        <v>341781.23</v>
      </c>
      <c r="V173" s="60" t="n">
        <v>24.4431</v>
      </c>
      <c r="W173" s="71" t="n">
        <f aca="false">2315742.85456092/22</f>
        <v>105261.038843678</v>
      </c>
      <c r="X173" s="112" t="n">
        <f aca="false">U173/V173</f>
        <v>13982.7284591562</v>
      </c>
      <c r="Y173" s="156" t="n">
        <f aca="false">121093.32/V173/22</f>
        <v>225.185914150898</v>
      </c>
      <c r="Z173" s="28" t="n">
        <v>5.6</v>
      </c>
      <c r="AA173" s="62" t="s">
        <v>80</v>
      </c>
      <c r="AB173" s="38" t="n">
        <v>43880</v>
      </c>
      <c r="AC173" s="38" t="n">
        <v>44002</v>
      </c>
      <c r="AD173" s="38" t="n">
        <v>44004</v>
      </c>
      <c r="AE173" s="50" t="n">
        <v>45829</v>
      </c>
      <c r="AF173" s="28" t="n">
        <f aca="false">YEAR(AE173)</f>
        <v>2025</v>
      </c>
      <c r="AG173" s="63" t="n">
        <f aca="false">X173/SUMIF($Z$2:$Z$380,Z173,$X$2:$X$380)*(VLOOKUP(Z173,'затраты по департаментам-2 '!$A$2:$C$182,2,FALSE())+VLOOKUP(Z173,'затраты по департаментам-2 '!$A$2:$C$182,3,FALSE()))</f>
        <v>8234.73362021853</v>
      </c>
      <c r="AH173" s="153" t="n">
        <f aca="false">W173/60</f>
        <v>1754.35064739464</v>
      </c>
      <c r="AI173" s="64" t="s">
        <v>81</v>
      </c>
      <c r="AJ173" s="63" t="s">
        <v>100</v>
      </c>
      <c r="AK173" s="43" t="n">
        <v>530483</v>
      </c>
      <c r="AL173" s="43"/>
      <c r="AM173" s="43" t="s">
        <v>1339</v>
      </c>
      <c r="AN173" s="74" t="s">
        <v>1340</v>
      </c>
      <c r="AO173" s="65" t="n">
        <v>44722</v>
      </c>
      <c r="AP173" s="43" t="s">
        <v>1341</v>
      </c>
      <c r="AQ173" s="66" t="s">
        <v>1342</v>
      </c>
      <c r="AR173" s="64"/>
    </row>
    <row r="174" customFormat="false" ht="14.25" hidden="false" customHeight="false" outlineLevel="0" collapsed="false">
      <c r="A174" s="26" t="n">
        <v>173</v>
      </c>
      <c r="B174" s="43" t="s">
        <v>1343</v>
      </c>
      <c r="C174" s="43" t="s">
        <v>1336</v>
      </c>
      <c r="D174" s="28" t="s">
        <v>73</v>
      </c>
      <c r="E174" s="43" t="n">
        <v>4.9</v>
      </c>
      <c r="F174" s="43" t="n">
        <v>1.5</v>
      </c>
      <c r="G174" s="43" t="n">
        <v>103</v>
      </c>
      <c r="H174" s="43" t="n">
        <v>2020</v>
      </c>
      <c r="I174" s="43" t="s">
        <v>1292</v>
      </c>
      <c r="J174" s="43" t="s">
        <v>74</v>
      </c>
      <c r="K174" s="86" t="s">
        <v>177</v>
      </c>
      <c r="L174" s="35"/>
      <c r="M174" s="31"/>
      <c r="N174" s="32" t="s">
        <v>913</v>
      </c>
      <c r="O174" s="28" t="s">
        <v>100</v>
      </c>
      <c r="P174" s="56" t="s">
        <v>1030</v>
      </c>
      <c r="Q174" s="87" t="n">
        <v>1000</v>
      </c>
      <c r="R174" s="58" t="s">
        <v>189</v>
      </c>
      <c r="S174" s="69" t="n">
        <v>4170</v>
      </c>
      <c r="T174" s="35" t="s">
        <v>172</v>
      </c>
      <c r="U174" s="155" t="n">
        <v>341781.23</v>
      </c>
      <c r="V174" s="60" t="n">
        <v>24.4431</v>
      </c>
      <c r="W174" s="71" t="n">
        <f aca="false">2315742.85456092/22</f>
        <v>105261.038843678</v>
      </c>
      <c r="X174" s="112" t="n">
        <f aca="false">U174/V174</f>
        <v>13982.7284591562</v>
      </c>
      <c r="Y174" s="156" t="n">
        <f aca="false">121093.32/V174/22</f>
        <v>225.185914150898</v>
      </c>
      <c r="Z174" s="28" t="n">
        <v>5.6</v>
      </c>
      <c r="AA174" s="62" t="s">
        <v>80</v>
      </c>
      <c r="AB174" s="38" t="n">
        <v>43880</v>
      </c>
      <c r="AC174" s="38" t="n">
        <v>44002</v>
      </c>
      <c r="AD174" s="38" t="n">
        <v>44004</v>
      </c>
      <c r="AE174" s="50" t="n">
        <v>45829</v>
      </c>
      <c r="AF174" s="28" t="n">
        <f aca="false">YEAR(AE174)</f>
        <v>2025</v>
      </c>
      <c r="AG174" s="63" t="n">
        <f aca="false">X174/SUMIF($Z$2:$Z$380,Z174,$X$2:$X$380)*(VLOOKUP(Z174,'затраты по департаментам-2 '!$A$2:$C$182,2,FALSE())+VLOOKUP(Z174,'затраты по департаментам-2 '!$A$2:$C$182,3,FALSE()))</f>
        <v>8234.73362021853</v>
      </c>
      <c r="AH174" s="153" t="n">
        <f aca="false">W174/60</f>
        <v>1754.35064739464</v>
      </c>
      <c r="AI174" s="64" t="s">
        <v>81</v>
      </c>
      <c r="AJ174" s="63" t="s">
        <v>100</v>
      </c>
      <c r="AK174" s="43" t="n">
        <v>126833</v>
      </c>
      <c r="AL174" s="43"/>
      <c r="AM174" s="43" t="s">
        <v>1344</v>
      </c>
      <c r="AN174" s="78" t="s">
        <v>1345</v>
      </c>
      <c r="AO174" s="65" t="n">
        <v>44359</v>
      </c>
      <c r="AP174" s="43" t="s">
        <v>1346</v>
      </c>
      <c r="AQ174" s="66"/>
      <c r="AR174" s="64"/>
    </row>
    <row r="175" customFormat="false" ht="14.25" hidden="false" customHeight="false" outlineLevel="0" collapsed="false">
      <c r="A175" s="26" t="n">
        <v>174</v>
      </c>
      <c r="B175" s="43" t="s">
        <v>1347</v>
      </c>
      <c r="C175" s="43" t="s">
        <v>1336</v>
      </c>
      <c r="D175" s="28" t="s">
        <v>73</v>
      </c>
      <c r="E175" s="43" t="n">
        <v>4.9</v>
      </c>
      <c r="F175" s="43" t="n">
        <v>1.5</v>
      </c>
      <c r="G175" s="43" t="n">
        <v>103</v>
      </c>
      <c r="H175" s="43" t="n">
        <v>2020</v>
      </c>
      <c r="I175" s="43" t="s">
        <v>1292</v>
      </c>
      <c r="J175" s="43" t="s">
        <v>74</v>
      </c>
      <c r="K175" s="30" t="s">
        <v>1348</v>
      </c>
      <c r="L175" s="69"/>
      <c r="M175" s="31" t="s">
        <v>1349</v>
      </c>
      <c r="N175" s="32" t="s">
        <v>168</v>
      </c>
      <c r="O175" s="57" t="s">
        <v>1350</v>
      </c>
      <c r="P175" s="84" t="s">
        <v>170</v>
      </c>
      <c r="Q175" s="87" t="n">
        <v>9000</v>
      </c>
      <c r="R175" s="58" t="s">
        <v>171</v>
      </c>
      <c r="S175" s="69" t="n">
        <v>4130</v>
      </c>
      <c r="T175" s="35" t="s">
        <v>172</v>
      </c>
      <c r="U175" s="155" t="n">
        <v>341781.23</v>
      </c>
      <c r="V175" s="60" t="n">
        <v>24.4431</v>
      </c>
      <c r="W175" s="71" t="n">
        <f aca="false">2315742.85456092/22</f>
        <v>105261.038843678</v>
      </c>
      <c r="X175" s="112" t="n">
        <f aca="false">U175/V175</f>
        <v>13982.7284591562</v>
      </c>
      <c r="Y175" s="156" t="n">
        <f aca="false">121093.32/V175/22</f>
        <v>225.185914150898</v>
      </c>
      <c r="Z175" s="28" t="n">
        <v>5.6</v>
      </c>
      <c r="AA175" s="62" t="s">
        <v>80</v>
      </c>
      <c r="AB175" s="38" t="n">
        <v>43880</v>
      </c>
      <c r="AC175" s="38" t="n">
        <v>44002</v>
      </c>
      <c r="AD175" s="38" t="n">
        <v>44004</v>
      </c>
      <c r="AE175" s="50" t="n">
        <v>45829</v>
      </c>
      <c r="AF175" s="28" t="n">
        <f aca="false">YEAR(AE175)</f>
        <v>2025</v>
      </c>
      <c r="AG175" s="63" t="n">
        <f aca="false">X175/SUMIF($Z$2:$Z$380,Z175,$X$2:$X$380)*(VLOOKUP(Z175,'затраты по департаментам-2 '!$A$2:$C$182,2,FALSE())+VLOOKUP(Z175,'затраты по департаментам-2 '!$A$2:$C$182,3,FALSE()))</f>
        <v>8234.73362021853</v>
      </c>
      <c r="AH175" s="153" t="n">
        <f aca="false">W175/60</f>
        <v>1754.35064739464</v>
      </c>
      <c r="AI175" s="64" t="s">
        <v>81</v>
      </c>
      <c r="AJ175" s="63" t="s">
        <v>82</v>
      </c>
      <c r="AK175" s="43" t="n">
        <v>89999</v>
      </c>
      <c r="AL175" s="43"/>
      <c r="AM175" s="43" t="s">
        <v>1351</v>
      </c>
      <c r="AN175" s="74" t="s">
        <v>1352</v>
      </c>
      <c r="AO175" s="65" t="n">
        <v>44818</v>
      </c>
      <c r="AP175" s="43" t="s">
        <v>1353</v>
      </c>
      <c r="AQ175" s="66" t="s">
        <v>1354</v>
      </c>
      <c r="AR175" s="64"/>
    </row>
    <row r="176" customFormat="false" ht="14.25" hidden="false" customHeight="false" outlineLevel="0" collapsed="false">
      <c r="A176" s="26" t="n">
        <v>175</v>
      </c>
      <c r="B176" s="43" t="s">
        <v>1355</v>
      </c>
      <c r="C176" s="43" t="s">
        <v>1356</v>
      </c>
      <c r="D176" s="28" t="s">
        <v>73</v>
      </c>
      <c r="E176" s="43" t="n">
        <v>4.9</v>
      </c>
      <c r="F176" s="43" t="n">
        <v>1.5</v>
      </c>
      <c r="G176" s="43" t="n">
        <v>103</v>
      </c>
      <c r="H176" s="43" t="n">
        <v>2020</v>
      </c>
      <c r="I176" s="43" t="s">
        <v>1292</v>
      </c>
      <c r="J176" s="43" t="s">
        <v>74</v>
      </c>
      <c r="K176" s="30" t="s">
        <v>1357</v>
      </c>
      <c r="L176" s="28"/>
      <c r="M176" s="31" t="s">
        <v>1358</v>
      </c>
      <c r="N176" s="32" t="s">
        <v>168</v>
      </c>
      <c r="O176" s="28" t="s">
        <v>313</v>
      </c>
      <c r="P176" s="130" t="s">
        <v>920</v>
      </c>
      <c r="Q176" s="87" t="n">
        <v>9000</v>
      </c>
      <c r="R176" s="58" t="s">
        <v>467</v>
      </c>
      <c r="S176" s="69" t="n">
        <v>4140</v>
      </c>
      <c r="T176" s="35" t="s">
        <v>172</v>
      </c>
      <c r="U176" s="155" t="n">
        <v>341781.23</v>
      </c>
      <c r="V176" s="60" t="n">
        <v>24.4431</v>
      </c>
      <c r="W176" s="71" t="n">
        <f aca="false">2315742.85456092/22</f>
        <v>105261.038843678</v>
      </c>
      <c r="X176" s="112" t="n">
        <f aca="false">U176/V176</f>
        <v>13982.7284591562</v>
      </c>
      <c r="Y176" s="156" t="n">
        <f aca="false">121093.32/V176/22</f>
        <v>225.185914150898</v>
      </c>
      <c r="Z176" s="28" t="n">
        <v>5.6</v>
      </c>
      <c r="AA176" s="62" t="s">
        <v>80</v>
      </c>
      <c r="AB176" s="38" t="n">
        <v>43880</v>
      </c>
      <c r="AC176" s="38" t="n">
        <v>44002</v>
      </c>
      <c r="AD176" s="38" t="n">
        <v>44004</v>
      </c>
      <c r="AE176" s="50" t="n">
        <v>45829</v>
      </c>
      <c r="AF176" s="28" t="n">
        <f aca="false">YEAR(AE176)</f>
        <v>2025</v>
      </c>
      <c r="AG176" s="63" t="n">
        <f aca="false">X176/SUMIF($Z$2:$Z$380,Z176,$X$2:$X$380)*(VLOOKUP(Z176,'затраты по департаментам-2 '!$A$2:$C$182,2,FALSE())+VLOOKUP(Z176,'затраты по департаментам-2 '!$A$2:$C$182,3,FALSE()))</f>
        <v>8234.73362021853</v>
      </c>
      <c r="AH176" s="153" t="n">
        <f aca="false">W176/60</f>
        <v>1754.35064739464</v>
      </c>
      <c r="AI176" s="64" t="s">
        <v>81</v>
      </c>
      <c r="AJ176" s="63" t="s">
        <v>82</v>
      </c>
      <c r="AK176" s="43" t="n">
        <v>126791</v>
      </c>
      <c r="AL176" s="43"/>
      <c r="AM176" s="43" t="s">
        <v>1359</v>
      </c>
      <c r="AN176" s="78" t="s">
        <v>1360</v>
      </c>
      <c r="AO176" s="65" t="n">
        <v>44981</v>
      </c>
      <c r="AP176" s="43" t="s">
        <v>1361</v>
      </c>
      <c r="AQ176" s="66" t="s">
        <v>1362</v>
      </c>
      <c r="AR176" s="64"/>
    </row>
    <row r="177" customFormat="false" ht="14.25" hidden="false" customHeight="false" outlineLevel="0" collapsed="false">
      <c r="A177" s="26" t="n">
        <v>176</v>
      </c>
      <c r="B177" s="43" t="s">
        <v>1363</v>
      </c>
      <c r="C177" s="43" t="s">
        <v>1336</v>
      </c>
      <c r="D177" s="28" t="s">
        <v>73</v>
      </c>
      <c r="E177" s="43" t="n">
        <v>4.9</v>
      </c>
      <c r="F177" s="43" t="n">
        <v>1.5</v>
      </c>
      <c r="G177" s="43" t="n">
        <v>103</v>
      </c>
      <c r="H177" s="43" t="n">
        <v>2020</v>
      </c>
      <c r="I177" s="43" t="s">
        <v>1292</v>
      </c>
      <c r="J177" s="43" t="s">
        <v>74</v>
      </c>
      <c r="K177" s="30" t="s">
        <v>1364</v>
      </c>
      <c r="L177" s="157"/>
      <c r="M177" s="31" t="s">
        <v>1365</v>
      </c>
      <c r="N177" s="92" t="s">
        <v>179</v>
      </c>
      <c r="O177" s="57" t="s">
        <v>1366</v>
      </c>
      <c r="P177" s="56" t="s">
        <v>327</v>
      </c>
      <c r="Q177" s="87" t="n">
        <v>7011</v>
      </c>
      <c r="R177" s="58" t="s">
        <v>171</v>
      </c>
      <c r="S177" s="69" t="n">
        <v>4131</v>
      </c>
      <c r="T177" s="35" t="s">
        <v>172</v>
      </c>
      <c r="U177" s="155" t="n">
        <v>341781.23</v>
      </c>
      <c r="V177" s="60" t="n">
        <v>24.4431</v>
      </c>
      <c r="W177" s="71" t="n">
        <f aca="false">2315742.85456092/22</f>
        <v>105261.038843678</v>
      </c>
      <c r="X177" s="112" t="n">
        <f aca="false">U177/V177</f>
        <v>13982.7284591562</v>
      </c>
      <c r="Y177" s="156" t="n">
        <f aca="false">121093.32/V177/22</f>
        <v>225.185914150898</v>
      </c>
      <c r="Z177" s="28" t="n">
        <v>5.6</v>
      </c>
      <c r="AA177" s="62" t="s">
        <v>80</v>
      </c>
      <c r="AB177" s="38" t="n">
        <v>43880</v>
      </c>
      <c r="AC177" s="38" t="n">
        <v>44002</v>
      </c>
      <c r="AD177" s="38" t="n">
        <v>44004</v>
      </c>
      <c r="AE177" s="50" t="n">
        <v>45829</v>
      </c>
      <c r="AF177" s="28" t="n">
        <f aca="false">YEAR(AE177)</f>
        <v>2025</v>
      </c>
      <c r="AG177" s="63" t="n">
        <f aca="false">X177/SUMIF($Z$2:$Z$380,Z177,$X$2:$X$380)*(VLOOKUP(Z177,'затраты по департаментам-2 '!$A$2:$C$182,2,FALSE())+VLOOKUP(Z177,'затраты по департаментам-2 '!$A$2:$C$182,3,FALSE()))</f>
        <v>8234.73362021853</v>
      </c>
      <c r="AH177" s="153" t="n">
        <f aca="false">W177/60</f>
        <v>1754.35064739464</v>
      </c>
      <c r="AI177" s="64" t="s">
        <v>81</v>
      </c>
      <c r="AJ177" s="63" t="s">
        <v>52</v>
      </c>
      <c r="AK177" s="43" t="n">
        <v>123392</v>
      </c>
      <c r="AL177" s="43"/>
      <c r="AM177" s="43" t="s">
        <v>1367</v>
      </c>
      <c r="AN177" s="74" t="s">
        <v>1368</v>
      </c>
      <c r="AO177" s="65" t="n">
        <v>44863</v>
      </c>
      <c r="AP177" s="43" t="s">
        <v>1369</v>
      </c>
      <c r="AQ177" s="66" t="s">
        <v>1370</v>
      </c>
      <c r="AR177" s="64"/>
    </row>
    <row r="178" customFormat="false" ht="14.25" hidden="false" customHeight="false" outlineLevel="0" collapsed="false">
      <c r="A178" s="26" t="n">
        <v>177</v>
      </c>
      <c r="B178" s="43" t="s">
        <v>1371</v>
      </c>
      <c r="C178" s="26" t="s">
        <v>1336</v>
      </c>
      <c r="D178" s="28" t="s">
        <v>73</v>
      </c>
      <c r="E178" s="43" t="n">
        <v>4.9</v>
      </c>
      <c r="F178" s="43" t="n">
        <v>1.5</v>
      </c>
      <c r="G178" s="43" t="n">
        <v>103</v>
      </c>
      <c r="H178" s="43" t="n">
        <v>2020</v>
      </c>
      <c r="I178" s="43" t="s">
        <v>1292</v>
      </c>
      <c r="J178" s="43" t="s">
        <v>74</v>
      </c>
      <c r="K178" s="30" t="s">
        <v>1372</v>
      </c>
      <c r="L178" s="82"/>
      <c r="M178" s="31" t="s">
        <v>1373</v>
      </c>
      <c r="N178" s="32" t="s">
        <v>976</v>
      </c>
      <c r="O178" s="28" t="s">
        <v>52</v>
      </c>
      <c r="P178" s="56" t="s">
        <v>1374</v>
      </c>
      <c r="Q178" s="87" t="n">
        <v>1000</v>
      </c>
      <c r="R178" s="58" t="s">
        <v>405</v>
      </c>
      <c r="S178" s="69" t="n">
        <v>3480</v>
      </c>
      <c r="T178" s="35" t="s">
        <v>172</v>
      </c>
      <c r="U178" s="155" t="n">
        <v>341781.23</v>
      </c>
      <c r="V178" s="60" t="n">
        <v>24.4431</v>
      </c>
      <c r="W178" s="71" t="n">
        <f aca="false">2315742.85456092/22</f>
        <v>105261.038843678</v>
      </c>
      <c r="X178" s="112" t="n">
        <f aca="false">U178/V178</f>
        <v>13982.7284591562</v>
      </c>
      <c r="Y178" s="156" t="n">
        <f aca="false">121093.32/V178/22</f>
        <v>225.185914150898</v>
      </c>
      <c r="Z178" s="28" t="n">
        <v>5.6</v>
      </c>
      <c r="AA178" s="62" t="s">
        <v>80</v>
      </c>
      <c r="AB178" s="38" t="n">
        <v>43880</v>
      </c>
      <c r="AC178" s="38" t="n">
        <v>44002</v>
      </c>
      <c r="AD178" s="38" t="n">
        <v>44004</v>
      </c>
      <c r="AE178" s="50" t="n">
        <v>45829</v>
      </c>
      <c r="AF178" s="28" t="n">
        <f aca="false">YEAR(AE178)</f>
        <v>2025</v>
      </c>
      <c r="AG178" s="63" t="n">
        <f aca="false">X178/SUMIF($Z$2:$Z$380,Z178,$X$2:$X$380)*(VLOOKUP(Z178,'затраты по департаментам-2 '!$A$2:$C$182,2,FALSE())+VLOOKUP(Z178,'затраты по департаментам-2 '!$A$2:$C$182,3,FALSE()))</f>
        <v>8234.73362021853</v>
      </c>
      <c r="AH178" s="153" t="n">
        <f aca="false">W178/60</f>
        <v>1754.35064739464</v>
      </c>
      <c r="AI178" s="64" t="s">
        <v>643</v>
      </c>
      <c r="AJ178" s="63" t="s">
        <v>52</v>
      </c>
      <c r="AK178" s="43" t="n">
        <v>126734</v>
      </c>
      <c r="AL178" s="43"/>
      <c r="AM178" s="43" t="s">
        <v>1375</v>
      </c>
      <c r="AN178" s="74" t="s">
        <v>1376</v>
      </c>
      <c r="AO178" s="65" t="n">
        <v>44775</v>
      </c>
      <c r="AP178" s="43" t="s">
        <v>1377</v>
      </c>
      <c r="AQ178" s="66" t="s">
        <v>1378</v>
      </c>
      <c r="AR178" s="64"/>
    </row>
    <row r="179" customFormat="false" ht="14.25" hidden="false" customHeight="false" outlineLevel="0" collapsed="false">
      <c r="A179" s="26" t="n">
        <v>178</v>
      </c>
      <c r="B179" s="43" t="s">
        <v>1379</v>
      </c>
      <c r="C179" s="43" t="s">
        <v>1336</v>
      </c>
      <c r="D179" s="28" t="s">
        <v>73</v>
      </c>
      <c r="E179" s="43" t="n">
        <v>4.9</v>
      </c>
      <c r="F179" s="43" t="n">
        <v>1.5</v>
      </c>
      <c r="G179" s="43" t="n">
        <v>103</v>
      </c>
      <c r="H179" s="43" t="n">
        <v>2020</v>
      </c>
      <c r="I179" s="43" t="s">
        <v>1292</v>
      </c>
      <c r="J179" s="43" t="s">
        <v>74</v>
      </c>
      <c r="K179" s="86" t="s">
        <v>1380</v>
      </c>
      <c r="L179" s="100"/>
      <c r="M179" s="31" t="s">
        <v>1381</v>
      </c>
      <c r="N179" s="32" t="s">
        <v>1090</v>
      </c>
      <c r="O179" s="48" t="s">
        <v>100</v>
      </c>
      <c r="P179" s="56" t="s">
        <v>181</v>
      </c>
      <c r="Q179" s="87" t="n">
        <v>7020</v>
      </c>
      <c r="R179" s="58" t="s">
        <v>171</v>
      </c>
      <c r="S179" s="69" t="n">
        <v>4133</v>
      </c>
      <c r="T179" s="158" t="s">
        <v>172</v>
      </c>
      <c r="U179" s="155" t="n">
        <v>341781.23</v>
      </c>
      <c r="V179" s="60" t="n">
        <v>24.4431</v>
      </c>
      <c r="W179" s="71" t="n">
        <f aca="false">2315742.85456092/22</f>
        <v>105261.038843678</v>
      </c>
      <c r="X179" s="112" t="n">
        <f aca="false">U179/V179</f>
        <v>13982.7284591562</v>
      </c>
      <c r="Y179" s="156" t="n">
        <f aca="false">121093.32/V179/22</f>
        <v>225.185914150898</v>
      </c>
      <c r="Z179" s="28" t="n">
        <v>5.6</v>
      </c>
      <c r="AA179" s="62" t="s">
        <v>80</v>
      </c>
      <c r="AB179" s="38" t="n">
        <v>43880</v>
      </c>
      <c r="AC179" s="38" t="n">
        <v>44002</v>
      </c>
      <c r="AD179" s="38" t="n">
        <v>44004</v>
      </c>
      <c r="AE179" s="50" t="n">
        <v>45829</v>
      </c>
      <c r="AF179" s="28" t="n">
        <f aca="false">YEAR(AE179)</f>
        <v>2025</v>
      </c>
      <c r="AG179" s="63" t="n">
        <f aca="false">X179/SUMIF($Z$2:$Z$380,Z179,$X$2:$X$380)*(VLOOKUP(Z179,'затраты по департаментам-2 '!$A$2:$C$182,2,FALSE())+VLOOKUP(Z179,'затраты по департаментам-2 '!$A$2:$C$182,3,FALSE()))</f>
        <v>8234.73362021853</v>
      </c>
      <c r="AH179" s="153" t="n">
        <f aca="false">W179/60</f>
        <v>1754.35064739464</v>
      </c>
      <c r="AI179" s="64" t="s">
        <v>81</v>
      </c>
      <c r="AJ179" s="159" t="s">
        <v>100</v>
      </c>
      <c r="AK179" s="43" t="n">
        <v>123236</v>
      </c>
      <c r="AL179" s="43"/>
      <c r="AM179" s="43" t="s">
        <v>1382</v>
      </c>
      <c r="AN179" s="74" t="s">
        <v>1383</v>
      </c>
      <c r="AO179" s="65" t="n">
        <v>44714</v>
      </c>
      <c r="AP179" s="43" t="s">
        <v>1384</v>
      </c>
      <c r="AQ179" s="64" t="s">
        <v>1385</v>
      </c>
      <c r="AR179" s="76" t="n">
        <v>44614</v>
      </c>
    </row>
    <row r="180" customFormat="false" ht="14.25" hidden="false" customHeight="false" outlineLevel="0" collapsed="false">
      <c r="A180" s="26" t="n">
        <v>179</v>
      </c>
      <c r="B180" s="43" t="s">
        <v>1386</v>
      </c>
      <c r="C180" s="43" t="s">
        <v>1336</v>
      </c>
      <c r="D180" s="28" t="s">
        <v>73</v>
      </c>
      <c r="E180" s="43" t="n">
        <v>4.9</v>
      </c>
      <c r="F180" s="43" t="n">
        <v>1.5</v>
      </c>
      <c r="G180" s="43" t="n">
        <v>103</v>
      </c>
      <c r="H180" s="43" t="n">
        <v>2020</v>
      </c>
      <c r="I180" s="43" t="s">
        <v>1292</v>
      </c>
      <c r="J180" s="43" t="s">
        <v>74</v>
      </c>
      <c r="K180" s="30" t="s">
        <v>1387</v>
      </c>
      <c r="L180" s="82"/>
      <c r="M180" s="31" t="s">
        <v>1388</v>
      </c>
      <c r="N180" s="32" t="s">
        <v>179</v>
      </c>
      <c r="O180" s="28" t="s">
        <v>606</v>
      </c>
      <c r="P180" s="56" t="s">
        <v>181</v>
      </c>
      <c r="Q180" s="57" t="n">
        <v>7030</v>
      </c>
      <c r="R180" s="58" t="s">
        <v>171</v>
      </c>
      <c r="S180" s="69" t="n">
        <v>4133</v>
      </c>
      <c r="T180" s="35" t="s">
        <v>172</v>
      </c>
      <c r="U180" s="155" t="n">
        <v>341781.23</v>
      </c>
      <c r="V180" s="60" t="n">
        <v>24.4431</v>
      </c>
      <c r="W180" s="71" t="n">
        <f aca="false">2315742.85456092/22</f>
        <v>105261.038843678</v>
      </c>
      <c r="X180" s="112" t="n">
        <f aca="false">U180/V180</f>
        <v>13982.7284591562</v>
      </c>
      <c r="Y180" s="156" t="n">
        <f aca="false">121093.32/V180/22</f>
        <v>225.185914150898</v>
      </c>
      <c r="Z180" s="28" t="n">
        <v>5.6</v>
      </c>
      <c r="AA180" s="62" t="s">
        <v>80</v>
      </c>
      <c r="AB180" s="38" t="n">
        <v>43880</v>
      </c>
      <c r="AC180" s="38" t="n">
        <v>44002</v>
      </c>
      <c r="AD180" s="38" t="n">
        <v>44004</v>
      </c>
      <c r="AE180" s="50" t="n">
        <v>45829</v>
      </c>
      <c r="AF180" s="28" t="n">
        <f aca="false">YEAR(AE180)</f>
        <v>2025</v>
      </c>
      <c r="AG180" s="63" t="n">
        <f aca="false">X180/SUMIF($Z$2:$Z$380,Z180,$X$2:$X$380)*(VLOOKUP(Z180,'затраты по департаментам-2 '!$A$2:$C$182,2,FALSE())+VLOOKUP(Z180,'затраты по департаментам-2 '!$A$2:$C$182,3,FALSE()))</f>
        <v>8234.73362021853</v>
      </c>
      <c r="AH180" s="153" t="n">
        <f aca="false">W180/60</f>
        <v>1754.35064739464</v>
      </c>
      <c r="AI180" s="64" t="s">
        <v>81</v>
      </c>
      <c r="AJ180" s="153" t="s">
        <v>100</v>
      </c>
      <c r="AK180" s="43" t="n">
        <v>96622</v>
      </c>
      <c r="AL180" s="43"/>
      <c r="AM180" s="43" t="s">
        <v>1389</v>
      </c>
      <c r="AN180" s="74" t="s">
        <v>1390</v>
      </c>
      <c r="AO180" s="65" t="n">
        <v>44714</v>
      </c>
      <c r="AP180" s="43" t="s">
        <v>1391</v>
      </c>
      <c r="AQ180" s="64" t="s">
        <v>1392</v>
      </c>
      <c r="AR180" s="64"/>
    </row>
    <row r="181" customFormat="false" ht="14.25" hidden="false" customHeight="false" outlineLevel="0" collapsed="false">
      <c r="A181" s="26" t="n">
        <v>180</v>
      </c>
      <c r="B181" s="43" t="s">
        <v>1393</v>
      </c>
      <c r="C181" s="43" t="s">
        <v>1336</v>
      </c>
      <c r="D181" s="28" t="s">
        <v>73</v>
      </c>
      <c r="E181" s="43" t="n">
        <v>4.9</v>
      </c>
      <c r="F181" s="43" t="n">
        <v>1.5</v>
      </c>
      <c r="G181" s="43" t="n">
        <v>103</v>
      </c>
      <c r="H181" s="43" t="n">
        <v>2020</v>
      </c>
      <c r="I181" s="43" t="s">
        <v>1292</v>
      </c>
      <c r="J181" s="43" t="s">
        <v>74</v>
      </c>
      <c r="K181" s="30" t="s">
        <v>1394</v>
      </c>
      <c r="L181" s="35"/>
      <c r="M181" s="31" t="s">
        <v>1395</v>
      </c>
      <c r="N181" s="32" t="s">
        <v>179</v>
      </c>
      <c r="O181" s="28" t="s">
        <v>606</v>
      </c>
      <c r="P181" s="56" t="s">
        <v>181</v>
      </c>
      <c r="Q181" s="87" t="n">
        <v>7023</v>
      </c>
      <c r="R181" s="58" t="s">
        <v>171</v>
      </c>
      <c r="S181" s="69" t="n">
        <v>4133</v>
      </c>
      <c r="T181" s="35" t="s">
        <v>172</v>
      </c>
      <c r="U181" s="155" t="n">
        <v>341781.23</v>
      </c>
      <c r="V181" s="60" t="n">
        <v>24.4431</v>
      </c>
      <c r="W181" s="71" t="n">
        <f aca="false">2315742.85456092/22</f>
        <v>105261.038843678</v>
      </c>
      <c r="X181" s="112" t="n">
        <f aca="false">U181/V181</f>
        <v>13982.7284591562</v>
      </c>
      <c r="Y181" s="156" t="n">
        <f aca="false">121093.32/V181/22</f>
        <v>225.185914150898</v>
      </c>
      <c r="Z181" s="28" t="n">
        <v>5.6</v>
      </c>
      <c r="AA181" s="62" t="s">
        <v>80</v>
      </c>
      <c r="AB181" s="38" t="n">
        <v>43880</v>
      </c>
      <c r="AC181" s="38" t="n">
        <v>44002</v>
      </c>
      <c r="AD181" s="38" t="n">
        <v>44004</v>
      </c>
      <c r="AE181" s="50" t="n">
        <v>45829</v>
      </c>
      <c r="AF181" s="28" t="n">
        <f aca="false">YEAR(AE181)</f>
        <v>2025</v>
      </c>
      <c r="AG181" s="63" t="n">
        <f aca="false">X181/SUMIF($Z$2:$Z$380,Z181,$X$2:$X$380)*(VLOOKUP(Z181,'затраты по департаментам-2 '!$A$2:$C$182,2,FALSE())+VLOOKUP(Z181,'затраты по департаментам-2 '!$A$2:$C$182,3,FALSE()))</f>
        <v>8234.73362021853</v>
      </c>
      <c r="AH181" s="153" t="n">
        <f aca="false">W181/60</f>
        <v>1754.35064739464</v>
      </c>
      <c r="AI181" s="64" t="s">
        <v>81</v>
      </c>
      <c r="AJ181" s="63" t="s">
        <v>100</v>
      </c>
      <c r="AK181" s="43" t="n">
        <v>136410</v>
      </c>
      <c r="AL181" s="43"/>
      <c r="AM181" s="43" t="s">
        <v>1396</v>
      </c>
      <c r="AN181" s="74" t="s">
        <v>1397</v>
      </c>
      <c r="AO181" s="65" t="n">
        <v>44714</v>
      </c>
      <c r="AP181" s="43" t="s">
        <v>1398</v>
      </c>
      <c r="AQ181" s="64" t="s">
        <v>1399</v>
      </c>
      <c r="AR181" s="76" t="n">
        <v>44445</v>
      </c>
    </row>
    <row r="182" customFormat="false" ht="14.25" hidden="false" customHeight="false" outlineLevel="0" collapsed="false">
      <c r="A182" s="26" t="n">
        <v>181</v>
      </c>
      <c r="B182" s="43" t="s">
        <v>1400</v>
      </c>
      <c r="C182" s="43" t="s">
        <v>1336</v>
      </c>
      <c r="D182" s="28" t="s">
        <v>73</v>
      </c>
      <c r="E182" s="43" t="n">
        <v>4.9</v>
      </c>
      <c r="F182" s="43" t="n">
        <v>1.5</v>
      </c>
      <c r="G182" s="43" t="n">
        <v>103</v>
      </c>
      <c r="H182" s="43" t="n">
        <v>2020</v>
      </c>
      <c r="I182" s="43" t="s">
        <v>1292</v>
      </c>
      <c r="J182" s="43" t="s">
        <v>74</v>
      </c>
      <c r="K182" s="30" t="s">
        <v>1401</v>
      </c>
      <c r="L182" s="35"/>
      <c r="M182" s="31" t="s">
        <v>1402</v>
      </c>
      <c r="N182" s="32" t="s">
        <v>227</v>
      </c>
      <c r="O182" s="28" t="s">
        <v>100</v>
      </c>
      <c r="P182" s="101" t="s">
        <v>298</v>
      </c>
      <c r="Q182" s="57" t="n">
        <v>1000</v>
      </c>
      <c r="R182" s="89" t="s">
        <v>189</v>
      </c>
      <c r="S182" s="69" t="n">
        <v>4173</v>
      </c>
      <c r="T182" s="35" t="s">
        <v>172</v>
      </c>
      <c r="U182" s="155" t="n">
        <v>341781.23</v>
      </c>
      <c r="V182" s="60" t="n">
        <v>24.4431</v>
      </c>
      <c r="W182" s="71" t="n">
        <f aca="false">2315742.85456092/22</f>
        <v>105261.038843678</v>
      </c>
      <c r="X182" s="112" t="n">
        <f aca="false">U182/V182</f>
        <v>13982.7284591562</v>
      </c>
      <c r="Y182" s="156" t="n">
        <f aca="false">121093.32/V182/22</f>
        <v>225.185914150898</v>
      </c>
      <c r="Z182" s="28" t="n">
        <v>5.6</v>
      </c>
      <c r="AA182" s="62" t="s">
        <v>80</v>
      </c>
      <c r="AB182" s="38" t="n">
        <v>43880</v>
      </c>
      <c r="AC182" s="38" t="n">
        <v>44002</v>
      </c>
      <c r="AD182" s="38" t="n">
        <v>44004</v>
      </c>
      <c r="AE182" s="50" t="n">
        <v>45829</v>
      </c>
      <c r="AF182" s="28" t="n">
        <f aca="false">YEAR(AE182)</f>
        <v>2025</v>
      </c>
      <c r="AG182" s="63" t="n">
        <f aca="false">X182/SUMIF($Z$2:$Z$380,Z182,$X$2:$X$380)*(VLOOKUP(Z182,'затраты по департаментам-2 '!$A$2:$C$182,2,FALSE())+VLOOKUP(Z182,'затраты по департаментам-2 '!$A$2:$C$182,3,FALSE()))</f>
        <v>8234.73362021853</v>
      </c>
      <c r="AH182" s="153" t="n">
        <f aca="false">W182/60</f>
        <v>1754.35064739464</v>
      </c>
      <c r="AI182" s="64" t="s">
        <v>81</v>
      </c>
      <c r="AJ182" s="63" t="s">
        <v>100</v>
      </c>
      <c r="AK182" s="43" t="n">
        <v>766685</v>
      </c>
      <c r="AL182" s="43"/>
      <c r="AM182" s="43" t="s">
        <v>1403</v>
      </c>
      <c r="AN182" s="74" t="s">
        <v>1404</v>
      </c>
      <c r="AO182" s="65" t="n">
        <v>44716</v>
      </c>
      <c r="AP182" s="43" t="s">
        <v>1405</v>
      </c>
      <c r="AQ182" s="64" t="s">
        <v>1406</v>
      </c>
      <c r="AR182" s="64"/>
    </row>
    <row r="183" customFormat="false" ht="14.25" hidden="false" customHeight="false" outlineLevel="0" collapsed="false">
      <c r="A183" s="26" t="n">
        <v>182</v>
      </c>
      <c r="B183" s="43" t="s">
        <v>1407</v>
      </c>
      <c r="C183" s="43" t="s">
        <v>1336</v>
      </c>
      <c r="D183" s="28" t="s">
        <v>73</v>
      </c>
      <c r="E183" s="43" t="n">
        <v>4.9</v>
      </c>
      <c r="F183" s="43" t="n">
        <v>1.5</v>
      </c>
      <c r="G183" s="43" t="n">
        <v>103</v>
      </c>
      <c r="H183" s="43" t="n">
        <v>2020</v>
      </c>
      <c r="I183" s="43" t="s">
        <v>1292</v>
      </c>
      <c r="J183" s="43" t="s">
        <v>74</v>
      </c>
      <c r="K183" s="30" t="s">
        <v>1408</v>
      </c>
      <c r="L183" s="82"/>
      <c r="M183" s="31" t="s">
        <v>1409</v>
      </c>
      <c r="N183" s="92" t="s">
        <v>179</v>
      </c>
      <c r="O183" s="28" t="s">
        <v>335</v>
      </c>
      <c r="P183" s="56" t="s">
        <v>198</v>
      </c>
      <c r="Q183" s="87" t="n">
        <v>7040</v>
      </c>
      <c r="R183" s="58" t="s">
        <v>171</v>
      </c>
      <c r="S183" s="69" t="n">
        <v>4134</v>
      </c>
      <c r="T183" s="35" t="s">
        <v>172</v>
      </c>
      <c r="U183" s="155" t="n">
        <v>341781.23</v>
      </c>
      <c r="V183" s="60" t="n">
        <v>24.4431</v>
      </c>
      <c r="W183" s="71" t="n">
        <f aca="false">2315742.85456092/22</f>
        <v>105261.038843678</v>
      </c>
      <c r="X183" s="112" t="n">
        <f aca="false">U183/V183</f>
        <v>13982.7284591562</v>
      </c>
      <c r="Y183" s="156" t="n">
        <f aca="false">121093.32/V183/22</f>
        <v>225.185914150898</v>
      </c>
      <c r="Z183" s="28" t="n">
        <v>5.6</v>
      </c>
      <c r="AA183" s="62" t="s">
        <v>80</v>
      </c>
      <c r="AB183" s="38" t="n">
        <v>43880</v>
      </c>
      <c r="AC183" s="38" t="n">
        <v>44002</v>
      </c>
      <c r="AD183" s="38" t="n">
        <v>44004</v>
      </c>
      <c r="AE183" s="50" t="n">
        <v>45829</v>
      </c>
      <c r="AF183" s="28" t="n">
        <f aca="false">YEAR(AE183)</f>
        <v>2025</v>
      </c>
      <c r="AG183" s="63" t="n">
        <f aca="false">X183/SUMIF($Z$2:$Z$380,Z183,$X$2:$X$380)*(VLOOKUP(Z183,'затраты по департаментам-2 '!$A$2:$C$182,2,FALSE())+VLOOKUP(Z183,'затраты по департаментам-2 '!$A$2:$C$182,3,FALSE()))</f>
        <v>8234.73362021853</v>
      </c>
      <c r="AH183" s="153" t="n">
        <f aca="false">W183/60</f>
        <v>1754.35064739464</v>
      </c>
      <c r="AI183" s="64" t="s">
        <v>81</v>
      </c>
      <c r="AJ183" s="63" t="s">
        <v>197</v>
      </c>
      <c r="AK183" s="43" t="n">
        <v>128623</v>
      </c>
      <c r="AL183" s="43"/>
      <c r="AM183" s="43" t="s">
        <v>1410</v>
      </c>
      <c r="AN183" s="74" t="s">
        <v>1411</v>
      </c>
      <c r="AO183" s="65" t="n">
        <v>44852</v>
      </c>
      <c r="AP183" s="43" t="s">
        <v>1412</v>
      </c>
      <c r="AQ183" s="75" t="s">
        <v>1413</v>
      </c>
      <c r="AR183" s="76" t="n">
        <v>44865</v>
      </c>
    </row>
    <row r="184" customFormat="false" ht="14.25" hidden="false" customHeight="false" outlineLevel="0" collapsed="false">
      <c r="A184" s="26" t="n">
        <v>183</v>
      </c>
      <c r="B184" s="43" t="s">
        <v>1414</v>
      </c>
      <c r="C184" s="43" t="s">
        <v>1336</v>
      </c>
      <c r="D184" s="28" t="s">
        <v>73</v>
      </c>
      <c r="E184" s="43" t="n">
        <v>4.9</v>
      </c>
      <c r="F184" s="43" t="n">
        <v>1.5</v>
      </c>
      <c r="G184" s="43" t="n">
        <v>103</v>
      </c>
      <c r="H184" s="43" t="n">
        <v>2020</v>
      </c>
      <c r="I184" s="43" t="s">
        <v>1292</v>
      </c>
      <c r="J184" s="43" t="s">
        <v>74</v>
      </c>
      <c r="K184" s="30" t="s">
        <v>1415</v>
      </c>
      <c r="L184" s="82"/>
      <c r="M184" s="31" t="s">
        <v>1416</v>
      </c>
      <c r="N184" s="32" t="s">
        <v>179</v>
      </c>
      <c r="O184" s="28" t="s">
        <v>942</v>
      </c>
      <c r="P184" s="56" t="s">
        <v>181</v>
      </c>
      <c r="Q184" s="87" t="n">
        <v>7073</v>
      </c>
      <c r="R184" s="58" t="s">
        <v>171</v>
      </c>
      <c r="S184" s="69" t="n">
        <v>4133</v>
      </c>
      <c r="T184" s="35" t="s">
        <v>172</v>
      </c>
      <c r="U184" s="155" t="n">
        <v>341781.23</v>
      </c>
      <c r="V184" s="60" t="n">
        <v>24.4431</v>
      </c>
      <c r="W184" s="71" t="n">
        <f aca="false">2315742.85456092/22</f>
        <v>105261.038843678</v>
      </c>
      <c r="X184" s="112" t="n">
        <f aca="false">U184/V184</f>
        <v>13982.7284591562</v>
      </c>
      <c r="Y184" s="156" t="n">
        <f aca="false">121093.32/V184/22</f>
        <v>225.185914150898</v>
      </c>
      <c r="Z184" s="28" t="n">
        <v>5.6</v>
      </c>
      <c r="AA184" s="62" t="s">
        <v>80</v>
      </c>
      <c r="AB184" s="38" t="n">
        <v>43880</v>
      </c>
      <c r="AC184" s="38" t="n">
        <v>44002</v>
      </c>
      <c r="AD184" s="38" t="n">
        <v>44004</v>
      </c>
      <c r="AE184" s="50" t="n">
        <v>45829</v>
      </c>
      <c r="AF184" s="28" t="n">
        <f aca="false">YEAR(AE184)</f>
        <v>2025</v>
      </c>
      <c r="AG184" s="63" t="n">
        <f aca="false">X184/SUMIF($Z$2:$Z$380,Z184,$X$2:$X$380)*(VLOOKUP(Z184,'затраты по департаментам-2 '!$A$2:$C$182,2,FALSE())+VLOOKUP(Z184,'затраты по департаментам-2 '!$A$2:$C$182,3,FALSE()))</f>
        <v>8234.73362021853</v>
      </c>
      <c r="AH184" s="153" t="n">
        <f aca="false">W184/60</f>
        <v>1754.35064739464</v>
      </c>
      <c r="AI184" s="64" t="s">
        <v>81</v>
      </c>
      <c r="AJ184" s="63" t="s">
        <v>82</v>
      </c>
      <c r="AK184" s="43" t="n">
        <v>123384</v>
      </c>
      <c r="AL184" s="43"/>
      <c r="AM184" s="43" t="s">
        <v>1417</v>
      </c>
      <c r="AN184" s="74" t="s">
        <v>1418</v>
      </c>
      <c r="AO184" s="65" t="n">
        <v>44889</v>
      </c>
      <c r="AP184" s="43" t="s">
        <v>1419</v>
      </c>
      <c r="AQ184" s="66" t="s">
        <v>1420</v>
      </c>
      <c r="AR184" s="64"/>
    </row>
    <row r="185" customFormat="false" ht="14.25" hidden="false" customHeight="false" outlineLevel="0" collapsed="false">
      <c r="A185" s="26" t="n">
        <v>184</v>
      </c>
      <c r="B185" s="43" t="s">
        <v>1421</v>
      </c>
      <c r="C185" s="43" t="s">
        <v>1336</v>
      </c>
      <c r="D185" s="28" t="s">
        <v>73</v>
      </c>
      <c r="E185" s="43" t="n">
        <v>4.9</v>
      </c>
      <c r="F185" s="43" t="n">
        <v>1.5</v>
      </c>
      <c r="G185" s="43" t="n">
        <v>103</v>
      </c>
      <c r="H185" s="43" t="n">
        <v>2020</v>
      </c>
      <c r="I185" s="43" t="s">
        <v>1292</v>
      </c>
      <c r="J185" s="43" t="s">
        <v>74</v>
      </c>
      <c r="K185" s="30" t="s">
        <v>1422</v>
      </c>
      <c r="L185" s="82"/>
      <c r="M185" s="31" t="s">
        <v>1423</v>
      </c>
      <c r="N185" s="84" t="s">
        <v>179</v>
      </c>
      <c r="O185" s="28" t="s">
        <v>606</v>
      </c>
      <c r="P185" s="56" t="s">
        <v>181</v>
      </c>
      <c r="Q185" s="87" t="n">
        <v>7030</v>
      </c>
      <c r="R185" s="58" t="s">
        <v>171</v>
      </c>
      <c r="S185" s="69" t="n">
        <v>4133</v>
      </c>
      <c r="T185" s="35" t="s">
        <v>172</v>
      </c>
      <c r="U185" s="155" t="n">
        <v>341781.23</v>
      </c>
      <c r="V185" s="60" t="n">
        <v>24.4431</v>
      </c>
      <c r="W185" s="71" t="n">
        <f aca="false">2315742.85456092/22</f>
        <v>105261.038843678</v>
      </c>
      <c r="X185" s="112" t="n">
        <f aca="false">U185/V185</f>
        <v>13982.7284591562</v>
      </c>
      <c r="Y185" s="156" t="n">
        <f aca="false">121093.32/V185/22</f>
        <v>225.185914150898</v>
      </c>
      <c r="Z185" s="28" t="n">
        <v>5.6</v>
      </c>
      <c r="AA185" s="62" t="s">
        <v>80</v>
      </c>
      <c r="AB185" s="38" t="n">
        <v>43880</v>
      </c>
      <c r="AC185" s="38" t="n">
        <v>44002</v>
      </c>
      <c r="AD185" s="38" t="n">
        <v>44004</v>
      </c>
      <c r="AE185" s="50" t="n">
        <v>45829</v>
      </c>
      <c r="AF185" s="28" t="n">
        <f aca="false">YEAR(AE185)</f>
        <v>2025</v>
      </c>
      <c r="AG185" s="63" t="n">
        <f aca="false">X185/SUMIF($Z$2:$Z$380,Z185,$X$2:$X$380)*(VLOOKUP(Z185,'затраты по департаментам-2 '!$A$2:$C$182,2,FALSE())+VLOOKUP(Z185,'затраты по департаментам-2 '!$A$2:$C$182,3,FALSE()))</f>
        <v>8234.73362021853</v>
      </c>
      <c r="AH185" s="153" t="n">
        <f aca="false">W185/60</f>
        <v>1754.35064739464</v>
      </c>
      <c r="AI185" s="64" t="s">
        <v>81</v>
      </c>
      <c r="AJ185" s="63" t="s">
        <v>100</v>
      </c>
      <c r="AK185" s="43" t="n">
        <v>999522</v>
      </c>
      <c r="AL185" s="43"/>
      <c r="AM185" s="43" t="s">
        <v>1424</v>
      </c>
      <c r="AN185" s="74" t="s">
        <v>1425</v>
      </c>
      <c r="AO185" s="65" t="n">
        <v>44728</v>
      </c>
      <c r="AP185" s="43" t="s">
        <v>1426</v>
      </c>
      <c r="AQ185" s="66" t="s">
        <v>1427</v>
      </c>
      <c r="AR185" s="64"/>
    </row>
    <row r="186" customFormat="false" ht="14.25" hidden="false" customHeight="false" outlineLevel="0" collapsed="false">
      <c r="A186" s="26" t="n">
        <v>185</v>
      </c>
      <c r="B186" s="43" t="s">
        <v>1428</v>
      </c>
      <c r="C186" s="26" t="s">
        <v>1336</v>
      </c>
      <c r="D186" s="28" t="s">
        <v>73</v>
      </c>
      <c r="E186" s="43" t="n">
        <v>4.9</v>
      </c>
      <c r="F186" s="43" t="n">
        <v>1.5</v>
      </c>
      <c r="G186" s="43" t="n">
        <v>103</v>
      </c>
      <c r="H186" s="43" t="n">
        <v>2020</v>
      </c>
      <c r="I186" s="43" t="s">
        <v>1292</v>
      </c>
      <c r="J186" s="43" t="s">
        <v>74</v>
      </c>
      <c r="K186" s="30" t="s">
        <v>1429</v>
      </c>
      <c r="L186" s="35"/>
      <c r="M186" s="31" t="s">
        <v>1430</v>
      </c>
      <c r="N186" s="32" t="s">
        <v>1090</v>
      </c>
      <c r="O186" s="28" t="s">
        <v>237</v>
      </c>
      <c r="P186" s="48" t="s">
        <v>198</v>
      </c>
      <c r="Q186" s="87" t="n">
        <v>7042</v>
      </c>
      <c r="R186" s="58" t="s">
        <v>171</v>
      </c>
      <c r="S186" s="69" t="n">
        <v>4134</v>
      </c>
      <c r="T186" s="35" t="s">
        <v>172</v>
      </c>
      <c r="U186" s="155" t="n">
        <v>341781.23</v>
      </c>
      <c r="V186" s="60" t="n">
        <v>24.4431</v>
      </c>
      <c r="W186" s="71" t="n">
        <f aca="false">2315742.85456092/22</f>
        <v>105261.038843678</v>
      </c>
      <c r="X186" s="112" t="n">
        <f aca="false">U186/V186</f>
        <v>13982.7284591562</v>
      </c>
      <c r="Y186" s="156" t="n">
        <f aca="false">121093.32/V186/22</f>
        <v>225.185914150898</v>
      </c>
      <c r="Z186" s="28" t="n">
        <v>5.6</v>
      </c>
      <c r="AA186" s="62" t="s">
        <v>80</v>
      </c>
      <c r="AB186" s="38" t="n">
        <v>43880</v>
      </c>
      <c r="AC186" s="38" t="n">
        <v>44002</v>
      </c>
      <c r="AD186" s="38" t="n">
        <v>44004</v>
      </c>
      <c r="AE186" s="50" t="n">
        <v>45829</v>
      </c>
      <c r="AF186" s="28" t="n">
        <f aca="false">YEAR(AE186)</f>
        <v>2025</v>
      </c>
      <c r="AG186" s="63" t="n">
        <f aca="false">X186/SUMIF($Z$2:$Z$380,Z186,$X$2:$X$380)*(VLOOKUP(Z186,'затраты по департаментам-2 '!$A$2:$C$182,2,FALSE())+VLOOKUP(Z186,'затраты по департаментам-2 '!$A$2:$C$182,3,FALSE()))</f>
        <v>8234.73362021853</v>
      </c>
      <c r="AH186" s="153" t="n">
        <f aca="false">W186/60</f>
        <v>1754.35064739464</v>
      </c>
      <c r="AI186" s="64" t="s">
        <v>81</v>
      </c>
      <c r="AJ186" s="63" t="s">
        <v>197</v>
      </c>
      <c r="AK186" s="43" t="n">
        <v>999613</v>
      </c>
      <c r="AL186" s="43"/>
      <c r="AM186" s="43" t="s">
        <v>1431</v>
      </c>
      <c r="AN186" s="74" t="s">
        <v>1432</v>
      </c>
      <c r="AO186" s="65" t="n">
        <v>44958</v>
      </c>
      <c r="AP186" s="43" t="s">
        <v>1433</v>
      </c>
      <c r="AQ186" s="26" t="s">
        <v>1434</v>
      </c>
      <c r="AR186" s="76" t="n">
        <v>44448</v>
      </c>
    </row>
    <row r="187" customFormat="false" ht="14.25" hidden="false" customHeight="false" outlineLevel="0" collapsed="false">
      <c r="A187" s="26" t="n">
        <v>186</v>
      </c>
      <c r="B187" s="43" t="s">
        <v>1435</v>
      </c>
      <c r="C187" s="26" t="s">
        <v>1336</v>
      </c>
      <c r="D187" s="28" t="s">
        <v>73</v>
      </c>
      <c r="E187" s="43" t="n">
        <v>4.9</v>
      </c>
      <c r="F187" s="43" t="n">
        <v>1.5</v>
      </c>
      <c r="G187" s="43" t="n">
        <v>103</v>
      </c>
      <c r="H187" s="43" t="n">
        <v>2020</v>
      </c>
      <c r="I187" s="43" t="s">
        <v>1292</v>
      </c>
      <c r="J187" s="43" t="s">
        <v>74</v>
      </c>
      <c r="K187" s="30" t="s">
        <v>1436</v>
      </c>
      <c r="L187" s="82"/>
      <c r="M187" s="31" t="s">
        <v>1437</v>
      </c>
      <c r="N187" s="32" t="s">
        <v>976</v>
      </c>
      <c r="O187" s="28" t="s">
        <v>60</v>
      </c>
      <c r="P187" s="48" t="s">
        <v>404</v>
      </c>
      <c r="Q187" s="57" t="n">
        <v>1000</v>
      </c>
      <c r="R187" s="58" t="s">
        <v>405</v>
      </c>
      <c r="S187" s="69" t="n">
        <v>3480</v>
      </c>
      <c r="T187" s="35" t="s">
        <v>172</v>
      </c>
      <c r="U187" s="155" t="n">
        <v>341781.23</v>
      </c>
      <c r="V187" s="60" t="n">
        <v>24.4431</v>
      </c>
      <c r="W187" s="71" t="n">
        <f aca="false">2315742.85456092/22</f>
        <v>105261.038843678</v>
      </c>
      <c r="X187" s="112" t="n">
        <f aca="false">U187/V187</f>
        <v>13982.7284591562</v>
      </c>
      <c r="Y187" s="156" t="n">
        <f aca="false">121093.32/V187/22</f>
        <v>225.185914150898</v>
      </c>
      <c r="Z187" s="28" t="n">
        <v>5.6</v>
      </c>
      <c r="AA187" s="62" t="s">
        <v>80</v>
      </c>
      <c r="AB187" s="38" t="n">
        <v>43880</v>
      </c>
      <c r="AC187" s="38" t="n">
        <v>44002</v>
      </c>
      <c r="AD187" s="38" t="n">
        <v>44004</v>
      </c>
      <c r="AE187" s="50" t="n">
        <v>45829</v>
      </c>
      <c r="AF187" s="28" t="n">
        <f aca="false">YEAR(AE187)</f>
        <v>2025</v>
      </c>
      <c r="AG187" s="63" t="n">
        <f aca="false">X187/SUMIF($Z$2:$Z$380,Z187,$X$2:$X$380)*(VLOOKUP(Z187,'затраты по департаментам-2 '!$A$2:$C$182,2,FALSE())+VLOOKUP(Z187,'затраты по департаментам-2 '!$A$2:$C$182,3,FALSE()))</f>
        <v>8234.73362021853</v>
      </c>
      <c r="AH187" s="153" t="n">
        <f aca="false">W187/60</f>
        <v>1754.35064739464</v>
      </c>
      <c r="AI187" s="64" t="s">
        <v>81</v>
      </c>
      <c r="AJ187" s="63" t="s">
        <v>82</v>
      </c>
      <c r="AK187" s="43" t="n">
        <v>123426</v>
      </c>
      <c r="AL187" s="43"/>
      <c r="AM187" s="43" t="s">
        <v>1438</v>
      </c>
      <c r="AN187" s="74" t="s">
        <v>1439</v>
      </c>
      <c r="AO187" s="65" t="n">
        <v>44775</v>
      </c>
      <c r="AP187" s="43" t="s">
        <v>1440</v>
      </c>
      <c r="AQ187" s="64" t="s">
        <v>1441</v>
      </c>
      <c r="AR187" s="64"/>
    </row>
    <row r="188" customFormat="false" ht="14.25" hidden="false" customHeight="false" outlineLevel="0" collapsed="false">
      <c r="A188" s="26" t="n">
        <v>187</v>
      </c>
      <c r="B188" s="43" t="s">
        <v>1442</v>
      </c>
      <c r="C188" s="43" t="s">
        <v>1336</v>
      </c>
      <c r="D188" s="28" t="s">
        <v>73</v>
      </c>
      <c r="E188" s="43" t="n">
        <v>4.9</v>
      </c>
      <c r="F188" s="43" t="n">
        <v>1.5</v>
      </c>
      <c r="G188" s="43" t="n">
        <v>103</v>
      </c>
      <c r="H188" s="43" t="n">
        <v>2020</v>
      </c>
      <c r="I188" s="43" t="s">
        <v>1292</v>
      </c>
      <c r="J188" s="43" t="s">
        <v>74</v>
      </c>
      <c r="K188" s="30" t="s">
        <v>1443</v>
      </c>
      <c r="L188" s="35"/>
      <c r="M188" s="31" t="s">
        <v>1444</v>
      </c>
      <c r="N188" s="32" t="s">
        <v>179</v>
      </c>
      <c r="O188" s="28" t="s">
        <v>313</v>
      </c>
      <c r="P188" s="48" t="s">
        <v>91</v>
      </c>
      <c r="Q188" s="87" t="n">
        <v>7080</v>
      </c>
      <c r="R188" s="58" t="s">
        <v>171</v>
      </c>
      <c r="S188" s="69" t="n">
        <v>4138</v>
      </c>
      <c r="T188" s="35" t="s">
        <v>172</v>
      </c>
      <c r="U188" s="155" t="n">
        <v>341781.23</v>
      </c>
      <c r="V188" s="60" t="n">
        <v>24.4431</v>
      </c>
      <c r="W188" s="71" t="n">
        <f aca="false">2315742.85456092/22</f>
        <v>105261.038843678</v>
      </c>
      <c r="X188" s="112" t="n">
        <f aca="false">U188/V188</f>
        <v>13982.7284591562</v>
      </c>
      <c r="Y188" s="156" t="n">
        <f aca="false">121093.32/V188/22</f>
        <v>225.185914150898</v>
      </c>
      <c r="Z188" s="28" t="n">
        <v>5.6</v>
      </c>
      <c r="AA188" s="62" t="s">
        <v>80</v>
      </c>
      <c r="AB188" s="38" t="n">
        <v>43880</v>
      </c>
      <c r="AC188" s="38" t="n">
        <v>44002</v>
      </c>
      <c r="AD188" s="38" t="n">
        <v>44004</v>
      </c>
      <c r="AE188" s="50" t="n">
        <v>45829</v>
      </c>
      <c r="AF188" s="28" t="n">
        <f aca="false">YEAR(AE188)</f>
        <v>2025</v>
      </c>
      <c r="AG188" s="63" t="n">
        <f aca="false">X188/SUMIF($Z$2:$Z$380,Z188,$X$2:$X$380)*(VLOOKUP(Z188,'затраты по департаментам-2 '!$A$2:$C$182,2,FALSE())+VLOOKUP(Z188,'затраты по департаментам-2 '!$A$2:$C$182,3,FALSE()))</f>
        <v>8234.73362021853</v>
      </c>
      <c r="AH188" s="153" t="n">
        <f aca="false">W188/60</f>
        <v>1754.35064739464</v>
      </c>
      <c r="AI188" s="64" t="s">
        <v>81</v>
      </c>
      <c r="AJ188" s="63" t="s">
        <v>82</v>
      </c>
      <c r="AK188" s="43" t="n">
        <v>127393</v>
      </c>
      <c r="AL188" s="43"/>
      <c r="AM188" s="43" t="s">
        <v>1445</v>
      </c>
      <c r="AN188" s="74" t="s">
        <v>1446</v>
      </c>
      <c r="AO188" s="65" t="n">
        <v>44961</v>
      </c>
      <c r="AP188" s="43" t="s">
        <v>1447</v>
      </c>
      <c r="AQ188" s="66" t="s">
        <v>1448</v>
      </c>
      <c r="AR188" s="64"/>
    </row>
    <row r="189" customFormat="false" ht="14.25" hidden="false" customHeight="false" outlineLevel="0" collapsed="false">
      <c r="A189" s="26" t="n">
        <v>188</v>
      </c>
      <c r="B189" s="43" t="s">
        <v>1449</v>
      </c>
      <c r="C189" s="43" t="s">
        <v>1336</v>
      </c>
      <c r="D189" s="28" t="s">
        <v>73</v>
      </c>
      <c r="E189" s="43" t="n">
        <v>4.9</v>
      </c>
      <c r="F189" s="43" t="n">
        <v>1.5</v>
      </c>
      <c r="G189" s="43" t="n">
        <v>103</v>
      </c>
      <c r="H189" s="43" t="n">
        <v>2020</v>
      </c>
      <c r="I189" s="43" t="s">
        <v>1292</v>
      </c>
      <c r="J189" s="43" t="s">
        <v>74</v>
      </c>
      <c r="K189" s="30" t="s">
        <v>1450</v>
      </c>
      <c r="L189" s="82"/>
      <c r="M189" s="31" t="s">
        <v>1451</v>
      </c>
      <c r="N189" s="92" t="s">
        <v>179</v>
      </c>
      <c r="O189" s="28" t="s">
        <v>942</v>
      </c>
      <c r="P189" s="56" t="s">
        <v>181</v>
      </c>
      <c r="Q189" s="87" t="n">
        <v>7073</v>
      </c>
      <c r="R189" s="58" t="s">
        <v>92</v>
      </c>
      <c r="S189" s="69" t="n">
        <v>4133</v>
      </c>
      <c r="T189" s="35" t="s">
        <v>172</v>
      </c>
      <c r="U189" s="155" t="n">
        <v>341781.23</v>
      </c>
      <c r="V189" s="60" t="n">
        <v>24.4431</v>
      </c>
      <c r="W189" s="71" t="n">
        <f aca="false">2315742.85456092/22</f>
        <v>105261.038843678</v>
      </c>
      <c r="X189" s="112" t="n">
        <f aca="false">U189/V189</f>
        <v>13982.7284591562</v>
      </c>
      <c r="Y189" s="156" t="n">
        <f aca="false">121093.32/V189/22</f>
        <v>225.185914150898</v>
      </c>
      <c r="Z189" s="28" t="n">
        <v>5.6</v>
      </c>
      <c r="AA189" s="62" t="s">
        <v>80</v>
      </c>
      <c r="AB189" s="38" t="n">
        <v>43880</v>
      </c>
      <c r="AC189" s="38" t="n">
        <v>44002</v>
      </c>
      <c r="AD189" s="38" t="n">
        <v>44004</v>
      </c>
      <c r="AE189" s="50" t="n">
        <v>45829</v>
      </c>
      <c r="AF189" s="28" t="n">
        <f aca="false">YEAR(AE189)</f>
        <v>2025</v>
      </c>
      <c r="AG189" s="63" t="n">
        <f aca="false">X189/SUMIF($Z$2:$Z$380,Z189,$X$2:$X$380)*(VLOOKUP(Z189,'затраты по департаментам-2 '!$A$2:$C$182,2,FALSE())+VLOOKUP(Z189,'затраты по департаментам-2 '!$A$2:$C$182,3,FALSE()))</f>
        <v>8234.73362021853</v>
      </c>
      <c r="AH189" s="153" t="n">
        <f aca="false">W189/60</f>
        <v>1754.35064739464</v>
      </c>
      <c r="AI189" s="64" t="s">
        <v>81</v>
      </c>
      <c r="AJ189" s="63" t="s">
        <v>82</v>
      </c>
      <c r="AK189" s="43" t="n">
        <v>123459</v>
      </c>
      <c r="AL189" s="43"/>
      <c r="AM189" s="43" t="s">
        <v>1452</v>
      </c>
      <c r="AN189" s="74" t="s">
        <v>1453</v>
      </c>
      <c r="AO189" s="65" t="n">
        <v>44889</v>
      </c>
      <c r="AP189" s="43" t="s">
        <v>1454</v>
      </c>
      <c r="AQ189" s="66" t="s">
        <v>1455</v>
      </c>
      <c r="AR189" s="64"/>
    </row>
    <row r="190" customFormat="false" ht="14.25" hidden="false" customHeight="false" outlineLevel="0" collapsed="false">
      <c r="A190" s="26" t="n">
        <v>189</v>
      </c>
      <c r="B190" s="43" t="s">
        <v>1456</v>
      </c>
      <c r="C190" s="26" t="s">
        <v>1336</v>
      </c>
      <c r="D190" s="28" t="s">
        <v>73</v>
      </c>
      <c r="E190" s="43" t="n">
        <v>4.9</v>
      </c>
      <c r="F190" s="43" t="n">
        <v>1.5</v>
      </c>
      <c r="G190" s="43" t="n">
        <v>103</v>
      </c>
      <c r="H190" s="43" t="n">
        <v>2020</v>
      </c>
      <c r="I190" s="43" t="s">
        <v>1292</v>
      </c>
      <c r="J190" s="43" t="s">
        <v>74</v>
      </c>
      <c r="K190" s="30" t="s">
        <v>1457</v>
      </c>
      <c r="L190" s="82"/>
      <c r="M190" s="31" t="s">
        <v>1458</v>
      </c>
      <c r="N190" s="92" t="s">
        <v>227</v>
      </c>
      <c r="O190" s="28" t="s">
        <v>928</v>
      </c>
      <c r="P190" s="56" t="s">
        <v>298</v>
      </c>
      <c r="Q190" s="160" t="n">
        <v>1000</v>
      </c>
      <c r="R190" s="58" t="s">
        <v>189</v>
      </c>
      <c r="S190" s="69" t="n">
        <v>4173</v>
      </c>
      <c r="T190" s="35" t="s">
        <v>172</v>
      </c>
      <c r="U190" s="155" t="n">
        <v>341781.23</v>
      </c>
      <c r="V190" s="60" t="n">
        <v>24.4431</v>
      </c>
      <c r="W190" s="71" t="n">
        <f aca="false">2315742.85456092/22</f>
        <v>105261.038843678</v>
      </c>
      <c r="X190" s="161" t="n">
        <f aca="false">U190/V190</f>
        <v>13982.7284591562</v>
      </c>
      <c r="Y190" s="156" t="n">
        <f aca="false">121093.32/V190/22</f>
        <v>225.185914150898</v>
      </c>
      <c r="Z190" s="28" t="n">
        <v>5.6</v>
      </c>
      <c r="AA190" s="62" t="s">
        <v>80</v>
      </c>
      <c r="AB190" s="38" t="n">
        <v>43880</v>
      </c>
      <c r="AC190" s="38" t="n">
        <v>44002</v>
      </c>
      <c r="AD190" s="38" t="n">
        <v>44004</v>
      </c>
      <c r="AE190" s="50" t="n">
        <v>45829</v>
      </c>
      <c r="AF190" s="28" t="n">
        <f aca="false">YEAR(AE190)</f>
        <v>2025</v>
      </c>
      <c r="AG190" s="63" t="n">
        <f aca="false">X190/SUMIF($Z$2:$Z$380,Z190,$X$2:$X$380)*(VLOOKUP(Z190,'затраты по департаментам-2 '!$A$2:$C$182,2,FALSE())+VLOOKUP(Z190,'затраты по департаментам-2 '!$A$2:$C$182,3,FALSE()))</f>
        <v>8234.73362021853</v>
      </c>
      <c r="AH190" s="153" t="n">
        <f aca="false">W190/60</f>
        <v>1754.35064739464</v>
      </c>
      <c r="AI190" s="64" t="s">
        <v>81</v>
      </c>
      <c r="AJ190" s="63" t="s">
        <v>82</v>
      </c>
      <c r="AK190" s="43" t="n">
        <v>126817</v>
      </c>
      <c r="AL190" s="43"/>
      <c r="AM190" s="43" t="s">
        <v>1459</v>
      </c>
      <c r="AN190" s="74" t="s">
        <v>1460</v>
      </c>
      <c r="AO190" s="65" t="n">
        <v>44783</v>
      </c>
      <c r="AP190" s="43" t="s">
        <v>1461</v>
      </c>
      <c r="AQ190" s="66" t="s">
        <v>1462</v>
      </c>
      <c r="AR190" s="64"/>
    </row>
    <row r="191" customFormat="false" ht="14.25" hidden="false" customHeight="false" outlineLevel="0" collapsed="false">
      <c r="A191" s="26" t="n">
        <v>190</v>
      </c>
      <c r="B191" s="43" t="s">
        <v>1463</v>
      </c>
      <c r="C191" s="43" t="s">
        <v>1336</v>
      </c>
      <c r="D191" s="28" t="s">
        <v>73</v>
      </c>
      <c r="E191" s="43" t="n">
        <v>4.9</v>
      </c>
      <c r="F191" s="43" t="n">
        <v>1.5</v>
      </c>
      <c r="G191" s="43" t="n">
        <v>103</v>
      </c>
      <c r="H191" s="43" t="n">
        <v>2020</v>
      </c>
      <c r="I191" s="43" t="s">
        <v>1292</v>
      </c>
      <c r="J191" s="43" t="s">
        <v>74</v>
      </c>
      <c r="K191" s="30" t="s">
        <v>1464</v>
      </c>
      <c r="L191" s="82"/>
      <c r="M191" s="31" t="s">
        <v>1465</v>
      </c>
      <c r="N191" s="84" t="s">
        <v>179</v>
      </c>
      <c r="O191" s="28" t="s">
        <v>899</v>
      </c>
      <c r="P191" s="56" t="s">
        <v>327</v>
      </c>
      <c r="Q191" s="87" t="n">
        <v>7014</v>
      </c>
      <c r="R191" s="58" t="s">
        <v>171</v>
      </c>
      <c r="S191" s="69" t="n">
        <v>4131</v>
      </c>
      <c r="T191" s="35" t="s">
        <v>172</v>
      </c>
      <c r="U191" s="155" t="n">
        <v>341781.23</v>
      </c>
      <c r="V191" s="60" t="n">
        <v>24.4431</v>
      </c>
      <c r="W191" s="71" t="n">
        <f aca="false">2315742.85456092/22</f>
        <v>105261.038843678</v>
      </c>
      <c r="X191" s="161" t="n">
        <f aca="false">U191/V191</f>
        <v>13982.7284591562</v>
      </c>
      <c r="Y191" s="156" t="n">
        <f aca="false">121093.32/V191/22</f>
        <v>225.185914150898</v>
      </c>
      <c r="Z191" s="28" t="n">
        <v>5.6</v>
      </c>
      <c r="AA191" s="62" t="s">
        <v>80</v>
      </c>
      <c r="AB191" s="38" t="n">
        <v>43880</v>
      </c>
      <c r="AC191" s="38" t="n">
        <v>44002</v>
      </c>
      <c r="AD191" s="38" t="n">
        <v>44004</v>
      </c>
      <c r="AE191" s="50" t="n">
        <v>45829</v>
      </c>
      <c r="AF191" s="28" t="n">
        <f aca="false">YEAR(AE191)</f>
        <v>2025</v>
      </c>
      <c r="AG191" s="63" t="n">
        <f aca="false">X191/SUMIF($Z$2:$Z$380,Z191,$X$2:$X$380)*(VLOOKUP(Z191,'затраты по департаментам-2 '!$A$2:$C$182,2,FALSE())+VLOOKUP(Z191,'затраты по департаментам-2 '!$A$2:$C$182,3,FALSE()))</f>
        <v>8234.73362021853</v>
      </c>
      <c r="AH191" s="153" t="n">
        <f aca="false">W191/60</f>
        <v>1754.35064739464</v>
      </c>
      <c r="AI191" s="64" t="s">
        <v>81</v>
      </c>
      <c r="AJ191" s="63" t="s">
        <v>52</v>
      </c>
      <c r="AK191" s="43" t="n">
        <v>123533</v>
      </c>
      <c r="AL191" s="43"/>
      <c r="AM191" s="43" t="s">
        <v>1466</v>
      </c>
      <c r="AN191" s="78" t="s">
        <v>1467</v>
      </c>
      <c r="AO191" s="65" t="n">
        <v>44981</v>
      </c>
      <c r="AP191" s="43" t="s">
        <v>1468</v>
      </c>
      <c r="AQ191" s="66" t="s">
        <v>1469</v>
      </c>
      <c r="AR191" s="64"/>
    </row>
    <row r="192" customFormat="false" ht="14.25" hidden="false" customHeight="false" outlineLevel="0" collapsed="false">
      <c r="A192" s="26" t="n">
        <v>191</v>
      </c>
      <c r="B192" s="43" t="s">
        <v>1470</v>
      </c>
      <c r="C192" s="26" t="s">
        <v>1336</v>
      </c>
      <c r="D192" s="28" t="s">
        <v>73</v>
      </c>
      <c r="E192" s="43" t="n">
        <v>4.9</v>
      </c>
      <c r="F192" s="43" t="n">
        <v>1.5</v>
      </c>
      <c r="G192" s="43" t="n">
        <v>103</v>
      </c>
      <c r="H192" s="43" t="n">
        <v>2020</v>
      </c>
      <c r="I192" s="43" t="s">
        <v>1292</v>
      </c>
      <c r="J192" s="43" t="s">
        <v>74</v>
      </c>
      <c r="K192" s="30" t="s">
        <v>1471</v>
      </c>
      <c r="L192" s="82"/>
      <c r="M192" s="31" t="s">
        <v>1472</v>
      </c>
      <c r="N192" s="32" t="s">
        <v>179</v>
      </c>
      <c r="O192" s="28" t="s">
        <v>142</v>
      </c>
      <c r="P192" s="56" t="s">
        <v>143</v>
      </c>
      <c r="Q192" s="87" t="n">
        <v>1000</v>
      </c>
      <c r="R192" s="58" t="s">
        <v>189</v>
      </c>
      <c r="S192" s="69" t="n">
        <v>4176</v>
      </c>
      <c r="T192" s="35" t="s">
        <v>172</v>
      </c>
      <c r="U192" s="155" t="n">
        <v>341781.23</v>
      </c>
      <c r="V192" s="60" t="n">
        <v>24.4431</v>
      </c>
      <c r="W192" s="71" t="n">
        <f aca="false">2315742.85456092/22</f>
        <v>105261.038843678</v>
      </c>
      <c r="X192" s="161" t="n">
        <f aca="false">U192/V192</f>
        <v>13982.7284591562</v>
      </c>
      <c r="Y192" s="156" t="n">
        <f aca="false">121093.32/V192/22</f>
        <v>225.185914150898</v>
      </c>
      <c r="Z192" s="28" t="n">
        <v>5.6</v>
      </c>
      <c r="AA192" s="62" t="s">
        <v>80</v>
      </c>
      <c r="AB192" s="38" t="n">
        <v>43880</v>
      </c>
      <c r="AC192" s="38" t="n">
        <v>44002</v>
      </c>
      <c r="AD192" s="38" t="n">
        <v>44004</v>
      </c>
      <c r="AE192" s="50" t="n">
        <v>45829</v>
      </c>
      <c r="AF192" s="28" t="n">
        <f aca="false">YEAR(AE192)</f>
        <v>2025</v>
      </c>
      <c r="AG192" s="63" t="n">
        <f aca="false">X192/SUMIF($Z$2:$Z$380,Z192,$X$2:$X$380)*(VLOOKUP(Z192,'затраты по департаментам-2 '!$A$2:$C$182,2,FALSE())+VLOOKUP(Z192,'затраты по департаментам-2 '!$A$2:$C$182,3,FALSE()))</f>
        <v>8234.73362021853</v>
      </c>
      <c r="AH192" s="153" t="n">
        <f aca="false">W192/60</f>
        <v>1754.35064739464</v>
      </c>
      <c r="AI192" s="64" t="s">
        <v>81</v>
      </c>
      <c r="AJ192" s="63" t="s">
        <v>142</v>
      </c>
      <c r="AK192" s="43" t="n">
        <v>123491</v>
      </c>
      <c r="AL192" s="43"/>
      <c r="AM192" s="43" t="s">
        <v>1473</v>
      </c>
      <c r="AN192" s="74" t="s">
        <v>1474</v>
      </c>
      <c r="AO192" s="65" t="n">
        <v>44735</v>
      </c>
      <c r="AP192" s="43" t="s">
        <v>1475</v>
      </c>
      <c r="AQ192" s="66" t="s">
        <v>1476</v>
      </c>
      <c r="AR192" s="64"/>
    </row>
    <row r="193" customFormat="false" ht="14.25" hidden="false" customHeight="false" outlineLevel="0" collapsed="false">
      <c r="A193" s="26" t="n">
        <v>192</v>
      </c>
      <c r="B193" s="43" t="s">
        <v>1477</v>
      </c>
      <c r="C193" s="43" t="s">
        <v>1336</v>
      </c>
      <c r="D193" s="28" t="s">
        <v>73</v>
      </c>
      <c r="E193" s="43" t="n">
        <v>4.9</v>
      </c>
      <c r="F193" s="43" t="n">
        <v>1.5</v>
      </c>
      <c r="G193" s="43" t="n">
        <v>103</v>
      </c>
      <c r="H193" s="43" t="n">
        <v>2020</v>
      </c>
      <c r="I193" s="43" t="s">
        <v>1292</v>
      </c>
      <c r="J193" s="43" t="s">
        <v>74</v>
      </c>
      <c r="K193" s="30" t="s">
        <v>1478</v>
      </c>
      <c r="L193" s="82"/>
      <c r="M193" s="31" t="s">
        <v>1479</v>
      </c>
      <c r="N193" s="84" t="s">
        <v>179</v>
      </c>
      <c r="O193" s="28" t="s">
        <v>313</v>
      </c>
      <c r="P193" s="56" t="s">
        <v>181</v>
      </c>
      <c r="Q193" s="103" t="n">
        <v>7073</v>
      </c>
      <c r="R193" s="58" t="s">
        <v>171</v>
      </c>
      <c r="S193" s="69" t="n">
        <v>4133</v>
      </c>
      <c r="T193" s="35" t="s">
        <v>172</v>
      </c>
      <c r="U193" s="155" t="n">
        <v>341781.23</v>
      </c>
      <c r="V193" s="60" t="n">
        <v>24.4431</v>
      </c>
      <c r="W193" s="71" t="n">
        <f aca="false">2315742.85456092/22</f>
        <v>105261.038843678</v>
      </c>
      <c r="X193" s="161" t="n">
        <f aca="false">U193/V193</f>
        <v>13982.7284591562</v>
      </c>
      <c r="Y193" s="156" t="n">
        <f aca="false">121093.32/V193/22</f>
        <v>225.185914150898</v>
      </c>
      <c r="Z193" s="28" t="n">
        <v>5.6</v>
      </c>
      <c r="AA193" s="62" t="s">
        <v>80</v>
      </c>
      <c r="AB193" s="38" t="n">
        <v>43880</v>
      </c>
      <c r="AC193" s="38" t="n">
        <v>44002</v>
      </c>
      <c r="AD193" s="38" t="n">
        <v>44004</v>
      </c>
      <c r="AE193" s="50" t="n">
        <v>45829</v>
      </c>
      <c r="AF193" s="28" t="n">
        <f aca="false">YEAR(AE193)</f>
        <v>2025</v>
      </c>
      <c r="AG193" s="63" t="n">
        <f aca="false">X193/SUMIF($Z$2:$Z$380,Z193,$X$2:$X$380)*(VLOOKUP(Z193,'затраты по департаментам-2 '!$A$2:$C$182,2,FALSE())+VLOOKUP(Z193,'затраты по департаментам-2 '!$A$2:$C$182,3,FALSE()))</f>
        <v>8234.73362021853</v>
      </c>
      <c r="AH193" s="153" t="n">
        <f aca="false">W193/60</f>
        <v>1754.35064739464</v>
      </c>
      <c r="AI193" s="64" t="s">
        <v>81</v>
      </c>
      <c r="AJ193" s="63" t="s">
        <v>82</v>
      </c>
      <c r="AK193" s="43" t="n">
        <v>128664</v>
      </c>
      <c r="AL193" s="43"/>
      <c r="AM193" s="43" t="s">
        <v>1480</v>
      </c>
      <c r="AN193" s="74" t="s">
        <v>1481</v>
      </c>
      <c r="AO193" s="65" t="n">
        <v>44924</v>
      </c>
      <c r="AP193" s="43" t="s">
        <v>1482</v>
      </c>
      <c r="AQ193" s="66" t="s">
        <v>1483</v>
      </c>
      <c r="AR193" s="64"/>
    </row>
    <row r="194" customFormat="false" ht="14.25" hidden="false" customHeight="false" outlineLevel="0" collapsed="false">
      <c r="A194" s="26" t="n">
        <v>193</v>
      </c>
      <c r="B194" s="43" t="s">
        <v>1484</v>
      </c>
      <c r="C194" s="43" t="s">
        <v>1336</v>
      </c>
      <c r="D194" s="28" t="s">
        <v>73</v>
      </c>
      <c r="E194" s="43" t="n">
        <v>4.9</v>
      </c>
      <c r="F194" s="43" t="n">
        <v>1.5</v>
      </c>
      <c r="G194" s="43" t="n">
        <v>103</v>
      </c>
      <c r="H194" s="43" t="n">
        <v>2020</v>
      </c>
      <c r="I194" s="43" t="s">
        <v>1292</v>
      </c>
      <c r="J194" s="43" t="s">
        <v>74</v>
      </c>
      <c r="K194" s="30" t="s">
        <v>1485</v>
      </c>
      <c r="L194" s="35"/>
      <c r="M194" s="31" t="s">
        <v>1486</v>
      </c>
      <c r="N194" s="84" t="s">
        <v>179</v>
      </c>
      <c r="O194" s="57" t="s">
        <v>1350</v>
      </c>
      <c r="P194" s="56" t="s">
        <v>91</v>
      </c>
      <c r="Q194" s="87" t="n">
        <v>7082</v>
      </c>
      <c r="R194" s="58" t="s">
        <v>171</v>
      </c>
      <c r="S194" s="69" t="n">
        <v>4138</v>
      </c>
      <c r="T194" s="35" t="s">
        <v>172</v>
      </c>
      <c r="U194" s="155" t="n">
        <v>341781.23</v>
      </c>
      <c r="V194" s="60" t="n">
        <v>24.4431</v>
      </c>
      <c r="W194" s="71" t="n">
        <f aca="false">2315742.85456092/22</f>
        <v>105261.038843678</v>
      </c>
      <c r="X194" s="161" t="n">
        <f aca="false">U194/V194</f>
        <v>13982.7284591562</v>
      </c>
      <c r="Y194" s="156" t="n">
        <f aca="false">121093.32/V194/22</f>
        <v>225.185914150898</v>
      </c>
      <c r="Z194" s="28" t="n">
        <v>5.6</v>
      </c>
      <c r="AA194" s="62" t="s">
        <v>80</v>
      </c>
      <c r="AB194" s="38" t="n">
        <v>43880</v>
      </c>
      <c r="AC194" s="38" t="n">
        <v>44002</v>
      </c>
      <c r="AD194" s="38" t="n">
        <v>44004</v>
      </c>
      <c r="AE194" s="50" t="n">
        <v>45829</v>
      </c>
      <c r="AF194" s="28" t="n">
        <f aca="false">YEAR(AE194)</f>
        <v>2025</v>
      </c>
      <c r="AG194" s="63" t="n">
        <f aca="false">X194/SUMIF($Z$2:$Z$380,Z194,$X$2:$X$380)*(VLOOKUP(Z194,'затраты по департаментам-2 '!$A$2:$C$182,2,FALSE())+VLOOKUP(Z194,'затраты по департаментам-2 '!$A$2:$C$182,3,FALSE()))</f>
        <v>8234.73362021853</v>
      </c>
      <c r="AH194" s="153" t="n">
        <f aca="false">W194/60</f>
        <v>1754.35064739464</v>
      </c>
      <c r="AI194" s="64" t="s">
        <v>81</v>
      </c>
      <c r="AJ194" s="63" t="s">
        <v>82</v>
      </c>
      <c r="AK194" s="43" t="n">
        <v>133060</v>
      </c>
      <c r="AL194" s="43"/>
      <c r="AM194" s="43" t="s">
        <v>1487</v>
      </c>
      <c r="AN194" s="74" t="s">
        <v>1488</v>
      </c>
      <c r="AO194" s="65" t="n">
        <v>44845</v>
      </c>
      <c r="AP194" s="43" t="s">
        <v>1489</v>
      </c>
      <c r="AQ194" s="66" t="s">
        <v>1490</v>
      </c>
      <c r="AR194" s="64"/>
    </row>
    <row r="195" customFormat="false" ht="12.75" hidden="false" customHeight="false" outlineLevel="0" collapsed="false">
      <c r="A195" s="26" t="n">
        <v>194</v>
      </c>
      <c r="B195" s="43" t="s">
        <v>1491</v>
      </c>
      <c r="C195" s="26" t="s">
        <v>1336</v>
      </c>
      <c r="D195" s="28" t="s">
        <v>73</v>
      </c>
      <c r="E195" s="43" t="n">
        <v>4.9</v>
      </c>
      <c r="F195" s="43" t="n">
        <v>1.5</v>
      </c>
      <c r="G195" s="43" t="n">
        <v>103</v>
      </c>
      <c r="H195" s="43" t="n">
        <v>2020</v>
      </c>
      <c r="I195" s="43" t="s">
        <v>1292</v>
      </c>
      <c r="J195" s="43" t="s">
        <v>74</v>
      </c>
      <c r="K195" s="30" t="s">
        <v>1492</v>
      </c>
      <c r="L195" s="57"/>
      <c r="M195" s="31" t="s">
        <v>1493</v>
      </c>
      <c r="N195" s="130" t="s">
        <v>227</v>
      </c>
      <c r="O195" s="57" t="s">
        <v>218</v>
      </c>
      <c r="P195" s="48" t="s">
        <v>228</v>
      </c>
      <c r="Q195" s="87" t="n">
        <v>1000</v>
      </c>
      <c r="R195" s="89" t="s">
        <v>189</v>
      </c>
      <c r="S195" s="69" t="n">
        <v>4171</v>
      </c>
      <c r="T195" s="35" t="s">
        <v>172</v>
      </c>
      <c r="U195" s="155" t="n">
        <v>341781.23</v>
      </c>
      <c r="V195" s="60" t="n">
        <v>24.4431</v>
      </c>
      <c r="W195" s="71" t="n">
        <f aca="false">3215945.29540594/30</f>
        <v>107198.176513531</v>
      </c>
      <c r="X195" s="161" t="n">
        <f aca="false">U195/V195</f>
        <v>13982.7284591562</v>
      </c>
      <c r="Y195" s="156" t="n">
        <f aca="false">165127.2/V195/30</f>
        <v>225.185839766642</v>
      </c>
      <c r="Z195" s="28" t="n">
        <v>5.7</v>
      </c>
      <c r="AA195" s="62" t="s">
        <v>80</v>
      </c>
      <c r="AB195" s="38" t="n">
        <v>43880</v>
      </c>
      <c r="AC195" s="38" t="n">
        <v>44036</v>
      </c>
      <c r="AD195" s="38" t="n">
        <v>44034</v>
      </c>
      <c r="AE195" s="50" t="n">
        <v>45859</v>
      </c>
      <c r="AF195" s="28" t="n">
        <f aca="false">YEAR(AE195)</f>
        <v>2025</v>
      </c>
      <c r="AG195" s="63" t="n">
        <f aca="false">X195/SUMIF($Z$2:$Z$380,Z195,$X$2:$X$380)*(VLOOKUP(Z195,'затраты по департаментам-2 '!$A$2:$C$182,2,FALSE())+VLOOKUP(Z195,'затраты по департаментам-2 '!$A$2:$C$182,3,FALSE()))</f>
        <v>8234.73066666666</v>
      </c>
      <c r="AH195" s="153" t="n">
        <f aca="false">W195/60</f>
        <v>1786.63627522552</v>
      </c>
      <c r="AI195" s="64" t="s">
        <v>81</v>
      </c>
      <c r="AJ195" s="63" t="s">
        <v>52</v>
      </c>
      <c r="AK195" s="43" t="n">
        <v>77019</v>
      </c>
      <c r="AL195" s="43"/>
      <c r="AM195" s="43" t="s">
        <v>1494</v>
      </c>
      <c r="AN195" s="74" t="s">
        <v>1495</v>
      </c>
      <c r="AO195" s="65" t="n">
        <v>44840</v>
      </c>
      <c r="AP195" s="43" t="s">
        <v>1496</v>
      </c>
      <c r="AQ195" s="66" t="s">
        <v>1497</v>
      </c>
      <c r="AR195" s="64"/>
    </row>
    <row r="196" customFormat="false" ht="14.25" hidden="false" customHeight="false" outlineLevel="0" collapsed="false">
      <c r="A196" s="26" t="n">
        <v>195</v>
      </c>
      <c r="B196" s="43" t="s">
        <v>1498</v>
      </c>
      <c r="C196" s="26" t="s">
        <v>1336</v>
      </c>
      <c r="D196" s="28" t="s">
        <v>73</v>
      </c>
      <c r="E196" s="43" t="n">
        <v>4.9</v>
      </c>
      <c r="F196" s="43" t="n">
        <v>1.5</v>
      </c>
      <c r="G196" s="43" t="n">
        <v>103</v>
      </c>
      <c r="H196" s="43" t="n">
        <v>2020</v>
      </c>
      <c r="I196" s="43" t="s">
        <v>1292</v>
      </c>
      <c r="J196" s="43" t="s">
        <v>74</v>
      </c>
      <c r="K196" s="30" t="s">
        <v>1499</v>
      </c>
      <c r="L196" s="69"/>
      <c r="M196" s="31" t="s">
        <v>1500</v>
      </c>
      <c r="N196" s="32" t="s">
        <v>236</v>
      </c>
      <c r="O196" s="28" t="s">
        <v>606</v>
      </c>
      <c r="P196" s="56" t="s">
        <v>181</v>
      </c>
      <c r="Q196" s="87" t="n">
        <v>7030</v>
      </c>
      <c r="R196" s="58" t="s">
        <v>171</v>
      </c>
      <c r="S196" s="69" t="n">
        <v>4133</v>
      </c>
      <c r="T196" s="35" t="s">
        <v>172</v>
      </c>
      <c r="U196" s="155" t="n">
        <v>341781.23</v>
      </c>
      <c r="V196" s="60" t="n">
        <v>24.4431</v>
      </c>
      <c r="W196" s="71" t="n">
        <f aca="false">3215945.29540594/30</f>
        <v>107198.176513531</v>
      </c>
      <c r="X196" s="161" t="n">
        <f aca="false">U196/V196</f>
        <v>13982.7284591562</v>
      </c>
      <c r="Y196" s="156" t="n">
        <f aca="false">165127.2/V196/30</f>
        <v>225.185839766642</v>
      </c>
      <c r="Z196" s="28" t="n">
        <v>5.7</v>
      </c>
      <c r="AA196" s="62" t="s">
        <v>80</v>
      </c>
      <c r="AB196" s="38" t="n">
        <v>43880</v>
      </c>
      <c r="AC196" s="38" t="n">
        <v>44036</v>
      </c>
      <c r="AD196" s="38" t="n">
        <v>44035</v>
      </c>
      <c r="AE196" s="50" t="n">
        <v>45860</v>
      </c>
      <c r="AF196" s="28" t="n">
        <f aca="false">YEAR(AE196)</f>
        <v>2025</v>
      </c>
      <c r="AG196" s="63" t="n">
        <f aca="false">X196/SUMIF($Z$2:$Z$380,Z196,$X$2:$X$380)*(VLOOKUP(Z196,'затраты по департаментам-2 '!$A$2:$C$182,2,FALSE())+VLOOKUP(Z196,'затраты по департаментам-2 '!$A$2:$C$182,3,FALSE()))</f>
        <v>8234.73066666666</v>
      </c>
      <c r="AH196" s="153" t="n">
        <f aca="false">W196/60</f>
        <v>1786.63627522552</v>
      </c>
      <c r="AI196" s="64" t="s">
        <v>81</v>
      </c>
      <c r="AJ196" s="63" t="s">
        <v>100</v>
      </c>
      <c r="AK196" s="43" t="n">
        <v>129448</v>
      </c>
      <c r="AL196" s="43"/>
      <c r="AM196" s="43" t="s">
        <v>1501</v>
      </c>
      <c r="AN196" s="74" t="s">
        <v>1502</v>
      </c>
      <c r="AO196" s="65" t="n">
        <v>44755</v>
      </c>
      <c r="AP196" s="43" t="s">
        <v>1503</v>
      </c>
      <c r="AQ196" s="66" t="s">
        <v>1504</v>
      </c>
      <c r="AR196" s="64"/>
    </row>
    <row r="197" customFormat="false" ht="14.25" hidden="false" customHeight="false" outlineLevel="0" collapsed="false">
      <c r="A197" s="26" t="n">
        <v>196</v>
      </c>
      <c r="B197" s="43" t="s">
        <v>1505</v>
      </c>
      <c r="C197" s="26" t="s">
        <v>1336</v>
      </c>
      <c r="D197" s="28" t="s">
        <v>73</v>
      </c>
      <c r="E197" s="43" t="n">
        <v>4.9</v>
      </c>
      <c r="F197" s="43" t="n">
        <v>1.5</v>
      </c>
      <c r="G197" s="43" t="n">
        <v>103</v>
      </c>
      <c r="H197" s="43" t="n">
        <v>2020</v>
      </c>
      <c r="I197" s="43" t="s">
        <v>1292</v>
      </c>
      <c r="J197" s="43" t="s">
        <v>74</v>
      </c>
      <c r="K197" s="86" t="s">
        <v>177</v>
      </c>
      <c r="L197" s="35"/>
      <c r="M197" s="31" t="s">
        <v>1506</v>
      </c>
      <c r="N197" s="32" t="s">
        <v>1507</v>
      </c>
      <c r="O197" s="28" t="s">
        <v>100</v>
      </c>
      <c r="P197" s="56" t="s">
        <v>181</v>
      </c>
      <c r="Q197" s="87" t="n">
        <v>7021</v>
      </c>
      <c r="R197" s="58" t="s">
        <v>171</v>
      </c>
      <c r="S197" s="69" t="n">
        <v>4133</v>
      </c>
      <c r="T197" s="35" t="s">
        <v>172</v>
      </c>
      <c r="U197" s="155" t="n">
        <v>341781.23</v>
      </c>
      <c r="V197" s="60" t="n">
        <v>24.4431</v>
      </c>
      <c r="W197" s="71" t="n">
        <f aca="false">3215945.29540594/30</f>
        <v>107198.176513531</v>
      </c>
      <c r="X197" s="161" t="n">
        <f aca="false">U197/V197</f>
        <v>13982.7284591562</v>
      </c>
      <c r="Y197" s="156" t="n">
        <f aca="false">165127.2/V197/30</f>
        <v>225.185839766642</v>
      </c>
      <c r="Z197" s="28" t="n">
        <v>5.7</v>
      </c>
      <c r="AA197" s="62" t="s">
        <v>80</v>
      </c>
      <c r="AB197" s="38" t="n">
        <v>43880</v>
      </c>
      <c r="AC197" s="38" t="n">
        <v>44036</v>
      </c>
      <c r="AD197" s="38" t="n">
        <v>44035</v>
      </c>
      <c r="AE197" s="50" t="n">
        <v>45860</v>
      </c>
      <c r="AF197" s="28" t="n">
        <f aca="false">YEAR(AE197)</f>
        <v>2025</v>
      </c>
      <c r="AG197" s="63" t="n">
        <f aca="false">X197/SUMIF($Z$2:$Z$380,Z197,$X$2:$X$380)*(VLOOKUP(Z197,'затраты по департаментам-2 '!$A$2:$C$182,2,FALSE())+VLOOKUP(Z197,'затраты по департаментам-2 '!$A$2:$C$182,3,FALSE()))</f>
        <v>8234.73066666666</v>
      </c>
      <c r="AH197" s="153" t="n">
        <f aca="false">W197/60</f>
        <v>1786.63627522552</v>
      </c>
      <c r="AI197" s="64" t="s">
        <v>81</v>
      </c>
      <c r="AJ197" s="63" t="s">
        <v>100</v>
      </c>
      <c r="AK197" s="43" t="n">
        <v>76367</v>
      </c>
      <c r="AL197" s="43"/>
      <c r="AM197" s="43" t="s">
        <v>1508</v>
      </c>
      <c r="AN197" s="74" t="s">
        <v>1509</v>
      </c>
      <c r="AO197" s="65" t="n">
        <v>44722</v>
      </c>
      <c r="AP197" s="43" t="s">
        <v>1510</v>
      </c>
      <c r="AQ197" s="66"/>
      <c r="AR197" s="64"/>
    </row>
    <row r="198" customFormat="false" ht="14.25" hidden="false" customHeight="false" outlineLevel="0" collapsed="false">
      <c r="A198" s="26" t="n">
        <v>197</v>
      </c>
      <c r="B198" s="43" t="s">
        <v>1511</v>
      </c>
      <c r="C198" s="26" t="s">
        <v>1336</v>
      </c>
      <c r="D198" s="28" t="s">
        <v>73</v>
      </c>
      <c r="E198" s="43" t="n">
        <v>4.9</v>
      </c>
      <c r="F198" s="43" t="n">
        <v>1.5</v>
      </c>
      <c r="G198" s="43" t="n">
        <v>103</v>
      </c>
      <c r="H198" s="43" t="n">
        <v>2020</v>
      </c>
      <c r="I198" s="43" t="s">
        <v>1292</v>
      </c>
      <c r="J198" s="43" t="s">
        <v>74</v>
      </c>
      <c r="K198" s="30" t="s">
        <v>1512</v>
      </c>
      <c r="L198" s="57"/>
      <c r="M198" s="31" t="s">
        <v>1513</v>
      </c>
      <c r="N198" s="32" t="s">
        <v>168</v>
      </c>
      <c r="O198" s="57" t="s">
        <v>1003</v>
      </c>
      <c r="P198" s="84" t="s">
        <v>832</v>
      </c>
      <c r="Q198" s="87" t="n">
        <v>9000</v>
      </c>
      <c r="R198" s="58" t="s">
        <v>171</v>
      </c>
      <c r="S198" s="69" t="n">
        <v>4130</v>
      </c>
      <c r="T198" s="35" t="s">
        <v>172</v>
      </c>
      <c r="U198" s="155" t="n">
        <v>341781.23</v>
      </c>
      <c r="V198" s="60" t="n">
        <v>24.4431</v>
      </c>
      <c r="W198" s="71" t="n">
        <f aca="false">3215945.29540594/30</f>
        <v>107198.176513531</v>
      </c>
      <c r="X198" s="161" t="n">
        <f aca="false">U198/V198</f>
        <v>13982.7284591562</v>
      </c>
      <c r="Y198" s="156" t="n">
        <f aca="false">165127.2/V198/30</f>
        <v>225.185839766642</v>
      </c>
      <c r="Z198" s="28" t="n">
        <v>5.7</v>
      </c>
      <c r="AA198" s="62" t="s">
        <v>80</v>
      </c>
      <c r="AB198" s="38" t="n">
        <v>43880</v>
      </c>
      <c r="AC198" s="38" t="n">
        <v>44036</v>
      </c>
      <c r="AD198" s="38" t="n">
        <v>44035</v>
      </c>
      <c r="AE198" s="50" t="n">
        <v>45860</v>
      </c>
      <c r="AF198" s="28" t="n">
        <f aca="false">YEAR(AE198)</f>
        <v>2025</v>
      </c>
      <c r="AG198" s="63" t="n">
        <f aca="false">X198/SUMIF($Z$2:$Z$380,Z198,$X$2:$X$380)*(VLOOKUP(Z198,'затраты по департаментам-2 '!$A$2:$C$182,2,FALSE())+VLOOKUP(Z198,'затраты по департаментам-2 '!$A$2:$C$182,3,FALSE()))</f>
        <v>8234.73066666666</v>
      </c>
      <c r="AH198" s="153" t="n">
        <f aca="false">W198/60</f>
        <v>1786.63627522552</v>
      </c>
      <c r="AI198" s="64" t="s">
        <v>81</v>
      </c>
      <c r="AJ198" s="63" t="s">
        <v>52</v>
      </c>
      <c r="AK198" s="43" t="n">
        <v>75831</v>
      </c>
      <c r="AL198" s="43"/>
      <c r="AM198" s="43" t="s">
        <v>1514</v>
      </c>
      <c r="AN198" s="74" t="s">
        <v>1515</v>
      </c>
      <c r="AO198" s="65" t="n">
        <v>44953</v>
      </c>
      <c r="AP198" s="43" t="s">
        <v>1516</v>
      </c>
      <c r="AQ198" s="66" t="s">
        <v>1517</v>
      </c>
      <c r="AR198" s="64"/>
    </row>
    <row r="199" customFormat="false" ht="14.25" hidden="false" customHeight="false" outlineLevel="0" collapsed="false">
      <c r="A199" s="26" t="n">
        <v>198</v>
      </c>
      <c r="B199" s="43" t="s">
        <v>1518</v>
      </c>
      <c r="C199" s="26" t="s">
        <v>1336</v>
      </c>
      <c r="D199" s="28" t="s">
        <v>73</v>
      </c>
      <c r="E199" s="43" t="n">
        <v>4.9</v>
      </c>
      <c r="F199" s="43" t="n">
        <v>1.5</v>
      </c>
      <c r="G199" s="43" t="n">
        <v>103</v>
      </c>
      <c r="H199" s="43" t="n">
        <v>2020</v>
      </c>
      <c r="I199" s="43" t="s">
        <v>1292</v>
      </c>
      <c r="J199" s="43" t="s">
        <v>74</v>
      </c>
      <c r="K199" s="30" t="s">
        <v>1519</v>
      </c>
      <c r="L199" s="69"/>
      <c r="M199" s="31" t="s">
        <v>1520</v>
      </c>
      <c r="N199" s="56" t="s">
        <v>227</v>
      </c>
      <c r="O199" s="57" t="s">
        <v>52</v>
      </c>
      <c r="P199" s="56" t="s">
        <v>228</v>
      </c>
      <c r="Q199" s="57" t="n">
        <v>1000</v>
      </c>
      <c r="R199" s="58" t="s">
        <v>189</v>
      </c>
      <c r="S199" s="69" t="n">
        <v>4171</v>
      </c>
      <c r="T199" s="35" t="s">
        <v>172</v>
      </c>
      <c r="U199" s="155" t="n">
        <v>341781.23</v>
      </c>
      <c r="V199" s="60" t="n">
        <v>24.4431</v>
      </c>
      <c r="W199" s="71" t="n">
        <f aca="false">3215945.29540594/30</f>
        <v>107198.176513531</v>
      </c>
      <c r="X199" s="161" t="n">
        <f aca="false">U199/V199</f>
        <v>13982.7284591562</v>
      </c>
      <c r="Y199" s="156" t="n">
        <f aca="false">165127.2/V199/30</f>
        <v>225.185839766642</v>
      </c>
      <c r="Z199" s="28" t="n">
        <v>5.7</v>
      </c>
      <c r="AA199" s="62" t="s">
        <v>80</v>
      </c>
      <c r="AB199" s="38" t="n">
        <v>43880</v>
      </c>
      <c r="AC199" s="38" t="n">
        <v>44036</v>
      </c>
      <c r="AD199" s="38" t="n">
        <v>44034</v>
      </c>
      <c r="AE199" s="50" t="n">
        <v>45859</v>
      </c>
      <c r="AF199" s="28" t="n">
        <f aca="false">YEAR(AE199)</f>
        <v>2025</v>
      </c>
      <c r="AG199" s="63" t="n">
        <f aca="false">X199/SUMIF($Z$2:$Z$380,Z199,$X$2:$X$380)*(VLOOKUP(Z199,'затраты по департаментам-2 '!$A$2:$C$182,2,FALSE())+VLOOKUP(Z199,'затраты по департаментам-2 '!$A$2:$C$182,3,FALSE()))</f>
        <v>8234.73066666666</v>
      </c>
      <c r="AH199" s="153" t="n">
        <f aca="false">W199/60</f>
        <v>1786.63627522552</v>
      </c>
      <c r="AI199" s="64" t="s">
        <v>81</v>
      </c>
      <c r="AJ199" s="63" t="s">
        <v>52</v>
      </c>
      <c r="AK199" s="43" t="n">
        <v>78561</v>
      </c>
      <c r="AL199" s="43"/>
      <c r="AM199" s="43" t="s">
        <v>1521</v>
      </c>
      <c r="AN199" s="74" t="s">
        <v>1522</v>
      </c>
      <c r="AO199" s="65" t="n">
        <v>44825</v>
      </c>
      <c r="AP199" s="43" t="s">
        <v>1523</v>
      </c>
      <c r="AQ199" s="66" t="s">
        <v>1524</v>
      </c>
      <c r="AR199" s="64"/>
    </row>
    <row r="200" customFormat="false" ht="14.25" hidden="false" customHeight="false" outlineLevel="0" collapsed="false">
      <c r="A200" s="26" t="n">
        <v>199</v>
      </c>
      <c r="B200" s="43" t="s">
        <v>1525</v>
      </c>
      <c r="C200" s="26" t="s">
        <v>1336</v>
      </c>
      <c r="D200" s="28" t="s">
        <v>73</v>
      </c>
      <c r="E200" s="43" t="n">
        <v>4.9</v>
      </c>
      <c r="F200" s="43" t="n">
        <v>1.5</v>
      </c>
      <c r="G200" s="43" t="n">
        <v>103</v>
      </c>
      <c r="H200" s="43" t="n">
        <v>2020</v>
      </c>
      <c r="I200" s="43" t="s">
        <v>1292</v>
      </c>
      <c r="J200" s="43" t="s">
        <v>74</v>
      </c>
      <c r="K200" s="86" t="s">
        <v>177</v>
      </c>
      <c r="L200" s="69"/>
      <c r="M200" s="31" t="s">
        <v>1526</v>
      </c>
      <c r="N200" s="32" t="s">
        <v>913</v>
      </c>
      <c r="O200" s="57" t="s">
        <v>100</v>
      </c>
      <c r="P200" s="56" t="s">
        <v>1030</v>
      </c>
      <c r="Q200" s="57" t="n">
        <v>1000</v>
      </c>
      <c r="R200" s="58" t="s">
        <v>189</v>
      </c>
      <c r="S200" s="69" t="n">
        <v>4170</v>
      </c>
      <c r="T200" s="35" t="s">
        <v>172</v>
      </c>
      <c r="U200" s="155" t="n">
        <v>341781.23</v>
      </c>
      <c r="V200" s="60" t="n">
        <v>24.4431</v>
      </c>
      <c r="W200" s="71" t="n">
        <f aca="false">3215945.29540594/30</f>
        <v>107198.176513531</v>
      </c>
      <c r="X200" s="161" t="n">
        <f aca="false">U200/V200</f>
        <v>13982.7284591562</v>
      </c>
      <c r="Y200" s="156" t="n">
        <f aca="false">165127.2/V200/30</f>
        <v>225.185839766642</v>
      </c>
      <c r="Z200" s="28" t="n">
        <v>5.7</v>
      </c>
      <c r="AA200" s="62" t="s">
        <v>80</v>
      </c>
      <c r="AB200" s="38" t="n">
        <v>43880</v>
      </c>
      <c r="AC200" s="38" t="n">
        <v>44036</v>
      </c>
      <c r="AD200" s="38" t="n">
        <v>44034</v>
      </c>
      <c r="AE200" s="50" t="n">
        <v>45859</v>
      </c>
      <c r="AF200" s="28" t="n">
        <f aca="false">YEAR(AE200)</f>
        <v>2025</v>
      </c>
      <c r="AG200" s="63" t="n">
        <f aca="false">X200/SUMIF($Z$2:$Z$380,Z200,$X$2:$X$380)*(VLOOKUP(Z200,'затраты по департаментам-2 '!$A$2:$C$182,2,FALSE())+VLOOKUP(Z200,'затраты по департаментам-2 '!$A$2:$C$182,3,FALSE()))</f>
        <v>8234.73066666666</v>
      </c>
      <c r="AH200" s="153" t="n">
        <f aca="false">W200/60</f>
        <v>1786.63627522552</v>
      </c>
      <c r="AI200" s="64" t="s">
        <v>81</v>
      </c>
      <c r="AJ200" s="63" t="s">
        <v>100</v>
      </c>
      <c r="AK200" s="43" t="n">
        <v>13938</v>
      </c>
      <c r="AL200" s="43"/>
      <c r="AM200" s="43" t="s">
        <v>1527</v>
      </c>
      <c r="AN200" s="74" t="s">
        <v>1528</v>
      </c>
      <c r="AO200" s="65" t="n">
        <v>44728</v>
      </c>
      <c r="AP200" s="43" t="s">
        <v>1529</v>
      </c>
      <c r="AQ200" s="66" t="s">
        <v>1530</v>
      </c>
      <c r="AR200" s="64"/>
    </row>
    <row r="201" customFormat="false" ht="14.25" hidden="false" customHeight="false" outlineLevel="0" collapsed="false">
      <c r="A201" s="26" t="n">
        <v>200</v>
      </c>
      <c r="B201" s="43" t="s">
        <v>1531</v>
      </c>
      <c r="C201" s="26" t="s">
        <v>1336</v>
      </c>
      <c r="D201" s="28" t="s">
        <v>73</v>
      </c>
      <c r="E201" s="43" t="n">
        <v>4.9</v>
      </c>
      <c r="F201" s="43" t="n">
        <v>1.5</v>
      </c>
      <c r="G201" s="43" t="n">
        <v>103</v>
      </c>
      <c r="H201" s="43" t="n">
        <v>2020</v>
      </c>
      <c r="I201" s="43" t="s">
        <v>1292</v>
      </c>
      <c r="J201" s="43" t="s">
        <v>74</v>
      </c>
      <c r="K201" s="30" t="s">
        <v>1532</v>
      </c>
      <c r="L201" s="69"/>
      <c r="M201" s="31" t="s">
        <v>1533</v>
      </c>
      <c r="N201" s="32" t="s">
        <v>168</v>
      </c>
      <c r="O201" s="57" t="s">
        <v>606</v>
      </c>
      <c r="P201" s="84" t="s">
        <v>188</v>
      </c>
      <c r="Q201" s="87" t="n">
        <v>9000</v>
      </c>
      <c r="R201" s="58" t="s">
        <v>171</v>
      </c>
      <c r="S201" s="69" t="n">
        <v>4130</v>
      </c>
      <c r="T201" s="35" t="s">
        <v>172</v>
      </c>
      <c r="U201" s="155" t="n">
        <v>341781.23</v>
      </c>
      <c r="V201" s="60" t="n">
        <v>24.4431</v>
      </c>
      <c r="W201" s="71" t="n">
        <f aca="false">3215945.29540594/30</f>
        <v>107198.176513531</v>
      </c>
      <c r="X201" s="161" t="n">
        <f aca="false">U201/V201</f>
        <v>13982.7284591562</v>
      </c>
      <c r="Y201" s="156" t="n">
        <f aca="false">165127.2/V201/30</f>
        <v>225.185839766642</v>
      </c>
      <c r="Z201" s="28" t="n">
        <v>5.7</v>
      </c>
      <c r="AA201" s="62" t="s">
        <v>80</v>
      </c>
      <c r="AB201" s="38" t="n">
        <v>43880</v>
      </c>
      <c r="AC201" s="38" t="n">
        <v>44036</v>
      </c>
      <c r="AD201" s="38" t="n">
        <v>44034</v>
      </c>
      <c r="AE201" s="50" t="n">
        <v>45859</v>
      </c>
      <c r="AF201" s="28" t="n">
        <f aca="false">YEAR(AE201)</f>
        <v>2025</v>
      </c>
      <c r="AG201" s="63" t="n">
        <f aca="false">X201/SUMIF($Z$2:$Z$380,Z201,$X$2:$X$380)*(VLOOKUP(Z201,'затраты по департаментам-2 '!$A$2:$C$182,2,FALSE())+VLOOKUP(Z201,'затраты по департаментам-2 '!$A$2:$C$182,3,FALSE()))</f>
        <v>8234.73066666666</v>
      </c>
      <c r="AH201" s="153" t="n">
        <f aca="false">W201/60</f>
        <v>1786.63627522552</v>
      </c>
      <c r="AI201" s="64" t="s">
        <v>81</v>
      </c>
      <c r="AJ201" s="63" t="s">
        <v>100</v>
      </c>
      <c r="AK201" s="43" t="n">
        <v>76912</v>
      </c>
      <c r="AL201" s="43"/>
      <c r="AM201" s="43" t="s">
        <v>1534</v>
      </c>
      <c r="AN201" s="74" t="s">
        <v>1535</v>
      </c>
      <c r="AO201" s="65" t="n">
        <v>44728</v>
      </c>
      <c r="AP201" s="43" t="s">
        <v>1536</v>
      </c>
      <c r="AQ201" s="66" t="s">
        <v>1537</v>
      </c>
      <c r="AR201" s="64"/>
    </row>
    <row r="202" customFormat="false" ht="14.25" hidden="false" customHeight="false" outlineLevel="0" collapsed="false">
      <c r="A202" s="26" t="n">
        <v>201</v>
      </c>
      <c r="B202" s="43" t="s">
        <v>1538</v>
      </c>
      <c r="C202" s="26" t="s">
        <v>1336</v>
      </c>
      <c r="D202" s="28" t="s">
        <v>73</v>
      </c>
      <c r="E202" s="43" t="n">
        <v>4.9</v>
      </c>
      <c r="F202" s="43" t="n">
        <v>1.5</v>
      </c>
      <c r="G202" s="43" t="n">
        <v>103</v>
      </c>
      <c r="H202" s="43" t="n">
        <v>2020</v>
      </c>
      <c r="I202" s="43" t="s">
        <v>1292</v>
      </c>
      <c r="J202" s="43" t="s">
        <v>74</v>
      </c>
      <c r="K202" s="30" t="s">
        <v>1539</v>
      </c>
      <c r="L202" s="35"/>
      <c r="M202" s="31" t="s">
        <v>1540</v>
      </c>
      <c r="N202" s="32" t="s">
        <v>1256</v>
      </c>
      <c r="O202" s="28" t="s">
        <v>197</v>
      </c>
      <c r="P202" s="56" t="s">
        <v>198</v>
      </c>
      <c r="Q202" s="87" t="n">
        <v>7042</v>
      </c>
      <c r="R202" s="58" t="s">
        <v>171</v>
      </c>
      <c r="S202" s="69" t="n">
        <v>4144</v>
      </c>
      <c r="T202" s="35" t="s">
        <v>172</v>
      </c>
      <c r="U202" s="155" t="n">
        <v>341781.23</v>
      </c>
      <c r="V202" s="60" t="n">
        <v>24.4431</v>
      </c>
      <c r="W202" s="71" t="n">
        <f aca="false">3215945.29540594/30</f>
        <v>107198.176513531</v>
      </c>
      <c r="X202" s="161" t="n">
        <f aca="false">U202/V202</f>
        <v>13982.7284591562</v>
      </c>
      <c r="Y202" s="156" t="n">
        <f aca="false">165127.2/V202/30</f>
        <v>225.185839766642</v>
      </c>
      <c r="Z202" s="28" t="n">
        <v>5.7</v>
      </c>
      <c r="AA202" s="62" t="s">
        <v>80</v>
      </c>
      <c r="AB202" s="38" t="n">
        <v>43880</v>
      </c>
      <c r="AC202" s="38" t="n">
        <v>44036</v>
      </c>
      <c r="AD202" s="38" t="n">
        <v>44034</v>
      </c>
      <c r="AE202" s="50" t="n">
        <v>45859</v>
      </c>
      <c r="AF202" s="28" t="n">
        <f aca="false">YEAR(AE202)</f>
        <v>2025</v>
      </c>
      <c r="AG202" s="63" t="n">
        <f aca="false">X202/SUMIF($Z$2:$Z$380,Z202,$X$2:$X$380)*(VLOOKUP(Z202,'затраты по департаментам-2 '!$A$2:$C$182,2,FALSE())+VLOOKUP(Z202,'затраты по департаментам-2 '!$A$2:$C$182,3,FALSE()))</f>
        <v>8234.73066666666</v>
      </c>
      <c r="AH202" s="153" t="n">
        <f aca="false">W202/60</f>
        <v>1786.63627522552</v>
      </c>
      <c r="AI202" s="64" t="s">
        <v>81</v>
      </c>
      <c r="AJ202" s="63" t="s">
        <v>197</v>
      </c>
      <c r="AK202" s="43" t="n">
        <v>4073957</v>
      </c>
      <c r="AL202" s="43"/>
      <c r="AM202" s="43" t="s">
        <v>1541</v>
      </c>
      <c r="AN202" s="74" t="s">
        <v>1542</v>
      </c>
      <c r="AO202" s="65" t="n">
        <v>44840</v>
      </c>
      <c r="AP202" s="43" t="s">
        <v>1543</v>
      </c>
      <c r="AQ202" s="66" t="s">
        <v>1544</v>
      </c>
      <c r="AR202" s="64"/>
    </row>
    <row r="203" customFormat="false" ht="14.25" hidden="false" customHeight="false" outlineLevel="0" collapsed="false">
      <c r="A203" s="26" t="n">
        <v>202</v>
      </c>
      <c r="B203" s="43" t="s">
        <v>1545</v>
      </c>
      <c r="C203" s="26" t="s">
        <v>1336</v>
      </c>
      <c r="D203" s="28" t="s">
        <v>73</v>
      </c>
      <c r="E203" s="43" t="n">
        <v>4.9</v>
      </c>
      <c r="F203" s="43" t="n">
        <v>1.5</v>
      </c>
      <c r="G203" s="43" t="n">
        <v>103</v>
      </c>
      <c r="H203" s="43" t="n">
        <v>2020</v>
      </c>
      <c r="I203" s="43" t="s">
        <v>1292</v>
      </c>
      <c r="J203" s="43" t="s">
        <v>74</v>
      </c>
      <c r="K203" s="30" t="s">
        <v>1546</v>
      </c>
      <c r="L203" s="69"/>
      <c r="M203" s="31" t="s">
        <v>1547</v>
      </c>
      <c r="N203" s="32" t="s">
        <v>236</v>
      </c>
      <c r="O203" s="28" t="s">
        <v>1149</v>
      </c>
      <c r="P203" s="56" t="s">
        <v>181</v>
      </c>
      <c r="Q203" s="57" t="n">
        <v>7020</v>
      </c>
      <c r="R203" s="58" t="s">
        <v>171</v>
      </c>
      <c r="S203" s="69" t="n">
        <v>4133</v>
      </c>
      <c r="T203" s="35" t="s">
        <v>172</v>
      </c>
      <c r="U203" s="155" t="n">
        <v>341781.23</v>
      </c>
      <c r="V203" s="60" t="n">
        <v>24.4431</v>
      </c>
      <c r="W203" s="71" t="n">
        <f aca="false">3215945.29540594/30</f>
        <v>107198.176513531</v>
      </c>
      <c r="X203" s="161" t="n">
        <f aca="false">U203/V203</f>
        <v>13982.7284591562</v>
      </c>
      <c r="Y203" s="156" t="n">
        <f aca="false">165127.2/V203/30</f>
        <v>225.185839766642</v>
      </c>
      <c r="Z203" s="28" t="n">
        <v>5.7</v>
      </c>
      <c r="AA203" s="62" t="s">
        <v>80</v>
      </c>
      <c r="AB203" s="38" t="n">
        <v>43880</v>
      </c>
      <c r="AC203" s="38" t="n">
        <v>44036</v>
      </c>
      <c r="AD203" s="38" t="n">
        <v>44034</v>
      </c>
      <c r="AE203" s="50" t="n">
        <v>45859</v>
      </c>
      <c r="AF203" s="28" t="n">
        <f aca="false">YEAR(AE203)</f>
        <v>2025</v>
      </c>
      <c r="AG203" s="63" t="n">
        <f aca="false">X203/SUMIF($Z$2:$Z$380,Z203,$X$2:$X$380)*(VLOOKUP(Z203,'затраты по департаментам-2 '!$A$2:$C$182,2,FALSE())+VLOOKUP(Z203,'затраты по департаментам-2 '!$A$2:$C$182,3,FALSE()))</f>
        <v>8234.73066666666</v>
      </c>
      <c r="AH203" s="153" t="n">
        <f aca="false">W203/60</f>
        <v>1786.63627522552</v>
      </c>
      <c r="AI203" s="64" t="s">
        <v>81</v>
      </c>
      <c r="AJ203" s="63" t="s">
        <v>100</v>
      </c>
      <c r="AK203" s="43" t="n">
        <v>280846</v>
      </c>
      <c r="AL203" s="43"/>
      <c r="AM203" s="43" t="s">
        <v>1548</v>
      </c>
      <c r="AN203" s="74" t="s">
        <v>1549</v>
      </c>
      <c r="AO203" s="65" t="n">
        <v>44768</v>
      </c>
      <c r="AP203" s="43" t="s">
        <v>1550</v>
      </c>
      <c r="AQ203" s="66" t="s">
        <v>1551</v>
      </c>
      <c r="AR203" s="64"/>
    </row>
    <row r="204" customFormat="false" ht="14.25" hidden="false" customHeight="false" outlineLevel="0" collapsed="false">
      <c r="A204" s="26" t="n">
        <v>203</v>
      </c>
      <c r="B204" s="43" t="s">
        <v>1552</v>
      </c>
      <c r="C204" s="26" t="s">
        <v>1336</v>
      </c>
      <c r="D204" s="28" t="s">
        <v>73</v>
      </c>
      <c r="E204" s="43" t="n">
        <v>4.9</v>
      </c>
      <c r="F204" s="43" t="n">
        <v>1.5</v>
      </c>
      <c r="G204" s="43" t="n">
        <v>103</v>
      </c>
      <c r="H204" s="43" t="n">
        <v>2020</v>
      </c>
      <c r="I204" s="43" t="s">
        <v>1292</v>
      </c>
      <c r="J204" s="43" t="s">
        <v>74</v>
      </c>
      <c r="K204" s="30" t="s">
        <v>1553</v>
      </c>
      <c r="L204" s="69"/>
      <c r="M204" s="31" t="s">
        <v>1554</v>
      </c>
      <c r="N204" s="97" t="s">
        <v>179</v>
      </c>
      <c r="O204" s="57" t="s">
        <v>1350</v>
      </c>
      <c r="P204" s="48" t="s">
        <v>91</v>
      </c>
      <c r="Q204" s="87" t="n">
        <v>7082</v>
      </c>
      <c r="R204" s="58" t="s">
        <v>171</v>
      </c>
      <c r="S204" s="69" t="n">
        <v>4138</v>
      </c>
      <c r="T204" s="35" t="s">
        <v>172</v>
      </c>
      <c r="U204" s="155" t="n">
        <v>341781.23</v>
      </c>
      <c r="V204" s="60" t="n">
        <v>24.4431</v>
      </c>
      <c r="W204" s="71" t="n">
        <f aca="false">3215945.29540594/30</f>
        <v>107198.176513531</v>
      </c>
      <c r="X204" s="161" t="n">
        <f aca="false">U204/V204</f>
        <v>13982.7284591562</v>
      </c>
      <c r="Y204" s="156" t="n">
        <f aca="false">165127.2/V204/30</f>
        <v>225.185839766642</v>
      </c>
      <c r="Z204" s="28" t="n">
        <v>5.7</v>
      </c>
      <c r="AA204" s="62" t="s">
        <v>80</v>
      </c>
      <c r="AB204" s="38" t="n">
        <v>43880</v>
      </c>
      <c r="AC204" s="38" t="n">
        <v>44036</v>
      </c>
      <c r="AD204" s="38" t="n">
        <v>44035</v>
      </c>
      <c r="AE204" s="50" t="n">
        <v>45860</v>
      </c>
      <c r="AF204" s="28" t="n">
        <f aca="false">YEAR(AE204)</f>
        <v>2025</v>
      </c>
      <c r="AG204" s="63" t="n">
        <f aca="false">X204/SUMIF($Z$2:$Z$380,Z204,$X$2:$X$380)*(VLOOKUP(Z204,'затраты по департаментам-2 '!$A$2:$C$182,2,FALSE())+VLOOKUP(Z204,'затраты по департаментам-2 '!$A$2:$C$182,3,FALSE()))</f>
        <v>8234.73066666666</v>
      </c>
      <c r="AH204" s="153" t="n">
        <f aca="false">W204/60</f>
        <v>1786.63627522552</v>
      </c>
      <c r="AI204" s="64" t="s">
        <v>81</v>
      </c>
      <c r="AJ204" s="63" t="s">
        <v>82</v>
      </c>
      <c r="AK204" s="43" t="n">
        <v>776006</v>
      </c>
      <c r="AL204" s="43"/>
      <c r="AM204" s="43" t="s">
        <v>1555</v>
      </c>
      <c r="AN204" s="74" t="s">
        <v>1556</v>
      </c>
      <c r="AO204" s="65" t="n">
        <v>44845</v>
      </c>
      <c r="AP204" s="43" t="s">
        <v>1557</v>
      </c>
      <c r="AQ204" s="66" t="s">
        <v>1558</v>
      </c>
      <c r="AR204" s="64"/>
    </row>
    <row r="205" customFormat="false" ht="14.25" hidden="false" customHeight="false" outlineLevel="0" collapsed="false">
      <c r="A205" s="26" t="n">
        <v>204</v>
      </c>
      <c r="B205" s="43" t="s">
        <v>1559</v>
      </c>
      <c r="C205" s="26" t="s">
        <v>1336</v>
      </c>
      <c r="D205" s="28" t="s">
        <v>73</v>
      </c>
      <c r="E205" s="43" t="n">
        <v>4.9</v>
      </c>
      <c r="F205" s="43" t="n">
        <v>1.5</v>
      </c>
      <c r="G205" s="43" t="n">
        <v>103</v>
      </c>
      <c r="H205" s="43" t="n">
        <v>2020</v>
      </c>
      <c r="I205" s="43" t="s">
        <v>1292</v>
      </c>
      <c r="J205" s="43" t="s">
        <v>74</v>
      </c>
      <c r="K205" s="30" t="s">
        <v>1560</v>
      </c>
      <c r="L205" s="69"/>
      <c r="M205" s="31" t="s">
        <v>1561</v>
      </c>
      <c r="N205" s="32" t="s">
        <v>168</v>
      </c>
      <c r="O205" s="57" t="s">
        <v>681</v>
      </c>
      <c r="P205" s="56" t="s">
        <v>920</v>
      </c>
      <c r="Q205" s="87" t="n">
        <v>9000</v>
      </c>
      <c r="R205" s="58" t="s">
        <v>171</v>
      </c>
      <c r="S205" s="69" t="n">
        <v>4130</v>
      </c>
      <c r="T205" s="35" t="s">
        <v>172</v>
      </c>
      <c r="U205" s="155" t="n">
        <v>341781.23</v>
      </c>
      <c r="V205" s="60" t="n">
        <v>24.4431</v>
      </c>
      <c r="W205" s="71" t="n">
        <f aca="false">3215945.29540594/30</f>
        <v>107198.176513531</v>
      </c>
      <c r="X205" s="161" t="n">
        <f aca="false">U205/V205</f>
        <v>13982.7284591562</v>
      </c>
      <c r="Y205" s="156" t="n">
        <f aca="false">165127.2/V205/30</f>
        <v>225.185839766642</v>
      </c>
      <c r="Z205" s="28" t="n">
        <v>5.7</v>
      </c>
      <c r="AA205" s="62" t="s">
        <v>80</v>
      </c>
      <c r="AB205" s="38" t="n">
        <v>43880</v>
      </c>
      <c r="AC205" s="38" t="n">
        <v>44036</v>
      </c>
      <c r="AD205" s="38" t="n">
        <v>44035</v>
      </c>
      <c r="AE205" s="50" t="n">
        <v>45860</v>
      </c>
      <c r="AF205" s="28" t="n">
        <f aca="false">YEAR(AE205)</f>
        <v>2025</v>
      </c>
      <c r="AG205" s="63" t="n">
        <f aca="false">X205/SUMIF($Z$2:$Z$380,Z205,$X$2:$X$380)*(VLOOKUP(Z205,'затраты по департаментам-2 '!$A$2:$C$182,2,FALSE())+VLOOKUP(Z205,'затраты по департаментам-2 '!$A$2:$C$182,3,FALSE()))</f>
        <v>8234.73066666666</v>
      </c>
      <c r="AH205" s="153" t="n">
        <f aca="false">W205/60</f>
        <v>1786.63627522552</v>
      </c>
      <c r="AI205" s="64" t="s">
        <v>81</v>
      </c>
      <c r="AJ205" s="63" t="s">
        <v>100</v>
      </c>
      <c r="AK205" s="43" t="n">
        <v>4747</v>
      </c>
      <c r="AL205" s="43"/>
      <c r="AM205" s="43" t="s">
        <v>1562</v>
      </c>
      <c r="AN205" s="74" t="s">
        <v>1563</v>
      </c>
      <c r="AO205" s="65" t="n">
        <v>44735</v>
      </c>
      <c r="AP205" s="43" t="s">
        <v>1564</v>
      </c>
      <c r="AQ205" s="66" t="s">
        <v>1565</v>
      </c>
      <c r="AR205" s="64"/>
    </row>
    <row r="206" customFormat="false" ht="14.25" hidden="false" customHeight="false" outlineLevel="0" collapsed="false">
      <c r="A206" s="26" t="n">
        <v>205</v>
      </c>
      <c r="B206" s="43" t="s">
        <v>1566</v>
      </c>
      <c r="C206" s="26" t="s">
        <v>1336</v>
      </c>
      <c r="D206" s="28" t="s">
        <v>73</v>
      </c>
      <c r="E206" s="43" t="n">
        <v>4.9</v>
      </c>
      <c r="F206" s="43" t="n">
        <v>1.5</v>
      </c>
      <c r="G206" s="43" t="n">
        <v>103</v>
      </c>
      <c r="H206" s="43" t="n">
        <v>2020</v>
      </c>
      <c r="I206" s="43" t="s">
        <v>1292</v>
      </c>
      <c r="J206" s="43" t="s">
        <v>74</v>
      </c>
      <c r="K206" s="30" t="s">
        <v>1567</v>
      </c>
      <c r="L206" s="69"/>
      <c r="M206" s="31" t="s">
        <v>1568</v>
      </c>
      <c r="N206" s="56" t="s">
        <v>227</v>
      </c>
      <c r="O206" s="57" t="s">
        <v>180</v>
      </c>
      <c r="P206" s="56" t="s">
        <v>298</v>
      </c>
      <c r="Q206" s="87" t="n">
        <v>1000</v>
      </c>
      <c r="R206" s="58" t="s">
        <v>189</v>
      </c>
      <c r="S206" s="69" t="n">
        <v>4173</v>
      </c>
      <c r="T206" s="35" t="s">
        <v>172</v>
      </c>
      <c r="U206" s="155" t="n">
        <v>341781.23</v>
      </c>
      <c r="V206" s="60" t="n">
        <v>24.4431</v>
      </c>
      <c r="W206" s="71" t="n">
        <f aca="false">3215945.29540594/30</f>
        <v>107198.176513531</v>
      </c>
      <c r="X206" s="161" t="n">
        <f aca="false">U206/V206</f>
        <v>13982.7284591562</v>
      </c>
      <c r="Y206" s="156" t="n">
        <f aca="false">165127.2/V206/30</f>
        <v>225.185839766642</v>
      </c>
      <c r="Z206" s="28" t="n">
        <v>5.7</v>
      </c>
      <c r="AA206" s="62" t="s">
        <v>80</v>
      </c>
      <c r="AB206" s="38" t="n">
        <v>43880</v>
      </c>
      <c r="AC206" s="38" t="n">
        <v>44036</v>
      </c>
      <c r="AD206" s="38" t="n">
        <v>44034</v>
      </c>
      <c r="AE206" s="50" t="n">
        <v>45859</v>
      </c>
      <c r="AF206" s="28" t="n">
        <f aca="false">YEAR(AE206)</f>
        <v>2025</v>
      </c>
      <c r="AG206" s="63" t="n">
        <f aca="false">X206/SUMIF($Z$2:$Z$380,Z206,$X$2:$X$380)*(VLOOKUP(Z206,'затраты по департаментам-2 '!$A$2:$C$182,2,FALSE())+VLOOKUP(Z206,'затраты по департаментам-2 '!$A$2:$C$182,3,FALSE()))</f>
        <v>8234.73066666666</v>
      </c>
      <c r="AH206" s="153" t="n">
        <f aca="false">W206/60</f>
        <v>1786.63627522552</v>
      </c>
      <c r="AI206" s="64" t="s">
        <v>81</v>
      </c>
      <c r="AJ206" s="63" t="s">
        <v>82</v>
      </c>
      <c r="AK206" s="43" t="n">
        <v>287613</v>
      </c>
      <c r="AL206" s="43"/>
      <c r="AM206" s="43" t="s">
        <v>1569</v>
      </c>
      <c r="AN206" s="78" t="s">
        <v>1570</v>
      </c>
      <c r="AO206" s="65" t="n">
        <v>44981</v>
      </c>
      <c r="AP206" s="43" t="s">
        <v>1571</v>
      </c>
      <c r="AQ206" s="66" t="s">
        <v>1572</v>
      </c>
      <c r="AR206" s="64"/>
    </row>
    <row r="207" customFormat="false" ht="14.25" hidden="false" customHeight="false" outlineLevel="0" collapsed="false">
      <c r="A207" s="26" t="n">
        <v>206</v>
      </c>
      <c r="B207" s="43" t="s">
        <v>1573</v>
      </c>
      <c r="C207" s="26" t="s">
        <v>1336</v>
      </c>
      <c r="D207" s="28" t="s">
        <v>73</v>
      </c>
      <c r="E207" s="43" t="n">
        <v>4.9</v>
      </c>
      <c r="F207" s="43" t="n">
        <v>1.5</v>
      </c>
      <c r="G207" s="43" t="n">
        <v>103</v>
      </c>
      <c r="H207" s="43" t="n">
        <v>2020</v>
      </c>
      <c r="I207" s="43" t="s">
        <v>1292</v>
      </c>
      <c r="J207" s="43" t="s">
        <v>74</v>
      </c>
      <c r="K207" s="86" t="s">
        <v>177</v>
      </c>
      <c r="L207" s="35"/>
      <c r="M207" s="31" t="s">
        <v>1574</v>
      </c>
      <c r="N207" s="92" t="s">
        <v>179</v>
      </c>
      <c r="O207" s="57" t="s">
        <v>100</v>
      </c>
      <c r="P207" s="56" t="s">
        <v>181</v>
      </c>
      <c r="Q207" s="87" t="n">
        <v>7023</v>
      </c>
      <c r="R207" s="58" t="s">
        <v>171</v>
      </c>
      <c r="S207" s="69" t="n">
        <v>4133</v>
      </c>
      <c r="T207" s="35" t="s">
        <v>172</v>
      </c>
      <c r="U207" s="155" t="n">
        <v>341781.23</v>
      </c>
      <c r="V207" s="60" t="n">
        <v>24.4431</v>
      </c>
      <c r="W207" s="71" t="n">
        <f aca="false">3215945.29540594/30</f>
        <v>107198.176513531</v>
      </c>
      <c r="X207" s="161" t="n">
        <f aca="false">U207/V207</f>
        <v>13982.7284591562</v>
      </c>
      <c r="Y207" s="156" t="n">
        <f aca="false">165127.2/V207/30</f>
        <v>225.185839766642</v>
      </c>
      <c r="Z207" s="28" t="n">
        <v>5.7</v>
      </c>
      <c r="AA207" s="62" t="s">
        <v>80</v>
      </c>
      <c r="AB207" s="38" t="n">
        <v>43880</v>
      </c>
      <c r="AC207" s="38" t="n">
        <v>44036</v>
      </c>
      <c r="AD207" s="38" t="n">
        <v>44034</v>
      </c>
      <c r="AE207" s="50" t="n">
        <v>45859</v>
      </c>
      <c r="AF207" s="28" t="n">
        <f aca="false">YEAR(AE207)</f>
        <v>2025</v>
      </c>
      <c r="AG207" s="63" t="n">
        <f aca="false">X207/SUMIF($Z$2:$Z$380,Z207,$X$2:$X$380)*(VLOOKUP(Z207,'затраты по департаментам-2 '!$A$2:$C$182,2,FALSE())+VLOOKUP(Z207,'затраты по департаментам-2 '!$A$2:$C$182,3,FALSE()))</f>
        <v>8234.73066666666</v>
      </c>
      <c r="AH207" s="153" t="n">
        <f aca="false">W207/60</f>
        <v>1786.63627522552</v>
      </c>
      <c r="AI207" s="64" t="s">
        <v>81</v>
      </c>
      <c r="AJ207" s="63" t="s">
        <v>100</v>
      </c>
      <c r="AK207" s="43" t="n">
        <v>440903</v>
      </c>
      <c r="AL207" s="43"/>
      <c r="AM207" s="43" t="s">
        <v>1575</v>
      </c>
      <c r="AN207" s="74" t="s">
        <v>1576</v>
      </c>
      <c r="AO207" s="65" t="n">
        <v>44735</v>
      </c>
      <c r="AP207" s="43" t="s">
        <v>1577</v>
      </c>
      <c r="AQ207" s="66" t="s">
        <v>1578</v>
      </c>
      <c r="AR207" s="64"/>
    </row>
    <row r="208" customFormat="false" ht="14.25" hidden="false" customHeight="false" outlineLevel="0" collapsed="false">
      <c r="A208" s="26" t="n">
        <v>207</v>
      </c>
      <c r="B208" s="43" t="s">
        <v>1579</v>
      </c>
      <c r="C208" s="26" t="s">
        <v>1336</v>
      </c>
      <c r="D208" s="28" t="s">
        <v>73</v>
      </c>
      <c r="E208" s="43" t="n">
        <v>4.9</v>
      </c>
      <c r="F208" s="43" t="n">
        <v>1.5</v>
      </c>
      <c r="G208" s="43" t="n">
        <v>103</v>
      </c>
      <c r="H208" s="43" t="n">
        <v>2020</v>
      </c>
      <c r="I208" s="43" t="s">
        <v>1292</v>
      </c>
      <c r="J208" s="43" t="s">
        <v>74</v>
      </c>
      <c r="K208" s="30" t="s">
        <v>1580</v>
      </c>
      <c r="L208" s="57"/>
      <c r="M208" s="31" t="s">
        <v>1581</v>
      </c>
      <c r="N208" s="56" t="s">
        <v>227</v>
      </c>
      <c r="O208" s="57" t="s">
        <v>1003</v>
      </c>
      <c r="P208" s="56" t="s">
        <v>228</v>
      </c>
      <c r="Q208" s="87" t="n">
        <v>1000</v>
      </c>
      <c r="R208" s="58" t="s">
        <v>189</v>
      </c>
      <c r="S208" s="69" t="n">
        <v>4171</v>
      </c>
      <c r="T208" s="35" t="s">
        <v>172</v>
      </c>
      <c r="U208" s="155" t="n">
        <v>341781.23</v>
      </c>
      <c r="V208" s="60" t="n">
        <v>24.4431</v>
      </c>
      <c r="W208" s="71" t="n">
        <f aca="false">3215945.29540594/30</f>
        <v>107198.176513531</v>
      </c>
      <c r="X208" s="161" t="n">
        <f aca="false">U208/V208</f>
        <v>13982.7284591562</v>
      </c>
      <c r="Y208" s="156" t="n">
        <f aca="false">165127.2/V208/30</f>
        <v>225.185839766642</v>
      </c>
      <c r="Z208" s="28" t="n">
        <v>5.7</v>
      </c>
      <c r="AA208" s="62" t="s">
        <v>80</v>
      </c>
      <c r="AB208" s="38" t="n">
        <v>43880</v>
      </c>
      <c r="AC208" s="38" t="n">
        <v>44036</v>
      </c>
      <c r="AD208" s="38" t="n">
        <v>44034</v>
      </c>
      <c r="AE208" s="50" t="n">
        <v>45859</v>
      </c>
      <c r="AF208" s="28" t="n">
        <f aca="false">YEAR(AE208)</f>
        <v>2025</v>
      </c>
      <c r="AG208" s="63" t="n">
        <f aca="false">X208/SUMIF($Z$2:$Z$380,Z208,$X$2:$X$380)*(VLOOKUP(Z208,'затраты по департаментам-2 '!$A$2:$C$182,2,FALSE())+VLOOKUP(Z208,'затраты по департаментам-2 '!$A$2:$C$182,3,FALSE()))</f>
        <v>8234.73066666666</v>
      </c>
      <c r="AH208" s="153" t="n">
        <f aca="false">W208/60</f>
        <v>1786.63627522552</v>
      </c>
      <c r="AI208" s="64" t="s">
        <v>81</v>
      </c>
      <c r="AJ208" s="63" t="s">
        <v>52</v>
      </c>
      <c r="AK208" s="43" t="n">
        <v>74032</v>
      </c>
      <c r="AL208" s="43"/>
      <c r="AM208" s="43" t="s">
        <v>1582</v>
      </c>
      <c r="AN208" s="74" t="s">
        <v>1583</v>
      </c>
      <c r="AO208" s="65" t="n">
        <v>44953</v>
      </c>
      <c r="AP208" s="43" t="s">
        <v>1584</v>
      </c>
      <c r="AQ208" s="66" t="s">
        <v>1585</v>
      </c>
      <c r="AR208" s="76" t="n">
        <v>44442</v>
      </c>
    </row>
    <row r="209" customFormat="false" ht="14.25" hidden="false" customHeight="false" outlineLevel="0" collapsed="false">
      <c r="A209" s="26" t="n">
        <v>208</v>
      </c>
      <c r="B209" s="26" t="s">
        <v>1586</v>
      </c>
      <c r="C209" s="26" t="s">
        <v>1336</v>
      </c>
      <c r="D209" s="28" t="s">
        <v>73</v>
      </c>
      <c r="E209" s="43" t="n">
        <v>4.9</v>
      </c>
      <c r="F209" s="43" t="n">
        <v>1.5</v>
      </c>
      <c r="G209" s="43" t="n">
        <v>103</v>
      </c>
      <c r="H209" s="43" t="n">
        <v>2020</v>
      </c>
      <c r="I209" s="43" t="s">
        <v>1292</v>
      </c>
      <c r="J209" s="43" t="s">
        <v>74</v>
      </c>
      <c r="K209" s="30" t="s">
        <v>1587</v>
      </c>
      <c r="L209" s="57"/>
      <c r="M209" s="31" t="s">
        <v>1588</v>
      </c>
      <c r="N209" s="32" t="s">
        <v>179</v>
      </c>
      <c r="O209" s="57" t="s">
        <v>689</v>
      </c>
      <c r="P209" s="56" t="s">
        <v>91</v>
      </c>
      <c r="Q209" s="87" t="n">
        <v>7070</v>
      </c>
      <c r="R209" s="89" t="s">
        <v>171</v>
      </c>
      <c r="S209" s="69" t="n">
        <v>4138</v>
      </c>
      <c r="T209" s="35" t="s">
        <v>172</v>
      </c>
      <c r="U209" s="155" t="n">
        <v>341781.23</v>
      </c>
      <c r="V209" s="60" t="n">
        <v>24.4431</v>
      </c>
      <c r="W209" s="71" t="n">
        <f aca="false">3215945.29540594/30</f>
        <v>107198.176513531</v>
      </c>
      <c r="X209" s="161" t="n">
        <f aca="false">U209/V209</f>
        <v>13982.7284591562</v>
      </c>
      <c r="Y209" s="156" t="n">
        <f aca="false">165127.2/V209/30</f>
        <v>225.185839766642</v>
      </c>
      <c r="Z209" s="28" t="n">
        <v>5.7</v>
      </c>
      <c r="AA209" s="62" t="s">
        <v>80</v>
      </c>
      <c r="AB209" s="38" t="n">
        <v>43880</v>
      </c>
      <c r="AC209" s="38" t="n">
        <v>44036</v>
      </c>
      <c r="AD209" s="38" t="n">
        <v>44034</v>
      </c>
      <c r="AE209" s="50" t="n">
        <v>45859</v>
      </c>
      <c r="AF209" s="28" t="n">
        <f aca="false">YEAR(AE209)</f>
        <v>2025</v>
      </c>
      <c r="AG209" s="63" t="n">
        <f aca="false">X209/SUMIF($Z$2:$Z$380,Z209,$X$2:$X$380)*(VLOOKUP(Z209,'затраты по департаментам-2 '!$A$2:$C$182,2,FALSE())+VLOOKUP(Z209,'затраты по департаментам-2 '!$A$2:$C$182,3,FALSE()))</f>
        <v>8234.73066666666</v>
      </c>
      <c r="AH209" s="153" t="n">
        <f aca="false">W209/60</f>
        <v>1786.63627522552</v>
      </c>
      <c r="AI209" s="64" t="s">
        <v>81</v>
      </c>
      <c r="AJ209" s="63" t="s">
        <v>82</v>
      </c>
      <c r="AK209" s="43" t="n">
        <v>86136</v>
      </c>
      <c r="AL209" s="43"/>
      <c r="AM209" s="43" t="s">
        <v>1589</v>
      </c>
      <c r="AN209" s="78" t="s">
        <v>1590</v>
      </c>
      <c r="AO209" s="65" t="n">
        <v>44384</v>
      </c>
      <c r="AP209" s="43" t="s">
        <v>1591</v>
      </c>
      <c r="AQ209" s="66" t="s">
        <v>1592</v>
      </c>
      <c r="AR209" s="64"/>
    </row>
    <row r="210" customFormat="false" ht="14.25" hidden="false" customHeight="false" outlineLevel="0" collapsed="false">
      <c r="A210" s="26" t="n">
        <v>209</v>
      </c>
      <c r="B210" s="43" t="s">
        <v>1593</v>
      </c>
      <c r="C210" s="26" t="s">
        <v>1336</v>
      </c>
      <c r="D210" s="28" t="s">
        <v>73</v>
      </c>
      <c r="E210" s="43" t="n">
        <v>4.9</v>
      </c>
      <c r="F210" s="43" t="n">
        <v>1.5</v>
      </c>
      <c r="G210" s="43" t="n">
        <v>103</v>
      </c>
      <c r="H210" s="43" t="n">
        <v>2020</v>
      </c>
      <c r="I210" s="43" t="s">
        <v>1292</v>
      </c>
      <c r="J210" s="43" t="s">
        <v>74</v>
      </c>
      <c r="K210" s="30" t="s">
        <v>1594</v>
      </c>
      <c r="L210" s="57"/>
      <c r="M210" s="31" t="s">
        <v>1595</v>
      </c>
      <c r="N210" s="32" t="s">
        <v>236</v>
      </c>
      <c r="O210" s="57" t="s">
        <v>218</v>
      </c>
      <c r="P210" s="56" t="s">
        <v>327</v>
      </c>
      <c r="Q210" s="87" t="n">
        <v>7010</v>
      </c>
      <c r="R210" s="58" t="s">
        <v>171</v>
      </c>
      <c r="S210" s="69" t="n">
        <v>4131</v>
      </c>
      <c r="T210" s="35" t="s">
        <v>172</v>
      </c>
      <c r="U210" s="155" t="n">
        <v>341781.23</v>
      </c>
      <c r="V210" s="60" t="n">
        <v>24.4431</v>
      </c>
      <c r="W210" s="71" t="n">
        <f aca="false">3215945.29540594/30</f>
        <v>107198.176513531</v>
      </c>
      <c r="X210" s="161" t="n">
        <f aca="false">U210/V210</f>
        <v>13982.7284591562</v>
      </c>
      <c r="Y210" s="156" t="n">
        <f aca="false">165127.2/V210/30</f>
        <v>225.185839766642</v>
      </c>
      <c r="Z210" s="28" t="n">
        <v>5.7</v>
      </c>
      <c r="AA210" s="62" t="s">
        <v>80</v>
      </c>
      <c r="AB210" s="38" t="n">
        <v>43880</v>
      </c>
      <c r="AC210" s="38" t="n">
        <v>44036</v>
      </c>
      <c r="AD210" s="38" t="n">
        <v>44035</v>
      </c>
      <c r="AE210" s="50" t="n">
        <v>45860</v>
      </c>
      <c r="AF210" s="28" t="n">
        <f aca="false">YEAR(AE210)</f>
        <v>2025</v>
      </c>
      <c r="AG210" s="63" t="n">
        <f aca="false">X210/SUMIF($Z$2:$Z$380,Z210,$X$2:$X$380)*(VLOOKUP(Z210,'затраты по департаментам-2 '!$A$2:$C$182,2,FALSE())+VLOOKUP(Z210,'затраты по департаментам-2 '!$A$2:$C$182,3,FALSE()))</f>
        <v>8234.73066666666</v>
      </c>
      <c r="AH210" s="153" t="n">
        <f aca="false">W210/60</f>
        <v>1786.63627522552</v>
      </c>
      <c r="AI210" s="64" t="s">
        <v>81</v>
      </c>
      <c r="AJ210" s="63" t="s">
        <v>52</v>
      </c>
      <c r="AK210" s="43" t="n">
        <v>46813</v>
      </c>
      <c r="AL210" s="43"/>
      <c r="AM210" s="43" t="s">
        <v>1596</v>
      </c>
      <c r="AN210" s="74" t="s">
        <v>1597</v>
      </c>
      <c r="AO210" s="65" t="n">
        <v>44840</v>
      </c>
      <c r="AP210" s="43" t="s">
        <v>1598</v>
      </c>
      <c r="AQ210" s="66" t="s">
        <v>1599</v>
      </c>
      <c r="AR210" s="64"/>
    </row>
    <row r="211" customFormat="false" ht="14.25" hidden="false" customHeight="false" outlineLevel="0" collapsed="false">
      <c r="A211" s="26" t="n">
        <v>210</v>
      </c>
      <c r="B211" s="43" t="s">
        <v>1600</v>
      </c>
      <c r="C211" s="26" t="s">
        <v>1336</v>
      </c>
      <c r="D211" s="28" t="s">
        <v>73</v>
      </c>
      <c r="E211" s="43" t="n">
        <v>4.9</v>
      </c>
      <c r="F211" s="43" t="n">
        <v>1.5</v>
      </c>
      <c r="G211" s="43" t="n">
        <v>103</v>
      </c>
      <c r="H211" s="43" t="n">
        <v>2020</v>
      </c>
      <c r="I211" s="43" t="s">
        <v>1292</v>
      </c>
      <c r="J211" s="43" t="s">
        <v>74</v>
      </c>
      <c r="K211" s="30" t="s">
        <v>1601</v>
      </c>
      <c r="L211" s="69"/>
      <c r="M211" s="31" t="s">
        <v>1602</v>
      </c>
      <c r="N211" s="84" t="s">
        <v>179</v>
      </c>
      <c r="O211" s="57" t="s">
        <v>1003</v>
      </c>
      <c r="P211" s="56" t="s">
        <v>327</v>
      </c>
      <c r="Q211" s="87" t="n">
        <v>7014</v>
      </c>
      <c r="R211" s="58" t="s">
        <v>171</v>
      </c>
      <c r="S211" s="69" t="n">
        <v>4131</v>
      </c>
      <c r="T211" s="35" t="s">
        <v>172</v>
      </c>
      <c r="U211" s="155" t="n">
        <v>341781.23</v>
      </c>
      <c r="V211" s="60" t="n">
        <v>24.4431</v>
      </c>
      <c r="W211" s="71" t="n">
        <f aca="false">3215945.29540594/30</f>
        <v>107198.176513531</v>
      </c>
      <c r="X211" s="161" t="n">
        <f aca="false">U211/V211</f>
        <v>13982.7284591562</v>
      </c>
      <c r="Y211" s="156" t="n">
        <f aca="false">165127.2/V211/30</f>
        <v>225.185839766642</v>
      </c>
      <c r="Z211" s="28" t="n">
        <v>5.7</v>
      </c>
      <c r="AA211" s="62" t="s">
        <v>80</v>
      </c>
      <c r="AB211" s="38" t="n">
        <v>43880</v>
      </c>
      <c r="AC211" s="38" t="n">
        <v>44036</v>
      </c>
      <c r="AD211" s="38" t="n">
        <v>44035</v>
      </c>
      <c r="AE211" s="50" t="n">
        <v>45860</v>
      </c>
      <c r="AF211" s="28" t="n">
        <f aca="false">YEAR(AE211)</f>
        <v>2025</v>
      </c>
      <c r="AG211" s="63" t="n">
        <f aca="false">X211/SUMIF($Z$2:$Z$380,Z211,$X$2:$X$380)*(VLOOKUP(Z211,'затраты по департаментам-2 '!$A$2:$C$182,2,FALSE())+VLOOKUP(Z211,'затраты по департаментам-2 '!$A$2:$C$182,3,FALSE()))</f>
        <v>8234.73066666666</v>
      </c>
      <c r="AH211" s="153" t="n">
        <f aca="false">W211/60</f>
        <v>1786.63627522552</v>
      </c>
      <c r="AI211" s="64" t="s">
        <v>81</v>
      </c>
      <c r="AJ211" s="63" t="s">
        <v>52</v>
      </c>
      <c r="AK211" s="43" t="n">
        <v>287852</v>
      </c>
      <c r="AL211" s="43"/>
      <c r="AM211" s="43" t="s">
        <v>1603</v>
      </c>
      <c r="AN211" s="74" t="s">
        <v>1604</v>
      </c>
      <c r="AO211" s="65" t="n">
        <v>44953</v>
      </c>
      <c r="AP211" s="43" t="s">
        <v>1605</v>
      </c>
      <c r="AQ211" s="66" t="s">
        <v>1606</v>
      </c>
      <c r="AR211" s="64"/>
    </row>
    <row r="212" customFormat="false" ht="14.25" hidden="false" customHeight="false" outlineLevel="0" collapsed="false">
      <c r="A212" s="26" t="n">
        <v>211</v>
      </c>
      <c r="B212" s="43" t="s">
        <v>1607</v>
      </c>
      <c r="C212" s="26" t="s">
        <v>1336</v>
      </c>
      <c r="D212" s="28" t="s">
        <v>73</v>
      </c>
      <c r="E212" s="43" t="n">
        <v>4.9</v>
      </c>
      <c r="F212" s="43" t="n">
        <v>1.5</v>
      </c>
      <c r="G212" s="43" t="n">
        <v>103</v>
      </c>
      <c r="H212" s="43" t="n">
        <v>2020</v>
      </c>
      <c r="I212" s="43" t="s">
        <v>1292</v>
      </c>
      <c r="J212" s="43" t="s">
        <v>74</v>
      </c>
      <c r="K212" s="30" t="s">
        <v>1608</v>
      </c>
      <c r="L212" s="57"/>
      <c r="M212" s="31" t="s">
        <v>1609</v>
      </c>
      <c r="N212" s="84" t="s">
        <v>179</v>
      </c>
      <c r="O212" s="57" t="s">
        <v>681</v>
      </c>
      <c r="P212" s="56" t="s">
        <v>181</v>
      </c>
      <c r="Q212" s="87" t="n">
        <v>7031</v>
      </c>
      <c r="R212" s="58" t="s">
        <v>171</v>
      </c>
      <c r="S212" s="69" t="n">
        <v>4133</v>
      </c>
      <c r="T212" s="35" t="s">
        <v>172</v>
      </c>
      <c r="U212" s="155" t="n">
        <v>341781.23</v>
      </c>
      <c r="V212" s="60" t="n">
        <v>24.4431</v>
      </c>
      <c r="W212" s="71" t="n">
        <f aca="false">3215945.29540594/30</f>
        <v>107198.176513531</v>
      </c>
      <c r="X212" s="161" t="n">
        <f aca="false">U212/V212</f>
        <v>13982.7284591562</v>
      </c>
      <c r="Y212" s="156" t="n">
        <f aca="false">165127.2/V212/30</f>
        <v>225.185839766642</v>
      </c>
      <c r="Z212" s="28" t="n">
        <v>5.7</v>
      </c>
      <c r="AA212" s="62" t="s">
        <v>80</v>
      </c>
      <c r="AB212" s="38" t="n">
        <v>43880</v>
      </c>
      <c r="AC212" s="38" t="n">
        <v>44036</v>
      </c>
      <c r="AD212" s="38" t="n">
        <v>44035</v>
      </c>
      <c r="AE212" s="50" t="n">
        <v>45860</v>
      </c>
      <c r="AF212" s="28" t="n">
        <f aca="false">YEAR(AE212)</f>
        <v>2025</v>
      </c>
      <c r="AG212" s="63" t="n">
        <f aca="false">X212/SUMIF($Z$2:$Z$380,Z212,$X$2:$X$380)*(VLOOKUP(Z212,'затраты по департаментам-2 '!$A$2:$C$182,2,FALSE())+VLOOKUP(Z212,'затраты по департаментам-2 '!$A$2:$C$182,3,FALSE()))</f>
        <v>8234.73066666666</v>
      </c>
      <c r="AH212" s="153" t="n">
        <f aca="false">W212/60</f>
        <v>1786.63627522552</v>
      </c>
      <c r="AI212" s="64" t="s">
        <v>81</v>
      </c>
      <c r="AJ212" s="63" t="s">
        <v>100</v>
      </c>
      <c r="AK212" s="43" t="n">
        <v>4930</v>
      </c>
      <c r="AL212" s="43"/>
      <c r="AM212" s="43" t="s">
        <v>1610</v>
      </c>
      <c r="AN212" s="78" t="s">
        <v>1611</v>
      </c>
      <c r="AO212" s="65" t="n">
        <v>44384</v>
      </c>
      <c r="AP212" s="43" t="s">
        <v>1612</v>
      </c>
      <c r="AQ212" s="64" t="s">
        <v>1613</v>
      </c>
      <c r="AR212" s="64"/>
    </row>
    <row r="213" customFormat="false" ht="14.25" hidden="false" customHeight="false" outlineLevel="0" collapsed="false">
      <c r="A213" s="26" t="n">
        <v>212</v>
      </c>
      <c r="B213" s="111" t="s">
        <v>1614</v>
      </c>
      <c r="C213" s="26" t="s">
        <v>1336</v>
      </c>
      <c r="D213" s="28" t="s">
        <v>73</v>
      </c>
      <c r="E213" s="43" t="n">
        <v>4.9</v>
      </c>
      <c r="F213" s="43" t="n">
        <v>1.5</v>
      </c>
      <c r="G213" s="43" t="n">
        <v>103</v>
      </c>
      <c r="H213" s="43" t="n">
        <v>2020</v>
      </c>
      <c r="I213" s="43" t="s">
        <v>1292</v>
      </c>
      <c r="J213" s="43" t="s">
        <v>74</v>
      </c>
      <c r="K213" s="30" t="s">
        <v>1615</v>
      </c>
      <c r="L213" s="82"/>
      <c r="M213" s="31" t="s">
        <v>1616</v>
      </c>
      <c r="N213" s="32" t="s">
        <v>179</v>
      </c>
      <c r="O213" s="28" t="s">
        <v>100</v>
      </c>
      <c r="P213" s="56" t="s">
        <v>181</v>
      </c>
      <c r="Q213" s="87" t="n">
        <v>7020</v>
      </c>
      <c r="R213" s="58" t="s">
        <v>171</v>
      </c>
      <c r="S213" s="69" t="n">
        <v>4133</v>
      </c>
      <c r="T213" s="35" t="s">
        <v>172</v>
      </c>
      <c r="U213" s="155" t="n">
        <v>341781.23</v>
      </c>
      <c r="V213" s="60" t="n">
        <v>24.4431</v>
      </c>
      <c r="W213" s="71" t="n">
        <f aca="false">3215945.29540594/30</f>
        <v>107198.176513531</v>
      </c>
      <c r="X213" s="161" t="n">
        <f aca="false">U213/V213</f>
        <v>13982.7284591562</v>
      </c>
      <c r="Y213" s="156" t="n">
        <f aca="false">165127.2/V213/30</f>
        <v>225.185839766642</v>
      </c>
      <c r="Z213" s="28" t="n">
        <v>5.7</v>
      </c>
      <c r="AA213" s="62" t="s">
        <v>80</v>
      </c>
      <c r="AB213" s="38" t="n">
        <v>43880</v>
      </c>
      <c r="AC213" s="38" t="n">
        <v>44036</v>
      </c>
      <c r="AD213" s="38" t="n">
        <v>44034</v>
      </c>
      <c r="AE213" s="50" t="n">
        <v>45859</v>
      </c>
      <c r="AF213" s="28" t="n">
        <f aca="false">YEAR(AE213)</f>
        <v>2025</v>
      </c>
      <c r="AG213" s="63" t="n">
        <f aca="false">X213/SUMIF($Z$2:$Z$380,Z213,$X$2:$X$380)*(VLOOKUP(Z213,'затраты по департаментам-2 '!$A$2:$C$182,2,FALSE())+VLOOKUP(Z213,'затраты по департаментам-2 '!$A$2:$C$182,3,FALSE()))</f>
        <v>8234.73066666666</v>
      </c>
      <c r="AH213" s="153" t="n">
        <f aca="false">W213/60</f>
        <v>1786.63627522552</v>
      </c>
      <c r="AI213" s="64" t="s">
        <v>81</v>
      </c>
      <c r="AJ213" s="63" t="s">
        <v>100</v>
      </c>
      <c r="AK213" s="43" t="n">
        <v>340384</v>
      </c>
      <c r="AL213" s="43"/>
      <c r="AM213" s="43" t="s">
        <v>1617</v>
      </c>
      <c r="AN213" s="74" t="s">
        <v>1618</v>
      </c>
      <c r="AO213" s="65" t="n">
        <v>44775</v>
      </c>
      <c r="AP213" s="43" t="s">
        <v>1619</v>
      </c>
      <c r="AQ213" s="64" t="s">
        <v>1620</v>
      </c>
      <c r="AR213" s="64"/>
    </row>
    <row r="214" customFormat="false" ht="12.75" hidden="false" customHeight="false" outlineLevel="0" collapsed="false">
      <c r="A214" s="26" t="n">
        <v>213</v>
      </c>
      <c r="B214" s="43" t="s">
        <v>1621</v>
      </c>
      <c r="C214" s="26" t="s">
        <v>1336</v>
      </c>
      <c r="D214" s="28" t="s">
        <v>73</v>
      </c>
      <c r="E214" s="43" t="n">
        <v>4.9</v>
      </c>
      <c r="F214" s="43" t="n">
        <v>1.5</v>
      </c>
      <c r="G214" s="43" t="n">
        <v>103</v>
      </c>
      <c r="H214" s="43" t="n">
        <v>2020</v>
      </c>
      <c r="I214" s="43" t="s">
        <v>1292</v>
      </c>
      <c r="J214" s="43" t="s">
        <v>74</v>
      </c>
      <c r="K214" s="30" t="s">
        <v>1622</v>
      </c>
      <c r="L214" s="57"/>
      <c r="M214" s="31" t="s">
        <v>1623</v>
      </c>
      <c r="N214" s="130" t="s">
        <v>1142</v>
      </c>
      <c r="O214" s="57" t="s">
        <v>52</v>
      </c>
      <c r="P214" s="48" t="s">
        <v>439</v>
      </c>
      <c r="Q214" s="57" t="n">
        <v>1000</v>
      </c>
      <c r="R214" s="58" t="s">
        <v>189</v>
      </c>
      <c r="S214" s="69" t="n">
        <v>4171</v>
      </c>
      <c r="T214" s="35" t="s">
        <v>172</v>
      </c>
      <c r="U214" s="155" t="n">
        <v>341781.23</v>
      </c>
      <c r="V214" s="60" t="n">
        <v>24.4431</v>
      </c>
      <c r="W214" s="71" t="n">
        <f aca="false">3215945.29540594/30</f>
        <v>107198.176513531</v>
      </c>
      <c r="X214" s="161" t="n">
        <f aca="false">U214/V214</f>
        <v>13982.7284591562</v>
      </c>
      <c r="Y214" s="156" t="n">
        <f aca="false">165127.2/V214/30</f>
        <v>225.185839766642</v>
      </c>
      <c r="Z214" s="28" t="n">
        <v>5.7</v>
      </c>
      <c r="AA214" s="62" t="s">
        <v>80</v>
      </c>
      <c r="AB214" s="38" t="n">
        <v>43880</v>
      </c>
      <c r="AC214" s="38" t="n">
        <v>44036</v>
      </c>
      <c r="AD214" s="38" t="n">
        <v>44034</v>
      </c>
      <c r="AE214" s="50" t="n">
        <v>45859</v>
      </c>
      <c r="AF214" s="28" t="n">
        <f aca="false">YEAR(AE214)</f>
        <v>2025</v>
      </c>
      <c r="AG214" s="63" t="n">
        <f aca="false">X214/SUMIF($Z$2:$Z$380,Z214,$X$2:$X$380)*(VLOOKUP(Z214,'затраты по департаментам-2 '!$A$2:$C$182,2,FALSE())+VLOOKUP(Z214,'затраты по департаментам-2 '!$A$2:$C$182,3,FALSE()))</f>
        <v>8234.73066666666</v>
      </c>
      <c r="AH214" s="153" t="n">
        <f aca="false">W214/60</f>
        <v>1786.63627522552</v>
      </c>
      <c r="AI214" s="64" t="s">
        <v>81</v>
      </c>
      <c r="AJ214" s="63" t="s">
        <v>52</v>
      </c>
      <c r="AK214" s="43" t="n">
        <v>787011</v>
      </c>
      <c r="AL214" s="43"/>
      <c r="AM214" s="43" t="s">
        <v>1624</v>
      </c>
      <c r="AN214" s="74" t="s">
        <v>1625</v>
      </c>
      <c r="AO214" s="65" t="n">
        <v>44775</v>
      </c>
      <c r="AP214" s="43" t="s">
        <v>1626</v>
      </c>
      <c r="AQ214" s="66" t="s">
        <v>1627</v>
      </c>
      <c r="AR214" s="64"/>
    </row>
    <row r="215" customFormat="false" ht="14.25" hidden="false" customHeight="false" outlineLevel="0" collapsed="false">
      <c r="A215" s="26" t="n">
        <v>214</v>
      </c>
      <c r="B215" s="43" t="s">
        <v>1628</v>
      </c>
      <c r="C215" s="26" t="s">
        <v>1336</v>
      </c>
      <c r="D215" s="28" t="s">
        <v>73</v>
      </c>
      <c r="E215" s="43" t="n">
        <v>4.9</v>
      </c>
      <c r="F215" s="43" t="n">
        <v>1.5</v>
      </c>
      <c r="G215" s="43" t="n">
        <v>103</v>
      </c>
      <c r="H215" s="43" t="n">
        <v>2020</v>
      </c>
      <c r="I215" s="43" t="s">
        <v>1292</v>
      </c>
      <c r="J215" s="43" t="s">
        <v>74</v>
      </c>
      <c r="K215" s="30" t="s">
        <v>1629</v>
      </c>
      <c r="L215" s="69"/>
      <c r="M215" s="31" t="s">
        <v>1630</v>
      </c>
      <c r="N215" s="32" t="s">
        <v>236</v>
      </c>
      <c r="O215" s="57" t="s">
        <v>252</v>
      </c>
      <c r="P215" s="56" t="s">
        <v>143</v>
      </c>
      <c r="Q215" s="87" t="n">
        <v>1000</v>
      </c>
      <c r="R215" s="58" t="s">
        <v>290</v>
      </c>
      <c r="S215" s="69" t="n">
        <v>4146</v>
      </c>
      <c r="T215" s="35" t="s">
        <v>172</v>
      </c>
      <c r="U215" s="155" t="n">
        <v>341781.23</v>
      </c>
      <c r="V215" s="60" t="n">
        <v>24.4431</v>
      </c>
      <c r="W215" s="71" t="n">
        <f aca="false">3215945.29540594/30</f>
        <v>107198.176513531</v>
      </c>
      <c r="X215" s="161" t="n">
        <f aca="false">U215/V215</f>
        <v>13982.7284591562</v>
      </c>
      <c r="Y215" s="156" t="n">
        <f aca="false">165127.2/V215/30</f>
        <v>225.185839766642</v>
      </c>
      <c r="Z215" s="28" t="n">
        <v>5.7</v>
      </c>
      <c r="AA215" s="62" t="s">
        <v>80</v>
      </c>
      <c r="AB215" s="38" t="n">
        <v>43880</v>
      </c>
      <c r="AC215" s="38" t="n">
        <v>44036</v>
      </c>
      <c r="AD215" s="38" t="n">
        <v>44035</v>
      </c>
      <c r="AE215" s="50" t="n">
        <v>45860</v>
      </c>
      <c r="AF215" s="28" t="n">
        <f aca="false">YEAR(AE215)</f>
        <v>2025</v>
      </c>
      <c r="AG215" s="63" t="n">
        <f aca="false">X215/SUMIF($Z$2:$Z$380,Z215,$X$2:$X$380)*(VLOOKUP(Z215,'затраты по департаментам-2 '!$A$2:$C$182,2,FALSE())+VLOOKUP(Z215,'затраты по департаментам-2 '!$A$2:$C$182,3,FALSE()))</f>
        <v>8234.73066666666</v>
      </c>
      <c r="AH215" s="153" t="n">
        <f aca="false">W215/60</f>
        <v>1786.63627522552</v>
      </c>
      <c r="AI215" s="64" t="s">
        <v>81</v>
      </c>
      <c r="AJ215" s="63" t="s">
        <v>142</v>
      </c>
      <c r="AK215" s="43" t="n">
        <v>788985</v>
      </c>
      <c r="AL215" s="43"/>
      <c r="AM215" s="43" t="s">
        <v>1631</v>
      </c>
      <c r="AN215" s="74" t="s">
        <v>1632</v>
      </c>
      <c r="AO215" s="65" t="n">
        <v>44761</v>
      </c>
      <c r="AP215" s="43" t="s">
        <v>1633</v>
      </c>
      <c r="AQ215" s="66" t="s">
        <v>1634</v>
      </c>
      <c r="AR215" s="64"/>
    </row>
    <row r="216" customFormat="false" ht="14.25" hidden="false" customHeight="false" outlineLevel="0" collapsed="false">
      <c r="A216" s="26" t="n">
        <v>215</v>
      </c>
      <c r="B216" s="43" t="s">
        <v>1635</v>
      </c>
      <c r="C216" s="26" t="s">
        <v>1336</v>
      </c>
      <c r="D216" s="28" t="s">
        <v>73</v>
      </c>
      <c r="E216" s="43" t="n">
        <v>4.9</v>
      </c>
      <c r="F216" s="43" t="n">
        <v>1.5</v>
      </c>
      <c r="G216" s="43" t="n">
        <v>103</v>
      </c>
      <c r="H216" s="43" t="n">
        <v>2020</v>
      </c>
      <c r="I216" s="43" t="s">
        <v>1292</v>
      </c>
      <c r="J216" s="43" t="s">
        <v>74</v>
      </c>
      <c r="K216" s="30" t="s">
        <v>1636</v>
      </c>
      <c r="L216" s="122"/>
      <c r="M216" s="31" t="s">
        <v>1637</v>
      </c>
      <c r="N216" s="97" t="s">
        <v>179</v>
      </c>
      <c r="O216" s="33" t="s">
        <v>60</v>
      </c>
      <c r="P216" s="48" t="s">
        <v>91</v>
      </c>
      <c r="Q216" s="87" t="n">
        <v>7081</v>
      </c>
      <c r="R216" s="58" t="s">
        <v>171</v>
      </c>
      <c r="S216" s="69" t="n">
        <v>4138</v>
      </c>
      <c r="T216" s="35" t="s">
        <v>172</v>
      </c>
      <c r="U216" s="155" t="n">
        <v>341781.23</v>
      </c>
      <c r="V216" s="60" t="n">
        <v>24.4431</v>
      </c>
      <c r="W216" s="71" t="n">
        <f aca="false">3215945.29540594/30</f>
        <v>107198.176513531</v>
      </c>
      <c r="X216" s="161" t="n">
        <f aca="false">U216/V216</f>
        <v>13982.7284591562</v>
      </c>
      <c r="Y216" s="156" t="n">
        <f aca="false">165127.2/V216/30</f>
        <v>225.185839766642</v>
      </c>
      <c r="Z216" s="28" t="n">
        <v>5.7</v>
      </c>
      <c r="AA216" s="62" t="s">
        <v>80</v>
      </c>
      <c r="AB216" s="38" t="n">
        <v>43880</v>
      </c>
      <c r="AC216" s="38" t="n">
        <v>44036</v>
      </c>
      <c r="AD216" s="38" t="n">
        <v>44034</v>
      </c>
      <c r="AE216" s="50" t="n">
        <v>45859</v>
      </c>
      <c r="AF216" s="28" t="n">
        <f aca="false">YEAR(AE216)</f>
        <v>2025</v>
      </c>
      <c r="AG216" s="63" t="n">
        <f aca="false">X216/SUMIF($Z$2:$Z$380,Z216,$X$2:$X$380)*(VLOOKUP(Z216,'затраты по департаментам-2 '!$A$2:$C$182,2,FALSE())+VLOOKUP(Z216,'затраты по департаментам-2 '!$A$2:$C$182,3,FALSE()))</f>
        <v>8234.73066666666</v>
      </c>
      <c r="AH216" s="153" t="n">
        <f aca="false">W216/60</f>
        <v>1786.63627522552</v>
      </c>
      <c r="AI216" s="64" t="s">
        <v>81</v>
      </c>
      <c r="AJ216" s="63" t="s">
        <v>82</v>
      </c>
      <c r="AK216" s="43" t="n">
        <v>915550</v>
      </c>
      <c r="AL216" s="43"/>
      <c r="AM216" s="43" t="s">
        <v>1638</v>
      </c>
      <c r="AN216" s="78" t="s">
        <v>1639</v>
      </c>
      <c r="AO216" s="65" t="n">
        <v>44384</v>
      </c>
      <c r="AP216" s="43" t="s">
        <v>1640</v>
      </c>
      <c r="AQ216" s="66" t="s">
        <v>1641</v>
      </c>
      <c r="AR216" s="64"/>
    </row>
    <row r="217" customFormat="false" ht="14.25" hidden="false" customHeight="false" outlineLevel="0" collapsed="false">
      <c r="A217" s="26" t="n">
        <v>216</v>
      </c>
      <c r="B217" s="43" t="s">
        <v>1642</v>
      </c>
      <c r="C217" s="26" t="s">
        <v>1336</v>
      </c>
      <c r="D217" s="28" t="s">
        <v>73</v>
      </c>
      <c r="E217" s="43" t="n">
        <v>4.9</v>
      </c>
      <c r="F217" s="43" t="n">
        <v>1.5</v>
      </c>
      <c r="G217" s="43" t="n">
        <v>103</v>
      </c>
      <c r="H217" s="43" t="n">
        <v>2020</v>
      </c>
      <c r="I217" s="43" t="s">
        <v>1292</v>
      </c>
      <c r="J217" s="43" t="s">
        <v>74</v>
      </c>
      <c r="K217" s="30" t="s">
        <v>1643</v>
      </c>
      <c r="L217" s="100"/>
      <c r="M217" s="31" t="s">
        <v>1644</v>
      </c>
      <c r="N217" s="32" t="s">
        <v>179</v>
      </c>
      <c r="O217" s="57" t="s">
        <v>1645</v>
      </c>
      <c r="P217" s="56" t="s">
        <v>91</v>
      </c>
      <c r="Q217" s="87" t="n">
        <v>7070</v>
      </c>
      <c r="R217" s="58" t="s">
        <v>171</v>
      </c>
      <c r="S217" s="69" t="n">
        <v>4138</v>
      </c>
      <c r="T217" s="35" t="s">
        <v>172</v>
      </c>
      <c r="U217" s="155" t="n">
        <v>341781.23</v>
      </c>
      <c r="V217" s="60" t="n">
        <v>24.4431</v>
      </c>
      <c r="W217" s="71" t="n">
        <f aca="false">3215945.29540594/30</f>
        <v>107198.176513531</v>
      </c>
      <c r="X217" s="161" t="n">
        <f aca="false">U217/V217</f>
        <v>13982.7284591562</v>
      </c>
      <c r="Y217" s="156" t="n">
        <f aca="false">165127.2/V217/30</f>
        <v>225.185839766642</v>
      </c>
      <c r="Z217" s="28" t="n">
        <v>5.7</v>
      </c>
      <c r="AA217" s="62" t="s">
        <v>80</v>
      </c>
      <c r="AB217" s="38" t="n">
        <v>43880</v>
      </c>
      <c r="AC217" s="38" t="n">
        <v>44036</v>
      </c>
      <c r="AD217" s="38" t="n">
        <v>44035</v>
      </c>
      <c r="AE217" s="50" t="n">
        <v>45860</v>
      </c>
      <c r="AF217" s="28" t="n">
        <f aca="false">YEAR(AE217)</f>
        <v>2025</v>
      </c>
      <c r="AG217" s="63" t="n">
        <f aca="false">X217/SUMIF($Z$2:$Z$380,Z217,$X$2:$X$380)*(VLOOKUP(Z217,'затраты по департаментам-2 '!$A$2:$C$182,2,FALSE())+VLOOKUP(Z217,'затраты по департаментам-2 '!$A$2:$C$182,3,FALSE()))</f>
        <v>8234.73066666666</v>
      </c>
      <c r="AH217" s="153" t="n">
        <f aca="false">W217/60</f>
        <v>1786.63627522552</v>
      </c>
      <c r="AI217" s="64"/>
      <c r="AJ217" s="63" t="s">
        <v>82</v>
      </c>
      <c r="AK217" s="43" t="n">
        <v>73877</v>
      </c>
      <c r="AL217" s="43"/>
      <c r="AM217" s="43" t="s">
        <v>1646</v>
      </c>
      <c r="AN217" s="74" t="s">
        <v>1647</v>
      </c>
      <c r="AO217" s="65" t="n">
        <v>44764</v>
      </c>
      <c r="AP217" s="43" t="s">
        <v>1648</v>
      </c>
      <c r="AQ217" s="64" t="s">
        <v>1649</v>
      </c>
      <c r="AR217" s="76" t="n">
        <v>44440</v>
      </c>
    </row>
    <row r="218" customFormat="false" ht="14.25" hidden="false" customHeight="false" outlineLevel="0" collapsed="false">
      <c r="A218" s="26" t="n">
        <v>217</v>
      </c>
      <c r="B218" s="43" t="s">
        <v>1650</v>
      </c>
      <c r="C218" s="26" t="s">
        <v>1336</v>
      </c>
      <c r="D218" s="28" t="s">
        <v>73</v>
      </c>
      <c r="E218" s="43" t="n">
        <v>4.9</v>
      </c>
      <c r="F218" s="43" t="n">
        <v>1.5</v>
      </c>
      <c r="G218" s="43" t="n">
        <v>103</v>
      </c>
      <c r="H218" s="43" t="n">
        <v>2020</v>
      </c>
      <c r="I218" s="43" t="s">
        <v>1292</v>
      </c>
      <c r="J218" s="43" t="s">
        <v>74</v>
      </c>
      <c r="K218" s="30" t="s">
        <v>1651</v>
      </c>
      <c r="L218" s="57"/>
      <c r="M218" s="31" t="s">
        <v>1652</v>
      </c>
      <c r="N218" s="84" t="s">
        <v>179</v>
      </c>
      <c r="O218" s="127" t="s">
        <v>1350</v>
      </c>
      <c r="P218" s="56" t="s">
        <v>91</v>
      </c>
      <c r="Q218" s="87" t="n">
        <v>7082</v>
      </c>
      <c r="R218" s="58" t="s">
        <v>171</v>
      </c>
      <c r="S218" s="69" t="n">
        <v>4138</v>
      </c>
      <c r="T218" s="35" t="s">
        <v>172</v>
      </c>
      <c r="U218" s="155" t="n">
        <v>341781.23</v>
      </c>
      <c r="V218" s="60" t="n">
        <v>24.4431</v>
      </c>
      <c r="W218" s="71" t="n">
        <f aca="false">3215945.29540594/30</f>
        <v>107198.176513531</v>
      </c>
      <c r="X218" s="161" t="n">
        <f aca="false">U218/V218</f>
        <v>13982.7284591562</v>
      </c>
      <c r="Y218" s="156" t="n">
        <f aca="false">165127.2/V218/30</f>
        <v>225.185839766642</v>
      </c>
      <c r="Z218" s="28" t="n">
        <v>5.7</v>
      </c>
      <c r="AA218" s="62" t="s">
        <v>80</v>
      </c>
      <c r="AB218" s="38" t="n">
        <v>43880</v>
      </c>
      <c r="AC218" s="38" t="n">
        <v>44036</v>
      </c>
      <c r="AD218" s="38" t="n">
        <v>44035</v>
      </c>
      <c r="AE218" s="50" t="n">
        <v>45860</v>
      </c>
      <c r="AF218" s="28" t="n">
        <f aca="false">YEAR(AE218)</f>
        <v>2025</v>
      </c>
      <c r="AG218" s="63" t="n">
        <f aca="false">X218/SUMIF($Z$2:$Z$380,Z218,$X$2:$X$380)*(VLOOKUP(Z218,'затраты по департаментам-2 '!$A$2:$C$182,2,FALSE())+VLOOKUP(Z218,'затраты по департаментам-2 '!$A$2:$C$182,3,FALSE()))</f>
        <v>8234.73066666666</v>
      </c>
      <c r="AH218" s="153" t="n">
        <f aca="false">W218/60</f>
        <v>1786.63627522552</v>
      </c>
      <c r="AI218" s="64" t="s">
        <v>81</v>
      </c>
      <c r="AJ218" s="63" t="s">
        <v>82</v>
      </c>
      <c r="AK218" s="43" t="n">
        <v>287857</v>
      </c>
      <c r="AL218" s="43"/>
      <c r="AM218" s="43" t="s">
        <v>1653</v>
      </c>
      <c r="AN218" s="74" t="s">
        <v>1654</v>
      </c>
      <c r="AO218" s="65" t="n">
        <v>44845</v>
      </c>
      <c r="AP218" s="43" t="s">
        <v>1655</v>
      </c>
      <c r="AQ218" s="66" t="s">
        <v>1656</v>
      </c>
      <c r="AR218" s="64"/>
    </row>
    <row r="219" customFormat="false" ht="14.25" hidden="false" customHeight="false" outlineLevel="0" collapsed="false">
      <c r="A219" s="26" t="n">
        <v>218</v>
      </c>
      <c r="B219" s="43" t="s">
        <v>1657</v>
      </c>
      <c r="C219" s="26" t="s">
        <v>1336</v>
      </c>
      <c r="D219" s="28" t="s">
        <v>73</v>
      </c>
      <c r="E219" s="43" t="n">
        <v>4.9</v>
      </c>
      <c r="F219" s="43" t="n">
        <v>1.5</v>
      </c>
      <c r="G219" s="43" t="n">
        <v>103</v>
      </c>
      <c r="H219" s="43" t="n">
        <v>2020</v>
      </c>
      <c r="I219" s="43" t="s">
        <v>1292</v>
      </c>
      <c r="J219" s="43" t="s">
        <v>74</v>
      </c>
      <c r="K219" s="30" t="s">
        <v>1658</v>
      </c>
      <c r="L219" s="100"/>
      <c r="M219" s="126" t="s">
        <v>1659</v>
      </c>
      <c r="N219" s="56" t="s">
        <v>227</v>
      </c>
      <c r="O219" s="57" t="s">
        <v>197</v>
      </c>
      <c r="P219" s="56" t="s">
        <v>228</v>
      </c>
      <c r="Q219" s="103" t="n">
        <v>1000</v>
      </c>
      <c r="R219" s="58" t="s">
        <v>189</v>
      </c>
      <c r="S219" s="69" t="n">
        <v>4174</v>
      </c>
      <c r="T219" s="35" t="s">
        <v>172</v>
      </c>
      <c r="U219" s="155" t="n">
        <v>341781.23</v>
      </c>
      <c r="V219" s="60" t="n">
        <v>24.4431</v>
      </c>
      <c r="W219" s="71" t="n">
        <f aca="false">3215945.29540594/30</f>
        <v>107198.176513531</v>
      </c>
      <c r="X219" s="161" t="n">
        <f aca="false">U219/V219</f>
        <v>13982.7284591562</v>
      </c>
      <c r="Y219" s="156" t="n">
        <f aca="false">165127.2/V219/30</f>
        <v>225.185839766642</v>
      </c>
      <c r="Z219" s="28" t="n">
        <v>5.7</v>
      </c>
      <c r="AA219" s="62" t="s">
        <v>80</v>
      </c>
      <c r="AB219" s="38" t="n">
        <v>43880</v>
      </c>
      <c r="AC219" s="38" t="n">
        <v>44036</v>
      </c>
      <c r="AD219" s="38" t="n">
        <v>44034</v>
      </c>
      <c r="AE219" s="50" t="n">
        <v>45859</v>
      </c>
      <c r="AF219" s="28" t="n">
        <f aca="false">YEAR(AE219)</f>
        <v>2025</v>
      </c>
      <c r="AG219" s="63" t="n">
        <f aca="false">X219/SUMIF($Z$2:$Z$380,Z219,$X$2:$X$380)*(VLOOKUP(Z219,'затраты по департаментам-2 '!$A$2:$C$182,2,FALSE())+VLOOKUP(Z219,'затраты по департаментам-2 '!$A$2:$C$182,3,FALSE()))</f>
        <v>8234.73066666666</v>
      </c>
      <c r="AH219" s="153" t="n">
        <f aca="false">W219/60</f>
        <v>1786.63627522552</v>
      </c>
      <c r="AI219" s="64" t="s">
        <v>81</v>
      </c>
      <c r="AJ219" s="63" t="s">
        <v>197</v>
      </c>
      <c r="AK219" s="43" t="n">
        <v>112022</v>
      </c>
      <c r="AL219" s="43"/>
      <c r="AM219" s="43" t="s">
        <v>1660</v>
      </c>
      <c r="AN219" s="74" t="s">
        <v>1661</v>
      </c>
      <c r="AO219" s="65" t="n">
        <v>44813</v>
      </c>
      <c r="AP219" s="43" t="s">
        <v>1662</v>
      </c>
      <c r="AQ219" s="66" t="s">
        <v>1663</v>
      </c>
      <c r="AR219" s="64"/>
    </row>
    <row r="220" customFormat="false" ht="12.75" hidden="false" customHeight="false" outlineLevel="0" collapsed="false">
      <c r="A220" s="26" t="n">
        <v>219</v>
      </c>
      <c r="B220" s="43" t="s">
        <v>1664</v>
      </c>
      <c r="C220" s="26" t="s">
        <v>1336</v>
      </c>
      <c r="D220" s="28" t="s">
        <v>73</v>
      </c>
      <c r="E220" s="43" t="n">
        <v>4.9</v>
      </c>
      <c r="F220" s="43" t="n">
        <v>1.5</v>
      </c>
      <c r="G220" s="43" t="n">
        <v>103</v>
      </c>
      <c r="H220" s="43" t="n">
        <v>2020</v>
      </c>
      <c r="I220" s="43" t="s">
        <v>1292</v>
      </c>
      <c r="J220" s="43" t="s">
        <v>74</v>
      </c>
      <c r="K220" s="86" t="s">
        <v>177</v>
      </c>
      <c r="L220" s="57"/>
      <c r="M220" s="31" t="s">
        <v>1665</v>
      </c>
      <c r="N220" s="130" t="s">
        <v>913</v>
      </c>
      <c r="O220" s="57" t="s">
        <v>52</v>
      </c>
      <c r="P220" s="48" t="s">
        <v>439</v>
      </c>
      <c r="Q220" s="57" t="n">
        <v>1000</v>
      </c>
      <c r="R220" s="58" t="s">
        <v>189</v>
      </c>
      <c r="S220" s="69" t="n">
        <v>4170</v>
      </c>
      <c r="T220" s="35" t="s">
        <v>172</v>
      </c>
      <c r="U220" s="155" t="n">
        <v>341781.23</v>
      </c>
      <c r="V220" s="60" t="n">
        <v>24.4431</v>
      </c>
      <c r="W220" s="71" t="n">
        <f aca="false">3215945.29540594/30</f>
        <v>107198.176513531</v>
      </c>
      <c r="X220" s="161" t="n">
        <f aca="false">U220/V220</f>
        <v>13982.7284591562</v>
      </c>
      <c r="Y220" s="156" t="n">
        <f aca="false">165127.2/V220/30</f>
        <v>225.185839766642</v>
      </c>
      <c r="Z220" s="28" t="n">
        <v>5.7</v>
      </c>
      <c r="AA220" s="62" t="s">
        <v>80</v>
      </c>
      <c r="AB220" s="38" t="n">
        <v>43880</v>
      </c>
      <c r="AC220" s="38" t="n">
        <v>44036</v>
      </c>
      <c r="AD220" s="38" t="n">
        <v>44034</v>
      </c>
      <c r="AE220" s="50" t="n">
        <v>45859</v>
      </c>
      <c r="AF220" s="28" t="n">
        <f aca="false">YEAR(AE220)</f>
        <v>2025</v>
      </c>
      <c r="AG220" s="63" t="n">
        <f aca="false">X220/SUMIF($Z$2:$Z$380,Z220,$X$2:$X$380)*(VLOOKUP(Z220,'затраты по департаментам-2 '!$A$2:$C$182,2,FALSE())+VLOOKUP(Z220,'затраты по департаментам-2 '!$A$2:$C$182,3,FALSE()))</f>
        <v>8234.73066666666</v>
      </c>
      <c r="AH220" s="153" t="n">
        <f aca="false">W220/60</f>
        <v>1786.63627522552</v>
      </c>
      <c r="AI220" s="64" t="s">
        <v>81</v>
      </c>
      <c r="AJ220" s="63" t="s">
        <v>52</v>
      </c>
      <c r="AK220" s="43" t="n">
        <v>117013</v>
      </c>
      <c r="AL220" s="43"/>
      <c r="AM220" s="43" t="s">
        <v>1666</v>
      </c>
      <c r="AN220" s="74" t="s">
        <v>1667</v>
      </c>
      <c r="AO220" s="65" t="n">
        <v>44825</v>
      </c>
      <c r="AP220" s="43" t="s">
        <v>1668</v>
      </c>
      <c r="AR220" s="64"/>
    </row>
    <row r="221" customFormat="false" ht="14.25" hidden="false" customHeight="false" outlineLevel="0" collapsed="false">
      <c r="A221" s="26" t="n">
        <v>220</v>
      </c>
      <c r="B221" s="43" t="s">
        <v>1669</v>
      </c>
      <c r="C221" s="26" t="s">
        <v>1336</v>
      </c>
      <c r="D221" s="28" t="s">
        <v>73</v>
      </c>
      <c r="E221" s="43" t="n">
        <v>4.9</v>
      </c>
      <c r="F221" s="43" t="n">
        <v>1.5</v>
      </c>
      <c r="G221" s="43" t="n">
        <v>103</v>
      </c>
      <c r="H221" s="43" t="n">
        <v>2020</v>
      </c>
      <c r="I221" s="43" t="s">
        <v>1292</v>
      </c>
      <c r="J221" s="43" t="s">
        <v>74</v>
      </c>
      <c r="K221" s="30" t="s">
        <v>1670</v>
      </c>
      <c r="L221" s="100"/>
      <c r="M221" s="31" t="s">
        <v>1671</v>
      </c>
      <c r="N221" s="32" t="s">
        <v>179</v>
      </c>
      <c r="O221" s="57" t="s">
        <v>942</v>
      </c>
      <c r="P221" s="56" t="s">
        <v>181</v>
      </c>
      <c r="Q221" s="57" t="n">
        <v>7073</v>
      </c>
      <c r="R221" s="58" t="s">
        <v>171</v>
      </c>
      <c r="S221" s="69" t="n">
        <v>4133</v>
      </c>
      <c r="T221" s="35" t="s">
        <v>172</v>
      </c>
      <c r="U221" s="155" t="n">
        <v>341781.23</v>
      </c>
      <c r="V221" s="60" t="n">
        <v>24.4431</v>
      </c>
      <c r="W221" s="71" t="n">
        <f aca="false">3215945.29540594/30</f>
        <v>107198.176513531</v>
      </c>
      <c r="X221" s="161" t="n">
        <f aca="false">U221/V221</f>
        <v>13982.7284591562</v>
      </c>
      <c r="Y221" s="156" t="n">
        <f aca="false">165127.2/V221/30</f>
        <v>225.185839766642</v>
      </c>
      <c r="Z221" s="28" t="n">
        <v>5.7</v>
      </c>
      <c r="AA221" s="62" t="s">
        <v>80</v>
      </c>
      <c r="AB221" s="38" t="n">
        <v>43880</v>
      </c>
      <c r="AC221" s="38" t="n">
        <v>44036</v>
      </c>
      <c r="AD221" s="38" t="n">
        <v>44034</v>
      </c>
      <c r="AE221" s="50" t="n">
        <v>45859</v>
      </c>
      <c r="AF221" s="28" t="n">
        <f aca="false">YEAR(AE221)</f>
        <v>2025</v>
      </c>
      <c r="AG221" s="63" t="n">
        <f aca="false">X221/SUMIF($Z$2:$Z$380,Z221,$X$2:$X$380)*(VLOOKUP(Z221,'затраты по департаментам-2 '!$A$2:$C$182,2,FALSE())+VLOOKUP(Z221,'затраты по департаментам-2 '!$A$2:$C$182,3,FALSE()))</f>
        <v>8234.73066666666</v>
      </c>
      <c r="AH221" s="153" t="n">
        <f aca="false">W221/60</f>
        <v>1786.63627522552</v>
      </c>
      <c r="AI221" s="64" t="s">
        <v>81</v>
      </c>
      <c r="AJ221" s="63" t="s">
        <v>82</v>
      </c>
      <c r="AK221" s="43" t="n">
        <v>287688</v>
      </c>
      <c r="AL221" s="43"/>
      <c r="AM221" s="43" t="s">
        <v>1672</v>
      </c>
      <c r="AN221" s="74" t="s">
        <v>1673</v>
      </c>
      <c r="AO221" s="65" t="n">
        <v>44924</v>
      </c>
      <c r="AP221" s="43" t="s">
        <v>1674</v>
      </c>
      <c r="AQ221" s="66" t="s">
        <v>1675</v>
      </c>
      <c r="AR221" s="64"/>
    </row>
    <row r="222" customFormat="false" ht="14.25" hidden="false" customHeight="false" outlineLevel="0" collapsed="false">
      <c r="A222" s="26" t="n">
        <v>221</v>
      </c>
      <c r="B222" s="43" t="s">
        <v>1676</v>
      </c>
      <c r="C222" s="26" t="s">
        <v>1336</v>
      </c>
      <c r="D222" s="28" t="s">
        <v>73</v>
      </c>
      <c r="E222" s="43" t="n">
        <v>4.9</v>
      </c>
      <c r="F222" s="43" t="n">
        <v>1.5</v>
      </c>
      <c r="G222" s="43" t="n">
        <v>103</v>
      </c>
      <c r="H222" s="43" t="n">
        <v>2020</v>
      </c>
      <c r="I222" s="43" t="s">
        <v>1292</v>
      </c>
      <c r="J222" s="43" t="s">
        <v>74</v>
      </c>
      <c r="K222" s="30" t="s">
        <v>1677</v>
      </c>
      <c r="L222" s="28"/>
      <c r="M222" s="31" t="s">
        <v>1678</v>
      </c>
      <c r="N222" s="97" t="s">
        <v>179</v>
      </c>
      <c r="O222" s="57" t="s">
        <v>218</v>
      </c>
      <c r="P222" s="48" t="s">
        <v>327</v>
      </c>
      <c r="Q222" s="57" t="n">
        <v>7010</v>
      </c>
      <c r="R222" s="58" t="s">
        <v>171</v>
      </c>
      <c r="S222" s="69" t="n">
        <v>4131</v>
      </c>
      <c r="T222" s="35" t="s">
        <v>172</v>
      </c>
      <c r="U222" s="155" t="n">
        <v>341781.23</v>
      </c>
      <c r="V222" s="60" t="n">
        <v>24.4431</v>
      </c>
      <c r="W222" s="71" t="n">
        <f aca="false">3215945.29540594/30</f>
        <v>107198.176513531</v>
      </c>
      <c r="X222" s="161" t="n">
        <f aca="false">U222/V222</f>
        <v>13982.7284591562</v>
      </c>
      <c r="Y222" s="156" t="n">
        <f aca="false">165127.2/V222/30</f>
        <v>225.185839766642</v>
      </c>
      <c r="Z222" s="28" t="n">
        <v>5.7</v>
      </c>
      <c r="AA222" s="62" t="s">
        <v>80</v>
      </c>
      <c r="AB222" s="38" t="n">
        <v>43880</v>
      </c>
      <c r="AC222" s="38" t="n">
        <v>44036</v>
      </c>
      <c r="AD222" s="38" t="n">
        <v>44035</v>
      </c>
      <c r="AE222" s="50" t="n">
        <v>45860</v>
      </c>
      <c r="AF222" s="28" t="n">
        <f aca="false">YEAR(AE222)</f>
        <v>2025</v>
      </c>
      <c r="AG222" s="63" t="n">
        <f aca="false">X222/SUMIF($Z$2:$Z$380,Z222,$X$2:$X$380)*(VLOOKUP(Z222,'затраты по департаментам-2 '!$A$2:$C$182,2,FALSE())+VLOOKUP(Z222,'затраты по департаментам-2 '!$A$2:$C$182,3,FALSE()))</f>
        <v>8234.73066666666</v>
      </c>
      <c r="AH222" s="153" t="n">
        <f aca="false">W222/60</f>
        <v>1786.63627522552</v>
      </c>
      <c r="AI222" s="64" t="s">
        <v>81</v>
      </c>
      <c r="AJ222" s="63" t="s">
        <v>52</v>
      </c>
      <c r="AK222" s="43" t="n">
        <v>74153</v>
      </c>
      <c r="AL222" s="43"/>
      <c r="AM222" s="43" t="s">
        <v>1679</v>
      </c>
      <c r="AN222" s="74" t="s">
        <v>1680</v>
      </c>
      <c r="AO222" s="65" t="n">
        <v>44840</v>
      </c>
      <c r="AP222" s="43" t="s">
        <v>1681</v>
      </c>
      <c r="AQ222" s="66" t="s">
        <v>1682</v>
      </c>
      <c r="AR222" s="64"/>
    </row>
    <row r="223" customFormat="false" ht="14.25" hidden="false" customHeight="false" outlineLevel="0" collapsed="false">
      <c r="A223" s="26" t="n">
        <v>222</v>
      </c>
      <c r="B223" s="43" t="s">
        <v>1683</v>
      </c>
      <c r="C223" s="26" t="s">
        <v>1336</v>
      </c>
      <c r="D223" s="28" t="s">
        <v>73</v>
      </c>
      <c r="E223" s="43" t="n">
        <v>4.9</v>
      </c>
      <c r="F223" s="43" t="n">
        <v>1.5</v>
      </c>
      <c r="G223" s="43" t="n">
        <v>103</v>
      </c>
      <c r="H223" s="43" t="n">
        <v>2020</v>
      </c>
      <c r="I223" s="43" t="s">
        <v>1292</v>
      </c>
      <c r="J223" s="43" t="s">
        <v>74</v>
      </c>
      <c r="K223" s="30" t="s">
        <v>1684</v>
      </c>
      <c r="L223" s="100"/>
      <c r="M223" s="31" t="s">
        <v>1685</v>
      </c>
      <c r="N223" s="84" t="s">
        <v>179</v>
      </c>
      <c r="O223" s="57" t="s">
        <v>343</v>
      </c>
      <c r="P223" s="56" t="s">
        <v>143</v>
      </c>
      <c r="Q223" s="87" t="n">
        <v>7063</v>
      </c>
      <c r="R223" s="58" t="s">
        <v>171</v>
      </c>
      <c r="S223" s="69" t="n">
        <v>4136</v>
      </c>
      <c r="T223" s="35" t="s">
        <v>172</v>
      </c>
      <c r="U223" s="155" t="n">
        <v>341781.23</v>
      </c>
      <c r="V223" s="60" t="n">
        <v>24.4431</v>
      </c>
      <c r="W223" s="71" t="n">
        <f aca="false">3215945.29540594/30</f>
        <v>107198.176513531</v>
      </c>
      <c r="X223" s="161" t="n">
        <f aca="false">U223/V223</f>
        <v>13982.7284591562</v>
      </c>
      <c r="Y223" s="156" t="n">
        <f aca="false">165127.2/V223/30</f>
        <v>225.185839766642</v>
      </c>
      <c r="Z223" s="28" t="n">
        <v>5.7</v>
      </c>
      <c r="AA223" s="62" t="s">
        <v>80</v>
      </c>
      <c r="AB223" s="38" t="n">
        <v>43880</v>
      </c>
      <c r="AC223" s="38" t="n">
        <v>44036</v>
      </c>
      <c r="AD223" s="38" t="n">
        <v>44035</v>
      </c>
      <c r="AE223" s="50" t="n">
        <v>45860</v>
      </c>
      <c r="AF223" s="28" t="n">
        <f aca="false">YEAR(AE223)</f>
        <v>2025</v>
      </c>
      <c r="AG223" s="63" t="n">
        <f aca="false">X223/SUMIF($Z$2:$Z$380,Z223,$X$2:$X$380)*(VLOOKUP(Z223,'затраты по департаментам-2 '!$A$2:$C$182,2,FALSE())+VLOOKUP(Z223,'затраты по департаментам-2 '!$A$2:$C$182,3,FALSE()))</f>
        <v>8234.73066666666</v>
      </c>
      <c r="AH223" s="153" t="n">
        <f aca="false">W223/60</f>
        <v>1786.63627522552</v>
      </c>
      <c r="AI223" s="64" t="s">
        <v>81</v>
      </c>
      <c r="AJ223" s="63" t="s">
        <v>142</v>
      </c>
      <c r="AK223" s="43" t="n">
        <v>275168</v>
      </c>
      <c r="AL223" s="43"/>
      <c r="AM223" s="43" t="s">
        <v>1686</v>
      </c>
      <c r="AN223" s="74" t="s">
        <v>1687</v>
      </c>
      <c r="AO223" s="65" t="n">
        <v>44764</v>
      </c>
      <c r="AP223" s="43" t="s">
        <v>1688</v>
      </c>
      <c r="AQ223" s="66" t="s">
        <v>1689</v>
      </c>
      <c r="AR223" s="64"/>
    </row>
    <row r="224" customFormat="false" ht="14.25" hidden="false" customHeight="false" outlineLevel="0" collapsed="false">
      <c r="A224" s="26" t="n">
        <v>223</v>
      </c>
      <c r="B224" s="43" t="s">
        <v>1690</v>
      </c>
      <c r="C224" s="120" t="s">
        <v>1336</v>
      </c>
      <c r="D224" s="70" t="s">
        <v>73</v>
      </c>
      <c r="E224" s="43" t="n">
        <v>4.9</v>
      </c>
      <c r="F224" s="55" t="n">
        <v>1.5</v>
      </c>
      <c r="G224" s="55" t="n">
        <v>103</v>
      </c>
      <c r="H224" s="55" t="n">
        <v>2020</v>
      </c>
      <c r="I224" s="55" t="s">
        <v>1292</v>
      </c>
      <c r="J224" s="55" t="s">
        <v>74</v>
      </c>
      <c r="K224" s="162" t="s">
        <v>1691</v>
      </c>
      <c r="L224" s="163"/>
      <c r="M224" s="114" t="s">
        <v>1692</v>
      </c>
      <c r="N224" s="84" t="s">
        <v>179</v>
      </c>
      <c r="O224" s="28" t="s">
        <v>335</v>
      </c>
      <c r="P224" s="56" t="s">
        <v>198</v>
      </c>
      <c r="Q224" s="164" t="n">
        <v>7042</v>
      </c>
      <c r="R224" s="58" t="s">
        <v>171</v>
      </c>
      <c r="S224" s="165" t="n">
        <v>4134</v>
      </c>
      <c r="T224" s="59" t="s">
        <v>172</v>
      </c>
      <c r="U224" s="166" t="n">
        <v>341781.23</v>
      </c>
      <c r="V224" s="167" t="n">
        <v>24.4431</v>
      </c>
      <c r="W224" s="71" t="n">
        <f aca="false">3215945.29540594/30</f>
        <v>107198.176513531</v>
      </c>
      <c r="X224" s="168" t="n">
        <f aca="false">U224/V224</f>
        <v>13982.7284591562</v>
      </c>
      <c r="Y224" s="169" t="n">
        <f aca="false">165127.2/V224/30</f>
        <v>225.185839766642</v>
      </c>
      <c r="Z224" s="70" t="n">
        <v>5.7</v>
      </c>
      <c r="AA224" s="170" t="s">
        <v>80</v>
      </c>
      <c r="AB224" s="51" t="n">
        <v>43880</v>
      </c>
      <c r="AC224" s="38" t="n">
        <v>44036</v>
      </c>
      <c r="AD224" s="38" t="n">
        <v>44035</v>
      </c>
      <c r="AE224" s="50" t="n">
        <v>45860</v>
      </c>
      <c r="AF224" s="28" t="n">
        <f aca="false">YEAR(AE224)</f>
        <v>2025</v>
      </c>
      <c r="AG224" s="63" t="n">
        <f aca="false">X224/SUMIF($Z$2:$Z$380,Z224,$X$2:$X$380)*(VLOOKUP(Z224,'затраты по департаментам-2 '!$A$2:$C$182,2,FALSE())+VLOOKUP(Z224,'затраты по департаментам-2 '!$A$2:$C$182,3,FALSE()))</f>
        <v>8234.73066666666</v>
      </c>
      <c r="AH224" s="153" t="n">
        <f aca="false">W224/60</f>
        <v>1786.63627522552</v>
      </c>
      <c r="AI224" s="64" t="s">
        <v>81</v>
      </c>
      <c r="AJ224" s="63" t="s">
        <v>197</v>
      </c>
      <c r="AK224" s="43" t="n">
        <v>287571</v>
      </c>
      <c r="AL224" s="43"/>
      <c r="AM224" s="43" t="s">
        <v>1693</v>
      </c>
      <c r="AN224" s="74" t="s">
        <v>1694</v>
      </c>
      <c r="AO224" s="65" t="n">
        <v>44915</v>
      </c>
      <c r="AP224" s="43" t="s">
        <v>1695</v>
      </c>
      <c r="AQ224" s="66" t="s">
        <v>1696</v>
      </c>
      <c r="AR224" s="64"/>
    </row>
    <row r="225" customFormat="false" ht="14.25" hidden="false" customHeight="false" outlineLevel="0" collapsed="false">
      <c r="A225" s="26" t="n">
        <v>224</v>
      </c>
      <c r="B225" s="43" t="s">
        <v>1697</v>
      </c>
      <c r="C225" s="43" t="s">
        <v>1291</v>
      </c>
      <c r="D225" s="28" t="s">
        <v>73</v>
      </c>
      <c r="E225" s="2" t="n">
        <v>5.3</v>
      </c>
      <c r="F225" s="43" t="n">
        <v>1.5</v>
      </c>
      <c r="G225" s="43" t="n">
        <v>113</v>
      </c>
      <c r="H225" s="43" t="n">
        <v>2020</v>
      </c>
      <c r="I225" s="43" t="s">
        <v>1292</v>
      </c>
      <c r="J225" s="43" t="s">
        <v>74</v>
      </c>
      <c r="K225" s="30" t="s">
        <v>1698</v>
      </c>
      <c r="L225" s="35"/>
      <c r="M225" s="31" t="s">
        <v>1699</v>
      </c>
      <c r="N225" s="154" t="s">
        <v>1700</v>
      </c>
      <c r="O225" s="28" t="s">
        <v>60</v>
      </c>
      <c r="P225" s="56" t="s">
        <v>1701</v>
      </c>
      <c r="Q225" s="57" t="n">
        <v>1000</v>
      </c>
      <c r="R225" s="139" t="s">
        <v>405</v>
      </c>
      <c r="S225" s="69" t="n">
        <v>3480</v>
      </c>
      <c r="T225" s="35" t="n">
        <v>5</v>
      </c>
      <c r="U225" s="155" t="n">
        <v>457128.22</v>
      </c>
      <c r="V225" s="60" t="n">
        <v>24.4431</v>
      </c>
      <c r="W225" s="146" t="n">
        <f aca="false">4172824.18600955/32</f>
        <v>130400.755812798</v>
      </c>
      <c r="X225" s="112" t="n">
        <f aca="false">U225/V225</f>
        <v>18701.7285041586</v>
      </c>
      <c r="Y225" s="156" t="n">
        <f aca="false">241502.28/V225/32</f>
        <v>308.755691790321</v>
      </c>
      <c r="Z225" s="28" t="n">
        <v>5.8</v>
      </c>
      <c r="AA225" s="62" t="s">
        <v>80</v>
      </c>
      <c r="AB225" s="38" t="n">
        <v>43880</v>
      </c>
      <c r="AC225" s="38" t="n">
        <v>44003</v>
      </c>
      <c r="AD225" s="38" t="n">
        <v>44012</v>
      </c>
      <c r="AE225" s="50" t="n">
        <v>45837</v>
      </c>
      <c r="AF225" s="28" t="n">
        <f aca="false">YEAR(AE225)</f>
        <v>2025</v>
      </c>
      <c r="AG225" s="63" t="n">
        <f aca="false">X225/SUMIF($Z$2:$Z$380,Z225,$X$2:$X$380)*(VLOOKUP(Z225,'затраты по департаментам-2 '!$A$2:$C$182,2,FALSE())+VLOOKUP(Z225,'затраты по департаментам-2 '!$A$2:$C$182,3,FALSE()))</f>
        <v>11290.763125</v>
      </c>
      <c r="AH225" s="146" t="n">
        <f aca="false">W225/60</f>
        <v>2173.34593021331</v>
      </c>
      <c r="AI225" s="64" t="s">
        <v>81</v>
      </c>
      <c r="AJ225" s="63" t="s">
        <v>60</v>
      </c>
      <c r="AK225" s="43" t="n">
        <v>126593</v>
      </c>
      <c r="AL225" s="43"/>
      <c r="AM225" s="74" t="s">
        <v>1702</v>
      </c>
      <c r="AN225" s="152" t="s">
        <v>1703</v>
      </c>
      <c r="AO225" s="65" t="n">
        <v>44818</v>
      </c>
      <c r="AP225" s="43" t="s">
        <v>1704</v>
      </c>
      <c r="AQ225" s="66" t="s">
        <v>1705</v>
      </c>
      <c r="AR225" s="64"/>
    </row>
    <row r="226" customFormat="false" ht="14.25" hidden="false" customHeight="false" outlineLevel="0" collapsed="false">
      <c r="A226" s="26" t="n">
        <v>225</v>
      </c>
      <c r="B226" s="43" t="s">
        <v>1706</v>
      </c>
      <c r="C226" s="43" t="s">
        <v>1291</v>
      </c>
      <c r="D226" s="28" t="s">
        <v>73</v>
      </c>
      <c r="E226" s="2" t="n">
        <v>5.3</v>
      </c>
      <c r="F226" s="43" t="n">
        <v>1.5</v>
      </c>
      <c r="G226" s="43" t="n">
        <v>113</v>
      </c>
      <c r="H226" s="43" t="n">
        <v>2020</v>
      </c>
      <c r="I226" s="43" t="s">
        <v>1292</v>
      </c>
      <c r="J226" s="43" t="s">
        <v>74</v>
      </c>
      <c r="K226" s="30" t="s">
        <v>1707</v>
      </c>
      <c r="L226" s="35"/>
      <c r="M226" s="31" t="s">
        <v>1708</v>
      </c>
      <c r="N226" s="56" t="s">
        <v>1709</v>
      </c>
      <c r="O226" s="28" t="s">
        <v>52</v>
      </c>
      <c r="P226" s="56" t="s">
        <v>327</v>
      </c>
      <c r="Q226" s="87" t="n">
        <v>1000</v>
      </c>
      <c r="R226" s="58" t="s">
        <v>92</v>
      </c>
      <c r="S226" s="69" t="n">
        <v>4141</v>
      </c>
      <c r="T226" s="35" t="s">
        <v>123</v>
      </c>
      <c r="U226" s="155" t="n">
        <v>457128.22</v>
      </c>
      <c r="V226" s="60" t="n">
        <v>24.4431</v>
      </c>
      <c r="W226" s="146" t="n">
        <f aca="false">4172824.18600955/32</f>
        <v>130400.755812798</v>
      </c>
      <c r="X226" s="112" t="n">
        <f aca="false">U226/V226</f>
        <v>18701.7285041586</v>
      </c>
      <c r="Y226" s="156" t="n">
        <f aca="false">241502.28/V226/32</f>
        <v>308.755691790321</v>
      </c>
      <c r="Z226" s="28" t="n">
        <v>5.8</v>
      </c>
      <c r="AA226" s="62" t="s">
        <v>80</v>
      </c>
      <c r="AB226" s="38" t="n">
        <v>43880</v>
      </c>
      <c r="AC226" s="38" t="n">
        <v>44003</v>
      </c>
      <c r="AD226" s="38" t="n">
        <v>44012</v>
      </c>
      <c r="AE226" s="50" t="n">
        <v>45837</v>
      </c>
      <c r="AF226" s="28" t="n">
        <f aca="false">YEAR(AE226)</f>
        <v>2025</v>
      </c>
      <c r="AG226" s="63" t="n">
        <f aca="false">X226/SUMIF($Z$2:$Z$380,Z226,$X$2:$X$380)*(VLOOKUP(Z226,'затраты по департаментам-2 '!$A$2:$C$182,2,FALSE())+VLOOKUP(Z226,'затраты по департаментам-2 '!$A$2:$C$182,3,FALSE()))</f>
        <v>11290.763125</v>
      </c>
      <c r="AH226" s="146" t="n">
        <f aca="false">W226/60</f>
        <v>2173.34593021331</v>
      </c>
      <c r="AI226" s="64" t="s">
        <v>81</v>
      </c>
      <c r="AJ226" s="63" t="s">
        <v>52</v>
      </c>
      <c r="AK226" s="43" t="n">
        <v>126643</v>
      </c>
      <c r="AL226" s="43"/>
      <c r="AM226" s="74" t="s">
        <v>1710</v>
      </c>
      <c r="AN226" s="152" t="s">
        <v>1711</v>
      </c>
      <c r="AO226" s="65" t="n">
        <v>44789</v>
      </c>
      <c r="AP226" s="43" t="s">
        <v>1712</v>
      </c>
      <c r="AQ226" s="66" t="s">
        <v>1713</v>
      </c>
      <c r="AR226" s="64"/>
    </row>
    <row r="227" customFormat="false" ht="14.25" hidden="false" customHeight="false" outlineLevel="0" collapsed="false">
      <c r="A227" s="26" t="n">
        <v>226</v>
      </c>
      <c r="B227" s="43" t="s">
        <v>1714</v>
      </c>
      <c r="C227" s="43" t="s">
        <v>1291</v>
      </c>
      <c r="D227" s="28" t="s">
        <v>73</v>
      </c>
      <c r="E227" s="2" t="n">
        <v>5.3</v>
      </c>
      <c r="F227" s="43" t="n">
        <v>1.5</v>
      </c>
      <c r="G227" s="43" t="n">
        <v>113</v>
      </c>
      <c r="H227" s="43" t="n">
        <v>2020</v>
      </c>
      <c r="I227" s="43" t="s">
        <v>1292</v>
      </c>
      <c r="J227" s="43" t="s">
        <v>74</v>
      </c>
      <c r="K227" s="30" t="s">
        <v>1715</v>
      </c>
      <c r="L227" s="35"/>
      <c r="M227" s="31" t="s">
        <v>1716</v>
      </c>
      <c r="N227" s="32" t="s">
        <v>1717</v>
      </c>
      <c r="O227" s="28" t="s">
        <v>1350</v>
      </c>
      <c r="P227" s="48" t="s">
        <v>91</v>
      </c>
      <c r="Q227" s="87" t="n">
        <v>7082</v>
      </c>
      <c r="R227" s="58" t="s">
        <v>171</v>
      </c>
      <c r="S227" s="69" t="n">
        <v>4138</v>
      </c>
      <c r="T227" s="35" t="s">
        <v>123</v>
      </c>
      <c r="U227" s="155" t="n">
        <v>457128.22</v>
      </c>
      <c r="V227" s="60" t="n">
        <v>24.4431</v>
      </c>
      <c r="W227" s="146" t="n">
        <f aca="false">4172824.18600955/32</f>
        <v>130400.755812798</v>
      </c>
      <c r="X227" s="112" t="n">
        <f aca="false">U227/V227</f>
        <v>18701.7285041586</v>
      </c>
      <c r="Y227" s="156" t="n">
        <f aca="false">241502.28/V227/32</f>
        <v>308.755691790321</v>
      </c>
      <c r="Z227" s="28" t="n">
        <v>5.8</v>
      </c>
      <c r="AA227" s="62" t="s">
        <v>80</v>
      </c>
      <c r="AB227" s="38" t="n">
        <v>43880</v>
      </c>
      <c r="AC227" s="38" t="n">
        <v>44003</v>
      </c>
      <c r="AD227" s="38" t="n">
        <v>44006</v>
      </c>
      <c r="AE227" s="50" t="n">
        <v>45831</v>
      </c>
      <c r="AF227" s="28" t="n">
        <f aca="false">YEAR(AE227)</f>
        <v>2025</v>
      </c>
      <c r="AG227" s="63" t="n">
        <f aca="false">X227/SUMIF($Z$2:$Z$380,Z227,$X$2:$X$380)*(VLOOKUP(Z227,'затраты по департаментам-2 '!$A$2:$C$182,2,FALSE())+VLOOKUP(Z227,'затраты по департаментам-2 '!$A$2:$C$182,3,FALSE()))</f>
        <v>11290.763125</v>
      </c>
      <c r="AH227" s="146" t="n">
        <f aca="false">W227/60</f>
        <v>2173.34593021331</v>
      </c>
      <c r="AI227" s="64" t="s">
        <v>81</v>
      </c>
      <c r="AJ227" s="63" t="s">
        <v>82</v>
      </c>
      <c r="AK227" s="43" t="n">
        <v>127336</v>
      </c>
      <c r="AL227" s="43"/>
      <c r="AM227" s="74" t="s">
        <v>1718</v>
      </c>
      <c r="AN227" s="152" t="s">
        <v>1719</v>
      </c>
      <c r="AO227" s="65" t="n">
        <v>44845</v>
      </c>
      <c r="AP227" s="43" t="s">
        <v>1720</v>
      </c>
      <c r="AQ227" s="66" t="s">
        <v>1721</v>
      </c>
      <c r="AR227" s="64"/>
    </row>
    <row r="228" customFormat="false" ht="14.25" hidden="false" customHeight="false" outlineLevel="0" collapsed="false">
      <c r="A228" s="26" t="n">
        <v>227</v>
      </c>
      <c r="B228" s="43" t="s">
        <v>1722</v>
      </c>
      <c r="C228" s="43" t="s">
        <v>1291</v>
      </c>
      <c r="D228" s="28" t="s">
        <v>73</v>
      </c>
      <c r="E228" s="2" t="n">
        <v>5.3</v>
      </c>
      <c r="F228" s="43" t="n">
        <v>1.5</v>
      </c>
      <c r="G228" s="43" t="n">
        <v>113</v>
      </c>
      <c r="H228" s="43" t="n">
        <v>2020</v>
      </c>
      <c r="I228" s="43" t="s">
        <v>1292</v>
      </c>
      <c r="J228" s="43" t="s">
        <v>74</v>
      </c>
      <c r="K228" s="30" t="s">
        <v>1723</v>
      </c>
      <c r="L228" s="69"/>
      <c r="M228" s="126" t="s">
        <v>1724</v>
      </c>
      <c r="N228" s="84" t="s">
        <v>438</v>
      </c>
      <c r="O228" s="28" t="s">
        <v>197</v>
      </c>
      <c r="P228" s="56" t="s">
        <v>1030</v>
      </c>
      <c r="Q228" s="87" t="n">
        <v>1000</v>
      </c>
      <c r="R228" s="58" t="s">
        <v>189</v>
      </c>
      <c r="S228" s="69" t="n">
        <v>4174</v>
      </c>
      <c r="T228" s="35" t="s">
        <v>123</v>
      </c>
      <c r="U228" s="155" t="n">
        <v>457128.22</v>
      </c>
      <c r="V228" s="60" t="n">
        <v>24.4431</v>
      </c>
      <c r="W228" s="146" t="n">
        <f aca="false">4172824.18600955/32</f>
        <v>130400.755812798</v>
      </c>
      <c r="X228" s="112" t="n">
        <f aca="false">U228/V228</f>
        <v>18701.7285041586</v>
      </c>
      <c r="Y228" s="156" t="n">
        <f aca="false">241502.28/V228/32</f>
        <v>308.755691790321</v>
      </c>
      <c r="Z228" s="28" t="n">
        <v>5.8</v>
      </c>
      <c r="AA228" s="62" t="s">
        <v>80</v>
      </c>
      <c r="AB228" s="38" t="n">
        <v>43880</v>
      </c>
      <c r="AC228" s="38" t="n">
        <v>44003</v>
      </c>
      <c r="AD228" s="38" t="n">
        <v>44012</v>
      </c>
      <c r="AE228" s="50" t="n">
        <v>45837</v>
      </c>
      <c r="AF228" s="28" t="n">
        <f aca="false">YEAR(AE228)</f>
        <v>2025</v>
      </c>
      <c r="AG228" s="63" t="n">
        <f aca="false">X228/SUMIF($Z$2:$Z$380,Z228,$X$2:$X$380)*(VLOOKUP(Z228,'затраты по департаментам-2 '!$A$2:$C$182,2,FALSE())+VLOOKUP(Z228,'затраты по департаментам-2 '!$A$2:$C$182,3,FALSE()))</f>
        <v>11290.763125</v>
      </c>
      <c r="AH228" s="146" t="n">
        <f aca="false">W228/60</f>
        <v>2173.34593021331</v>
      </c>
      <c r="AI228" s="64" t="s">
        <v>81</v>
      </c>
      <c r="AJ228" s="63" t="s">
        <v>197</v>
      </c>
      <c r="AK228" s="43" t="n">
        <v>126585</v>
      </c>
      <c r="AL228" s="43"/>
      <c r="AM228" s="74" t="s">
        <v>1725</v>
      </c>
      <c r="AN228" s="152" t="s">
        <v>1726</v>
      </c>
      <c r="AO228" s="65" t="n">
        <v>44813</v>
      </c>
      <c r="AP228" s="43" t="s">
        <v>1727</v>
      </c>
      <c r="AQ228" s="66" t="s">
        <v>1728</v>
      </c>
      <c r="AR228" s="64"/>
    </row>
    <row r="229" customFormat="false" ht="14.25" hidden="false" customHeight="false" outlineLevel="0" collapsed="false">
      <c r="A229" s="26" t="n">
        <v>228</v>
      </c>
      <c r="B229" s="43" t="s">
        <v>1729</v>
      </c>
      <c r="C229" s="43" t="s">
        <v>1291</v>
      </c>
      <c r="D229" s="28" t="s">
        <v>73</v>
      </c>
      <c r="E229" s="2" t="n">
        <v>5.3</v>
      </c>
      <c r="F229" s="43" t="n">
        <v>1.5</v>
      </c>
      <c r="G229" s="43" t="n">
        <v>113</v>
      </c>
      <c r="H229" s="43" t="n">
        <v>2020</v>
      </c>
      <c r="I229" s="43" t="s">
        <v>1292</v>
      </c>
      <c r="J229" s="43" t="s">
        <v>74</v>
      </c>
      <c r="K229" s="30" t="s">
        <v>1730</v>
      </c>
      <c r="L229" s="35"/>
      <c r="M229" s="31" t="s">
        <v>1731</v>
      </c>
      <c r="N229" s="32" t="s">
        <v>1732</v>
      </c>
      <c r="O229" s="28" t="s">
        <v>142</v>
      </c>
      <c r="P229" s="84" t="s">
        <v>188</v>
      </c>
      <c r="Q229" s="87" t="n">
        <v>9000</v>
      </c>
      <c r="R229" s="58" t="s">
        <v>171</v>
      </c>
      <c r="S229" s="69" t="n">
        <v>4130</v>
      </c>
      <c r="T229" s="35" t="s">
        <v>123</v>
      </c>
      <c r="U229" s="155" t="n">
        <v>457128.22</v>
      </c>
      <c r="V229" s="60" t="n">
        <v>24.4431</v>
      </c>
      <c r="W229" s="146" t="n">
        <f aca="false">4172824.18600955/32</f>
        <v>130400.755812798</v>
      </c>
      <c r="X229" s="112" t="n">
        <f aca="false">U229/V229</f>
        <v>18701.7285041586</v>
      </c>
      <c r="Y229" s="156" t="n">
        <f aca="false">241502.28/V229/32</f>
        <v>308.755691790321</v>
      </c>
      <c r="Z229" s="28" t="n">
        <v>5.8</v>
      </c>
      <c r="AA229" s="62" t="s">
        <v>80</v>
      </c>
      <c r="AB229" s="38" t="n">
        <v>43880</v>
      </c>
      <c r="AC229" s="38" t="n">
        <v>44003</v>
      </c>
      <c r="AD229" s="38" t="n">
        <v>44012</v>
      </c>
      <c r="AE229" s="50" t="n">
        <v>45837</v>
      </c>
      <c r="AF229" s="28" t="n">
        <f aca="false">YEAR(AE229)</f>
        <v>2025</v>
      </c>
      <c r="AG229" s="63" t="n">
        <f aca="false">X229/SUMIF($Z$2:$Z$380,Z229,$X$2:$X$380)*(VLOOKUP(Z229,'затраты по департаментам-2 '!$A$2:$C$182,2,FALSE())+VLOOKUP(Z229,'затраты по департаментам-2 '!$A$2:$C$182,3,FALSE()))</f>
        <v>11290.763125</v>
      </c>
      <c r="AH229" s="146" t="n">
        <f aca="false">W229/60</f>
        <v>2173.34593021331</v>
      </c>
      <c r="AI229" s="64" t="s">
        <v>81</v>
      </c>
      <c r="AJ229" s="63" t="s">
        <v>142</v>
      </c>
      <c r="AK229" s="43" t="n">
        <v>123152</v>
      </c>
      <c r="AL229" s="43"/>
      <c r="AM229" s="74" t="s">
        <v>1733</v>
      </c>
      <c r="AN229" s="152" t="s">
        <v>1734</v>
      </c>
      <c r="AO229" s="65" t="n">
        <v>44722</v>
      </c>
      <c r="AP229" s="43" t="s">
        <v>1735</v>
      </c>
      <c r="AQ229" s="66" t="s">
        <v>1736</v>
      </c>
      <c r="AR229" s="64"/>
    </row>
    <row r="230" customFormat="false" ht="12.75" hidden="false" customHeight="false" outlineLevel="0" collapsed="false">
      <c r="A230" s="26" t="n">
        <v>229</v>
      </c>
      <c r="B230" s="43" t="s">
        <v>1737</v>
      </c>
      <c r="C230" s="43" t="s">
        <v>1291</v>
      </c>
      <c r="D230" s="28" t="s">
        <v>73</v>
      </c>
      <c r="E230" s="2" t="n">
        <v>5.3</v>
      </c>
      <c r="F230" s="43" t="n">
        <v>1.5</v>
      </c>
      <c r="G230" s="43" t="n">
        <v>113</v>
      </c>
      <c r="H230" s="43" t="n">
        <v>2020</v>
      </c>
      <c r="I230" s="43" t="s">
        <v>1292</v>
      </c>
      <c r="J230" s="43" t="s">
        <v>74</v>
      </c>
      <c r="K230" s="30" t="s">
        <v>1738</v>
      </c>
      <c r="L230" s="35"/>
      <c r="M230" s="31" t="s">
        <v>1739</v>
      </c>
      <c r="N230" s="130" t="s">
        <v>1709</v>
      </c>
      <c r="O230" s="57" t="s">
        <v>197</v>
      </c>
      <c r="P230" s="48" t="s">
        <v>198</v>
      </c>
      <c r="Q230" s="57" t="n">
        <v>1000</v>
      </c>
      <c r="R230" s="171" t="s">
        <v>92</v>
      </c>
      <c r="S230" s="69" t="n">
        <v>4144</v>
      </c>
      <c r="T230" s="35" t="s">
        <v>123</v>
      </c>
      <c r="U230" s="155" t="n">
        <v>457128.22</v>
      </c>
      <c r="V230" s="60" t="n">
        <v>24.4431</v>
      </c>
      <c r="W230" s="146" t="n">
        <f aca="false">4172824.18600955/32</f>
        <v>130400.755812798</v>
      </c>
      <c r="X230" s="112" t="n">
        <f aca="false">U230/V230</f>
        <v>18701.7285041586</v>
      </c>
      <c r="Y230" s="156" t="n">
        <f aca="false">241502.28/V230/32</f>
        <v>308.755691790321</v>
      </c>
      <c r="Z230" s="28" t="n">
        <v>5.8</v>
      </c>
      <c r="AA230" s="62" t="s">
        <v>80</v>
      </c>
      <c r="AB230" s="38" t="n">
        <v>43880</v>
      </c>
      <c r="AC230" s="38" t="n">
        <v>44003</v>
      </c>
      <c r="AD230" s="38" t="n">
        <v>44008</v>
      </c>
      <c r="AE230" s="50" t="n">
        <v>45833</v>
      </c>
      <c r="AF230" s="28" t="n">
        <f aca="false">YEAR(AE230)</f>
        <v>2025</v>
      </c>
      <c r="AG230" s="63" t="n">
        <f aca="false">X230/SUMIF($Z$2:$Z$380,Z230,$X$2:$X$380)*(VLOOKUP(Z230,'затраты по департаментам-2 '!$A$2:$C$182,2,FALSE())+VLOOKUP(Z230,'затраты по департаментам-2 '!$A$2:$C$182,3,FALSE()))</f>
        <v>11290.763125</v>
      </c>
      <c r="AH230" s="146" t="n">
        <f aca="false">W230/60</f>
        <v>2173.34593021331</v>
      </c>
      <c r="AI230" s="64" t="s">
        <v>81</v>
      </c>
      <c r="AJ230" s="63" t="s">
        <v>197</v>
      </c>
      <c r="AK230" s="43" t="n">
        <v>127328</v>
      </c>
      <c r="AL230" s="43"/>
      <c r="AM230" s="74" t="s">
        <v>1740</v>
      </c>
      <c r="AN230" s="152" t="s">
        <v>1741</v>
      </c>
      <c r="AO230" s="65" t="n">
        <v>44953</v>
      </c>
      <c r="AP230" s="43" t="s">
        <v>1742</v>
      </c>
      <c r="AQ230" s="66" t="s">
        <v>1743</v>
      </c>
      <c r="AR230" s="64"/>
    </row>
    <row r="231" customFormat="false" ht="14.25" hidden="false" customHeight="false" outlineLevel="0" collapsed="false">
      <c r="A231" s="26" t="n">
        <v>230</v>
      </c>
      <c r="B231" s="43" t="s">
        <v>1744</v>
      </c>
      <c r="C231" s="43" t="s">
        <v>1291</v>
      </c>
      <c r="D231" s="28" t="s">
        <v>73</v>
      </c>
      <c r="E231" s="2" t="n">
        <v>5.3</v>
      </c>
      <c r="F231" s="43" t="n">
        <v>1.5</v>
      </c>
      <c r="G231" s="43" t="n">
        <v>113</v>
      </c>
      <c r="H231" s="43" t="n">
        <v>2020</v>
      </c>
      <c r="I231" s="43" t="s">
        <v>1292</v>
      </c>
      <c r="J231" s="43" t="s">
        <v>74</v>
      </c>
      <c r="K231" s="30" t="s">
        <v>1745</v>
      </c>
      <c r="L231" s="35"/>
      <c r="M231" s="31" t="s">
        <v>1746</v>
      </c>
      <c r="N231" s="48" t="s">
        <v>1747</v>
      </c>
      <c r="O231" s="28" t="s">
        <v>180</v>
      </c>
      <c r="P231" s="48" t="s">
        <v>181</v>
      </c>
      <c r="Q231" s="87" t="n">
        <v>1000</v>
      </c>
      <c r="R231" s="97" t="s">
        <v>171</v>
      </c>
      <c r="S231" s="69" t="n">
        <v>4133</v>
      </c>
      <c r="T231" s="35" t="s">
        <v>123</v>
      </c>
      <c r="U231" s="155" t="n">
        <v>457128.22</v>
      </c>
      <c r="V231" s="60" t="n">
        <v>24.4431</v>
      </c>
      <c r="W231" s="146" t="n">
        <f aca="false">4172824.18600955/32</f>
        <v>130400.755812798</v>
      </c>
      <c r="X231" s="112" t="n">
        <f aca="false">U231/V231</f>
        <v>18701.7285041586</v>
      </c>
      <c r="Y231" s="156" t="n">
        <f aca="false">241502.28/V231/32</f>
        <v>308.755691790321</v>
      </c>
      <c r="Z231" s="28" t="n">
        <v>5.8</v>
      </c>
      <c r="AA231" s="62" t="s">
        <v>80</v>
      </c>
      <c r="AB231" s="38" t="n">
        <v>43880</v>
      </c>
      <c r="AC231" s="38" t="n">
        <v>44003</v>
      </c>
      <c r="AD231" s="38" t="n">
        <v>44012</v>
      </c>
      <c r="AE231" s="50" t="n">
        <v>45837</v>
      </c>
      <c r="AF231" s="28" t="n">
        <f aca="false">YEAR(AE231)</f>
        <v>2025</v>
      </c>
      <c r="AG231" s="63" t="n">
        <f aca="false">X231/SUMIF($Z$2:$Z$380,Z231,$X$2:$X$380)*(VLOOKUP(Z231,'затраты по департаментам-2 '!$A$2:$C$182,2,FALSE())+VLOOKUP(Z231,'затраты по департаментам-2 '!$A$2:$C$182,3,FALSE()))</f>
        <v>11290.763125</v>
      </c>
      <c r="AH231" s="146" t="n">
        <f aca="false">W231/60</f>
        <v>2173.34593021331</v>
      </c>
      <c r="AI231" s="64" t="s">
        <v>81</v>
      </c>
      <c r="AJ231" s="63" t="s">
        <v>82</v>
      </c>
      <c r="AK231" s="43" t="n">
        <v>128680</v>
      </c>
      <c r="AL231" s="43"/>
      <c r="AM231" s="74" t="s">
        <v>1748</v>
      </c>
      <c r="AN231" s="152" t="s">
        <v>1749</v>
      </c>
      <c r="AO231" s="65" t="n">
        <v>44735</v>
      </c>
      <c r="AP231" s="43" t="s">
        <v>1750</v>
      </c>
      <c r="AQ231" s="66" t="s">
        <v>1751</v>
      </c>
      <c r="AR231" s="64"/>
    </row>
    <row r="232" customFormat="false" ht="14.25" hidden="false" customHeight="false" outlineLevel="0" collapsed="false">
      <c r="A232" s="26" t="n">
        <v>231</v>
      </c>
      <c r="B232" s="43" t="s">
        <v>1752</v>
      </c>
      <c r="C232" s="43" t="s">
        <v>1291</v>
      </c>
      <c r="D232" s="28" t="s">
        <v>73</v>
      </c>
      <c r="E232" s="2" t="n">
        <v>5.3</v>
      </c>
      <c r="F232" s="43" t="n">
        <v>1.5</v>
      </c>
      <c r="G232" s="43" t="n">
        <v>113</v>
      </c>
      <c r="H232" s="43" t="n">
        <v>2020</v>
      </c>
      <c r="I232" s="43" t="s">
        <v>1292</v>
      </c>
      <c r="J232" s="43" t="s">
        <v>74</v>
      </c>
      <c r="K232" s="30" t="s">
        <v>1753</v>
      </c>
      <c r="L232" s="69"/>
      <c r="M232" s="31" t="s">
        <v>1754</v>
      </c>
      <c r="N232" s="32" t="s">
        <v>1717</v>
      </c>
      <c r="O232" s="57" t="s">
        <v>169</v>
      </c>
      <c r="P232" s="56" t="s">
        <v>91</v>
      </c>
      <c r="Q232" s="87" t="n">
        <v>7083</v>
      </c>
      <c r="R232" s="58" t="s">
        <v>171</v>
      </c>
      <c r="S232" s="69" t="n">
        <v>4138</v>
      </c>
      <c r="T232" s="59" t="s">
        <v>123</v>
      </c>
      <c r="U232" s="155" t="n">
        <v>457128.22</v>
      </c>
      <c r="V232" s="60" t="n">
        <v>24.4431</v>
      </c>
      <c r="W232" s="146" t="n">
        <f aca="false">4172824.18600955/32</f>
        <v>130400.755812798</v>
      </c>
      <c r="X232" s="112" t="n">
        <f aca="false">U232/V232</f>
        <v>18701.7285041586</v>
      </c>
      <c r="Y232" s="156" t="n">
        <f aca="false">241502.28/V232/32</f>
        <v>308.755691790321</v>
      </c>
      <c r="Z232" s="28" t="n">
        <v>5.8</v>
      </c>
      <c r="AA232" s="62" t="s">
        <v>80</v>
      </c>
      <c r="AB232" s="38" t="n">
        <v>43880</v>
      </c>
      <c r="AC232" s="38" t="n">
        <v>44003</v>
      </c>
      <c r="AD232" s="38" t="n">
        <v>44008</v>
      </c>
      <c r="AE232" s="50" t="n">
        <v>45833</v>
      </c>
      <c r="AF232" s="28" t="n">
        <f aca="false">YEAR(AE232)</f>
        <v>2025</v>
      </c>
      <c r="AG232" s="63" t="n">
        <f aca="false">X232/SUMIF($Z$2:$Z$380,Z232,$X$2:$X$380)*(VLOOKUP(Z232,'затраты по департаментам-2 '!$A$2:$C$182,2,FALSE())+VLOOKUP(Z232,'затраты по департаментам-2 '!$A$2:$C$182,3,FALSE()))</f>
        <v>11290.763125</v>
      </c>
      <c r="AH232" s="146" t="n">
        <f aca="false">W232/60</f>
        <v>2173.34593021331</v>
      </c>
      <c r="AI232" s="64" t="s">
        <v>81</v>
      </c>
      <c r="AJ232" s="63" t="s">
        <v>82</v>
      </c>
      <c r="AK232" s="43" t="n">
        <v>922003</v>
      </c>
      <c r="AL232" s="43"/>
      <c r="AM232" s="78" t="s">
        <v>1755</v>
      </c>
      <c r="AN232" s="152" t="s">
        <v>1756</v>
      </c>
      <c r="AO232" s="65" t="n">
        <v>44359</v>
      </c>
      <c r="AP232" s="43" t="s">
        <v>1757</v>
      </c>
      <c r="AQ232" s="66" t="s">
        <v>1758</v>
      </c>
      <c r="AR232" s="64"/>
    </row>
    <row r="233" customFormat="false" ht="14.25" hidden="false" customHeight="false" outlineLevel="0" collapsed="false">
      <c r="A233" s="26" t="n">
        <v>232</v>
      </c>
      <c r="B233" s="43" t="s">
        <v>1759</v>
      </c>
      <c r="C233" s="43" t="s">
        <v>1291</v>
      </c>
      <c r="D233" s="28" t="s">
        <v>73</v>
      </c>
      <c r="E233" s="2" t="n">
        <v>5.3</v>
      </c>
      <c r="F233" s="43" t="n">
        <v>1.5</v>
      </c>
      <c r="G233" s="43" t="n">
        <v>113</v>
      </c>
      <c r="H233" s="43" t="n">
        <v>2020</v>
      </c>
      <c r="I233" s="43" t="s">
        <v>1292</v>
      </c>
      <c r="J233" s="43" t="s">
        <v>74</v>
      </c>
      <c r="K233" s="30" t="s">
        <v>1760</v>
      </c>
      <c r="L233" s="82"/>
      <c r="M233" s="31" t="s">
        <v>1761</v>
      </c>
      <c r="N233" s="172" t="s">
        <v>1732</v>
      </c>
      <c r="O233" s="28" t="s">
        <v>52</v>
      </c>
      <c r="P233" s="84" t="s">
        <v>832</v>
      </c>
      <c r="Q233" s="87" t="n">
        <v>9000</v>
      </c>
      <c r="R233" s="58" t="s">
        <v>171</v>
      </c>
      <c r="S233" s="69" t="n">
        <v>4130</v>
      </c>
      <c r="T233" s="59" t="s">
        <v>123</v>
      </c>
      <c r="U233" s="155" t="n">
        <v>457128.22</v>
      </c>
      <c r="V233" s="60" t="n">
        <v>24.4431</v>
      </c>
      <c r="W233" s="146" t="n">
        <f aca="false">4172824.18600955/32</f>
        <v>130400.755812798</v>
      </c>
      <c r="X233" s="112" t="n">
        <f aca="false">U233/V233</f>
        <v>18701.7285041586</v>
      </c>
      <c r="Y233" s="156" t="n">
        <f aca="false">241502.28/V233/32</f>
        <v>308.755691790321</v>
      </c>
      <c r="Z233" s="28" t="n">
        <v>5.8</v>
      </c>
      <c r="AA233" s="62" t="s">
        <v>80</v>
      </c>
      <c r="AB233" s="38" t="n">
        <v>43880</v>
      </c>
      <c r="AC233" s="38" t="n">
        <v>44003</v>
      </c>
      <c r="AD233" s="38" t="n">
        <v>44012</v>
      </c>
      <c r="AE233" s="50" t="n">
        <v>45837</v>
      </c>
      <c r="AF233" s="28" t="n">
        <f aca="false">YEAR(AE233)</f>
        <v>2025</v>
      </c>
      <c r="AG233" s="63" t="n">
        <f aca="false">X233/SUMIF($Z$2:$Z$380,Z233,$X$2:$X$380)*(VLOOKUP(Z233,'затраты по департаментам-2 '!$A$2:$C$182,2,FALSE())+VLOOKUP(Z233,'затраты по департаментам-2 '!$A$2:$C$182,3,FALSE()))</f>
        <v>11290.763125</v>
      </c>
      <c r="AH233" s="146" t="n">
        <f aca="false">W233/60</f>
        <v>2173.34593021331</v>
      </c>
      <c r="AI233" s="64" t="s">
        <v>81</v>
      </c>
      <c r="AJ233" s="63" t="s">
        <v>52</v>
      </c>
      <c r="AK233" s="43" t="n">
        <v>126684</v>
      </c>
      <c r="AL233" s="43"/>
      <c r="AM233" s="74" t="s">
        <v>1762</v>
      </c>
      <c r="AN233" s="152" t="s">
        <v>1763</v>
      </c>
      <c r="AO233" s="65" t="n">
        <v>44863</v>
      </c>
      <c r="AP233" s="43" t="s">
        <v>1764</v>
      </c>
      <c r="AQ233" s="66" t="s">
        <v>1765</v>
      </c>
      <c r="AR233" s="64"/>
    </row>
    <row r="234" customFormat="false" ht="14.25" hidden="false" customHeight="false" outlineLevel="0" collapsed="false">
      <c r="A234" s="26" t="n">
        <v>233</v>
      </c>
      <c r="B234" s="43" t="s">
        <v>1766</v>
      </c>
      <c r="C234" s="43" t="s">
        <v>1291</v>
      </c>
      <c r="D234" s="28" t="s">
        <v>73</v>
      </c>
      <c r="E234" s="2" t="n">
        <v>5.3</v>
      </c>
      <c r="F234" s="43" t="n">
        <v>1.5</v>
      </c>
      <c r="G234" s="43" t="n">
        <v>113</v>
      </c>
      <c r="H234" s="43" t="n">
        <v>2020</v>
      </c>
      <c r="I234" s="43" t="s">
        <v>1292</v>
      </c>
      <c r="J234" s="43" t="s">
        <v>74</v>
      </c>
      <c r="K234" s="30" t="s">
        <v>1767</v>
      </c>
      <c r="L234" s="69"/>
      <c r="M234" s="31" t="s">
        <v>1768</v>
      </c>
      <c r="N234" s="32" t="s">
        <v>1769</v>
      </c>
      <c r="O234" s="57" t="s">
        <v>100</v>
      </c>
      <c r="P234" s="56" t="s">
        <v>1329</v>
      </c>
      <c r="Q234" s="87" t="n">
        <v>1000</v>
      </c>
      <c r="R234" s="58" t="s">
        <v>1330</v>
      </c>
      <c r="S234" s="69" t="n">
        <v>3480</v>
      </c>
      <c r="T234" s="35" t="s">
        <v>123</v>
      </c>
      <c r="U234" s="155" t="n">
        <v>457128.22</v>
      </c>
      <c r="V234" s="60" t="n">
        <v>24.4431</v>
      </c>
      <c r="W234" s="146" t="n">
        <f aca="false">4172824.18600955/32</f>
        <v>130400.755812798</v>
      </c>
      <c r="X234" s="112" t="n">
        <f aca="false">U234/V234</f>
        <v>18701.7285041586</v>
      </c>
      <c r="Y234" s="156" t="n">
        <f aca="false">241502.28/V234/32</f>
        <v>308.755691790321</v>
      </c>
      <c r="Z234" s="28" t="n">
        <v>5.8</v>
      </c>
      <c r="AA234" s="62" t="s">
        <v>80</v>
      </c>
      <c r="AB234" s="38" t="n">
        <v>43880</v>
      </c>
      <c r="AC234" s="38" t="n">
        <v>44003</v>
      </c>
      <c r="AD234" s="38" t="n">
        <v>44008</v>
      </c>
      <c r="AE234" s="50" t="n">
        <v>45833</v>
      </c>
      <c r="AF234" s="28" t="n">
        <f aca="false">YEAR(AE234)</f>
        <v>2025</v>
      </c>
      <c r="AG234" s="63" t="n">
        <f aca="false">X234/SUMIF($Z$2:$Z$380,Z234,$X$2:$X$380)*(VLOOKUP(Z234,'затраты по департаментам-2 '!$A$2:$C$182,2,FALSE())+VLOOKUP(Z234,'затраты по департаментам-2 '!$A$2:$C$182,3,FALSE()))</f>
        <v>11290.763125</v>
      </c>
      <c r="AH234" s="146" t="n">
        <f aca="false">W234/60</f>
        <v>2173.34593021331</v>
      </c>
      <c r="AI234" s="64" t="s">
        <v>81</v>
      </c>
      <c r="AJ234" s="63" t="s">
        <v>100</v>
      </c>
      <c r="AK234" s="43" t="n">
        <v>127492</v>
      </c>
      <c r="AL234" s="43"/>
      <c r="AM234" s="74" t="s">
        <v>1770</v>
      </c>
      <c r="AN234" s="152" t="s">
        <v>1771</v>
      </c>
      <c r="AO234" s="65" t="n">
        <v>44743</v>
      </c>
      <c r="AP234" s="43" t="s">
        <v>1772</v>
      </c>
      <c r="AQ234" s="66" t="s">
        <v>1773</v>
      </c>
      <c r="AR234" s="64"/>
    </row>
    <row r="235" customFormat="false" ht="14.25" hidden="false" customHeight="false" outlineLevel="0" collapsed="false">
      <c r="A235" s="26" t="n">
        <v>234</v>
      </c>
      <c r="B235" s="43" t="s">
        <v>1774</v>
      </c>
      <c r="C235" s="43" t="s">
        <v>1291</v>
      </c>
      <c r="D235" s="28" t="s">
        <v>73</v>
      </c>
      <c r="E235" s="2" t="n">
        <v>5.3</v>
      </c>
      <c r="F235" s="43" t="n">
        <v>1.5</v>
      </c>
      <c r="G235" s="43" t="n">
        <v>113</v>
      </c>
      <c r="H235" s="43" t="n">
        <v>2020</v>
      </c>
      <c r="I235" s="43" t="s">
        <v>1292</v>
      </c>
      <c r="J235" s="43" t="s">
        <v>74</v>
      </c>
      <c r="K235" s="30" t="s">
        <v>1775</v>
      </c>
      <c r="L235" s="35"/>
      <c r="M235" s="31" t="s">
        <v>1776</v>
      </c>
      <c r="N235" s="32" t="s">
        <v>1777</v>
      </c>
      <c r="O235" s="28" t="s">
        <v>100</v>
      </c>
      <c r="P235" s="56" t="s">
        <v>1778</v>
      </c>
      <c r="Q235" s="57" t="n">
        <v>1000</v>
      </c>
      <c r="R235" s="139" t="s">
        <v>405</v>
      </c>
      <c r="S235" s="57" t="n">
        <v>4230</v>
      </c>
      <c r="T235" s="69" t="n">
        <v>5</v>
      </c>
      <c r="U235" s="155" t="n">
        <v>457128.22</v>
      </c>
      <c r="V235" s="60" t="n">
        <v>24.4431</v>
      </c>
      <c r="W235" s="146" t="n">
        <f aca="false">4172824.18600955/32</f>
        <v>130400.755812798</v>
      </c>
      <c r="X235" s="112" t="n">
        <f aca="false">U235/V235</f>
        <v>18701.7285041586</v>
      </c>
      <c r="Y235" s="156" t="n">
        <f aca="false">241502.28/V235/32</f>
        <v>308.755691790321</v>
      </c>
      <c r="Z235" s="28" t="n">
        <v>5.8</v>
      </c>
      <c r="AA235" s="62" t="s">
        <v>80</v>
      </c>
      <c r="AB235" s="38" t="n">
        <v>43880</v>
      </c>
      <c r="AC235" s="38" t="n">
        <v>44003</v>
      </c>
      <c r="AD235" s="38" t="n">
        <v>44006</v>
      </c>
      <c r="AE235" s="50" t="n">
        <v>45831</v>
      </c>
      <c r="AF235" s="28" t="n">
        <f aca="false">YEAR(AE235)</f>
        <v>2025</v>
      </c>
      <c r="AG235" s="63" t="n">
        <f aca="false">X235/SUMIF($Z$2:$Z$380,Z235,$X$2:$X$380)*(VLOOKUP(Z235,'затраты по департаментам-2 '!$A$2:$C$182,2,FALSE())+VLOOKUP(Z235,'затраты по департаментам-2 '!$A$2:$C$182,3,FALSE()))</f>
        <v>11290.763125</v>
      </c>
      <c r="AH235" s="146" t="n">
        <f aca="false">W235/60</f>
        <v>2173.34593021331</v>
      </c>
      <c r="AI235" s="64" t="s">
        <v>81</v>
      </c>
      <c r="AJ235" s="63" t="s">
        <v>100</v>
      </c>
      <c r="AK235" s="43" t="n">
        <v>126916</v>
      </c>
      <c r="AL235" s="43"/>
      <c r="AM235" s="74" t="s">
        <v>1779</v>
      </c>
      <c r="AN235" s="152" t="s">
        <v>1780</v>
      </c>
      <c r="AO235" s="65" t="n">
        <v>44714</v>
      </c>
      <c r="AP235" s="43" t="s">
        <v>1781</v>
      </c>
      <c r="AQ235" s="66" t="s">
        <v>1782</v>
      </c>
      <c r="AR235" s="64"/>
    </row>
    <row r="236" customFormat="false" ht="14.25" hidden="false" customHeight="false" outlineLevel="0" collapsed="false">
      <c r="A236" s="26" t="n">
        <v>235</v>
      </c>
      <c r="B236" s="43" t="s">
        <v>1783</v>
      </c>
      <c r="C236" s="43" t="s">
        <v>1291</v>
      </c>
      <c r="D236" s="28" t="s">
        <v>73</v>
      </c>
      <c r="E236" s="2" t="n">
        <v>5.3</v>
      </c>
      <c r="F236" s="43" t="n">
        <v>1.5</v>
      </c>
      <c r="G236" s="43" t="n">
        <v>113</v>
      </c>
      <c r="H236" s="43" t="n">
        <v>2020</v>
      </c>
      <c r="I236" s="43" t="s">
        <v>1292</v>
      </c>
      <c r="J236" s="43" t="s">
        <v>74</v>
      </c>
      <c r="K236" s="30" t="s">
        <v>1784</v>
      </c>
      <c r="L236" s="35"/>
      <c r="M236" s="31" t="s">
        <v>1785</v>
      </c>
      <c r="N236" s="32" t="s">
        <v>1717</v>
      </c>
      <c r="O236" s="28" t="s">
        <v>689</v>
      </c>
      <c r="P236" s="56" t="s">
        <v>91</v>
      </c>
      <c r="Q236" s="138" t="n">
        <v>7070</v>
      </c>
      <c r="R236" s="97" t="s">
        <v>171</v>
      </c>
      <c r="S236" s="69" t="n">
        <v>4138</v>
      </c>
      <c r="T236" s="35" t="s">
        <v>123</v>
      </c>
      <c r="U236" s="155" t="n">
        <v>457128.22</v>
      </c>
      <c r="V236" s="60" t="n">
        <v>24.4431</v>
      </c>
      <c r="W236" s="146" t="n">
        <f aca="false">4172824.18600955/32</f>
        <v>130400.755812798</v>
      </c>
      <c r="X236" s="112" t="n">
        <f aca="false">U236/V236</f>
        <v>18701.7285041586</v>
      </c>
      <c r="Y236" s="156" t="n">
        <f aca="false">241502.28/V236/32</f>
        <v>308.755691790321</v>
      </c>
      <c r="Z236" s="28" t="n">
        <v>5.8</v>
      </c>
      <c r="AA236" s="62" t="s">
        <v>80</v>
      </c>
      <c r="AB236" s="38" t="n">
        <v>43880</v>
      </c>
      <c r="AC236" s="38" t="n">
        <v>44003</v>
      </c>
      <c r="AD236" s="38" t="n">
        <v>44012</v>
      </c>
      <c r="AE236" s="50" t="n">
        <v>45837</v>
      </c>
      <c r="AF236" s="28" t="n">
        <f aca="false">YEAR(AE236)</f>
        <v>2025</v>
      </c>
      <c r="AG236" s="63" t="n">
        <f aca="false">X236/SUMIF($Z$2:$Z$380,Z236,$X$2:$X$380)*(VLOOKUP(Z236,'затраты по департаментам-2 '!$A$2:$C$182,2,FALSE())+VLOOKUP(Z236,'затраты по департаментам-2 '!$A$2:$C$182,3,FALSE()))</f>
        <v>11290.763125</v>
      </c>
      <c r="AH236" s="146" t="n">
        <f aca="false">W236/60</f>
        <v>2173.34593021331</v>
      </c>
      <c r="AI236" s="64" t="s">
        <v>81</v>
      </c>
      <c r="AJ236" s="63" t="s">
        <v>82</v>
      </c>
      <c r="AK236" s="43" t="n">
        <v>126676</v>
      </c>
      <c r="AL236" s="43"/>
      <c r="AM236" s="78" t="s">
        <v>1786</v>
      </c>
      <c r="AN236" s="152" t="s">
        <v>1787</v>
      </c>
      <c r="AO236" s="65" t="n">
        <v>44359</v>
      </c>
      <c r="AP236" s="43" t="s">
        <v>1788</v>
      </c>
      <c r="AQ236" s="66" t="s">
        <v>1789</v>
      </c>
      <c r="AR236" s="64"/>
    </row>
    <row r="237" customFormat="false" ht="14.25" hidden="false" customHeight="false" outlineLevel="0" collapsed="false">
      <c r="A237" s="26" t="n">
        <v>236</v>
      </c>
      <c r="B237" s="43" t="s">
        <v>1790</v>
      </c>
      <c r="C237" s="43" t="s">
        <v>1291</v>
      </c>
      <c r="D237" s="28" t="s">
        <v>73</v>
      </c>
      <c r="E237" s="2" t="n">
        <v>5.3</v>
      </c>
      <c r="F237" s="43" t="n">
        <v>1.5</v>
      </c>
      <c r="G237" s="43" t="n">
        <v>113</v>
      </c>
      <c r="H237" s="43" t="n">
        <v>2020</v>
      </c>
      <c r="I237" s="43" t="s">
        <v>1292</v>
      </c>
      <c r="J237" s="43" t="s">
        <v>74</v>
      </c>
      <c r="K237" s="30" t="s">
        <v>1791</v>
      </c>
      <c r="L237" s="35"/>
      <c r="M237" s="31" t="s">
        <v>1792</v>
      </c>
      <c r="N237" s="84" t="s">
        <v>438</v>
      </c>
      <c r="O237" s="57" t="s">
        <v>142</v>
      </c>
      <c r="P237" s="56" t="s">
        <v>1030</v>
      </c>
      <c r="Q237" s="87" t="n">
        <v>1000</v>
      </c>
      <c r="R237" s="58" t="s">
        <v>189</v>
      </c>
      <c r="S237" s="69" t="n">
        <v>4176</v>
      </c>
      <c r="T237" s="35" t="s">
        <v>123</v>
      </c>
      <c r="U237" s="155" t="n">
        <v>457128.22</v>
      </c>
      <c r="V237" s="60" t="n">
        <v>24.4431</v>
      </c>
      <c r="W237" s="146" t="n">
        <f aca="false">4172824.18600955/32</f>
        <v>130400.755812798</v>
      </c>
      <c r="X237" s="112" t="n">
        <f aca="false">U237/V237</f>
        <v>18701.7285041586</v>
      </c>
      <c r="Y237" s="156" t="n">
        <f aca="false">241502.28/V237/32</f>
        <v>308.755691790321</v>
      </c>
      <c r="Z237" s="28" t="n">
        <v>5.8</v>
      </c>
      <c r="AA237" s="62" t="s">
        <v>80</v>
      </c>
      <c r="AB237" s="38" t="n">
        <v>43880</v>
      </c>
      <c r="AC237" s="38" t="n">
        <v>44003</v>
      </c>
      <c r="AD237" s="38" t="n">
        <v>44012</v>
      </c>
      <c r="AE237" s="50" t="n">
        <v>45837</v>
      </c>
      <c r="AF237" s="28" t="n">
        <f aca="false">YEAR(AE237)</f>
        <v>2025</v>
      </c>
      <c r="AG237" s="63" t="n">
        <f aca="false">X237/SUMIF($Z$2:$Z$380,Z237,$X$2:$X$380)*(VLOOKUP(Z237,'затраты по департаментам-2 '!$A$2:$C$182,2,FALSE())+VLOOKUP(Z237,'затраты по департаментам-2 '!$A$2:$C$182,3,FALSE()))</f>
        <v>11290.763125</v>
      </c>
      <c r="AH237" s="146" t="n">
        <f aca="false">W237/60</f>
        <v>2173.34593021331</v>
      </c>
      <c r="AI237" s="64" t="s">
        <v>81</v>
      </c>
      <c r="AJ237" s="63" t="s">
        <v>142</v>
      </c>
      <c r="AK237" s="43" t="n">
        <v>123087</v>
      </c>
      <c r="AL237" s="43"/>
      <c r="AM237" s="74" t="s">
        <v>1793</v>
      </c>
      <c r="AN237" s="152" t="s">
        <v>1794</v>
      </c>
      <c r="AO237" s="65" t="n">
        <v>44722</v>
      </c>
      <c r="AP237" s="43" t="s">
        <v>1795</v>
      </c>
      <c r="AQ237" s="66" t="s">
        <v>1796</v>
      </c>
      <c r="AR237" s="64"/>
    </row>
    <row r="238" customFormat="false" ht="14.25" hidden="false" customHeight="false" outlineLevel="0" collapsed="false">
      <c r="A238" s="26" t="n">
        <v>237</v>
      </c>
      <c r="B238" s="43" t="s">
        <v>1797</v>
      </c>
      <c r="C238" s="43" t="s">
        <v>1291</v>
      </c>
      <c r="D238" s="28" t="s">
        <v>73</v>
      </c>
      <c r="E238" s="2" t="n">
        <v>5.3</v>
      </c>
      <c r="F238" s="43" t="n">
        <v>1.5</v>
      </c>
      <c r="G238" s="43" t="n">
        <v>113</v>
      </c>
      <c r="H238" s="43" t="n">
        <v>2020</v>
      </c>
      <c r="I238" s="43" t="s">
        <v>1292</v>
      </c>
      <c r="J238" s="43" t="s">
        <v>74</v>
      </c>
      <c r="K238" s="30" t="s">
        <v>1798</v>
      </c>
      <c r="L238" s="35"/>
      <c r="M238" s="31" t="s">
        <v>1799</v>
      </c>
      <c r="N238" s="32" t="s">
        <v>1717</v>
      </c>
      <c r="O238" s="28" t="s">
        <v>197</v>
      </c>
      <c r="P238" s="56" t="s">
        <v>198</v>
      </c>
      <c r="Q238" s="87" t="n">
        <v>7042</v>
      </c>
      <c r="R238" s="58" t="s">
        <v>171</v>
      </c>
      <c r="S238" s="69" t="n">
        <v>4134</v>
      </c>
      <c r="T238" s="35" t="s">
        <v>123</v>
      </c>
      <c r="U238" s="155" t="n">
        <v>457128.22</v>
      </c>
      <c r="V238" s="60" t="n">
        <v>24.4431</v>
      </c>
      <c r="W238" s="146" t="n">
        <f aca="false">4172824.18600955/32</f>
        <v>130400.755812798</v>
      </c>
      <c r="X238" s="112" t="n">
        <f aca="false">U238/V238</f>
        <v>18701.7285041586</v>
      </c>
      <c r="Y238" s="156" t="n">
        <f aca="false">241502.28/V238/32</f>
        <v>308.755691790321</v>
      </c>
      <c r="Z238" s="28" t="n">
        <v>5.8</v>
      </c>
      <c r="AA238" s="62" t="s">
        <v>80</v>
      </c>
      <c r="AB238" s="38" t="n">
        <v>43880</v>
      </c>
      <c r="AC238" s="38" t="n">
        <v>44003</v>
      </c>
      <c r="AD238" s="38" t="n">
        <v>44012</v>
      </c>
      <c r="AE238" s="50" t="n">
        <v>45837</v>
      </c>
      <c r="AF238" s="28" t="n">
        <f aca="false">YEAR(AE238)</f>
        <v>2025</v>
      </c>
      <c r="AG238" s="63" t="n">
        <f aca="false">X238/SUMIF($Z$2:$Z$380,Z238,$X$2:$X$380)*(VLOOKUP(Z238,'затраты по департаментам-2 '!$A$2:$C$182,2,FALSE())+VLOOKUP(Z238,'затраты по департаментам-2 '!$A$2:$C$182,3,FALSE()))</f>
        <v>11290.763125</v>
      </c>
      <c r="AH238" s="146" t="n">
        <f aca="false">W238/60</f>
        <v>2173.34593021331</v>
      </c>
      <c r="AI238" s="64" t="s">
        <v>81</v>
      </c>
      <c r="AJ238" s="63" t="s">
        <v>197</v>
      </c>
      <c r="AK238" s="43" t="n">
        <v>126692</v>
      </c>
      <c r="AL238" s="43"/>
      <c r="AM238" s="74" t="s">
        <v>1800</v>
      </c>
      <c r="AN238" s="152" t="s">
        <v>1801</v>
      </c>
      <c r="AO238" s="65" t="n">
        <v>44789</v>
      </c>
      <c r="AP238" s="43" t="s">
        <v>1802</v>
      </c>
      <c r="AQ238" s="173" t="s">
        <v>1803</v>
      </c>
      <c r="AR238" s="64"/>
    </row>
    <row r="239" customFormat="false" ht="14.25" hidden="false" customHeight="false" outlineLevel="0" collapsed="false">
      <c r="A239" s="26" t="n">
        <v>238</v>
      </c>
      <c r="B239" s="43" t="s">
        <v>1804</v>
      </c>
      <c r="C239" s="43" t="s">
        <v>1291</v>
      </c>
      <c r="D239" s="28" t="s">
        <v>73</v>
      </c>
      <c r="E239" s="2" t="n">
        <v>5.3</v>
      </c>
      <c r="F239" s="43" t="n">
        <v>1.5</v>
      </c>
      <c r="G239" s="43" t="n">
        <v>113</v>
      </c>
      <c r="H239" s="43" t="n">
        <v>2020</v>
      </c>
      <c r="I239" s="43" t="s">
        <v>1292</v>
      </c>
      <c r="J239" s="43" t="s">
        <v>74</v>
      </c>
      <c r="K239" s="30" t="s">
        <v>1805</v>
      </c>
      <c r="L239" s="35"/>
      <c r="M239" s="31" t="s">
        <v>1806</v>
      </c>
      <c r="N239" s="56" t="s">
        <v>1747</v>
      </c>
      <c r="O239" s="57" t="s">
        <v>928</v>
      </c>
      <c r="P239" s="56" t="s">
        <v>91</v>
      </c>
      <c r="Q239" s="87" t="n">
        <v>1000</v>
      </c>
      <c r="R239" s="58" t="s">
        <v>171</v>
      </c>
      <c r="S239" s="69" t="n">
        <v>4138</v>
      </c>
      <c r="T239" s="35" t="s">
        <v>123</v>
      </c>
      <c r="U239" s="155" t="n">
        <v>457128.22</v>
      </c>
      <c r="V239" s="60" t="n">
        <v>24.4431</v>
      </c>
      <c r="W239" s="146" t="n">
        <f aca="false">4172824.18600955/32</f>
        <v>130400.755812798</v>
      </c>
      <c r="X239" s="112" t="n">
        <f aca="false">U239/V239</f>
        <v>18701.7285041586</v>
      </c>
      <c r="Y239" s="156" t="n">
        <f aca="false">241502.28/V239/32</f>
        <v>308.755691790321</v>
      </c>
      <c r="Z239" s="28" t="n">
        <v>5.8</v>
      </c>
      <c r="AA239" s="62" t="s">
        <v>80</v>
      </c>
      <c r="AB239" s="38" t="n">
        <v>43880</v>
      </c>
      <c r="AC239" s="38" t="n">
        <v>44003</v>
      </c>
      <c r="AD239" s="38" t="n">
        <v>44012</v>
      </c>
      <c r="AE239" s="50" t="n">
        <v>45837</v>
      </c>
      <c r="AF239" s="28" t="n">
        <f aca="false">YEAR(AE239)</f>
        <v>2025</v>
      </c>
      <c r="AG239" s="63" t="n">
        <f aca="false">X239/SUMIF($Z$2:$Z$380,Z239,$X$2:$X$380)*(VLOOKUP(Z239,'затраты по департаментам-2 '!$A$2:$C$182,2,FALSE())+VLOOKUP(Z239,'затраты по департаментам-2 '!$A$2:$C$182,3,FALSE()))</f>
        <v>11290.763125</v>
      </c>
      <c r="AH239" s="146" t="n">
        <f aca="false">W239/60</f>
        <v>2173.34593021331</v>
      </c>
      <c r="AI239" s="64" t="s">
        <v>81</v>
      </c>
      <c r="AJ239" s="63" t="s">
        <v>82</v>
      </c>
      <c r="AK239" s="43" t="n">
        <v>128797</v>
      </c>
      <c r="AL239" s="43"/>
      <c r="AM239" s="74" t="s">
        <v>1807</v>
      </c>
      <c r="AN239" s="152" t="s">
        <v>1808</v>
      </c>
      <c r="AO239" s="65" t="n">
        <v>44783</v>
      </c>
      <c r="AP239" s="43" t="s">
        <v>1809</v>
      </c>
      <c r="AQ239" s="66" t="s">
        <v>1810</v>
      </c>
      <c r="AR239" s="64"/>
    </row>
    <row r="240" customFormat="false" ht="14.25" hidden="false" customHeight="false" outlineLevel="0" collapsed="false">
      <c r="A240" s="26" t="n">
        <v>239</v>
      </c>
      <c r="B240" s="43" t="s">
        <v>1811</v>
      </c>
      <c r="C240" s="43" t="s">
        <v>1291</v>
      </c>
      <c r="D240" s="28" t="s">
        <v>73</v>
      </c>
      <c r="E240" s="2" t="n">
        <v>5.3</v>
      </c>
      <c r="F240" s="43" t="n">
        <v>1.5</v>
      </c>
      <c r="G240" s="43" t="n">
        <v>113</v>
      </c>
      <c r="H240" s="43" t="n">
        <v>2020</v>
      </c>
      <c r="I240" s="43" t="s">
        <v>1292</v>
      </c>
      <c r="J240" s="43" t="s">
        <v>74</v>
      </c>
      <c r="K240" s="30" t="s">
        <v>1812</v>
      </c>
      <c r="L240" s="35"/>
      <c r="M240" s="31" t="s">
        <v>1813</v>
      </c>
      <c r="N240" s="32" t="s">
        <v>1709</v>
      </c>
      <c r="O240" s="28" t="s">
        <v>60</v>
      </c>
      <c r="P240" s="174" t="s">
        <v>91</v>
      </c>
      <c r="Q240" s="87" t="n">
        <v>1000</v>
      </c>
      <c r="R240" s="58" t="s">
        <v>92</v>
      </c>
      <c r="S240" s="69" t="n">
        <v>4148</v>
      </c>
      <c r="T240" s="35" t="s">
        <v>123</v>
      </c>
      <c r="U240" s="155" t="n">
        <v>457128.22</v>
      </c>
      <c r="V240" s="60" t="n">
        <v>24.4431</v>
      </c>
      <c r="W240" s="146" t="n">
        <f aca="false">4172824.18600955/32</f>
        <v>130400.755812798</v>
      </c>
      <c r="X240" s="112" t="n">
        <f aca="false">U240/V240</f>
        <v>18701.7285041586</v>
      </c>
      <c r="Y240" s="156" t="n">
        <f aca="false">241502.28/V240/32</f>
        <v>308.755691790321</v>
      </c>
      <c r="Z240" s="28" t="n">
        <v>5.8</v>
      </c>
      <c r="AA240" s="62" t="s">
        <v>80</v>
      </c>
      <c r="AB240" s="38" t="n">
        <v>43880</v>
      </c>
      <c r="AC240" s="38" t="n">
        <v>44003</v>
      </c>
      <c r="AD240" s="38" t="n">
        <v>44012</v>
      </c>
      <c r="AE240" s="50" t="n">
        <v>45837</v>
      </c>
      <c r="AF240" s="28" t="n">
        <f aca="false">YEAR(AE240)</f>
        <v>2025</v>
      </c>
      <c r="AG240" s="63" t="n">
        <f aca="false">X240/SUMIF($Z$2:$Z$380,Z240,$X$2:$X$380)*(VLOOKUP(Z240,'затраты по департаментам-2 '!$A$2:$C$182,2,FALSE())+VLOOKUP(Z240,'затраты по департаментам-2 '!$A$2:$C$182,3,FALSE()))</f>
        <v>11290.763125</v>
      </c>
      <c r="AH240" s="146" t="n">
        <f aca="false">W240/60</f>
        <v>2173.34593021331</v>
      </c>
      <c r="AI240" s="64" t="s">
        <v>81</v>
      </c>
      <c r="AJ240" s="63" t="s">
        <v>82</v>
      </c>
      <c r="AK240" s="43" t="n">
        <v>127377</v>
      </c>
      <c r="AL240" s="43"/>
      <c r="AM240" s="74" t="s">
        <v>1814</v>
      </c>
      <c r="AN240" s="152" t="s">
        <v>1815</v>
      </c>
      <c r="AO240" s="65" t="n">
        <v>44778</v>
      </c>
      <c r="AP240" s="43" t="s">
        <v>1816</v>
      </c>
      <c r="AQ240" s="66" t="s">
        <v>1817</v>
      </c>
      <c r="AR240" s="64"/>
    </row>
    <row r="241" customFormat="false" ht="14.25" hidden="false" customHeight="false" outlineLevel="0" collapsed="false">
      <c r="A241" s="26" t="n">
        <v>240</v>
      </c>
      <c r="B241" s="43" t="s">
        <v>1818</v>
      </c>
      <c r="C241" s="43" t="s">
        <v>1291</v>
      </c>
      <c r="D241" s="28" t="s">
        <v>73</v>
      </c>
      <c r="E241" s="2" t="n">
        <v>5.3</v>
      </c>
      <c r="F241" s="43" t="n">
        <v>1.5</v>
      </c>
      <c r="G241" s="43" t="n">
        <v>113</v>
      </c>
      <c r="H241" s="43" t="n">
        <v>2020</v>
      </c>
      <c r="I241" s="43" t="s">
        <v>1292</v>
      </c>
      <c r="J241" s="43" t="s">
        <v>74</v>
      </c>
      <c r="K241" s="30" t="s">
        <v>1819</v>
      </c>
      <c r="L241" s="69"/>
      <c r="M241" s="31" t="s">
        <v>1820</v>
      </c>
      <c r="N241" s="32" t="s">
        <v>1717</v>
      </c>
      <c r="O241" s="28" t="s">
        <v>60</v>
      </c>
      <c r="P241" s="56" t="s">
        <v>91</v>
      </c>
      <c r="Q241" s="103" t="n">
        <v>7081</v>
      </c>
      <c r="R241" s="58" t="s">
        <v>171</v>
      </c>
      <c r="S241" s="69" t="n">
        <v>4138</v>
      </c>
      <c r="T241" s="35" t="s">
        <v>123</v>
      </c>
      <c r="U241" s="155" t="n">
        <v>457128.22</v>
      </c>
      <c r="V241" s="60" t="n">
        <v>24.4431</v>
      </c>
      <c r="W241" s="146" t="n">
        <f aca="false">4172824.18600955/32</f>
        <v>130400.755812798</v>
      </c>
      <c r="X241" s="112" t="n">
        <f aca="false">U241/V241</f>
        <v>18701.7285041586</v>
      </c>
      <c r="Y241" s="156" t="n">
        <f aca="false">241502.28/V241/32</f>
        <v>308.755691790321</v>
      </c>
      <c r="Z241" s="28" t="n">
        <v>5.8</v>
      </c>
      <c r="AA241" s="62" t="s">
        <v>80</v>
      </c>
      <c r="AB241" s="38" t="n">
        <v>43880</v>
      </c>
      <c r="AC241" s="38" t="n">
        <v>44003</v>
      </c>
      <c r="AD241" s="38" t="n">
        <v>44006</v>
      </c>
      <c r="AE241" s="50" t="n">
        <v>45831</v>
      </c>
      <c r="AF241" s="28" t="n">
        <f aca="false">YEAR(AE241)</f>
        <v>2025</v>
      </c>
      <c r="AG241" s="63" t="n">
        <f aca="false">X241/SUMIF($Z$2:$Z$380,Z241,$X$2:$X$380)*(VLOOKUP(Z241,'затраты по департаментам-2 '!$A$2:$C$182,2,FALSE())+VLOOKUP(Z241,'затраты по департаментам-2 '!$A$2:$C$182,3,FALSE()))</f>
        <v>11290.763125</v>
      </c>
      <c r="AH241" s="146" t="n">
        <f aca="false">W241/60</f>
        <v>2173.34593021331</v>
      </c>
      <c r="AI241" s="64" t="s">
        <v>81</v>
      </c>
      <c r="AJ241" s="63" t="s">
        <v>82</v>
      </c>
      <c r="AK241" s="43" t="n">
        <v>132963</v>
      </c>
      <c r="AL241" s="43"/>
      <c r="AM241" s="78" t="s">
        <v>1821</v>
      </c>
      <c r="AN241" s="152" t="s">
        <v>1822</v>
      </c>
      <c r="AO241" s="65" t="n">
        <v>44359</v>
      </c>
      <c r="AP241" s="43" t="s">
        <v>1823</v>
      </c>
      <c r="AQ241" s="66" t="s">
        <v>1824</v>
      </c>
      <c r="AR241" s="64"/>
    </row>
    <row r="242" customFormat="false" ht="14.25" hidden="false" customHeight="false" outlineLevel="0" collapsed="false">
      <c r="A242" s="26" t="n">
        <v>241</v>
      </c>
      <c r="B242" s="43" t="s">
        <v>1825</v>
      </c>
      <c r="C242" s="43" t="s">
        <v>1291</v>
      </c>
      <c r="D242" s="28" t="s">
        <v>73</v>
      </c>
      <c r="E242" s="2" t="n">
        <v>5.3</v>
      </c>
      <c r="F242" s="43" t="n">
        <v>1.5</v>
      </c>
      <c r="G242" s="43" t="n">
        <v>113</v>
      </c>
      <c r="H242" s="43" t="n">
        <v>2020</v>
      </c>
      <c r="I242" s="43" t="s">
        <v>1292</v>
      </c>
      <c r="J242" s="43" t="s">
        <v>74</v>
      </c>
      <c r="K242" s="30" t="s">
        <v>1826</v>
      </c>
      <c r="L242" s="35"/>
      <c r="M242" s="31" t="s">
        <v>1827</v>
      </c>
      <c r="N242" s="32" t="s">
        <v>1717</v>
      </c>
      <c r="O242" s="28" t="s">
        <v>373</v>
      </c>
      <c r="P242" s="56" t="s">
        <v>198</v>
      </c>
      <c r="Q242" s="87" t="n">
        <v>7032</v>
      </c>
      <c r="R242" s="58" t="s">
        <v>171</v>
      </c>
      <c r="S242" s="69" t="n">
        <v>4134</v>
      </c>
      <c r="T242" s="35" t="s">
        <v>123</v>
      </c>
      <c r="U242" s="155" t="n">
        <v>457128.22</v>
      </c>
      <c r="V242" s="60" t="n">
        <v>24.4431</v>
      </c>
      <c r="W242" s="146" t="n">
        <f aca="false">4172824.18600955/32</f>
        <v>130400.755812798</v>
      </c>
      <c r="X242" s="112" t="n">
        <f aca="false">U242/V242</f>
        <v>18701.7285041586</v>
      </c>
      <c r="Y242" s="156" t="n">
        <f aca="false">241502.28/V242/32</f>
        <v>308.755691790321</v>
      </c>
      <c r="Z242" s="28" t="n">
        <v>5.8</v>
      </c>
      <c r="AA242" s="62" t="s">
        <v>80</v>
      </c>
      <c r="AB242" s="38" t="n">
        <v>43880</v>
      </c>
      <c r="AC242" s="38" t="n">
        <v>44003</v>
      </c>
      <c r="AD242" s="38" t="n">
        <v>44004</v>
      </c>
      <c r="AE242" s="50" t="n">
        <v>45829</v>
      </c>
      <c r="AF242" s="28" t="n">
        <f aca="false">YEAR(AE242)</f>
        <v>2025</v>
      </c>
      <c r="AG242" s="63" t="n">
        <f aca="false">X242/SUMIF($Z$2:$Z$380,Z242,$X$2:$X$380)*(VLOOKUP(Z242,'затраты по департаментам-2 '!$A$2:$C$182,2,FALSE())+VLOOKUP(Z242,'затраты по департаментам-2 '!$A$2:$C$182,3,FALSE()))</f>
        <v>11290.763125</v>
      </c>
      <c r="AH242" s="146" t="n">
        <f aca="false">W242/60</f>
        <v>2173.34593021331</v>
      </c>
      <c r="AI242" s="64" t="s">
        <v>81</v>
      </c>
      <c r="AJ242" s="63" t="s">
        <v>197</v>
      </c>
      <c r="AK242" s="43" t="n">
        <v>921849</v>
      </c>
      <c r="AL242" s="43"/>
      <c r="AM242" s="78" t="s">
        <v>1828</v>
      </c>
      <c r="AN242" s="152" t="s">
        <v>1829</v>
      </c>
      <c r="AO242" s="65" t="n">
        <v>44755</v>
      </c>
      <c r="AP242" s="43" t="s">
        <v>1830</v>
      </c>
      <c r="AQ242" s="66" t="s">
        <v>1831</v>
      </c>
      <c r="AR242" s="64"/>
    </row>
    <row r="243" customFormat="false" ht="14.25" hidden="false" customHeight="false" outlineLevel="0" collapsed="false">
      <c r="A243" s="26" t="n">
        <v>242</v>
      </c>
      <c r="B243" s="43" t="s">
        <v>1832</v>
      </c>
      <c r="C243" s="43" t="s">
        <v>1291</v>
      </c>
      <c r="D243" s="28" t="s">
        <v>73</v>
      </c>
      <c r="E243" s="2" t="n">
        <v>5.3</v>
      </c>
      <c r="F243" s="43" t="n">
        <v>1.5</v>
      </c>
      <c r="G243" s="43" t="n">
        <v>113</v>
      </c>
      <c r="H243" s="43" t="n">
        <v>2020</v>
      </c>
      <c r="I243" s="43" t="s">
        <v>1292</v>
      </c>
      <c r="J243" s="43" t="s">
        <v>74</v>
      </c>
      <c r="K243" s="30" t="s">
        <v>1833</v>
      </c>
      <c r="L243" s="69"/>
      <c r="M243" s="31" t="s">
        <v>1834</v>
      </c>
      <c r="N243" s="32" t="s">
        <v>1700</v>
      </c>
      <c r="O243" s="57" t="s">
        <v>100</v>
      </c>
      <c r="P243" s="175" t="s">
        <v>977</v>
      </c>
      <c r="Q243" s="87" t="n">
        <v>1000</v>
      </c>
      <c r="R243" s="139" t="s">
        <v>405</v>
      </c>
      <c r="S243" s="69" t="n">
        <v>3480</v>
      </c>
      <c r="T243" s="69" t="n">
        <v>5</v>
      </c>
      <c r="U243" s="155" t="n">
        <v>457128.22</v>
      </c>
      <c r="V243" s="60" t="n">
        <v>24.4431</v>
      </c>
      <c r="W243" s="146" t="n">
        <f aca="false">4172824.18600955/32</f>
        <v>130400.755812798</v>
      </c>
      <c r="X243" s="112" t="n">
        <f aca="false">U243/V243</f>
        <v>18701.7285041586</v>
      </c>
      <c r="Y243" s="156" t="n">
        <f aca="false">241502.28/V243/32</f>
        <v>308.755691790321</v>
      </c>
      <c r="Z243" s="28" t="n">
        <v>5.8</v>
      </c>
      <c r="AA243" s="62" t="s">
        <v>80</v>
      </c>
      <c r="AB243" s="38" t="n">
        <v>43880</v>
      </c>
      <c r="AC243" s="38" t="n">
        <v>44003</v>
      </c>
      <c r="AD243" s="38" t="n">
        <v>44006</v>
      </c>
      <c r="AE243" s="50" t="n">
        <v>45831</v>
      </c>
      <c r="AF243" s="28" t="n">
        <f aca="false">YEAR(AE243)</f>
        <v>2025</v>
      </c>
      <c r="AG243" s="63" t="n">
        <f aca="false">X243/SUMIF($Z$2:$Z$380,Z243,$X$2:$X$380)*(VLOOKUP(Z243,'затраты по департаментам-2 '!$A$2:$C$182,2,FALSE())+VLOOKUP(Z243,'затраты по департаментам-2 '!$A$2:$C$182,3,FALSE()))</f>
        <v>11290.763125</v>
      </c>
      <c r="AH243" s="146" t="n">
        <f aca="false">W243/60</f>
        <v>2173.34593021331</v>
      </c>
      <c r="AI243" s="64" t="s">
        <v>81</v>
      </c>
      <c r="AJ243" s="63" t="s">
        <v>100</v>
      </c>
      <c r="AK243" s="43" t="n">
        <v>133052</v>
      </c>
      <c r="AL243" s="43"/>
      <c r="AM243" s="74" t="s">
        <v>1835</v>
      </c>
      <c r="AN243" s="152" t="s">
        <v>1836</v>
      </c>
      <c r="AO243" s="65" t="n">
        <v>44728</v>
      </c>
      <c r="AP243" s="43" t="s">
        <v>1837</v>
      </c>
      <c r="AQ243" s="66" t="s">
        <v>1838</v>
      </c>
      <c r="AR243" s="64"/>
    </row>
    <row r="244" customFormat="false" ht="14.25" hidden="false" customHeight="false" outlineLevel="0" collapsed="false">
      <c r="A244" s="26" t="n">
        <v>243</v>
      </c>
      <c r="B244" s="43" t="s">
        <v>1839</v>
      </c>
      <c r="C244" s="43" t="s">
        <v>1291</v>
      </c>
      <c r="D244" s="28" t="s">
        <v>73</v>
      </c>
      <c r="E244" s="2" t="n">
        <v>5.3</v>
      </c>
      <c r="F244" s="43" t="n">
        <v>1.5</v>
      </c>
      <c r="G244" s="43" t="n">
        <v>113</v>
      </c>
      <c r="H244" s="43" t="n">
        <v>2020</v>
      </c>
      <c r="I244" s="43" t="s">
        <v>1292</v>
      </c>
      <c r="J244" s="43" t="s">
        <v>74</v>
      </c>
      <c r="K244" s="30" t="s">
        <v>1840</v>
      </c>
      <c r="L244" s="35"/>
      <c r="M244" s="31" t="s">
        <v>1841</v>
      </c>
      <c r="N244" s="32" t="s">
        <v>412</v>
      </c>
      <c r="O244" s="28" t="s">
        <v>100</v>
      </c>
      <c r="P244" s="48" t="s">
        <v>228</v>
      </c>
      <c r="Q244" s="57" t="n">
        <v>1000</v>
      </c>
      <c r="R244" s="58" t="s">
        <v>189</v>
      </c>
      <c r="S244" s="69" t="n">
        <v>4173</v>
      </c>
      <c r="T244" s="35" t="s">
        <v>123</v>
      </c>
      <c r="U244" s="155" t="n">
        <v>457128.22</v>
      </c>
      <c r="V244" s="60" t="n">
        <v>24.4431</v>
      </c>
      <c r="W244" s="146" t="n">
        <f aca="false">4172824.18600955/32</f>
        <v>130400.755812798</v>
      </c>
      <c r="X244" s="112" t="n">
        <f aca="false">U244/V244</f>
        <v>18701.7285041586</v>
      </c>
      <c r="Y244" s="156" t="n">
        <f aca="false">241502.28/V244/32</f>
        <v>308.755691790321</v>
      </c>
      <c r="Z244" s="28" t="n">
        <v>5.8</v>
      </c>
      <c r="AA244" s="62" t="s">
        <v>80</v>
      </c>
      <c r="AB244" s="38" t="n">
        <v>43880</v>
      </c>
      <c r="AC244" s="38" t="n">
        <v>44003</v>
      </c>
      <c r="AD244" s="38" t="n">
        <v>44004</v>
      </c>
      <c r="AE244" s="50" t="n">
        <v>45829</v>
      </c>
      <c r="AF244" s="28" t="n">
        <f aca="false">YEAR(AE244)</f>
        <v>2025</v>
      </c>
      <c r="AG244" s="63" t="n">
        <f aca="false">X244/SUMIF($Z$2:$Z$380,Z244,$X$2:$X$380)*(VLOOKUP(Z244,'затраты по департаментам-2 '!$A$2:$C$182,2,FALSE())+VLOOKUP(Z244,'затраты по департаментам-2 '!$A$2:$C$182,3,FALSE()))</f>
        <v>11290.763125</v>
      </c>
      <c r="AH244" s="146" t="n">
        <f aca="false">W244/60</f>
        <v>2173.34593021331</v>
      </c>
      <c r="AI244" s="64" t="s">
        <v>81</v>
      </c>
      <c r="AJ244" s="63" t="s">
        <v>100</v>
      </c>
      <c r="AK244" s="43" t="n">
        <v>530673</v>
      </c>
      <c r="AL244" s="43"/>
      <c r="AM244" s="74" t="s">
        <v>1842</v>
      </c>
      <c r="AN244" s="152" t="s">
        <v>1843</v>
      </c>
      <c r="AO244" s="65" t="n">
        <v>44744</v>
      </c>
      <c r="AP244" s="43" t="s">
        <v>1844</v>
      </c>
      <c r="AQ244" s="66" t="s">
        <v>1845</v>
      </c>
      <c r="AR244" s="64"/>
    </row>
    <row r="245" customFormat="false" ht="12.75" hidden="false" customHeight="false" outlineLevel="0" collapsed="false">
      <c r="A245" s="26" t="n">
        <v>244</v>
      </c>
      <c r="B245" s="43" t="s">
        <v>1846</v>
      </c>
      <c r="C245" s="43" t="s">
        <v>1291</v>
      </c>
      <c r="D245" s="28" t="s">
        <v>73</v>
      </c>
      <c r="E245" s="2" t="n">
        <v>5.3</v>
      </c>
      <c r="F245" s="43" t="n">
        <v>1.5</v>
      </c>
      <c r="G245" s="43" t="n">
        <v>113</v>
      </c>
      <c r="H245" s="43" t="n">
        <v>2020</v>
      </c>
      <c r="I245" s="43" t="s">
        <v>1292</v>
      </c>
      <c r="J245" s="43" t="s">
        <v>74</v>
      </c>
      <c r="K245" s="30" t="s">
        <v>1847</v>
      </c>
      <c r="L245" s="35"/>
      <c r="M245" s="31" t="s">
        <v>1848</v>
      </c>
      <c r="N245" s="130" t="s">
        <v>1023</v>
      </c>
      <c r="O245" s="28" t="s">
        <v>142</v>
      </c>
      <c r="P245" s="48" t="s">
        <v>143</v>
      </c>
      <c r="Q245" s="87" t="n">
        <v>1000</v>
      </c>
      <c r="R245" s="58" t="s">
        <v>122</v>
      </c>
      <c r="S245" s="69" t="n">
        <v>4196</v>
      </c>
      <c r="T245" s="35" t="s">
        <v>172</v>
      </c>
      <c r="U245" s="155" t="n">
        <v>457128.22</v>
      </c>
      <c r="V245" s="60" t="n">
        <v>24.4431</v>
      </c>
      <c r="W245" s="146" t="n">
        <f aca="false">4172824.18600955/32</f>
        <v>130400.755812798</v>
      </c>
      <c r="X245" s="112" t="n">
        <f aca="false">U245/V245</f>
        <v>18701.7285041586</v>
      </c>
      <c r="Y245" s="156" t="n">
        <f aca="false">241502.28/V245/32</f>
        <v>308.755691790321</v>
      </c>
      <c r="Z245" s="28" t="n">
        <v>5.8</v>
      </c>
      <c r="AA245" s="62" t="s">
        <v>80</v>
      </c>
      <c r="AB245" s="38" t="n">
        <v>43880</v>
      </c>
      <c r="AC245" s="38" t="n">
        <v>44003</v>
      </c>
      <c r="AD245" s="38" t="n">
        <v>44008</v>
      </c>
      <c r="AE245" s="50" t="n">
        <v>45833</v>
      </c>
      <c r="AF245" s="28" t="n">
        <f aca="false">YEAR(AE245)</f>
        <v>2025</v>
      </c>
      <c r="AG245" s="63" t="n">
        <f aca="false">X245/SUMIF($Z$2:$Z$380,Z245,$X$2:$X$380)*(VLOOKUP(Z245,'затраты по департаментам-2 '!$A$2:$C$182,2,FALSE())+VLOOKUP(Z245,'затраты по департаментам-2 '!$A$2:$C$182,3,FALSE()))</f>
        <v>11290.763125</v>
      </c>
      <c r="AH245" s="146" t="n">
        <f aca="false">W245/60</f>
        <v>2173.34593021331</v>
      </c>
      <c r="AI245" s="64" t="s">
        <v>81</v>
      </c>
      <c r="AJ245" s="63" t="s">
        <v>142</v>
      </c>
      <c r="AK245" s="43" t="n">
        <v>128904</v>
      </c>
      <c r="AL245" s="43"/>
      <c r="AM245" s="74" t="s">
        <v>1849</v>
      </c>
      <c r="AN245" s="152" t="s">
        <v>1850</v>
      </c>
      <c r="AO245" s="65" t="n">
        <v>44743</v>
      </c>
      <c r="AP245" s="43" t="s">
        <v>1851</v>
      </c>
      <c r="AQ245" s="66" t="s">
        <v>1852</v>
      </c>
      <c r="AR245" s="64"/>
    </row>
    <row r="246" customFormat="false" ht="14.25" hidden="false" customHeight="false" outlineLevel="0" collapsed="false">
      <c r="A246" s="26" t="n">
        <v>245</v>
      </c>
      <c r="B246" s="43" t="s">
        <v>1853</v>
      </c>
      <c r="C246" s="43" t="s">
        <v>1291</v>
      </c>
      <c r="D246" s="28" t="s">
        <v>73</v>
      </c>
      <c r="E246" s="2" t="n">
        <v>5.3</v>
      </c>
      <c r="F246" s="43" t="n">
        <v>1.5</v>
      </c>
      <c r="G246" s="43" t="n">
        <v>113</v>
      </c>
      <c r="H246" s="43" t="n">
        <v>2020</v>
      </c>
      <c r="I246" s="43" t="s">
        <v>1292</v>
      </c>
      <c r="J246" s="43" t="s">
        <v>74</v>
      </c>
      <c r="K246" s="30" t="s">
        <v>1854</v>
      </c>
      <c r="L246" s="35"/>
      <c r="M246" s="31" t="s">
        <v>1855</v>
      </c>
      <c r="N246" s="32" t="s">
        <v>1709</v>
      </c>
      <c r="O246" s="28" t="s">
        <v>100</v>
      </c>
      <c r="P246" s="48" t="s">
        <v>181</v>
      </c>
      <c r="Q246" s="87" t="n">
        <v>1000</v>
      </c>
      <c r="R246" s="97" t="s">
        <v>467</v>
      </c>
      <c r="S246" s="69" t="n">
        <v>4143</v>
      </c>
      <c r="T246" s="35" t="s">
        <v>123</v>
      </c>
      <c r="U246" s="155" t="n">
        <v>457128.22</v>
      </c>
      <c r="V246" s="60" t="n">
        <v>24.4431</v>
      </c>
      <c r="W246" s="146" t="n">
        <f aca="false">4172824.18600955/32</f>
        <v>130400.755812798</v>
      </c>
      <c r="X246" s="112" t="n">
        <f aca="false">U246/V246</f>
        <v>18701.7285041586</v>
      </c>
      <c r="Y246" s="156" t="n">
        <f aca="false">241502.28/V246/32</f>
        <v>308.755691790321</v>
      </c>
      <c r="Z246" s="28" t="n">
        <v>5.8</v>
      </c>
      <c r="AA246" s="62" t="s">
        <v>80</v>
      </c>
      <c r="AB246" s="38" t="n">
        <v>43880</v>
      </c>
      <c r="AC246" s="38" t="n">
        <v>44003</v>
      </c>
      <c r="AD246" s="38" t="n">
        <v>44004</v>
      </c>
      <c r="AE246" s="50" t="n">
        <v>45829</v>
      </c>
      <c r="AF246" s="28" t="n">
        <f aca="false">YEAR(AE246)</f>
        <v>2025</v>
      </c>
      <c r="AG246" s="63" t="n">
        <f aca="false">X246/SUMIF($Z$2:$Z$380,Z246,$X$2:$X$380)*(VLOOKUP(Z246,'затраты по департаментам-2 '!$A$2:$C$182,2,FALSE())+VLOOKUP(Z246,'затраты по департаментам-2 '!$A$2:$C$182,3,FALSE()))</f>
        <v>11290.763125</v>
      </c>
      <c r="AH246" s="146" t="n">
        <f aca="false">W246/60</f>
        <v>2173.34593021331</v>
      </c>
      <c r="AI246" s="64" t="s">
        <v>81</v>
      </c>
      <c r="AJ246" s="63" t="s">
        <v>100</v>
      </c>
      <c r="AK246" s="43" t="n">
        <v>127054</v>
      </c>
      <c r="AL246" s="43"/>
      <c r="AM246" s="74" t="s">
        <v>1856</v>
      </c>
      <c r="AN246" s="152" t="s">
        <v>1857</v>
      </c>
      <c r="AO246" s="65" t="n">
        <v>44799</v>
      </c>
      <c r="AP246" s="43" t="s">
        <v>1858</v>
      </c>
      <c r="AQ246" s="66" t="s">
        <v>1859</v>
      </c>
      <c r="AR246" s="64"/>
    </row>
    <row r="247" customFormat="false" ht="14.25" hidden="false" customHeight="false" outlineLevel="0" collapsed="false">
      <c r="A247" s="26" t="n">
        <v>246</v>
      </c>
      <c r="B247" s="43" t="s">
        <v>1860</v>
      </c>
      <c r="C247" s="43" t="s">
        <v>1291</v>
      </c>
      <c r="D247" s="28" t="s">
        <v>73</v>
      </c>
      <c r="E247" s="2" t="n">
        <v>5.3</v>
      </c>
      <c r="F247" s="43" t="n">
        <v>1.5</v>
      </c>
      <c r="G247" s="43" t="n">
        <v>113</v>
      </c>
      <c r="H247" s="43" t="n">
        <v>2020</v>
      </c>
      <c r="I247" s="43" t="s">
        <v>1292</v>
      </c>
      <c r="J247" s="43" t="s">
        <v>74</v>
      </c>
      <c r="K247" s="30" t="s">
        <v>1861</v>
      </c>
      <c r="L247" s="35"/>
      <c r="M247" s="31" t="s">
        <v>1862</v>
      </c>
      <c r="N247" s="32" t="s">
        <v>1717</v>
      </c>
      <c r="O247" s="28" t="s">
        <v>681</v>
      </c>
      <c r="P247" s="56" t="s">
        <v>181</v>
      </c>
      <c r="Q247" s="87" t="n">
        <v>7031</v>
      </c>
      <c r="R247" s="58" t="s">
        <v>171</v>
      </c>
      <c r="S247" s="69" t="n">
        <v>4133</v>
      </c>
      <c r="T247" s="35" t="s">
        <v>123</v>
      </c>
      <c r="U247" s="155" t="n">
        <v>457128.22</v>
      </c>
      <c r="V247" s="60" t="n">
        <v>24.4431</v>
      </c>
      <c r="W247" s="146" t="n">
        <f aca="false">4172824.18600955/32</f>
        <v>130400.755812798</v>
      </c>
      <c r="X247" s="112" t="n">
        <f aca="false">U247/V247</f>
        <v>18701.7285041586</v>
      </c>
      <c r="Y247" s="156" t="n">
        <f aca="false">241502.28/V247/32</f>
        <v>308.755691790321</v>
      </c>
      <c r="Z247" s="28" t="n">
        <v>5.8</v>
      </c>
      <c r="AA247" s="62" t="s">
        <v>80</v>
      </c>
      <c r="AB247" s="38" t="n">
        <v>43880</v>
      </c>
      <c r="AC247" s="38" t="n">
        <v>44003</v>
      </c>
      <c r="AD247" s="38" t="n">
        <v>44008</v>
      </c>
      <c r="AE247" s="50" t="n">
        <v>45833</v>
      </c>
      <c r="AF247" s="28" t="n">
        <f aca="false">YEAR(AE247)</f>
        <v>2025</v>
      </c>
      <c r="AG247" s="63" t="n">
        <f aca="false">X247/SUMIF($Z$2:$Z$380,Z247,$X$2:$X$380)*(VLOOKUP(Z247,'затраты по департаментам-2 '!$A$2:$C$182,2,FALSE())+VLOOKUP(Z247,'затраты по департаментам-2 '!$A$2:$C$182,3,FALSE()))</f>
        <v>11290.763125</v>
      </c>
      <c r="AH247" s="146" t="n">
        <f aca="false">W247/60</f>
        <v>2173.34593021331</v>
      </c>
      <c r="AI247" s="64" t="s">
        <v>81</v>
      </c>
      <c r="AJ247" s="63" t="s">
        <v>100</v>
      </c>
      <c r="AK247" s="43" t="n">
        <v>133003</v>
      </c>
      <c r="AL247" s="43"/>
      <c r="AM247" s="74" t="s">
        <v>1863</v>
      </c>
      <c r="AN247" s="152" t="s">
        <v>1864</v>
      </c>
      <c r="AO247" s="65" t="n">
        <v>44716</v>
      </c>
      <c r="AP247" s="43" t="s">
        <v>1865</v>
      </c>
      <c r="AQ247" s="66" t="s">
        <v>1866</v>
      </c>
      <c r="AR247" s="64"/>
    </row>
    <row r="248" customFormat="false" ht="12.75" hidden="false" customHeight="false" outlineLevel="0" collapsed="false">
      <c r="A248" s="26" t="n">
        <v>247</v>
      </c>
      <c r="B248" s="43" t="s">
        <v>1867</v>
      </c>
      <c r="C248" s="43" t="s">
        <v>1291</v>
      </c>
      <c r="D248" s="28" t="s">
        <v>73</v>
      </c>
      <c r="E248" s="2" t="n">
        <v>5.3</v>
      </c>
      <c r="F248" s="43" t="n">
        <v>1.5</v>
      </c>
      <c r="G248" s="43" t="n">
        <v>113</v>
      </c>
      <c r="H248" s="43" t="n">
        <v>2020</v>
      </c>
      <c r="I248" s="43" t="s">
        <v>1292</v>
      </c>
      <c r="J248" s="43" t="s">
        <v>74</v>
      </c>
      <c r="K248" s="30" t="s">
        <v>1868</v>
      </c>
      <c r="L248" s="69"/>
      <c r="M248" s="31" t="s">
        <v>1869</v>
      </c>
      <c r="N248" s="130" t="s">
        <v>1870</v>
      </c>
      <c r="O248" s="57" t="s">
        <v>100</v>
      </c>
      <c r="P248" s="48" t="s">
        <v>1871</v>
      </c>
      <c r="Q248" s="87" t="n">
        <v>4000</v>
      </c>
      <c r="R248" s="58" t="s">
        <v>53</v>
      </c>
      <c r="S248" s="69" t="n">
        <v>3511</v>
      </c>
      <c r="T248" s="35" t="s">
        <v>123</v>
      </c>
      <c r="U248" s="155" t="n">
        <v>457128.22</v>
      </c>
      <c r="V248" s="60" t="n">
        <v>24.4431</v>
      </c>
      <c r="W248" s="146" t="n">
        <f aca="false">4172824.18600955/32</f>
        <v>130400.755812798</v>
      </c>
      <c r="X248" s="112" t="n">
        <f aca="false">U248/V248</f>
        <v>18701.7285041586</v>
      </c>
      <c r="Y248" s="156" t="n">
        <f aca="false">241502.28/V248/32</f>
        <v>308.755691790321</v>
      </c>
      <c r="Z248" s="28" t="n">
        <v>5.8</v>
      </c>
      <c r="AA248" s="62" t="s">
        <v>80</v>
      </c>
      <c r="AB248" s="38" t="n">
        <v>43880</v>
      </c>
      <c r="AC248" s="38" t="n">
        <v>44003</v>
      </c>
      <c r="AD248" s="38" t="n">
        <v>44008</v>
      </c>
      <c r="AE248" s="50" t="n">
        <v>45833</v>
      </c>
      <c r="AF248" s="28" t="n">
        <f aca="false">YEAR(AE248)</f>
        <v>2025</v>
      </c>
      <c r="AG248" s="63" t="n">
        <f aca="false">X248/SUMIF($Z$2:$Z$380,Z248,$X$2:$X$380)*(VLOOKUP(Z248,'затраты по департаментам-2 '!$A$2:$C$182,2,FALSE())+VLOOKUP(Z248,'затраты по департаментам-2 '!$A$2:$C$182,3,FALSE()))</f>
        <v>11290.763125</v>
      </c>
      <c r="AH248" s="146" t="n">
        <f aca="false">W248/60</f>
        <v>2173.34593021331</v>
      </c>
      <c r="AI248" s="64" t="s">
        <v>103</v>
      </c>
      <c r="AJ248" s="176" t="s">
        <v>100</v>
      </c>
      <c r="AK248" s="43" t="n">
        <v>126890</v>
      </c>
      <c r="AL248" s="43"/>
      <c r="AM248" s="74" t="s">
        <v>1872</v>
      </c>
      <c r="AN248" s="152" t="s">
        <v>1873</v>
      </c>
      <c r="AO248" s="65" t="n">
        <v>44714</v>
      </c>
      <c r="AP248" s="43" t="s">
        <v>1874</v>
      </c>
      <c r="AQ248" s="66" t="s">
        <v>1875</v>
      </c>
      <c r="AR248" s="64"/>
    </row>
    <row r="249" customFormat="false" ht="14.25" hidden="false" customHeight="false" outlineLevel="0" collapsed="false">
      <c r="A249" s="26" t="n">
        <v>248</v>
      </c>
      <c r="B249" s="43" t="s">
        <v>1876</v>
      </c>
      <c r="C249" s="43" t="s">
        <v>1291</v>
      </c>
      <c r="D249" s="28" t="s">
        <v>73</v>
      </c>
      <c r="E249" s="2" t="n">
        <v>5.3</v>
      </c>
      <c r="F249" s="43" t="n">
        <v>1.5</v>
      </c>
      <c r="G249" s="43" t="n">
        <v>113</v>
      </c>
      <c r="H249" s="43" t="n">
        <v>2020</v>
      </c>
      <c r="I249" s="43" t="s">
        <v>1292</v>
      </c>
      <c r="J249" s="43" t="s">
        <v>74</v>
      </c>
      <c r="K249" s="30" t="s">
        <v>1877</v>
      </c>
      <c r="L249" s="177"/>
      <c r="M249" s="31" t="s">
        <v>1878</v>
      </c>
      <c r="N249" s="32" t="s">
        <v>1717</v>
      </c>
      <c r="O249" s="28" t="s">
        <v>343</v>
      </c>
      <c r="P249" s="48" t="s">
        <v>143</v>
      </c>
      <c r="Q249" s="87" t="n">
        <v>7063</v>
      </c>
      <c r="R249" s="97" t="s">
        <v>171</v>
      </c>
      <c r="S249" s="69" t="n">
        <v>4136</v>
      </c>
      <c r="T249" s="35" t="s">
        <v>123</v>
      </c>
      <c r="U249" s="155" t="n">
        <v>457128.22</v>
      </c>
      <c r="V249" s="60" t="n">
        <v>24.4431</v>
      </c>
      <c r="W249" s="146" t="n">
        <f aca="false">4172824.18600955/32</f>
        <v>130400.755812798</v>
      </c>
      <c r="X249" s="112" t="n">
        <f aca="false">U249/V249</f>
        <v>18701.7285041586</v>
      </c>
      <c r="Y249" s="156" t="n">
        <f aca="false">241502.28/V249/32</f>
        <v>308.755691790321</v>
      </c>
      <c r="Z249" s="28" t="n">
        <v>5.8</v>
      </c>
      <c r="AA249" s="62" t="s">
        <v>80</v>
      </c>
      <c r="AB249" s="38" t="n">
        <v>43880</v>
      </c>
      <c r="AC249" s="38" t="n">
        <v>44003</v>
      </c>
      <c r="AD249" s="38" t="n">
        <v>44012</v>
      </c>
      <c r="AE249" s="50" t="n">
        <v>45837</v>
      </c>
      <c r="AF249" s="28" t="n">
        <f aca="false">YEAR(AE249)</f>
        <v>2025</v>
      </c>
      <c r="AG249" s="63" t="n">
        <f aca="false">X249/SUMIF($Z$2:$Z$380,Z249,$X$2:$X$380)*(VLOOKUP(Z249,'затраты по департаментам-2 '!$A$2:$C$182,2,FALSE())+VLOOKUP(Z249,'затраты по департаментам-2 '!$A$2:$C$182,3,FALSE()))</f>
        <v>11290.763125</v>
      </c>
      <c r="AH249" s="146" t="n">
        <f aca="false">W249/60</f>
        <v>2173.34593021331</v>
      </c>
      <c r="AI249" s="64" t="s">
        <v>81</v>
      </c>
      <c r="AJ249" s="63" t="s">
        <v>142</v>
      </c>
      <c r="AK249" s="43" t="n">
        <v>126627</v>
      </c>
      <c r="AL249" s="43"/>
      <c r="AM249" s="74" t="s">
        <v>1879</v>
      </c>
      <c r="AN249" s="152" t="s">
        <v>1880</v>
      </c>
      <c r="AO249" s="65" t="n">
        <v>44764</v>
      </c>
      <c r="AP249" s="43" t="s">
        <v>1881</v>
      </c>
      <c r="AQ249" s="66" t="s">
        <v>1882</v>
      </c>
      <c r="AR249" s="64"/>
    </row>
    <row r="250" customFormat="false" ht="14.25" hidden="false" customHeight="false" outlineLevel="0" collapsed="false">
      <c r="A250" s="26" t="n">
        <v>249</v>
      </c>
      <c r="B250" s="43" t="s">
        <v>1883</v>
      </c>
      <c r="C250" s="43" t="s">
        <v>1291</v>
      </c>
      <c r="D250" s="28" t="s">
        <v>73</v>
      </c>
      <c r="E250" s="2" t="n">
        <v>5.3</v>
      </c>
      <c r="F250" s="43" t="n">
        <v>1.5</v>
      </c>
      <c r="G250" s="43" t="n">
        <v>113</v>
      </c>
      <c r="H250" s="43" t="n">
        <v>2020</v>
      </c>
      <c r="I250" s="43" t="s">
        <v>1292</v>
      </c>
      <c r="J250" s="43" t="s">
        <v>74</v>
      </c>
      <c r="K250" s="30" t="s">
        <v>1884</v>
      </c>
      <c r="L250" s="35"/>
      <c r="M250" s="31" t="s">
        <v>1885</v>
      </c>
      <c r="N250" s="32" t="s">
        <v>1717</v>
      </c>
      <c r="O250" s="28" t="s">
        <v>606</v>
      </c>
      <c r="P250" s="84" t="s">
        <v>181</v>
      </c>
      <c r="Q250" s="87" t="n">
        <v>7030</v>
      </c>
      <c r="R250" s="58" t="s">
        <v>171</v>
      </c>
      <c r="S250" s="69" t="n">
        <v>4133</v>
      </c>
      <c r="T250" s="35" t="s">
        <v>123</v>
      </c>
      <c r="U250" s="155" t="n">
        <v>457128.22</v>
      </c>
      <c r="V250" s="60" t="n">
        <v>24.4431</v>
      </c>
      <c r="W250" s="146" t="n">
        <f aca="false">4172824.18600955/32</f>
        <v>130400.755812798</v>
      </c>
      <c r="X250" s="112" t="n">
        <f aca="false">U250/V250</f>
        <v>18701.7285041586</v>
      </c>
      <c r="Y250" s="156" t="n">
        <f aca="false">241502.28/V250/32</f>
        <v>308.755691790321</v>
      </c>
      <c r="Z250" s="28" t="n">
        <v>5.8</v>
      </c>
      <c r="AA250" s="62" t="s">
        <v>80</v>
      </c>
      <c r="AB250" s="38" t="n">
        <v>43880</v>
      </c>
      <c r="AC250" s="38" t="n">
        <v>44003</v>
      </c>
      <c r="AD250" s="38" t="n">
        <v>44012</v>
      </c>
      <c r="AE250" s="50" t="n">
        <v>45837</v>
      </c>
      <c r="AF250" s="28" t="n">
        <f aca="false">YEAR(AE250)</f>
        <v>2025</v>
      </c>
      <c r="AG250" s="63" t="n">
        <f aca="false">X250/SUMIF($Z$2:$Z$380,Z250,$X$2:$X$380)*(VLOOKUP(Z250,'затраты по департаментам-2 '!$A$2:$C$182,2,FALSE())+VLOOKUP(Z250,'затраты по департаментам-2 '!$A$2:$C$182,3,FALSE()))</f>
        <v>11290.763125</v>
      </c>
      <c r="AH250" s="146" t="n">
        <f aca="false">W250/60</f>
        <v>2173.34593021331</v>
      </c>
      <c r="AI250" s="64" t="s">
        <v>81</v>
      </c>
      <c r="AJ250" s="63" t="s">
        <v>100</v>
      </c>
      <c r="AK250" s="43" t="n">
        <v>123186</v>
      </c>
      <c r="AL250" s="43"/>
      <c r="AM250" s="74" t="s">
        <v>1886</v>
      </c>
      <c r="AN250" s="152" t="s">
        <v>1887</v>
      </c>
      <c r="AO250" s="65" t="n">
        <v>44728</v>
      </c>
      <c r="AP250" s="43" t="s">
        <v>1888</v>
      </c>
      <c r="AQ250" s="66" t="s">
        <v>1889</v>
      </c>
      <c r="AR250" s="64"/>
    </row>
    <row r="251" customFormat="false" ht="14.25" hidden="false" customHeight="false" outlineLevel="0" collapsed="false">
      <c r="A251" s="26" t="n">
        <v>250</v>
      </c>
      <c r="B251" s="43" t="s">
        <v>1890</v>
      </c>
      <c r="C251" s="43" t="s">
        <v>1291</v>
      </c>
      <c r="D251" s="28" t="s">
        <v>73</v>
      </c>
      <c r="E251" s="2" t="n">
        <v>5.3</v>
      </c>
      <c r="F251" s="43" t="n">
        <v>1.5</v>
      </c>
      <c r="G251" s="43" t="n">
        <v>113</v>
      </c>
      <c r="H251" s="43" t="n">
        <v>2020</v>
      </c>
      <c r="I251" s="43" t="s">
        <v>1292</v>
      </c>
      <c r="J251" s="43" t="s">
        <v>74</v>
      </c>
      <c r="K251" s="30" t="s">
        <v>1891</v>
      </c>
      <c r="L251" s="35"/>
      <c r="M251" s="31" t="s">
        <v>1892</v>
      </c>
      <c r="N251" s="32" t="s">
        <v>1717</v>
      </c>
      <c r="O251" s="28" t="s">
        <v>100</v>
      </c>
      <c r="P251" s="48" t="s">
        <v>181</v>
      </c>
      <c r="Q251" s="87" t="n">
        <v>7020</v>
      </c>
      <c r="R251" s="97" t="s">
        <v>171</v>
      </c>
      <c r="S251" s="69" t="n">
        <v>4133</v>
      </c>
      <c r="T251" s="35" t="s">
        <v>123</v>
      </c>
      <c r="U251" s="155" t="n">
        <v>457128.22</v>
      </c>
      <c r="V251" s="60" t="n">
        <v>24.4431</v>
      </c>
      <c r="W251" s="146" t="n">
        <f aca="false">4172824.18600955/32</f>
        <v>130400.755812798</v>
      </c>
      <c r="X251" s="112" t="n">
        <f aca="false">U251/V251</f>
        <v>18701.7285041586</v>
      </c>
      <c r="Y251" s="156" t="n">
        <f aca="false">241502.28/V251/32</f>
        <v>308.755691790321</v>
      </c>
      <c r="Z251" s="28" t="n">
        <v>5.8</v>
      </c>
      <c r="AA251" s="62" t="s">
        <v>80</v>
      </c>
      <c r="AB251" s="38" t="n">
        <v>43880</v>
      </c>
      <c r="AC251" s="38" t="n">
        <v>44003</v>
      </c>
      <c r="AD251" s="38" t="n">
        <v>44012</v>
      </c>
      <c r="AE251" s="50" t="n">
        <v>45837</v>
      </c>
      <c r="AF251" s="28" t="n">
        <f aca="false">YEAR(AE251)</f>
        <v>2025</v>
      </c>
      <c r="AG251" s="63" t="n">
        <f aca="false">X251/SUMIF($Z$2:$Z$380,Z251,$X$2:$X$380)*(VLOOKUP(Z251,'затраты по департаментам-2 '!$A$2:$C$182,2,FALSE())+VLOOKUP(Z251,'затраты по департаментам-2 '!$A$2:$C$182,3,FALSE()))</f>
        <v>11290.763125</v>
      </c>
      <c r="AH251" s="146" t="n">
        <f aca="false">W251/60</f>
        <v>2173.34593021331</v>
      </c>
      <c r="AI251" s="64" t="s">
        <v>81</v>
      </c>
      <c r="AJ251" s="63" t="s">
        <v>100</v>
      </c>
      <c r="AK251" s="43" t="n">
        <v>126601</v>
      </c>
      <c r="AL251" s="43"/>
      <c r="AM251" s="74" t="s">
        <v>1893</v>
      </c>
      <c r="AN251" s="152" t="s">
        <v>1894</v>
      </c>
      <c r="AO251" s="65" t="n">
        <v>44735</v>
      </c>
      <c r="AP251" s="43" t="s">
        <v>1895</v>
      </c>
      <c r="AQ251" s="66" t="s">
        <v>1896</v>
      </c>
      <c r="AR251" s="64"/>
    </row>
    <row r="252" customFormat="false" ht="14.25" hidden="false" customHeight="false" outlineLevel="0" collapsed="false">
      <c r="A252" s="26" t="n">
        <v>251</v>
      </c>
      <c r="B252" s="43" t="s">
        <v>1897</v>
      </c>
      <c r="C252" s="43" t="s">
        <v>1291</v>
      </c>
      <c r="D252" s="28" t="s">
        <v>73</v>
      </c>
      <c r="E252" s="2" t="n">
        <v>5.3</v>
      </c>
      <c r="F252" s="43" t="n">
        <v>1.5</v>
      </c>
      <c r="G252" s="43" t="n">
        <v>113</v>
      </c>
      <c r="H252" s="43" t="n">
        <v>2020</v>
      </c>
      <c r="I252" s="43" t="s">
        <v>1292</v>
      </c>
      <c r="J252" s="43" t="s">
        <v>74</v>
      </c>
      <c r="K252" s="30" t="s">
        <v>1898</v>
      </c>
      <c r="L252" s="35"/>
      <c r="M252" s="31" t="s">
        <v>1899</v>
      </c>
      <c r="N252" s="32" t="s">
        <v>1717</v>
      </c>
      <c r="O252" s="28" t="s">
        <v>942</v>
      </c>
      <c r="P252" s="56" t="s">
        <v>181</v>
      </c>
      <c r="Q252" s="103" t="n">
        <v>7073</v>
      </c>
      <c r="R252" s="58" t="s">
        <v>171</v>
      </c>
      <c r="S252" s="69" t="n">
        <v>4133</v>
      </c>
      <c r="T252" s="35" t="s">
        <v>123</v>
      </c>
      <c r="U252" s="155" t="n">
        <v>457128.22</v>
      </c>
      <c r="V252" s="60" t="n">
        <v>24.4431</v>
      </c>
      <c r="W252" s="146" t="n">
        <f aca="false">4172824.18600955/32</f>
        <v>130400.755812798</v>
      </c>
      <c r="X252" s="112" t="n">
        <f aca="false">U252/V252</f>
        <v>18701.7285041586</v>
      </c>
      <c r="Y252" s="156" t="n">
        <f aca="false">241502.28/V252/32</f>
        <v>308.755691790321</v>
      </c>
      <c r="Z252" s="28" t="n">
        <v>5.8</v>
      </c>
      <c r="AA252" s="62" t="s">
        <v>80</v>
      </c>
      <c r="AB252" s="38" t="n">
        <v>43880</v>
      </c>
      <c r="AC252" s="38" t="n">
        <v>44003</v>
      </c>
      <c r="AD252" s="38" t="n">
        <v>44012</v>
      </c>
      <c r="AE252" s="50" t="n">
        <v>45837</v>
      </c>
      <c r="AF252" s="28" t="n">
        <f aca="false">YEAR(AE252)</f>
        <v>2025</v>
      </c>
      <c r="AG252" s="63" t="n">
        <f aca="false">X252/SUMIF($Z$2:$Z$380,Z252,$X$2:$X$380)*(VLOOKUP(Z252,'затраты по департаментам-2 '!$A$2:$C$182,2,FALSE())+VLOOKUP(Z252,'затраты по департаментам-2 '!$A$2:$C$182,3,FALSE()))</f>
        <v>11290.763125</v>
      </c>
      <c r="AH252" s="146" t="n">
        <f aca="false">W252/60</f>
        <v>2173.34593021331</v>
      </c>
      <c r="AI252" s="64" t="s">
        <v>81</v>
      </c>
      <c r="AJ252" s="63" t="s">
        <v>82</v>
      </c>
      <c r="AK252" s="43" t="n">
        <v>128789</v>
      </c>
      <c r="AL252" s="43"/>
      <c r="AM252" s="74" t="s">
        <v>1900</v>
      </c>
      <c r="AN252" s="152" t="s">
        <v>1901</v>
      </c>
      <c r="AO252" s="65" t="n">
        <v>44889</v>
      </c>
      <c r="AP252" s="43" t="s">
        <v>1902</v>
      </c>
      <c r="AQ252" s="66" t="s">
        <v>1903</v>
      </c>
      <c r="AR252" s="64"/>
    </row>
    <row r="253" customFormat="false" ht="14.25" hidden="false" customHeight="false" outlineLevel="0" collapsed="false">
      <c r="A253" s="26" t="n">
        <v>252</v>
      </c>
      <c r="B253" s="43" t="s">
        <v>1904</v>
      </c>
      <c r="C253" s="43" t="s">
        <v>1291</v>
      </c>
      <c r="D253" s="28" t="s">
        <v>73</v>
      </c>
      <c r="E253" s="2" t="n">
        <v>5.3</v>
      </c>
      <c r="F253" s="43" t="n">
        <v>1.5</v>
      </c>
      <c r="G253" s="43" t="n">
        <v>113</v>
      </c>
      <c r="H253" s="43" t="n">
        <v>2020</v>
      </c>
      <c r="I253" s="43" t="s">
        <v>1292</v>
      </c>
      <c r="J253" s="43" t="s">
        <v>74</v>
      </c>
      <c r="K253" s="30" t="s">
        <v>1905</v>
      </c>
      <c r="L253" s="69"/>
      <c r="M253" s="31" t="s">
        <v>1906</v>
      </c>
      <c r="N253" s="97" t="s">
        <v>1907</v>
      </c>
      <c r="O253" s="28" t="s">
        <v>100</v>
      </c>
      <c r="P253" s="56" t="s">
        <v>1310</v>
      </c>
      <c r="Q253" s="57" t="n">
        <v>1000</v>
      </c>
      <c r="R253" s="58" t="s">
        <v>92</v>
      </c>
      <c r="S253" s="69" t="n">
        <v>4140</v>
      </c>
      <c r="T253" s="35" t="s">
        <v>123</v>
      </c>
      <c r="U253" s="155" t="n">
        <v>457128.22</v>
      </c>
      <c r="V253" s="60" t="n">
        <v>24.4431</v>
      </c>
      <c r="W253" s="146" t="n">
        <f aca="false">4172824.18600955/32</f>
        <v>130400.755812798</v>
      </c>
      <c r="X253" s="112" t="n">
        <f aca="false">U253/V253</f>
        <v>18701.7285041586</v>
      </c>
      <c r="Y253" s="156" t="n">
        <f aca="false">241502.28/V253/32</f>
        <v>308.755691790321</v>
      </c>
      <c r="Z253" s="28" t="n">
        <v>5.8</v>
      </c>
      <c r="AA253" s="62" t="s">
        <v>80</v>
      </c>
      <c r="AB253" s="38" t="n">
        <v>43880</v>
      </c>
      <c r="AC253" s="38" t="n">
        <v>44003</v>
      </c>
      <c r="AD253" s="38" t="n">
        <v>44008</v>
      </c>
      <c r="AE253" s="50" t="n">
        <v>45833</v>
      </c>
      <c r="AF253" s="28" t="n">
        <f aca="false">YEAR(AE253)</f>
        <v>2025</v>
      </c>
      <c r="AG253" s="63" t="n">
        <f aca="false">X253/SUMIF($Z$2:$Z$380,Z253,$X$2:$X$380)*(VLOOKUP(Z253,'затраты по департаментам-2 '!$A$2:$C$182,2,FALSE())+VLOOKUP(Z253,'затраты по департаментам-2 '!$A$2:$C$182,3,FALSE()))</f>
        <v>11290.763125</v>
      </c>
      <c r="AH253" s="146" t="n">
        <f aca="false">W253/60</f>
        <v>2173.34593021331</v>
      </c>
      <c r="AI253" s="64" t="s">
        <v>81</v>
      </c>
      <c r="AJ253" s="63" t="s">
        <v>100</v>
      </c>
      <c r="AK253" s="43" t="n">
        <v>126932</v>
      </c>
      <c r="AL253" s="43"/>
      <c r="AM253" s="74" t="s">
        <v>1908</v>
      </c>
      <c r="AN253" s="152" t="s">
        <v>1909</v>
      </c>
      <c r="AO253" s="65" t="n">
        <v>44728</v>
      </c>
      <c r="AP253" s="43" t="s">
        <v>1910</v>
      </c>
      <c r="AQ253" s="66" t="s">
        <v>1911</v>
      </c>
      <c r="AR253" s="64"/>
    </row>
    <row r="254" customFormat="false" ht="14.25" hidden="false" customHeight="false" outlineLevel="0" collapsed="false">
      <c r="A254" s="26" t="n">
        <v>253</v>
      </c>
      <c r="B254" s="43" t="s">
        <v>1912</v>
      </c>
      <c r="C254" s="43" t="s">
        <v>1291</v>
      </c>
      <c r="D254" s="28" t="s">
        <v>73</v>
      </c>
      <c r="E254" s="2" t="n">
        <v>5.3</v>
      </c>
      <c r="F254" s="43" t="n">
        <v>1.5</v>
      </c>
      <c r="G254" s="43" t="n">
        <v>113</v>
      </c>
      <c r="H254" s="43" t="n">
        <v>2020</v>
      </c>
      <c r="I254" s="43" t="s">
        <v>1292</v>
      </c>
      <c r="J254" s="43" t="s">
        <v>74</v>
      </c>
      <c r="K254" s="30" t="s">
        <v>1913</v>
      </c>
      <c r="L254" s="35"/>
      <c r="M254" s="31" t="s">
        <v>1914</v>
      </c>
      <c r="N254" s="32" t="s">
        <v>1717</v>
      </c>
      <c r="O254" s="28" t="s">
        <v>1239</v>
      </c>
      <c r="P254" s="56" t="s">
        <v>327</v>
      </c>
      <c r="Q254" s="57" t="n">
        <v>7050</v>
      </c>
      <c r="R254" s="58" t="s">
        <v>171</v>
      </c>
      <c r="S254" s="69" t="n">
        <v>4131</v>
      </c>
      <c r="T254" s="35" t="s">
        <v>123</v>
      </c>
      <c r="U254" s="155" t="n">
        <v>457128.22</v>
      </c>
      <c r="V254" s="60" t="n">
        <v>24.4431</v>
      </c>
      <c r="W254" s="146" t="n">
        <f aca="false">4172824.18600955/32</f>
        <v>130400.755812798</v>
      </c>
      <c r="X254" s="112" t="n">
        <f aca="false">U254/V254</f>
        <v>18701.7285041586</v>
      </c>
      <c r="Y254" s="156" t="n">
        <f aca="false">241502.28/V254/32</f>
        <v>308.755691790321</v>
      </c>
      <c r="Z254" s="28" t="n">
        <v>5.8</v>
      </c>
      <c r="AA254" s="62" t="s">
        <v>80</v>
      </c>
      <c r="AB254" s="38" t="n">
        <v>43880</v>
      </c>
      <c r="AC254" s="38" t="n">
        <v>44003</v>
      </c>
      <c r="AD254" s="38" t="n">
        <v>44008</v>
      </c>
      <c r="AE254" s="50" t="n">
        <v>45833</v>
      </c>
      <c r="AF254" s="28" t="n">
        <f aca="false">YEAR(AE254)</f>
        <v>2025</v>
      </c>
      <c r="AG254" s="63" t="n">
        <f aca="false">X254/SUMIF($Z$2:$Z$380,Z254,$X$2:$X$380)*(VLOOKUP(Z254,'затраты по департаментам-2 '!$A$2:$C$182,2,FALSE())+VLOOKUP(Z254,'затраты по департаментам-2 '!$A$2:$C$182,3,FALSE()))</f>
        <v>11290.763125</v>
      </c>
      <c r="AH254" s="146" t="n">
        <f aca="false">W254/60</f>
        <v>2173.34593021331</v>
      </c>
      <c r="AI254" s="64" t="s">
        <v>81</v>
      </c>
      <c r="AJ254" s="63" t="s">
        <v>52</v>
      </c>
      <c r="AK254" s="43" t="n">
        <v>129464</v>
      </c>
      <c r="AL254" s="43"/>
      <c r="AM254" s="74" t="s">
        <v>1915</v>
      </c>
      <c r="AN254" s="152" t="s">
        <v>1916</v>
      </c>
      <c r="AO254" s="65" t="n">
        <v>44895</v>
      </c>
      <c r="AP254" s="43" t="s">
        <v>1917</v>
      </c>
      <c r="AQ254" s="66" t="s">
        <v>1918</v>
      </c>
      <c r="AR254" s="64"/>
    </row>
    <row r="255" customFormat="false" ht="14.25" hidden="false" customHeight="false" outlineLevel="0" collapsed="false">
      <c r="A255" s="26" t="n">
        <v>254</v>
      </c>
      <c r="B255" s="43" t="s">
        <v>1919</v>
      </c>
      <c r="C255" s="43" t="s">
        <v>1291</v>
      </c>
      <c r="D255" s="28" t="s">
        <v>73</v>
      </c>
      <c r="E255" s="2" t="n">
        <v>5.3</v>
      </c>
      <c r="F255" s="43" t="n">
        <v>1.5</v>
      </c>
      <c r="G255" s="43" t="n">
        <v>113</v>
      </c>
      <c r="H255" s="43" t="n">
        <v>2020</v>
      </c>
      <c r="I255" s="43" t="s">
        <v>1292</v>
      </c>
      <c r="J255" s="43" t="s">
        <v>74</v>
      </c>
      <c r="K255" s="30" t="s">
        <v>1920</v>
      </c>
      <c r="L255" s="35"/>
      <c r="M255" s="31" t="s">
        <v>1921</v>
      </c>
      <c r="N255" s="32" t="s">
        <v>1922</v>
      </c>
      <c r="O255" s="28" t="s">
        <v>100</v>
      </c>
      <c r="P255" s="56" t="s">
        <v>1030</v>
      </c>
      <c r="Q255" s="57" t="n">
        <v>1000</v>
      </c>
      <c r="R255" s="58" t="s">
        <v>413</v>
      </c>
      <c r="S255" s="69" t="n">
        <v>4170</v>
      </c>
      <c r="T255" s="35" t="s">
        <v>123</v>
      </c>
      <c r="U255" s="155" t="n">
        <v>457128.22</v>
      </c>
      <c r="V255" s="60" t="n">
        <v>24.4431</v>
      </c>
      <c r="W255" s="146" t="n">
        <f aca="false">4172824.18600955/32</f>
        <v>130400.755812798</v>
      </c>
      <c r="X255" s="112" t="n">
        <f aca="false">U255/V255</f>
        <v>18701.7285041586</v>
      </c>
      <c r="Y255" s="156" t="n">
        <f aca="false">241502.28/V255/32</f>
        <v>308.755691790321</v>
      </c>
      <c r="Z255" s="28" t="n">
        <v>5.8</v>
      </c>
      <c r="AA255" s="62" t="s">
        <v>80</v>
      </c>
      <c r="AB255" s="38" t="n">
        <v>43880</v>
      </c>
      <c r="AC255" s="38" t="n">
        <v>44003</v>
      </c>
      <c r="AD255" s="38" t="n">
        <v>44012</v>
      </c>
      <c r="AE255" s="50" t="n">
        <v>45837</v>
      </c>
      <c r="AF255" s="28" t="n">
        <f aca="false">YEAR(AE255)</f>
        <v>2025</v>
      </c>
      <c r="AG255" s="63" t="n">
        <f aca="false">X255/SUMIF($Z$2:$Z$380,Z255,$X$2:$X$380)*(VLOOKUP(Z255,'затраты по департаментам-2 '!$A$2:$C$182,2,FALSE())+VLOOKUP(Z255,'затраты по департаментам-2 '!$A$2:$C$182,3,FALSE()))</f>
        <v>11290.763125</v>
      </c>
      <c r="AH255" s="146" t="n">
        <f aca="false">W255/60</f>
        <v>2173.34593021331</v>
      </c>
      <c r="AI255" s="64" t="s">
        <v>81</v>
      </c>
      <c r="AJ255" s="63" t="s">
        <v>100</v>
      </c>
      <c r="AK255" s="43" t="n">
        <v>132989</v>
      </c>
      <c r="AL255" s="43"/>
      <c r="AM255" s="74" t="s">
        <v>1923</v>
      </c>
      <c r="AN255" s="152" t="s">
        <v>1924</v>
      </c>
      <c r="AO255" s="65" t="n">
        <v>44744</v>
      </c>
      <c r="AP255" s="43" t="s">
        <v>1925</v>
      </c>
      <c r="AQ255" s="66" t="s">
        <v>1926</v>
      </c>
      <c r="AR255" s="64"/>
    </row>
    <row r="256" customFormat="false" ht="14.25" hidden="false" customHeight="false" outlineLevel="0" collapsed="false">
      <c r="A256" s="26" t="n">
        <v>255</v>
      </c>
      <c r="B256" s="43" t="s">
        <v>1927</v>
      </c>
      <c r="C256" s="43" t="s">
        <v>1291</v>
      </c>
      <c r="D256" s="28" t="s">
        <v>73</v>
      </c>
      <c r="E256" s="2" t="n">
        <v>5.3</v>
      </c>
      <c r="F256" s="43" t="n">
        <v>1.5</v>
      </c>
      <c r="G256" s="43" t="n">
        <v>113</v>
      </c>
      <c r="H256" s="43" t="n">
        <v>2020</v>
      </c>
      <c r="I256" s="43" t="s">
        <v>1292</v>
      </c>
      <c r="J256" s="43" t="s">
        <v>74</v>
      </c>
      <c r="K256" s="178" t="s">
        <v>1928</v>
      </c>
      <c r="L256" s="69"/>
      <c r="M256" s="31" t="s">
        <v>1929</v>
      </c>
      <c r="N256" s="154" t="s">
        <v>1930</v>
      </c>
      <c r="O256" s="57" t="s">
        <v>52</v>
      </c>
      <c r="P256" s="56" t="s">
        <v>1778</v>
      </c>
      <c r="Q256" s="87" t="n">
        <v>1000</v>
      </c>
      <c r="R256" s="58" t="s">
        <v>405</v>
      </c>
      <c r="S256" s="69" t="n">
        <v>4230</v>
      </c>
      <c r="T256" s="69" t="n">
        <v>5</v>
      </c>
      <c r="U256" s="155" t="n">
        <v>457128.22</v>
      </c>
      <c r="V256" s="60" t="n">
        <v>24.4431</v>
      </c>
      <c r="W256" s="146" t="n">
        <f aca="false">4172824.18600955/32</f>
        <v>130400.755812798</v>
      </c>
      <c r="X256" s="112" t="n">
        <f aca="false">U256/V256</f>
        <v>18701.7285041586</v>
      </c>
      <c r="Y256" s="156" t="n">
        <f aca="false">241502.28/V256/32</f>
        <v>308.755691790321</v>
      </c>
      <c r="Z256" s="28" t="n">
        <v>5.8</v>
      </c>
      <c r="AA256" s="62" t="s">
        <v>80</v>
      </c>
      <c r="AB256" s="38" t="n">
        <v>43880</v>
      </c>
      <c r="AC256" s="38" t="n">
        <v>44003</v>
      </c>
      <c r="AD256" s="38" t="n">
        <v>44012</v>
      </c>
      <c r="AE256" s="50" t="n">
        <v>45837</v>
      </c>
      <c r="AF256" s="28" t="n">
        <f aca="false">YEAR(AE256)</f>
        <v>2025</v>
      </c>
      <c r="AG256" s="63" t="n">
        <f aca="false">X256/SUMIF($Z$2:$Z$380,Z256,$X$2:$X$380)*(VLOOKUP(Z256,'затраты по департаментам-2 '!$A$2:$C$182,2,FALSE())+VLOOKUP(Z256,'затраты по департаментам-2 '!$A$2:$C$182,3,FALSE()))</f>
        <v>11290.763125</v>
      </c>
      <c r="AH256" s="146" t="n">
        <f aca="false">W256/60</f>
        <v>2173.34593021331</v>
      </c>
      <c r="AI256" s="64" t="s">
        <v>81</v>
      </c>
      <c r="AJ256" s="63" t="s">
        <v>52</v>
      </c>
      <c r="AK256" s="43" t="n">
        <v>126908</v>
      </c>
      <c r="AL256" s="43"/>
      <c r="AM256" s="74" t="s">
        <v>1931</v>
      </c>
      <c r="AN256" s="152" t="s">
        <v>1932</v>
      </c>
      <c r="AO256" s="65" t="n">
        <v>44789</v>
      </c>
      <c r="AP256" s="43" t="s">
        <v>1933</v>
      </c>
      <c r="AQ256" s="66" t="s">
        <v>1934</v>
      </c>
      <c r="AR256" s="76" t="n">
        <v>44686</v>
      </c>
    </row>
    <row r="257" customFormat="false" ht="14.25" hidden="false" customHeight="false" outlineLevel="0" collapsed="false">
      <c r="A257" s="26" t="n">
        <v>256</v>
      </c>
      <c r="B257" s="179" t="s">
        <v>1935</v>
      </c>
      <c r="C257" s="179" t="s">
        <v>1336</v>
      </c>
      <c r="D257" s="180" t="s">
        <v>73</v>
      </c>
      <c r="E257" s="43" t="n">
        <v>4.9</v>
      </c>
      <c r="F257" s="179" t="n">
        <v>1.5</v>
      </c>
      <c r="G257" s="179" t="n">
        <v>103</v>
      </c>
      <c r="H257" s="179" t="n">
        <v>2020</v>
      </c>
      <c r="I257" s="179" t="s">
        <v>1292</v>
      </c>
      <c r="J257" s="179" t="s">
        <v>74</v>
      </c>
      <c r="K257" s="30" t="s">
        <v>1936</v>
      </c>
      <c r="L257" s="181"/>
      <c r="M257" s="31" t="s">
        <v>1937</v>
      </c>
      <c r="N257" s="84" t="s">
        <v>179</v>
      </c>
      <c r="O257" s="28" t="s">
        <v>180</v>
      </c>
      <c r="P257" s="56" t="s">
        <v>181</v>
      </c>
      <c r="Q257" s="57" t="n">
        <v>7031</v>
      </c>
      <c r="R257" s="182" t="s">
        <v>171</v>
      </c>
      <c r="S257" s="69" t="n">
        <v>4133</v>
      </c>
      <c r="T257" s="183" t="s">
        <v>172</v>
      </c>
      <c r="U257" s="184" t="n">
        <v>341781.23</v>
      </c>
      <c r="V257" s="185" t="n">
        <v>24.4431</v>
      </c>
      <c r="W257" s="186" t="n">
        <f aca="false">2008797/19</f>
        <v>105726.157894737</v>
      </c>
      <c r="X257" s="187" t="n">
        <f aca="false">U257/V257</f>
        <v>13982.7284591562</v>
      </c>
      <c r="Y257" s="188" t="n">
        <f aca="false">104577.48/V258/19</f>
        <v>225.179207822937</v>
      </c>
      <c r="Z257" s="186" t="s">
        <v>1938</v>
      </c>
      <c r="AA257" s="189" t="s">
        <v>80</v>
      </c>
      <c r="AB257" s="190" t="n">
        <v>43880</v>
      </c>
      <c r="AC257" s="38" t="n">
        <v>43991</v>
      </c>
      <c r="AD257" s="50" t="n">
        <v>43997</v>
      </c>
      <c r="AE257" s="38" t="n">
        <v>45822</v>
      </c>
      <c r="AF257" s="28" t="n">
        <f aca="false">YEAR(AE257)</f>
        <v>2025</v>
      </c>
      <c r="AG257" s="63" t="n">
        <f aca="false">X257/SUMIF($Z$2:$Z$380,Z257,$X$2:$X$380)*(VLOOKUP(Z257,'затраты по департаментам-2 '!$A$2:$C$182,2,FALSE())+VLOOKUP(Z257,'затраты по департаментам-2 '!$A$2:$C$182,3,FALSE()))</f>
        <v>8234.48837919387</v>
      </c>
      <c r="AH257" s="153" t="n">
        <f aca="false">W257/60</f>
        <v>1762.10263157895</v>
      </c>
      <c r="AI257" s="64" t="s">
        <v>81</v>
      </c>
      <c r="AJ257" s="63" t="s">
        <v>82</v>
      </c>
      <c r="AK257" s="43" t="n">
        <v>226160</v>
      </c>
      <c r="AL257" s="43"/>
      <c r="AM257" s="43" t="s">
        <v>1939</v>
      </c>
      <c r="AN257" s="74" t="s">
        <v>1940</v>
      </c>
      <c r="AO257" s="65" t="n">
        <v>44744</v>
      </c>
      <c r="AP257" s="43" t="s">
        <v>1941</v>
      </c>
      <c r="AQ257" s="66" t="s">
        <v>1942</v>
      </c>
      <c r="AR257" s="76" t="n">
        <v>44448</v>
      </c>
    </row>
    <row r="258" customFormat="false" ht="14.25" hidden="false" customHeight="false" outlineLevel="0" collapsed="false">
      <c r="A258" s="26" t="n">
        <v>257</v>
      </c>
      <c r="B258" s="43" t="s">
        <v>1943</v>
      </c>
      <c r="C258" s="43" t="s">
        <v>1336</v>
      </c>
      <c r="D258" s="28" t="s">
        <v>73</v>
      </c>
      <c r="E258" s="43" t="n">
        <v>4.9</v>
      </c>
      <c r="F258" s="43" t="n">
        <v>1.5</v>
      </c>
      <c r="G258" s="43" t="n">
        <v>103</v>
      </c>
      <c r="H258" s="43" t="n">
        <v>2020</v>
      </c>
      <c r="I258" s="43" t="s">
        <v>1292</v>
      </c>
      <c r="J258" s="43" t="s">
        <v>74</v>
      </c>
      <c r="K258" s="86" t="s">
        <v>177</v>
      </c>
      <c r="L258" s="69"/>
      <c r="M258" s="126" t="s">
        <v>1944</v>
      </c>
      <c r="N258" s="84" t="s">
        <v>179</v>
      </c>
      <c r="O258" s="48" t="s">
        <v>1945</v>
      </c>
      <c r="P258" s="56" t="s">
        <v>91</v>
      </c>
      <c r="Q258" s="87" t="n">
        <v>7082</v>
      </c>
      <c r="R258" s="58" t="s">
        <v>171</v>
      </c>
      <c r="S258" s="69" t="n">
        <v>4138</v>
      </c>
      <c r="T258" s="35" t="s">
        <v>172</v>
      </c>
      <c r="U258" s="155" t="n">
        <v>341781.23</v>
      </c>
      <c r="V258" s="60" t="n">
        <v>24.4431</v>
      </c>
      <c r="W258" s="146" t="n">
        <f aca="false">2008797/19</f>
        <v>105726.157894737</v>
      </c>
      <c r="X258" s="161" t="n">
        <f aca="false">U258/V258</f>
        <v>13982.7284591562</v>
      </c>
      <c r="Y258" s="156" t="n">
        <f aca="false">104577.48/V259/19</f>
        <v>225.179207822937</v>
      </c>
      <c r="Z258" s="186" t="s">
        <v>1938</v>
      </c>
      <c r="AA258" s="62" t="s">
        <v>80</v>
      </c>
      <c r="AB258" s="38" t="n">
        <v>43880</v>
      </c>
      <c r="AC258" s="38" t="n">
        <v>43991</v>
      </c>
      <c r="AD258" s="50" t="n">
        <v>43997</v>
      </c>
      <c r="AE258" s="38" t="n">
        <v>45822</v>
      </c>
      <c r="AF258" s="28" t="n">
        <f aca="false">YEAR(AE258)</f>
        <v>2025</v>
      </c>
      <c r="AG258" s="63" t="n">
        <f aca="false">X258/SUMIF($Z$2:$Z$380,Z258,$X$2:$X$380)*(VLOOKUP(Z258,'затраты по департаментам-2 '!$A$2:$C$182,2,FALSE())+VLOOKUP(Z258,'затраты по департаментам-2 '!$A$2:$C$182,3,FALSE()))</f>
        <v>8234.48837919387</v>
      </c>
      <c r="AH258" s="153" t="n">
        <f aca="false">W258/60</f>
        <v>1762.10263157895</v>
      </c>
      <c r="AI258" s="64" t="s">
        <v>81</v>
      </c>
      <c r="AJ258" s="63" t="s">
        <v>82</v>
      </c>
      <c r="AK258" s="43" t="n">
        <v>138077</v>
      </c>
      <c r="AL258" s="43"/>
      <c r="AM258" s="43" t="s">
        <v>1946</v>
      </c>
      <c r="AN258" s="74" t="s">
        <v>1947</v>
      </c>
      <c r="AO258" s="65" t="n">
        <v>44845</v>
      </c>
      <c r="AP258" s="43" t="s">
        <v>1948</v>
      </c>
      <c r="AQ258" s="66" t="s">
        <v>1949</v>
      </c>
      <c r="AR258" s="76" t="n">
        <v>44592</v>
      </c>
    </row>
    <row r="259" customFormat="false" ht="14.25" hidden="false" customHeight="false" outlineLevel="0" collapsed="false">
      <c r="A259" s="26" t="n">
        <v>258</v>
      </c>
      <c r="B259" s="43" t="s">
        <v>1950</v>
      </c>
      <c r="C259" s="43" t="s">
        <v>1336</v>
      </c>
      <c r="D259" s="28" t="s">
        <v>73</v>
      </c>
      <c r="E259" s="179" t="n">
        <v>4.9</v>
      </c>
      <c r="F259" s="43" t="n">
        <v>1.5</v>
      </c>
      <c r="G259" s="43" t="n">
        <v>103</v>
      </c>
      <c r="H259" s="43" t="n">
        <v>2020</v>
      </c>
      <c r="I259" s="43" t="s">
        <v>1292</v>
      </c>
      <c r="J259" s="43" t="s">
        <v>74</v>
      </c>
      <c r="K259" s="30" t="s">
        <v>1951</v>
      </c>
      <c r="L259" s="35"/>
      <c r="M259" s="31" t="s">
        <v>1952</v>
      </c>
      <c r="N259" s="32" t="s">
        <v>179</v>
      </c>
      <c r="O259" s="28" t="s">
        <v>689</v>
      </c>
      <c r="P259" s="48" t="s">
        <v>91</v>
      </c>
      <c r="Q259" s="57" t="n">
        <v>7070</v>
      </c>
      <c r="R259" s="97" t="s">
        <v>171</v>
      </c>
      <c r="S259" s="69" t="n">
        <v>4138</v>
      </c>
      <c r="T259" s="35" t="s">
        <v>172</v>
      </c>
      <c r="U259" s="155" t="n">
        <v>341781.23</v>
      </c>
      <c r="V259" s="60" t="n">
        <v>24.4431</v>
      </c>
      <c r="W259" s="146" t="n">
        <f aca="false">2008797/19</f>
        <v>105726.157894737</v>
      </c>
      <c r="X259" s="161" t="n">
        <f aca="false">U259/V259</f>
        <v>13982.7284591562</v>
      </c>
      <c r="Y259" s="156" t="n">
        <f aca="false">104577.48/V260/19</f>
        <v>225.179207822937</v>
      </c>
      <c r="Z259" s="186" t="s">
        <v>1938</v>
      </c>
      <c r="AA259" s="62" t="s">
        <v>80</v>
      </c>
      <c r="AB259" s="38" t="n">
        <v>43880</v>
      </c>
      <c r="AC259" s="38" t="n">
        <v>43991</v>
      </c>
      <c r="AD259" s="50" t="n">
        <v>43997</v>
      </c>
      <c r="AE259" s="38" t="n">
        <v>45822</v>
      </c>
      <c r="AF259" s="28" t="n">
        <f aca="false">YEAR(AE259)</f>
        <v>2025</v>
      </c>
      <c r="AG259" s="63" t="n">
        <f aca="false">X259/SUMIF($Z$2:$Z$380,Z259,$X$2:$X$380)*(VLOOKUP(Z259,'затраты по департаментам-2 '!$A$2:$C$182,2,FALSE())+VLOOKUP(Z259,'затраты по департаментам-2 '!$A$2:$C$182,3,FALSE()))</f>
        <v>8234.48837919387</v>
      </c>
      <c r="AH259" s="153" t="n">
        <f aca="false">W259/60</f>
        <v>1762.10263157895</v>
      </c>
      <c r="AI259" s="64" t="s">
        <v>81</v>
      </c>
      <c r="AJ259" s="63" t="s">
        <v>82</v>
      </c>
      <c r="AK259" s="43" t="n">
        <v>267933</v>
      </c>
      <c r="AL259" s="43"/>
      <c r="AM259" s="43" t="s">
        <v>1953</v>
      </c>
      <c r="AN259" s="78" t="s">
        <v>1954</v>
      </c>
      <c r="AO259" s="65" t="n">
        <v>44350</v>
      </c>
      <c r="AP259" s="43" t="s">
        <v>1955</v>
      </c>
      <c r="AQ259" s="66" t="s">
        <v>1956</v>
      </c>
      <c r="AR259" s="64"/>
    </row>
    <row r="260" customFormat="false" ht="14.25" hidden="false" customHeight="false" outlineLevel="0" collapsed="false">
      <c r="A260" s="26" t="n">
        <v>259</v>
      </c>
      <c r="B260" s="43" t="s">
        <v>1957</v>
      </c>
      <c r="C260" s="43" t="s">
        <v>1336</v>
      </c>
      <c r="D260" s="28" t="s">
        <v>73</v>
      </c>
      <c r="E260" s="43" t="n">
        <v>4.9</v>
      </c>
      <c r="F260" s="43" t="n">
        <v>1.5</v>
      </c>
      <c r="G260" s="43" t="n">
        <v>103</v>
      </c>
      <c r="H260" s="43" t="n">
        <v>2020</v>
      </c>
      <c r="I260" s="43" t="s">
        <v>1292</v>
      </c>
      <c r="J260" s="43" t="s">
        <v>74</v>
      </c>
      <c r="K260" s="30" t="s">
        <v>1958</v>
      </c>
      <c r="L260" s="28"/>
      <c r="M260" s="31" t="s">
        <v>1959</v>
      </c>
      <c r="N260" s="32" t="s">
        <v>179</v>
      </c>
      <c r="O260" s="57" t="s">
        <v>142</v>
      </c>
      <c r="P260" s="48" t="s">
        <v>143</v>
      </c>
      <c r="Q260" s="87" t="n">
        <v>7065</v>
      </c>
      <c r="R260" s="97" t="s">
        <v>171</v>
      </c>
      <c r="S260" s="69" t="n">
        <v>4136</v>
      </c>
      <c r="T260" s="35" t="s">
        <v>172</v>
      </c>
      <c r="U260" s="155" t="n">
        <v>341781.23</v>
      </c>
      <c r="V260" s="60" t="n">
        <v>24.4431</v>
      </c>
      <c r="W260" s="146" t="n">
        <f aca="false">2008797/19</f>
        <v>105726.157894737</v>
      </c>
      <c r="X260" s="161" t="n">
        <f aca="false">U260/V260</f>
        <v>13982.7284591562</v>
      </c>
      <c r="Y260" s="156" t="n">
        <f aca="false">104577.48/V261/19</f>
        <v>225.179207822937</v>
      </c>
      <c r="Z260" s="186" t="s">
        <v>1938</v>
      </c>
      <c r="AA260" s="62" t="s">
        <v>80</v>
      </c>
      <c r="AB260" s="38" t="n">
        <v>43880</v>
      </c>
      <c r="AC260" s="38" t="n">
        <v>43991</v>
      </c>
      <c r="AD260" s="50" t="n">
        <v>43997</v>
      </c>
      <c r="AE260" s="38" t="n">
        <v>45822</v>
      </c>
      <c r="AF260" s="28" t="n">
        <f aca="false">YEAR(AE260)</f>
        <v>2025</v>
      </c>
      <c r="AG260" s="63" t="n">
        <f aca="false">X260/SUMIF($Z$2:$Z$380,Z260,$X$2:$X$380)*(VLOOKUP(Z260,'затраты по департаментам-2 '!$A$2:$C$182,2,FALSE())+VLOOKUP(Z260,'затраты по департаментам-2 '!$A$2:$C$182,3,FALSE()))</f>
        <v>8234.48837919387</v>
      </c>
      <c r="AH260" s="153" t="n">
        <f aca="false">W260/60</f>
        <v>1762.10263157895</v>
      </c>
      <c r="AI260" s="64" t="s">
        <v>81</v>
      </c>
      <c r="AJ260" s="63" t="s">
        <v>142</v>
      </c>
      <c r="AK260" s="43" t="n">
        <v>137517</v>
      </c>
      <c r="AL260" s="43"/>
      <c r="AM260" s="43" t="s">
        <v>1960</v>
      </c>
      <c r="AN260" s="74" t="s">
        <v>1961</v>
      </c>
      <c r="AO260" s="65" t="n">
        <v>44722</v>
      </c>
      <c r="AP260" s="43" t="s">
        <v>1962</v>
      </c>
      <c r="AQ260" s="64" t="s">
        <v>1963</v>
      </c>
      <c r="AR260" s="64"/>
    </row>
    <row r="261" customFormat="false" ht="14.25" hidden="false" customHeight="false" outlineLevel="0" collapsed="false">
      <c r="A261" s="26" t="n">
        <v>260</v>
      </c>
      <c r="B261" s="43" t="s">
        <v>1964</v>
      </c>
      <c r="C261" s="43" t="s">
        <v>1336</v>
      </c>
      <c r="D261" s="28" t="s">
        <v>73</v>
      </c>
      <c r="E261" s="43" t="n">
        <v>4.9</v>
      </c>
      <c r="F261" s="43" t="n">
        <v>1.5</v>
      </c>
      <c r="G261" s="43" t="n">
        <v>103</v>
      </c>
      <c r="H261" s="43" t="n">
        <v>2020</v>
      </c>
      <c r="I261" s="43" t="s">
        <v>1292</v>
      </c>
      <c r="J261" s="43" t="s">
        <v>74</v>
      </c>
      <c r="K261" s="30" t="s">
        <v>1965</v>
      </c>
      <c r="L261" s="69"/>
      <c r="M261" s="31" t="s">
        <v>1966</v>
      </c>
      <c r="N261" s="32" t="s">
        <v>179</v>
      </c>
      <c r="O261" s="57" t="s">
        <v>60</v>
      </c>
      <c r="P261" s="57" t="s">
        <v>91</v>
      </c>
      <c r="Q261" s="87" t="n">
        <v>7070</v>
      </c>
      <c r="R261" s="58" t="s">
        <v>171</v>
      </c>
      <c r="S261" s="69" t="n">
        <v>4138</v>
      </c>
      <c r="T261" s="35" t="s">
        <v>172</v>
      </c>
      <c r="U261" s="155" t="n">
        <v>341781.23</v>
      </c>
      <c r="V261" s="60" t="n">
        <v>24.4431</v>
      </c>
      <c r="W261" s="146" t="n">
        <f aca="false">2008797/19</f>
        <v>105726.157894737</v>
      </c>
      <c r="X261" s="161" t="n">
        <f aca="false">U261/V261</f>
        <v>13982.7284591562</v>
      </c>
      <c r="Y261" s="156" t="n">
        <f aca="false">104577.48/V262/19</f>
        <v>225.179207822937</v>
      </c>
      <c r="Z261" s="186" t="s">
        <v>1938</v>
      </c>
      <c r="AA261" s="62" t="s">
        <v>80</v>
      </c>
      <c r="AB261" s="38" t="n">
        <v>43880</v>
      </c>
      <c r="AC261" s="38" t="n">
        <v>43991</v>
      </c>
      <c r="AD261" s="50" t="n">
        <v>43997</v>
      </c>
      <c r="AE261" s="38" t="n">
        <v>45822</v>
      </c>
      <c r="AF261" s="28" t="n">
        <f aca="false">YEAR(AE261)</f>
        <v>2025</v>
      </c>
      <c r="AG261" s="63" t="n">
        <f aca="false">X261/SUMIF($Z$2:$Z$380,Z261,$X$2:$X$380)*(VLOOKUP(Z261,'затраты по департаментам-2 '!$A$2:$C$182,2,FALSE())+VLOOKUP(Z261,'затраты по департаментам-2 '!$A$2:$C$182,3,FALSE()))</f>
        <v>8234.48837919387</v>
      </c>
      <c r="AH261" s="153" t="n">
        <f aca="false">W261/60</f>
        <v>1762.10263157895</v>
      </c>
      <c r="AI261" s="64" t="s">
        <v>81</v>
      </c>
      <c r="AJ261" s="63" t="s">
        <v>82</v>
      </c>
      <c r="AK261" s="43" t="n">
        <v>137996</v>
      </c>
      <c r="AL261" s="43"/>
      <c r="AM261" s="43" t="s">
        <v>1967</v>
      </c>
      <c r="AN261" s="78" t="s">
        <v>1968</v>
      </c>
      <c r="AO261" s="65" t="n">
        <v>44350</v>
      </c>
      <c r="AP261" s="43" t="s">
        <v>1969</v>
      </c>
      <c r="AQ261" s="66" t="s">
        <v>1970</v>
      </c>
      <c r="AR261" s="64"/>
    </row>
    <row r="262" customFormat="false" ht="14.25" hidden="false" customHeight="false" outlineLevel="0" collapsed="false">
      <c r="A262" s="26" t="n">
        <v>261</v>
      </c>
      <c r="B262" s="43" t="s">
        <v>1971</v>
      </c>
      <c r="C262" s="43" t="s">
        <v>1336</v>
      </c>
      <c r="D262" s="28" t="s">
        <v>73</v>
      </c>
      <c r="E262" s="43" t="n">
        <v>4.9</v>
      </c>
      <c r="F262" s="43" t="n">
        <v>1.5</v>
      </c>
      <c r="G262" s="43" t="n">
        <v>103</v>
      </c>
      <c r="H262" s="43" t="n">
        <v>2020</v>
      </c>
      <c r="I262" s="43" t="s">
        <v>1292</v>
      </c>
      <c r="J262" s="43" t="s">
        <v>74</v>
      </c>
      <c r="K262" s="30" t="s">
        <v>1972</v>
      </c>
      <c r="L262" s="122"/>
      <c r="M262" s="31" t="s">
        <v>1973</v>
      </c>
      <c r="N262" s="56" t="s">
        <v>227</v>
      </c>
      <c r="O262" s="57" t="s">
        <v>373</v>
      </c>
      <c r="P262" s="56" t="s">
        <v>228</v>
      </c>
      <c r="Q262" s="103" t="n">
        <v>1000</v>
      </c>
      <c r="R262" s="58" t="s">
        <v>189</v>
      </c>
      <c r="S262" s="69" t="n">
        <v>4174</v>
      </c>
      <c r="T262" s="35" t="s">
        <v>172</v>
      </c>
      <c r="U262" s="155" t="n">
        <v>341781.23</v>
      </c>
      <c r="V262" s="60" t="n">
        <v>24.4431</v>
      </c>
      <c r="W262" s="146" t="n">
        <f aca="false">2008797/19</f>
        <v>105726.157894737</v>
      </c>
      <c r="X262" s="161" t="n">
        <f aca="false">U262/V262</f>
        <v>13982.7284591562</v>
      </c>
      <c r="Y262" s="156" t="n">
        <f aca="false">104577.48/V263/19</f>
        <v>225.179207822937</v>
      </c>
      <c r="Z262" s="186" t="s">
        <v>1938</v>
      </c>
      <c r="AA262" s="62" t="s">
        <v>80</v>
      </c>
      <c r="AB262" s="38" t="n">
        <v>43880</v>
      </c>
      <c r="AC262" s="38" t="n">
        <v>43991</v>
      </c>
      <c r="AD262" s="50" t="n">
        <v>43997</v>
      </c>
      <c r="AE262" s="38" t="n">
        <v>45822</v>
      </c>
      <c r="AF262" s="28" t="n">
        <f aca="false">YEAR(AE262)</f>
        <v>2025</v>
      </c>
      <c r="AG262" s="63" t="n">
        <f aca="false">X262/SUMIF($Z$2:$Z$380,Z262,$X$2:$X$380)*(VLOOKUP(Z262,'затраты по департаментам-2 '!$A$2:$C$182,2,FALSE())+VLOOKUP(Z262,'затраты по департаментам-2 '!$A$2:$C$182,3,FALSE()))</f>
        <v>8234.48837919387</v>
      </c>
      <c r="AH262" s="153" t="n">
        <f aca="false">W262/60</f>
        <v>1762.10263157895</v>
      </c>
      <c r="AI262" s="64" t="s">
        <v>81</v>
      </c>
      <c r="AJ262" s="63" t="s">
        <v>197</v>
      </c>
      <c r="AK262" s="43" t="n">
        <v>126619</v>
      </c>
      <c r="AL262" s="43"/>
      <c r="AM262" s="43" t="s">
        <v>1974</v>
      </c>
      <c r="AN262" s="74" t="s">
        <v>1975</v>
      </c>
      <c r="AO262" s="65" t="n">
        <v>44735</v>
      </c>
      <c r="AP262" s="43" t="s">
        <v>1976</v>
      </c>
      <c r="AQ262" s="66" t="s">
        <v>1977</v>
      </c>
      <c r="AR262" s="64"/>
    </row>
    <row r="263" customFormat="false" ht="14.25" hidden="false" customHeight="false" outlineLevel="0" collapsed="false">
      <c r="A263" s="26" t="n">
        <v>262</v>
      </c>
      <c r="B263" s="43" t="s">
        <v>1978</v>
      </c>
      <c r="C263" s="43" t="s">
        <v>1336</v>
      </c>
      <c r="D263" s="28" t="s">
        <v>73</v>
      </c>
      <c r="E263" s="43" t="n">
        <v>4.9</v>
      </c>
      <c r="F263" s="43" t="n">
        <v>1.5</v>
      </c>
      <c r="G263" s="43" t="n">
        <v>103</v>
      </c>
      <c r="H263" s="43" t="n">
        <v>2020</v>
      </c>
      <c r="I263" s="43" t="s">
        <v>1292</v>
      </c>
      <c r="J263" s="43" t="s">
        <v>74</v>
      </c>
      <c r="K263" s="30" t="s">
        <v>1979</v>
      </c>
      <c r="L263" s="69"/>
      <c r="M263" s="31" t="s">
        <v>1980</v>
      </c>
      <c r="N263" s="32" t="s">
        <v>179</v>
      </c>
      <c r="O263" s="57" t="s">
        <v>60</v>
      </c>
      <c r="P263" s="56" t="s">
        <v>91</v>
      </c>
      <c r="Q263" s="87" t="n">
        <v>7081</v>
      </c>
      <c r="R263" s="58" t="s">
        <v>171</v>
      </c>
      <c r="S263" s="69" t="n">
        <v>4138</v>
      </c>
      <c r="T263" s="35" t="s">
        <v>172</v>
      </c>
      <c r="U263" s="155" t="n">
        <v>341781.23</v>
      </c>
      <c r="V263" s="60" t="n">
        <v>24.4431</v>
      </c>
      <c r="W263" s="146" t="n">
        <f aca="false">2008797/19</f>
        <v>105726.157894737</v>
      </c>
      <c r="X263" s="161" t="n">
        <f aca="false">U263/V263</f>
        <v>13982.7284591562</v>
      </c>
      <c r="Y263" s="156" t="n">
        <f aca="false">104577.48/V264/19</f>
        <v>225.179207822937</v>
      </c>
      <c r="Z263" s="186" t="s">
        <v>1938</v>
      </c>
      <c r="AA263" s="62" t="s">
        <v>80</v>
      </c>
      <c r="AB263" s="38" t="n">
        <v>43880</v>
      </c>
      <c r="AC263" s="38" t="n">
        <v>43991</v>
      </c>
      <c r="AD263" s="50" t="n">
        <v>43997</v>
      </c>
      <c r="AE263" s="38" t="n">
        <v>45822</v>
      </c>
      <c r="AF263" s="28" t="n">
        <f aca="false">YEAR(AE263)</f>
        <v>2025</v>
      </c>
      <c r="AG263" s="63" t="n">
        <f aca="false">X263/SUMIF($Z$2:$Z$380,Z263,$X$2:$X$380)*(VLOOKUP(Z263,'затраты по департаментам-2 '!$A$2:$C$182,2,FALSE())+VLOOKUP(Z263,'затраты по департаментам-2 '!$A$2:$C$182,3,FALSE()))</f>
        <v>8234.48837919387</v>
      </c>
      <c r="AH263" s="153" t="n">
        <f aca="false">W263/60</f>
        <v>1762.10263157895</v>
      </c>
      <c r="AI263" s="64" t="s">
        <v>81</v>
      </c>
      <c r="AJ263" s="63" t="s">
        <v>82</v>
      </c>
      <c r="AK263" s="43" t="n">
        <v>133698</v>
      </c>
      <c r="AL263" s="43"/>
      <c r="AM263" s="43" t="s">
        <v>1981</v>
      </c>
      <c r="AN263" s="78" t="s">
        <v>1982</v>
      </c>
      <c r="AO263" s="65" t="n">
        <v>44350</v>
      </c>
      <c r="AP263" s="43" t="s">
        <v>1983</v>
      </c>
      <c r="AQ263" s="66" t="s">
        <v>1984</v>
      </c>
      <c r="AR263" s="64"/>
    </row>
    <row r="264" customFormat="false" ht="14.25" hidden="false" customHeight="false" outlineLevel="0" collapsed="false">
      <c r="A264" s="26" t="n">
        <v>263</v>
      </c>
      <c r="B264" s="43" t="s">
        <v>1985</v>
      </c>
      <c r="C264" s="43" t="s">
        <v>1336</v>
      </c>
      <c r="D264" s="28" t="s">
        <v>73</v>
      </c>
      <c r="E264" s="43" t="n">
        <v>4.9</v>
      </c>
      <c r="F264" s="43" t="n">
        <v>1.5</v>
      </c>
      <c r="G264" s="43" t="n">
        <v>103</v>
      </c>
      <c r="H264" s="43" t="n">
        <v>2020</v>
      </c>
      <c r="I264" s="43" t="s">
        <v>1292</v>
      </c>
      <c r="J264" s="43" t="s">
        <v>74</v>
      </c>
      <c r="K264" s="30" t="s">
        <v>1986</v>
      </c>
      <c r="L264" s="69"/>
      <c r="M264" s="31" t="s">
        <v>1987</v>
      </c>
      <c r="N264" s="97" t="s">
        <v>179</v>
      </c>
      <c r="O264" s="57" t="s">
        <v>1988</v>
      </c>
      <c r="P264" s="48" t="s">
        <v>91</v>
      </c>
      <c r="Q264" s="57" t="n">
        <v>7081</v>
      </c>
      <c r="R264" s="97" t="s">
        <v>467</v>
      </c>
      <c r="S264" s="69" t="n">
        <v>4148</v>
      </c>
      <c r="T264" s="35" t="s">
        <v>172</v>
      </c>
      <c r="U264" s="155" t="n">
        <v>341781.23</v>
      </c>
      <c r="V264" s="60" t="n">
        <v>24.4431</v>
      </c>
      <c r="W264" s="146" t="n">
        <f aca="false">2008797/19</f>
        <v>105726.157894737</v>
      </c>
      <c r="X264" s="161" t="n">
        <f aca="false">U264/V264</f>
        <v>13982.7284591562</v>
      </c>
      <c r="Y264" s="156" t="n">
        <f aca="false">104577.48/V265/19</f>
        <v>225.179207822937</v>
      </c>
      <c r="Z264" s="186" t="s">
        <v>1938</v>
      </c>
      <c r="AA264" s="62" t="s">
        <v>80</v>
      </c>
      <c r="AB264" s="38" t="n">
        <v>43880</v>
      </c>
      <c r="AC264" s="38" t="n">
        <v>43991</v>
      </c>
      <c r="AD264" s="50" t="n">
        <v>43997</v>
      </c>
      <c r="AE264" s="38" t="n">
        <v>45822</v>
      </c>
      <c r="AF264" s="28" t="n">
        <f aca="false">YEAR(AE264)</f>
        <v>2025</v>
      </c>
      <c r="AG264" s="63" t="n">
        <f aca="false">X264/SUMIF($Z$2:$Z$380,Z264,$X$2:$X$380)*(VLOOKUP(Z264,'затраты по департаментам-2 '!$A$2:$C$182,2,FALSE())+VLOOKUP(Z264,'затраты по департаментам-2 '!$A$2:$C$182,3,FALSE()))</f>
        <v>8234.48837919387</v>
      </c>
      <c r="AH264" s="153" t="n">
        <f aca="false">W264/60</f>
        <v>1762.10263157895</v>
      </c>
      <c r="AI264" s="64" t="s">
        <v>81</v>
      </c>
      <c r="AJ264" s="63" t="s">
        <v>82</v>
      </c>
      <c r="AK264" s="43" t="n">
        <v>467368</v>
      </c>
      <c r="AL264" s="43"/>
      <c r="AM264" s="43" t="s">
        <v>1989</v>
      </c>
      <c r="AN264" s="74" t="s">
        <v>1990</v>
      </c>
      <c r="AO264" s="65" t="n">
        <v>44818</v>
      </c>
      <c r="AP264" s="43" t="s">
        <v>1991</v>
      </c>
      <c r="AQ264" s="66" t="s">
        <v>1992</v>
      </c>
      <c r="AR264" s="64"/>
    </row>
    <row r="265" customFormat="false" ht="14.25" hidden="false" customHeight="false" outlineLevel="0" collapsed="false">
      <c r="A265" s="26" t="n">
        <v>264</v>
      </c>
      <c r="B265" s="43" t="s">
        <v>1993</v>
      </c>
      <c r="C265" s="43" t="s">
        <v>1336</v>
      </c>
      <c r="D265" s="28" t="s">
        <v>73</v>
      </c>
      <c r="E265" s="43" t="n">
        <v>4.9</v>
      </c>
      <c r="F265" s="43" t="n">
        <v>1.5</v>
      </c>
      <c r="G265" s="43" t="n">
        <v>103</v>
      </c>
      <c r="H265" s="43" t="n">
        <v>2020</v>
      </c>
      <c r="I265" s="43" t="s">
        <v>1292</v>
      </c>
      <c r="J265" s="43" t="s">
        <v>74</v>
      </c>
      <c r="K265" s="30" t="s">
        <v>1994</v>
      </c>
      <c r="L265" s="69"/>
      <c r="M265" s="31" t="s">
        <v>1995</v>
      </c>
      <c r="N265" s="92" t="s">
        <v>179</v>
      </c>
      <c r="O265" s="57" t="s">
        <v>942</v>
      </c>
      <c r="P265" s="56" t="s">
        <v>181</v>
      </c>
      <c r="Q265" s="87" t="n">
        <v>7073</v>
      </c>
      <c r="R265" s="58" t="s">
        <v>171</v>
      </c>
      <c r="S265" s="69" t="n">
        <v>4133</v>
      </c>
      <c r="T265" s="35" t="s">
        <v>172</v>
      </c>
      <c r="U265" s="155" t="n">
        <v>341781.23</v>
      </c>
      <c r="V265" s="60" t="n">
        <v>24.4431</v>
      </c>
      <c r="W265" s="146" t="n">
        <f aca="false">2008797/19</f>
        <v>105726.157894737</v>
      </c>
      <c r="X265" s="161" t="n">
        <f aca="false">U265/V265</f>
        <v>13982.7284591562</v>
      </c>
      <c r="Y265" s="156" t="n">
        <f aca="false">104577.48/V266/19</f>
        <v>225.179207822937</v>
      </c>
      <c r="Z265" s="186" t="s">
        <v>1938</v>
      </c>
      <c r="AA265" s="62" t="s">
        <v>80</v>
      </c>
      <c r="AB265" s="38" t="n">
        <v>43880</v>
      </c>
      <c r="AC265" s="38" t="n">
        <v>43991</v>
      </c>
      <c r="AD265" s="50" t="n">
        <v>43997</v>
      </c>
      <c r="AE265" s="38" t="n">
        <v>45822</v>
      </c>
      <c r="AF265" s="28" t="n">
        <f aca="false">YEAR(AE265)</f>
        <v>2025</v>
      </c>
      <c r="AG265" s="63" t="n">
        <f aca="false">X265/SUMIF($Z$2:$Z$380,Z265,$X$2:$X$380)*(VLOOKUP(Z265,'затраты по департаментам-2 '!$A$2:$C$182,2,FALSE())+VLOOKUP(Z265,'затраты по департаментам-2 '!$A$2:$C$182,3,FALSE()))</f>
        <v>8234.48837919387</v>
      </c>
      <c r="AH265" s="153" t="n">
        <f aca="false">W265/60</f>
        <v>1762.10263157895</v>
      </c>
      <c r="AI265" s="64" t="s">
        <v>81</v>
      </c>
      <c r="AJ265" s="63" t="s">
        <v>82</v>
      </c>
      <c r="AK265" s="43" t="n">
        <v>137749</v>
      </c>
      <c r="AL265" s="43"/>
      <c r="AM265" s="43" t="s">
        <v>1996</v>
      </c>
      <c r="AN265" s="74" t="s">
        <v>1997</v>
      </c>
      <c r="AO265" s="65" t="n">
        <v>44889</v>
      </c>
      <c r="AP265" s="43" t="s">
        <v>1998</v>
      </c>
      <c r="AQ265" s="66" t="s">
        <v>1999</v>
      </c>
      <c r="AR265" s="64"/>
    </row>
    <row r="266" customFormat="false" ht="14.25" hidden="false" customHeight="false" outlineLevel="0" collapsed="false">
      <c r="A266" s="26" t="n">
        <v>265</v>
      </c>
      <c r="B266" s="43" t="s">
        <v>2000</v>
      </c>
      <c r="C266" s="43" t="s">
        <v>1336</v>
      </c>
      <c r="D266" s="28" t="s">
        <v>73</v>
      </c>
      <c r="E266" s="43" t="n">
        <v>4.9</v>
      </c>
      <c r="F266" s="43" t="n">
        <v>1.5</v>
      </c>
      <c r="G266" s="43" t="n">
        <v>103</v>
      </c>
      <c r="H266" s="43" t="n">
        <v>2020</v>
      </c>
      <c r="I266" s="43" t="s">
        <v>1292</v>
      </c>
      <c r="J266" s="43" t="s">
        <v>74</v>
      </c>
      <c r="K266" s="30" t="s">
        <v>2001</v>
      </c>
      <c r="L266" s="69"/>
      <c r="M266" s="126" t="s">
        <v>2002</v>
      </c>
      <c r="N266" s="32" t="s">
        <v>168</v>
      </c>
      <c r="O266" s="191" t="s">
        <v>197</v>
      </c>
      <c r="P266" s="84" t="s">
        <v>832</v>
      </c>
      <c r="Q266" s="79" t="n">
        <v>9000</v>
      </c>
      <c r="R266" s="115" t="s">
        <v>171</v>
      </c>
      <c r="S266" s="69" t="n">
        <v>4130</v>
      </c>
      <c r="T266" s="35" t="s">
        <v>172</v>
      </c>
      <c r="U266" s="155" t="n">
        <v>341781.23</v>
      </c>
      <c r="V266" s="60" t="n">
        <v>24.4431</v>
      </c>
      <c r="W266" s="146" t="n">
        <f aca="false">2008797/19</f>
        <v>105726.157894737</v>
      </c>
      <c r="X266" s="161" t="n">
        <f aca="false">U266/V266</f>
        <v>13982.7284591562</v>
      </c>
      <c r="Y266" s="156" t="n">
        <f aca="false">104577.48/V267/19</f>
        <v>225.179207822937</v>
      </c>
      <c r="Z266" s="186" t="s">
        <v>1938</v>
      </c>
      <c r="AA266" s="62" t="s">
        <v>80</v>
      </c>
      <c r="AB266" s="38" t="n">
        <v>43880</v>
      </c>
      <c r="AC266" s="38" t="n">
        <v>43991</v>
      </c>
      <c r="AD266" s="50" t="n">
        <v>43997</v>
      </c>
      <c r="AE266" s="38" t="n">
        <v>45822</v>
      </c>
      <c r="AF266" s="28" t="n">
        <f aca="false">YEAR(AE266)</f>
        <v>2025</v>
      </c>
      <c r="AG266" s="63" t="n">
        <f aca="false">X266/SUMIF($Z$2:$Z$380,Z266,$X$2:$X$380)*(VLOOKUP(Z266,'затраты по департаментам-2 '!$A$2:$C$182,2,FALSE())+VLOOKUP(Z266,'затраты по департаментам-2 '!$A$2:$C$182,3,FALSE()))</f>
        <v>8234.48837919387</v>
      </c>
      <c r="AH266" s="153" t="n">
        <f aca="false">W266/60</f>
        <v>1762.10263157895</v>
      </c>
      <c r="AI266" s="64" t="s">
        <v>81</v>
      </c>
      <c r="AJ266" s="63" t="s">
        <v>197</v>
      </c>
      <c r="AK266" s="43" t="n">
        <v>133797</v>
      </c>
      <c r="AL266" s="43"/>
      <c r="AM266" s="43" t="s">
        <v>2003</v>
      </c>
      <c r="AN266" s="74" t="s">
        <v>2004</v>
      </c>
      <c r="AO266" s="65" t="n">
        <v>44821</v>
      </c>
      <c r="AP266" s="43" t="s">
        <v>2005</v>
      </c>
      <c r="AQ266" s="66" t="s">
        <v>2006</v>
      </c>
      <c r="AR266" s="64"/>
    </row>
    <row r="267" customFormat="false" ht="14.25" hidden="false" customHeight="false" outlineLevel="0" collapsed="false">
      <c r="A267" s="26" t="n">
        <v>266</v>
      </c>
      <c r="B267" s="43" t="s">
        <v>2007</v>
      </c>
      <c r="C267" s="43" t="s">
        <v>1336</v>
      </c>
      <c r="D267" s="28" t="s">
        <v>73</v>
      </c>
      <c r="E267" s="43" t="n">
        <v>4.9</v>
      </c>
      <c r="F267" s="43" t="n">
        <v>1.5</v>
      </c>
      <c r="G267" s="43" t="n">
        <v>103</v>
      </c>
      <c r="H267" s="43" t="n">
        <v>2020</v>
      </c>
      <c r="I267" s="43" t="s">
        <v>1292</v>
      </c>
      <c r="J267" s="43" t="s">
        <v>74</v>
      </c>
      <c r="K267" s="30" t="s">
        <v>2008</v>
      </c>
      <c r="L267" s="69"/>
      <c r="M267" s="31" t="s">
        <v>2009</v>
      </c>
      <c r="N267" s="84" t="s">
        <v>179</v>
      </c>
      <c r="O267" s="57" t="s">
        <v>689</v>
      </c>
      <c r="P267" s="56" t="s">
        <v>91</v>
      </c>
      <c r="Q267" s="87" t="n">
        <v>7070</v>
      </c>
      <c r="R267" s="97" t="s">
        <v>171</v>
      </c>
      <c r="S267" s="69" t="n">
        <v>4138</v>
      </c>
      <c r="T267" s="35" t="s">
        <v>172</v>
      </c>
      <c r="U267" s="155" t="n">
        <v>341781.23</v>
      </c>
      <c r="V267" s="60" t="n">
        <v>24.4431</v>
      </c>
      <c r="W267" s="146" t="n">
        <f aca="false">2008797/19</f>
        <v>105726.157894737</v>
      </c>
      <c r="X267" s="161" t="n">
        <f aca="false">U267/V267</f>
        <v>13982.7284591562</v>
      </c>
      <c r="Y267" s="156" t="n">
        <f aca="false">104577.48/V268/19</f>
        <v>225.179207822937</v>
      </c>
      <c r="Z267" s="186" t="s">
        <v>1938</v>
      </c>
      <c r="AA267" s="62" t="s">
        <v>80</v>
      </c>
      <c r="AB267" s="38" t="n">
        <v>43880</v>
      </c>
      <c r="AC267" s="38" t="n">
        <v>43991</v>
      </c>
      <c r="AD267" s="50" t="n">
        <v>43997</v>
      </c>
      <c r="AE267" s="38" t="n">
        <v>45822</v>
      </c>
      <c r="AF267" s="28" t="n">
        <f aca="false">YEAR(AE267)</f>
        <v>2025</v>
      </c>
      <c r="AG267" s="63" t="n">
        <f aca="false">X267/SUMIF($Z$2:$Z$380,Z267,$X$2:$X$380)*(VLOOKUP(Z267,'затраты по департаментам-2 '!$A$2:$C$182,2,FALSE())+VLOOKUP(Z267,'затраты по департаментам-2 '!$A$2:$C$182,3,FALSE()))</f>
        <v>8234.48837919387</v>
      </c>
      <c r="AH267" s="153" t="n">
        <f aca="false">W267/60</f>
        <v>1762.10263157895</v>
      </c>
      <c r="AI267" s="64" t="s">
        <v>81</v>
      </c>
      <c r="AJ267" s="63" t="s">
        <v>82</v>
      </c>
      <c r="AK267" s="43" t="n">
        <v>137707</v>
      </c>
      <c r="AL267" s="43"/>
      <c r="AM267" s="43" t="s">
        <v>2010</v>
      </c>
      <c r="AN267" s="78" t="s">
        <v>2011</v>
      </c>
      <c r="AO267" s="65" t="n">
        <v>44350</v>
      </c>
      <c r="AP267" s="43" t="s">
        <v>2012</v>
      </c>
      <c r="AQ267" s="64" t="s">
        <v>2013</v>
      </c>
      <c r="AR267" s="64"/>
    </row>
    <row r="268" customFormat="false" ht="14.25" hidden="false" customHeight="false" outlineLevel="0" collapsed="false">
      <c r="A268" s="26" t="n">
        <v>267</v>
      </c>
      <c r="B268" s="43" t="s">
        <v>2014</v>
      </c>
      <c r="C268" s="43" t="s">
        <v>1336</v>
      </c>
      <c r="D268" s="28" t="s">
        <v>73</v>
      </c>
      <c r="E268" s="43" t="n">
        <v>4.9</v>
      </c>
      <c r="F268" s="43" t="n">
        <v>1.5</v>
      </c>
      <c r="G268" s="43" t="n">
        <v>103</v>
      </c>
      <c r="H268" s="43" t="n">
        <v>2020</v>
      </c>
      <c r="I268" s="43" t="s">
        <v>1292</v>
      </c>
      <c r="J268" s="43" t="s">
        <v>74</v>
      </c>
      <c r="K268" s="30" t="s">
        <v>2015</v>
      </c>
      <c r="L268" s="69"/>
      <c r="M268" s="31" t="s">
        <v>2016</v>
      </c>
      <c r="N268" s="32" t="s">
        <v>2017</v>
      </c>
      <c r="O268" s="57" t="s">
        <v>373</v>
      </c>
      <c r="P268" s="84" t="s">
        <v>920</v>
      </c>
      <c r="Q268" s="87" t="n">
        <v>9000</v>
      </c>
      <c r="R268" s="97" t="s">
        <v>171</v>
      </c>
      <c r="S268" s="69" t="n">
        <v>4130</v>
      </c>
      <c r="T268" s="59" t="s">
        <v>123</v>
      </c>
      <c r="U268" s="155" t="n">
        <v>341781.23</v>
      </c>
      <c r="V268" s="60" t="n">
        <v>24.4431</v>
      </c>
      <c r="W268" s="146" t="n">
        <f aca="false">2008797/19</f>
        <v>105726.157894737</v>
      </c>
      <c r="X268" s="161" t="n">
        <f aca="false">U268/V268</f>
        <v>13982.7284591562</v>
      </c>
      <c r="Y268" s="156" t="n">
        <f aca="false">104577.48/V269/19</f>
        <v>225.179207822937</v>
      </c>
      <c r="Z268" s="186" t="s">
        <v>1938</v>
      </c>
      <c r="AA268" s="62" t="s">
        <v>80</v>
      </c>
      <c r="AB268" s="38" t="n">
        <v>43880</v>
      </c>
      <c r="AC268" s="38" t="n">
        <v>43991</v>
      </c>
      <c r="AD268" s="50" t="n">
        <v>43997</v>
      </c>
      <c r="AE268" s="38" t="n">
        <v>45822</v>
      </c>
      <c r="AF268" s="28" t="n">
        <f aca="false">YEAR(AE268)</f>
        <v>2025</v>
      </c>
      <c r="AG268" s="63" t="n">
        <f aca="false">X268/SUMIF($Z$2:$Z$380,Z268,$X$2:$X$380)*(VLOOKUP(Z268,'затраты по департаментам-2 '!$A$2:$C$182,2,FALSE())+VLOOKUP(Z268,'затраты по департаментам-2 '!$A$2:$C$182,3,FALSE()))</f>
        <v>8234.48837919387</v>
      </c>
      <c r="AH268" s="153" t="n">
        <f aca="false">W268/60</f>
        <v>1762.10263157895</v>
      </c>
      <c r="AI268" s="64" t="s">
        <v>81</v>
      </c>
      <c r="AJ268" s="63" t="s">
        <v>100</v>
      </c>
      <c r="AK268" s="43" t="n">
        <v>251713</v>
      </c>
      <c r="AL268" s="43"/>
      <c r="AM268" s="43" t="s">
        <v>2018</v>
      </c>
      <c r="AN268" s="74" t="s">
        <v>2019</v>
      </c>
      <c r="AO268" s="65" t="n">
        <v>44716</v>
      </c>
      <c r="AP268" s="43" t="s">
        <v>2020</v>
      </c>
      <c r="AQ268" s="66" t="s">
        <v>2021</v>
      </c>
      <c r="AR268" s="64"/>
    </row>
    <row r="269" customFormat="false" ht="14.25" hidden="false" customHeight="false" outlineLevel="0" collapsed="false">
      <c r="A269" s="26" t="n">
        <v>268</v>
      </c>
      <c r="B269" s="43" t="s">
        <v>2022</v>
      </c>
      <c r="C269" s="43" t="s">
        <v>1336</v>
      </c>
      <c r="D269" s="28" t="s">
        <v>73</v>
      </c>
      <c r="E269" s="43" t="n">
        <v>4.9</v>
      </c>
      <c r="F269" s="43" t="n">
        <v>1.5</v>
      </c>
      <c r="G269" s="43" t="n">
        <v>103</v>
      </c>
      <c r="H269" s="43" t="n">
        <v>2020</v>
      </c>
      <c r="I269" s="43" t="s">
        <v>1292</v>
      </c>
      <c r="J269" s="43" t="s">
        <v>74</v>
      </c>
      <c r="K269" s="30" t="s">
        <v>2023</v>
      </c>
      <c r="L269" s="35"/>
      <c r="M269" s="126" t="s">
        <v>2024</v>
      </c>
      <c r="N269" s="92" t="s">
        <v>179</v>
      </c>
      <c r="O269" s="57" t="s">
        <v>2025</v>
      </c>
      <c r="P269" s="56" t="s">
        <v>91</v>
      </c>
      <c r="Q269" s="87" t="n">
        <v>7083</v>
      </c>
      <c r="R269" s="58" t="s">
        <v>171</v>
      </c>
      <c r="S269" s="69" t="n">
        <v>4138</v>
      </c>
      <c r="T269" s="35" t="s">
        <v>172</v>
      </c>
      <c r="U269" s="155" t="n">
        <v>341781.23</v>
      </c>
      <c r="V269" s="60" t="n">
        <v>24.4431</v>
      </c>
      <c r="W269" s="146" t="n">
        <f aca="false">2008797/19</f>
        <v>105726.157894737</v>
      </c>
      <c r="X269" s="161" t="n">
        <f aca="false">U269/V269</f>
        <v>13982.7284591562</v>
      </c>
      <c r="Y269" s="156" t="n">
        <f aca="false">104577.48/V270/19</f>
        <v>225.179207822937</v>
      </c>
      <c r="Z269" s="186" t="s">
        <v>1938</v>
      </c>
      <c r="AA269" s="62" t="s">
        <v>80</v>
      </c>
      <c r="AB269" s="38" t="n">
        <v>43880</v>
      </c>
      <c r="AC269" s="38" t="n">
        <v>43991</v>
      </c>
      <c r="AD269" s="50" t="n">
        <v>43997</v>
      </c>
      <c r="AE269" s="38" t="n">
        <v>45822</v>
      </c>
      <c r="AF269" s="28" t="n">
        <f aca="false">YEAR(AE269)</f>
        <v>2025</v>
      </c>
      <c r="AG269" s="63" t="n">
        <f aca="false">X269/SUMIF($Z$2:$Z$380,Z269,$X$2:$X$380)*(VLOOKUP(Z269,'затраты по департаментам-2 '!$A$2:$C$182,2,FALSE())+VLOOKUP(Z269,'затраты по департаментам-2 '!$A$2:$C$182,3,FALSE()))</f>
        <v>8234.48837919387</v>
      </c>
      <c r="AH269" s="153" t="n">
        <f aca="false">W269/60</f>
        <v>1762.10263157895</v>
      </c>
      <c r="AI269" s="64" t="s">
        <v>81</v>
      </c>
      <c r="AJ269" s="63" t="s">
        <v>82</v>
      </c>
      <c r="AK269" s="43" t="n">
        <v>137723</v>
      </c>
      <c r="AL269" s="43"/>
      <c r="AM269" s="43" t="s">
        <v>2026</v>
      </c>
      <c r="AN269" s="74" t="s">
        <v>2027</v>
      </c>
      <c r="AO269" s="65" t="n">
        <v>44764</v>
      </c>
      <c r="AP269" s="43" t="s">
        <v>2028</v>
      </c>
      <c r="AQ269" s="64" t="s">
        <v>2029</v>
      </c>
      <c r="AR269" s="76" t="n">
        <v>44509</v>
      </c>
    </row>
    <row r="270" customFormat="false" ht="14.25" hidden="false" customHeight="false" outlineLevel="0" collapsed="false">
      <c r="A270" s="26" t="n">
        <v>269</v>
      </c>
      <c r="B270" s="43" t="s">
        <v>2030</v>
      </c>
      <c r="C270" s="43" t="s">
        <v>1356</v>
      </c>
      <c r="D270" s="28" t="s">
        <v>73</v>
      </c>
      <c r="E270" s="43" t="n">
        <v>4.9</v>
      </c>
      <c r="F270" s="43" t="n">
        <v>1.5</v>
      </c>
      <c r="G270" s="43" t="n">
        <v>103</v>
      </c>
      <c r="H270" s="43" t="n">
        <v>2020</v>
      </c>
      <c r="I270" s="43" t="s">
        <v>1292</v>
      </c>
      <c r="J270" s="43" t="s">
        <v>74</v>
      </c>
      <c r="K270" s="30" t="s">
        <v>2031</v>
      </c>
      <c r="L270" s="69"/>
      <c r="M270" s="31" t="s">
        <v>2032</v>
      </c>
      <c r="N270" s="32" t="s">
        <v>179</v>
      </c>
      <c r="O270" s="57" t="s">
        <v>52</v>
      </c>
      <c r="P270" s="56" t="s">
        <v>327</v>
      </c>
      <c r="Q270" s="87" t="n">
        <v>7011</v>
      </c>
      <c r="R270" s="58" t="s">
        <v>171</v>
      </c>
      <c r="S270" s="69" t="n">
        <v>4131</v>
      </c>
      <c r="T270" s="35" t="s">
        <v>172</v>
      </c>
      <c r="U270" s="155" t="n">
        <v>341781.23</v>
      </c>
      <c r="V270" s="60" t="n">
        <v>24.4431</v>
      </c>
      <c r="W270" s="146" t="n">
        <f aca="false">2008797/19</f>
        <v>105726.157894737</v>
      </c>
      <c r="X270" s="161" t="n">
        <f aca="false">U270/V270</f>
        <v>13982.7284591562</v>
      </c>
      <c r="Y270" s="156" t="n">
        <f aca="false">104577.48/V271/19</f>
        <v>225.179207822937</v>
      </c>
      <c r="Z270" s="186" t="s">
        <v>1938</v>
      </c>
      <c r="AA270" s="62" t="s">
        <v>80</v>
      </c>
      <c r="AB270" s="38" t="n">
        <v>43880</v>
      </c>
      <c r="AC270" s="38" t="n">
        <v>43991</v>
      </c>
      <c r="AD270" s="50" t="n">
        <v>43997</v>
      </c>
      <c r="AE270" s="38" t="n">
        <v>45822</v>
      </c>
      <c r="AF270" s="28" t="n">
        <f aca="false">YEAR(AE270)</f>
        <v>2025</v>
      </c>
      <c r="AG270" s="63" t="n">
        <f aca="false">X270/SUMIF($Z$2:$Z$380,Z270,$X$2:$X$380)*(VLOOKUP(Z270,'затраты по департаментам-2 '!$A$2:$C$182,2,FALSE())+VLOOKUP(Z270,'затраты по департаментам-2 '!$A$2:$C$182,3,FALSE()))</f>
        <v>8234.48837919387</v>
      </c>
      <c r="AH270" s="153" t="n">
        <f aca="false">W270/60</f>
        <v>1762.10263157895</v>
      </c>
      <c r="AI270" s="64" t="s">
        <v>81</v>
      </c>
      <c r="AJ270" s="63" t="s">
        <v>52</v>
      </c>
      <c r="AK270" s="43" t="n">
        <v>134324</v>
      </c>
      <c r="AL270" s="43"/>
      <c r="AM270" s="43" t="s">
        <v>2033</v>
      </c>
      <c r="AN270" s="74" t="s">
        <v>2034</v>
      </c>
      <c r="AO270" s="65" t="n">
        <v>44825</v>
      </c>
      <c r="AP270" s="43" t="s">
        <v>2035</v>
      </c>
      <c r="AQ270" s="64" t="s">
        <v>2036</v>
      </c>
      <c r="AR270" s="64"/>
    </row>
    <row r="271" customFormat="false" ht="14.25" hidden="false" customHeight="false" outlineLevel="0" collapsed="false">
      <c r="A271" s="26" t="n">
        <v>270</v>
      </c>
      <c r="B271" s="43" t="s">
        <v>2037</v>
      </c>
      <c r="C271" s="43" t="s">
        <v>1336</v>
      </c>
      <c r="D271" s="28" t="s">
        <v>73</v>
      </c>
      <c r="E271" s="43" t="n">
        <v>4.9</v>
      </c>
      <c r="F271" s="43" t="n">
        <v>1.5</v>
      </c>
      <c r="G271" s="43" t="n">
        <v>103</v>
      </c>
      <c r="H271" s="43" t="n">
        <v>2020</v>
      </c>
      <c r="I271" s="43" t="s">
        <v>1292</v>
      </c>
      <c r="J271" s="43" t="s">
        <v>74</v>
      </c>
      <c r="K271" s="30" t="s">
        <v>2038</v>
      </c>
      <c r="L271" s="35"/>
      <c r="M271" s="31" t="s">
        <v>2039</v>
      </c>
      <c r="N271" s="84" t="s">
        <v>179</v>
      </c>
      <c r="O271" s="28" t="s">
        <v>2040</v>
      </c>
      <c r="P271" s="56" t="s">
        <v>91</v>
      </c>
      <c r="Q271" s="57" t="n">
        <v>7081</v>
      </c>
      <c r="R271" s="58" t="s">
        <v>171</v>
      </c>
      <c r="S271" s="57" t="n">
        <v>4138</v>
      </c>
      <c r="T271" s="35" t="s">
        <v>172</v>
      </c>
      <c r="U271" s="155" t="n">
        <v>341781.23</v>
      </c>
      <c r="V271" s="60" t="n">
        <v>24.4431</v>
      </c>
      <c r="W271" s="146" t="n">
        <f aca="false">2008797/19</f>
        <v>105726.157894737</v>
      </c>
      <c r="X271" s="161" t="n">
        <f aca="false">U271/V271</f>
        <v>13982.7284591562</v>
      </c>
      <c r="Y271" s="156" t="n">
        <f aca="false">104577.48/V272/19</f>
        <v>225.179207822937</v>
      </c>
      <c r="Z271" s="186" t="s">
        <v>1938</v>
      </c>
      <c r="AA271" s="62" t="s">
        <v>80</v>
      </c>
      <c r="AB271" s="38" t="n">
        <v>43880</v>
      </c>
      <c r="AC271" s="38" t="n">
        <v>43991</v>
      </c>
      <c r="AD271" s="50" t="n">
        <v>43997</v>
      </c>
      <c r="AE271" s="38" t="n">
        <v>45822</v>
      </c>
      <c r="AF271" s="28" t="n">
        <f aca="false">YEAR(AE271)</f>
        <v>2025</v>
      </c>
      <c r="AG271" s="63" t="n">
        <f aca="false">X271/SUMIF($Z$2:$Z$380,Z271,$X$2:$X$380)*(VLOOKUP(Z271,'затраты по департаментам-2 '!$A$2:$C$182,2,FALSE())+VLOOKUP(Z271,'затраты по департаментам-2 '!$A$2:$C$182,3,FALSE()))</f>
        <v>8234.48837919387</v>
      </c>
      <c r="AH271" s="153" t="n">
        <f aca="false">W271/60</f>
        <v>1762.10263157895</v>
      </c>
      <c r="AI271" s="64" t="s">
        <v>81</v>
      </c>
      <c r="AJ271" s="63" t="s">
        <v>82</v>
      </c>
      <c r="AK271" s="43" t="n">
        <v>138069</v>
      </c>
      <c r="AL271" s="43"/>
      <c r="AM271" s="43" t="s">
        <v>2041</v>
      </c>
      <c r="AN271" s="74" t="s">
        <v>2042</v>
      </c>
      <c r="AO271" s="65" t="n">
        <v>44764</v>
      </c>
      <c r="AP271" s="43" t="s">
        <v>2043</v>
      </c>
      <c r="AQ271" s="64" t="s">
        <v>2044</v>
      </c>
      <c r="AR271" s="64"/>
    </row>
    <row r="272" customFormat="false" ht="14.25" hidden="false" customHeight="false" outlineLevel="0" collapsed="false">
      <c r="A272" s="26" t="n">
        <v>271</v>
      </c>
      <c r="B272" s="43" t="s">
        <v>2045</v>
      </c>
      <c r="C272" s="43" t="s">
        <v>1336</v>
      </c>
      <c r="D272" s="28" t="s">
        <v>73</v>
      </c>
      <c r="E272" s="43" t="n">
        <v>4.9</v>
      </c>
      <c r="F272" s="43" t="n">
        <v>1.5</v>
      </c>
      <c r="G272" s="43" t="n">
        <v>103</v>
      </c>
      <c r="H272" s="43" t="n">
        <v>2020</v>
      </c>
      <c r="I272" s="43" t="s">
        <v>1292</v>
      </c>
      <c r="J272" s="43" t="s">
        <v>74</v>
      </c>
      <c r="K272" s="30" t="s">
        <v>2046</v>
      </c>
      <c r="L272" s="69"/>
      <c r="M272" s="31" t="s">
        <v>2047</v>
      </c>
      <c r="N272" s="84" t="s">
        <v>179</v>
      </c>
      <c r="O272" s="192" t="s">
        <v>2048</v>
      </c>
      <c r="P272" s="56" t="s">
        <v>91</v>
      </c>
      <c r="Q272" s="87" t="n">
        <v>7031</v>
      </c>
      <c r="R272" s="58" t="s">
        <v>171</v>
      </c>
      <c r="S272" s="69" t="n">
        <v>4133</v>
      </c>
      <c r="T272" s="35" t="s">
        <v>172</v>
      </c>
      <c r="U272" s="155" t="n">
        <v>341781.23</v>
      </c>
      <c r="V272" s="60" t="n">
        <v>24.4431</v>
      </c>
      <c r="W272" s="146" t="n">
        <f aca="false">2008797/19</f>
        <v>105726.157894737</v>
      </c>
      <c r="X272" s="161" t="n">
        <f aca="false">U272/V272</f>
        <v>13982.7284591562</v>
      </c>
      <c r="Y272" s="156" t="n">
        <f aca="false">104577.48/V273/19</f>
        <v>225.179207822937</v>
      </c>
      <c r="Z272" s="186" t="s">
        <v>1938</v>
      </c>
      <c r="AA272" s="62" t="s">
        <v>80</v>
      </c>
      <c r="AB272" s="38" t="n">
        <v>43880</v>
      </c>
      <c r="AC272" s="38" t="n">
        <v>43991</v>
      </c>
      <c r="AD272" s="50" t="n">
        <v>43997</v>
      </c>
      <c r="AE272" s="38" t="n">
        <v>45822</v>
      </c>
      <c r="AF272" s="28" t="n">
        <f aca="false">YEAR(AE272)</f>
        <v>2025</v>
      </c>
      <c r="AG272" s="63" t="n">
        <f aca="false">X272/SUMIF($Z$2:$Z$380,Z272,$X$2:$X$380)*(VLOOKUP(Z272,'затраты по департаментам-2 '!$A$2:$C$182,2,FALSE())+VLOOKUP(Z272,'затраты по департаментам-2 '!$A$2:$C$182,3,FALSE()))</f>
        <v>8234.48837919387</v>
      </c>
      <c r="AH272" s="153" t="n">
        <f aca="false">W272/60</f>
        <v>1762.10263157895</v>
      </c>
      <c r="AI272" s="64" t="s">
        <v>81</v>
      </c>
      <c r="AJ272" s="63" t="s">
        <v>82</v>
      </c>
      <c r="AK272" s="43" t="n">
        <v>134258</v>
      </c>
      <c r="AL272" s="43"/>
      <c r="AM272" s="43" t="s">
        <v>2049</v>
      </c>
      <c r="AN272" s="78" t="s">
        <v>2050</v>
      </c>
      <c r="AO272" s="65" t="n">
        <v>44981</v>
      </c>
      <c r="AP272" s="43" t="s">
        <v>2051</v>
      </c>
      <c r="AQ272" s="66" t="s">
        <v>2052</v>
      </c>
      <c r="AR272" s="64"/>
    </row>
    <row r="273" customFormat="false" ht="12.75" hidden="false" customHeight="false" outlineLevel="0" collapsed="false">
      <c r="A273" s="26" t="n">
        <v>272</v>
      </c>
      <c r="B273" s="43" t="s">
        <v>2053</v>
      </c>
      <c r="C273" s="43" t="s">
        <v>1336</v>
      </c>
      <c r="D273" s="28" t="s">
        <v>73</v>
      </c>
      <c r="E273" s="43" t="n">
        <v>4.9</v>
      </c>
      <c r="F273" s="43" t="n">
        <v>1.5</v>
      </c>
      <c r="G273" s="43" t="n">
        <v>103</v>
      </c>
      <c r="H273" s="43" t="n">
        <v>2020</v>
      </c>
      <c r="I273" s="43" t="s">
        <v>1292</v>
      </c>
      <c r="J273" s="43" t="s">
        <v>74</v>
      </c>
      <c r="K273" s="30" t="s">
        <v>2054</v>
      </c>
      <c r="L273" s="69"/>
      <c r="M273" s="31" t="s">
        <v>2055</v>
      </c>
      <c r="N273" s="130" t="s">
        <v>227</v>
      </c>
      <c r="O273" s="57" t="s">
        <v>52</v>
      </c>
      <c r="P273" s="48" t="s">
        <v>228</v>
      </c>
      <c r="Q273" s="87" t="n">
        <v>1000</v>
      </c>
      <c r="R273" s="58" t="s">
        <v>189</v>
      </c>
      <c r="S273" s="69" t="n">
        <v>4171</v>
      </c>
      <c r="T273" s="35" t="s">
        <v>172</v>
      </c>
      <c r="U273" s="155" t="n">
        <v>341781.23</v>
      </c>
      <c r="V273" s="60" t="n">
        <v>24.4431</v>
      </c>
      <c r="W273" s="146" t="n">
        <f aca="false">2008797/19</f>
        <v>105726.157894737</v>
      </c>
      <c r="X273" s="161" t="n">
        <f aca="false">U273/V273</f>
        <v>13982.7284591562</v>
      </c>
      <c r="Y273" s="156" t="n">
        <f aca="false">104577.48/V274/19</f>
        <v>225.179207822937</v>
      </c>
      <c r="Z273" s="186" t="s">
        <v>1938</v>
      </c>
      <c r="AA273" s="62" t="s">
        <v>80</v>
      </c>
      <c r="AB273" s="38" t="n">
        <v>43880</v>
      </c>
      <c r="AC273" s="38" t="n">
        <v>43991</v>
      </c>
      <c r="AD273" s="50" t="n">
        <v>43997</v>
      </c>
      <c r="AE273" s="38" t="n">
        <v>45822</v>
      </c>
      <c r="AF273" s="28" t="n">
        <f aca="false">YEAR(AE273)</f>
        <v>2025</v>
      </c>
      <c r="AG273" s="63" t="n">
        <f aca="false">X273/SUMIF($Z$2:$Z$380,Z273,$X$2:$X$380)*(VLOOKUP(Z273,'затраты по департаментам-2 '!$A$2:$C$182,2,FALSE())+VLOOKUP(Z273,'затраты по департаментам-2 '!$A$2:$C$182,3,FALSE()))</f>
        <v>8234.48837919387</v>
      </c>
      <c r="AH273" s="153" t="n">
        <f aca="false">W273/60</f>
        <v>1762.10263157895</v>
      </c>
      <c r="AI273" s="64" t="s">
        <v>81</v>
      </c>
      <c r="AJ273" s="63" t="s">
        <v>52</v>
      </c>
      <c r="AK273" s="43" t="n">
        <v>134308</v>
      </c>
      <c r="AL273" s="43"/>
      <c r="AM273" s="43" t="s">
        <v>2056</v>
      </c>
      <c r="AN273" s="74" t="s">
        <v>2057</v>
      </c>
      <c r="AO273" s="65" t="n">
        <v>44813</v>
      </c>
      <c r="AP273" s="43" t="s">
        <v>2058</v>
      </c>
      <c r="AQ273" s="66" t="s">
        <v>2059</v>
      </c>
      <c r="AR273" s="64"/>
    </row>
    <row r="274" customFormat="false" ht="12.75" hidden="false" customHeight="false" outlineLevel="0" collapsed="false">
      <c r="A274" s="26" t="n">
        <v>273</v>
      </c>
      <c r="B274" s="43" t="s">
        <v>2060</v>
      </c>
      <c r="C274" s="43" t="s">
        <v>1336</v>
      </c>
      <c r="D274" s="28" t="s">
        <v>73</v>
      </c>
      <c r="E274" s="43" t="n">
        <v>4.9</v>
      </c>
      <c r="F274" s="43" t="n">
        <v>1.5</v>
      </c>
      <c r="G274" s="43" t="n">
        <v>103</v>
      </c>
      <c r="H274" s="43" t="n">
        <v>2020</v>
      </c>
      <c r="I274" s="43" t="s">
        <v>1292</v>
      </c>
      <c r="J274" s="43" t="s">
        <v>74</v>
      </c>
      <c r="K274" s="30" t="s">
        <v>2061</v>
      </c>
      <c r="L274" s="69"/>
      <c r="M274" s="31" t="s">
        <v>2062</v>
      </c>
      <c r="N274" s="130" t="s">
        <v>227</v>
      </c>
      <c r="O274" s="57" t="s">
        <v>754</v>
      </c>
      <c r="P274" s="48" t="s">
        <v>228</v>
      </c>
      <c r="Q274" s="87" t="n">
        <v>1000</v>
      </c>
      <c r="R274" s="58" t="s">
        <v>189</v>
      </c>
      <c r="S274" s="69" t="n">
        <v>4174</v>
      </c>
      <c r="T274" s="35" t="s">
        <v>172</v>
      </c>
      <c r="U274" s="155" t="n">
        <v>341781.23</v>
      </c>
      <c r="V274" s="60" t="n">
        <v>24.4431</v>
      </c>
      <c r="W274" s="146" t="n">
        <f aca="false">2008797/19</f>
        <v>105726.157894737</v>
      </c>
      <c r="X274" s="161" t="n">
        <f aca="false">U274/V274</f>
        <v>13982.7284591562</v>
      </c>
      <c r="Y274" s="156" t="n">
        <f aca="false">104577.48/V275/19</f>
        <v>225.179207822937</v>
      </c>
      <c r="Z274" s="186" t="s">
        <v>1938</v>
      </c>
      <c r="AA274" s="62" t="s">
        <v>80</v>
      </c>
      <c r="AB274" s="38" t="n">
        <v>43880</v>
      </c>
      <c r="AC274" s="38" t="n">
        <v>43991</v>
      </c>
      <c r="AD274" s="50" t="n">
        <v>43997</v>
      </c>
      <c r="AE274" s="38" t="n">
        <v>45822</v>
      </c>
      <c r="AF274" s="28" t="n">
        <f aca="false">YEAR(AE274)</f>
        <v>2025</v>
      </c>
      <c r="AG274" s="63" t="n">
        <f aca="false">X274/SUMIF($Z$2:$Z$380,Z274,$X$2:$X$380)*(VLOOKUP(Z274,'затраты по департаментам-2 '!$A$2:$C$182,2,FALSE())+VLOOKUP(Z274,'затраты по департаментам-2 '!$A$2:$C$182,3,FALSE()))</f>
        <v>8234.48837919387</v>
      </c>
      <c r="AH274" s="153" t="n">
        <f aca="false">W274/60</f>
        <v>1762.10263157895</v>
      </c>
      <c r="AI274" s="64" t="s">
        <v>81</v>
      </c>
      <c r="AJ274" s="63" t="s">
        <v>197</v>
      </c>
      <c r="AK274" s="43" t="n">
        <v>179658</v>
      </c>
      <c r="AL274" s="43"/>
      <c r="AM274" s="43" t="s">
        <v>2063</v>
      </c>
      <c r="AN274" s="78" t="s">
        <v>2064</v>
      </c>
      <c r="AO274" s="65" t="n">
        <v>44350</v>
      </c>
      <c r="AP274" s="43" t="s">
        <v>2065</v>
      </c>
      <c r="AQ274" s="66" t="s">
        <v>2066</v>
      </c>
      <c r="AR274" s="64"/>
    </row>
    <row r="275" customFormat="false" ht="14.25" hidden="false" customHeight="false" outlineLevel="0" collapsed="false">
      <c r="A275" s="26" t="n">
        <v>274</v>
      </c>
      <c r="B275" s="43" t="s">
        <v>2067</v>
      </c>
      <c r="C275" s="43" t="s">
        <v>1336</v>
      </c>
      <c r="D275" s="28" t="s">
        <v>73</v>
      </c>
      <c r="E275" s="43" t="n">
        <v>4.9</v>
      </c>
      <c r="F275" s="43" t="n">
        <v>1.5</v>
      </c>
      <c r="G275" s="43" t="n">
        <v>103</v>
      </c>
      <c r="H275" s="43" t="n">
        <v>2020</v>
      </c>
      <c r="I275" s="43" t="s">
        <v>1292</v>
      </c>
      <c r="J275" s="43" t="s">
        <v>74</v>
      </c>
      <c r="K275" s="30" t="s">
        <v>2068</v>
      </c>
      <c r="L275" s="122"/>
      <c r="M275" s="31" t="s">
        <v>2069</v>
      </c>
      <c r="N275" s="92" t="s">
        <v>179</v>
      </c>
      <c r="O275" s="28" t="s">
        <v>1239</v>
      </c>
      <c r="P275" s="56" t="s">
        <v>327</v>
      </c>
      <c r="Q275" s="87" t="n">
        <v>7050</v>
      </c>
      <c r="R275" s="58" t="s">
        <v>92</v>
      </c>
      <c r="S275" s="69" t="n">
        <v>4131</v>
      </c>
      <c r="T275" s="35" t="s">
        <v>172</v>
      </c>
      <c r="U275" s="155" t="n">
        <v>341781.23</v>
      </c>
      <c r="V275" s="60" t="n">
        <v>24.4431</v>
      </c>
      <c r="W275" s="146" t="n">
        <f aca="false">2008797/19</f>
        <v>105726.157894737</v>
      </c>
      <c r="X275" s="161" t="n">
        <f aca="false">U275/V275</f>
        <v>13982.7284591562</v>
      </c>
      <c r="Y275" s="156" t="n">
        <f aca="false">104577.48/V275/19</f>
        <v>225.179207822937</v>
      </c>
      <c r="Z275" s="186" t="s">
        <v>1938</v>
      </c>
      <c r="AA275" s="62" t="s">
        <v>80</v>
      </c>
      <c r="AB275" s="38" t="n">
        <v>43880</v>
      </c>
      <c r="AC275" s="38" t="n">
        <v>43991</v>
      </c>
      <c r="AD275" s="50" t="n">
        <v>43997</v>
      </c>
      <c r="AE275" s="38" t="n">
        <v>45822</v>
      </c>
      <c r="AF275" s="28" t="n">
        <f aca="false">YEAR(AE275)</f>
        <v>2025</v>
      </c>
      <c r="AG275" s="63" t="n">
        <f aca="false">X275/SUMIF($Z$2:$Z$380,Z275,$X$2:$X$380)*(VLOOKUP(Z275,'затраты по департаментам-2 '!$A$2:$C$182,2,FALSE())+VLOOKUP(Z275,'затраты по департаментам-2 '!$A$2:$C$182,3,FALSE()))</f>
        <v>8234.48837919387</v>
      </c>
      <c r="AH275" s="153" t="n">
        <f aca="false">W275/60</f>
        <v>1762.10263157895</v>
      </c>
      <c r="AI275" s="64" t="s">
        <v>81</v>
      </c>
      <c r="AJ275" s="63" t="s">
        <v>52</v>
      </c>
      <c r="AK275" s="43" t="n">
        <v>148415</v>
      </c>
      <c r="AL275" s="43"/>
      <c r="AM275" s="43" t="s">
        <v>2070</v>
      </c>
      <c r="AN275" s="74" t="s">
        <v>2071</v>
      </c>
      <c r="AO275" s="65" t="n">
        <v>44895</v>
      </c>
      <c r="AP275" s="43" t="s">
        <v>2072</v>
      </c>
      <c r="AQ275" s="66" t="s">
        <v>2073</v>
      </c>
      <c r="AR275" s="64"/>
    </row>
    <row r="276" customFormat="false" ht="14.25" hidden="false" customHeight="false" outlineLevel="0" collapsed="false">
      <c r="A276" s="26" t="n">
        <v>275</v>
      </c>
      <c r="B276" s="43" t="s">
        <v>2074</v>
      </c>
      <c r="C276" s="43" t="s">
        <v>1336</v>
      </c>
      <c r="D276" s="28" t="s">
        <v>73</v>
      </c>
      <c r="E276" s="43" t="n">
        <v>4.9</v>
      </c>
      <c r="F276" s="43" t="n">
        <v>1.5</v>
      </c>
      <c r="G276" s="43" t="n">
        <v>103</v>
      </c>
      <c r="H276" s="43" t="n">
        <v>2020</v>
      </c>
      <c r="I276" s="43" t="s">
        <v>1292</v>
      </c>
      <c r="J276" s="43" t="s">
        <v>74</v>
      </c>
      <c r="K276" s="30" t="s">
        <v>2075</v>
      </c>
      <c r="L276" s="69"/>
      <c r="M276" s="31" t="s">
        <v>2076</v>
      </c>
      <c r="N276" s="84" t="s">
        <v>179</v>
      </c>
      <c r="O276" s="28" t="s">
        <v>60</v>
      </c>
      <c r="P276" s="56" t="s">
        <v>91</v>
      </c>
      <c r="Q276" s="87" t="n">
        <v>7070</v>
      </c>
      <c r="R276" s="58" t="s">
        <v>171</v>
      </c>
      <c r="S276" s="69" t="n">
        <v>4138</v>
      </c>
      <c r="T276" s="35" t="s">
        <v>172</v>
      </c>
      <c r="U276" s="155" t="n">
        <v>341781.23</v>
      </c>
      <c r="V276" s="60" t="n">
        <v>24.4431</v>
      </c>
      <c r="W276" s="146" t="n">
        <f aca="false">1790391.61086883/17</f>
        <v>105317.153580519</v>
      </c>
      <c r="X276" s="161" t="n">
        <f aca="false">U276/V276</f>
        <v>13982.7284591562</v>
      </c>
      <c r="Y276" s="156" t="n">
        <f aca="false">93571.44/V276/17</f>
        <v>225.184299574979</v>
      </c>
      <c r="Z276" s="28" t="n">
        <v>5.11</v>
      </c>
      <c r="AA276" s="62" t="s">
        <v>80</v>
      </c>
      <c r="AB276" s="38" t="n">
        <v>43880</v>
      </c>
      <c r="AC276" s="38" t="n">
        <v>44027</v>
      </c>
      <c r="AD276" s="38" t="n">
        <v>44026</v>
      </c>
      <c r="AE276" s="50" t="n">
        <v>45851</v>
      </c>
      <c r="AF276" s="28" t="n">
        <f aca="false">YEAR(AE276)</f>
        <v>2025</v>
      </c>
      <c r="AG276" s="63" t="n">
        <f aca="false">X276/SUMIF($Z$2:$Z$380,Z276,$X$2:$X$380)*(VLOOKUP(Z276,'затраты по департаментам-2 '!$A$2:$C$182,2,FALSE())+VLOOKUP(Z276,'затраты по департаментам-2 '!$A$2:$C$182,3,FALSE()))</f>
        <v>8234.67457743759</v>
      </c>
      <c r="AH276" s="153" t="n">
        <f aca="false">W276/60</f>
        <v>1755.28589300866</v>
      </c>
      <c r="AI276" s="64" t="s">
        <v>81</v>
      </c>
      <c r="AJ276" s="63" t="s">
        <v>82</v>
      </c>
      <c r="AK276" s="43" t="n">
        <v>803695</v>
      </c>
      <c r="AL276" s="43"/>
      <c r="AM276" s="43" t="s">
        <v>2077</v>
      </c>
      <c r="AN276" s="78" t="s">
        <v>2078</v>
      </c>
      <c r="AO276" s="65" t="n">
        <v>44372</v>
      </c>
      <c r="AP276" s="43" t="s">
        <v>2079</v>
      </c>
      <c r="AQ276" s="66" t="s">
        <v>2080</v>
      </c>
      <c r="AR276" s="64"/>
    </row>
    <row r="277" customFormat="false" ht="14.25" hidden="false" customHeight="false" outlineLevel="0" collapsed="false">
      <c r="A277" s="26" t="n">
        <v>276</v>
      </c>
      <c r="B277" s="43" t="s">
        <v>2081</v>
      </c>
      <c r="C277" s="43" t="s">
        <v>1336</v>
      </c>
      <c r="D277" s="28" t="s">
        <v>73</v>
      </c>
      <c r="E277" s="43" t="n">
        <v>4.9</v>
      </c>
      <c r="F277" s="43" t="n">
        <v>1.5</v>
      </c>
      <c r="G277" s="43" t="n">
        <v>103</v>
      </c>
      <c r="H277" s="43" t="n">
        <v>2020</v>
      </c>
      <c r="I277" s="43" t="s">
        <v>1292</v>
      </c>
      <c r="J277" s="43" t="s">
        <v>74</v>
      </c>
      <c r="K277" s="30" t="s">
        <v>2082</v>
      </c>
      <c r="L277" s="193"/>
      <c r="M277" s="31" t="s">
        <v>2083</v>
      </c>
      <c r="N277" s="92" t="s">
        <v>179</v>
      </c>
      <c r="O277" s="28" t="s">
        <v>2084</v>
      </c>
      <c r="P277" s="56" t="s">
        <v>198</v>
      </c>
      <c r="Q277" s="57" t="n">
        <v>7032</v>
      </c>
      <c r="R277" s="58" t="s">
        <v>171</v>
      </c>
      <c r="S277" s="69" t="n">
        <v>4134</v>
      </c>
      <c r="T277" s="35" t="s">
        <v>172</v>
      </c>
      <c r="U277" s="155" t="n">
        <v>341781.23</v>
      </c>
      <c r="V277" s="60" t="n">
        <v>24.4431</v>
      </c>
      <c r="W277" s="146" t="n">
        <f aca="false">1790391.61086883/17</f>
        <v>105317.153580519</v>
      </c>
      <c r="X277" s="161" t="n">
        <f aca="false">U277/V277</f>
        <v>13982.7284591562</v>
      </c>
      <c r="Y277" s="156" t="n">
        <f aca="false">93571.44/V277/17</f>
        <v>225.184299574979</v>
      </c>
      <c r="Z277" s="28" t="n">
        <v>5.11</v>
      </c>
      <c r="AA277" s="62" t="s">
        <v>80</v>
      </c>
      <c r="AB277" s="38" t="n">
        <v>43880</v>
      </c>
      <c r="AC277" s="38" t="n">
        <v>44027</v>
      </c>
      <c r="AD277" s="38" t="n">
        <v>44026</v>
      </c>
      <c r="AE277" s="50" t="n">
        <v>45851</v>
      </c>
      <c r="AF277" s="28" t="n">
        <f aca="false">YEAR(AE277)</f>
        <v>2025</v>
      </c>
      <c r="AG277" s="63" t="n">
        <f aca="false">X277/SUMIF($Z$2:$Z$380,Z277,$X$2:$X$380)*(VLOOKUP(Z277,'затраты по департаментам-2 '!$A$2:$C$182,2,FALSE())+VLOOKUP(Z277,'затраты по департаментам-2 '!$A$2:$C$182,3,FALSE()))</f>
        <v>8234.67457743759</v>
      </c>
      <c r="AH277" s="153" t="n">
        <f aca="false">W277/60</f>
        <v>1755.28589300866</v>
      </c>
      <c r="AI277" s="64" t="s">
        <v>81</v>
      </c>
      <c r="AJ277" s="63" t="s">
        <v>197</v>
      </c>
      <c r="AK277" s="43" t="n">
        <v>123467</v>
      </c>
      <c r="AL277" s="43"/>
      <c r="AM277" s="43" t="s">
        <v>2085</v>
      </c>
      <c r="AN277" s="74" t="s">
        <v>2086</v>
      </c>
      <c r="AO277" s="65" t="n">
        <v>44874</v>
      </c>
      <c r="AP277" s="43" t="s">
        <v>2087</v>
      </c>
      <c r="AQ277" s="66" t="s">
        <v>2088</v>
      </c>
      <c r="AR277" s="64"/>
    </row>
    <row r="278" customFormat="false" ht="14.25" hidden="false" customHeight="false" outlineLevel="0" collapsed="false">
      <c r="A278" s="26" t="n">
        <v>277</v>
      </c>
      <c r="B278" s="43" t="s">
        <v>2089</v>
      </c>
      <c r="C278" s="43" t="s">
        <v>1336</v>
      </c>
      <c r="D278" s="28" t="s">
        <v>73</v>
      </c>
      <c r="E278" s="43" t="n">
        <v>4.9</v>
      </c>
      <c r="F278" s="43" t="n">
        <v>1.5</v>
      </c>
      <c r="G278" s="43" t="n">
        <v>103</v>
      </c>
      <c r="H278" s="43" t="n">
        <v>2020</v>
      </c>
      <c r="I278" s="43" t="s">
        <v>1292</v>
      </c>
      <c r="J278" s="43" t="s">
        <v>74</v>
      </c>
      <c r="K278" s="30" t="s">
        <v>2090</v>
      </c>
      <c r="L278" s="35"/>
      <c r="M278" s="31" t="s">
        <v>2091</v>
      </c>
      <c r="N278" s="84" t="s">
        <v>179</v>
      </c>
      <c r="O278" s="57" t="s">
        <v>313</v>
      </c>
      <c r="P278" s="56" t="s">
        <v>181</v>
      </c>
      <c r="Q278" s="136" t="n">
        <v>7073</v>
      </c>
      <c r="R278" s="89" t="s">
        <v>171</v>
      </c>
      <c r="S278" s="69" t="n">
        <v>4133</v>
      </c>
      <c r="T278" s="35" t="s">
        <v>172</v>
      </c>
      <c r="U278" s="155" t="n">
        <v>341781.23</v>
      </c>
      <c r="V278" s="60" t="n">
        <v>24.4431</v>
      </c>
      <c r="W278" s="146" t="n">
        <f aca="false">1790391.61086883/17</f>
        <v>105317.153580519</v>
      </c>
      <c r="X278" s="161" t="n">
        <f aca="false">U278/V278</f>
        <v>13982.7284591562</v>
      </c>
      <c r="Y278" s="156" t="n">
        <f aca="false">93571.44/V278/17</f>
        <v>225.184299574979</v>
      </c>
      <c r="Z278" s="28" t="n">
        <v>5.11</v>
      </c>
      <c r="AA278" s="62" t="s">
        <v>80</v>
      </c>
      <c r="AB278" s="38" t="n">
        <v>43880</v>
      </c>
      <c r="AC278" s="38" t="n">
        <v>44027</v>
      </c>
      <c r="AD278" s="38" t="n">
        <v>44026</v>
      </c>
      <c r="AE278" s="50" t="n">
        <v>45851</v>
      </c>
      <c r="AF278" s="28" t="n">
        <f aca="false">YEAR(AE278)</f>
        <v>2025</v>
      </c>
      <c r="AG278" s="63" t="n">
        <f aca="false">X278/SUMIF($Z$2:$Z$380,Z278,$X$2:$X$380)*(VLOOKUP(Z278,'затраты по департаментам-2 '!$A$2:$C$182,2,FALSE())+VLOOKUP(Z278,'затраты по департаментам-2 '!$A$2:$C$182,3,FALSE()))</f>
        <v>8234.67457743759</v>
      </c>
      <c r="AH278" s="153" t="n">
        <f aca="false">W278/60</f>
        <v>1755.28589300866</v>
      </c>
      <c r="AI278" s="64" t="s">
        <v>81</v>
      </c>
      <c r="AJ278" s="63" t="s">
        <v>82</v>
      </c>
      <c r="AK278" s="43" t="n">
        <v>995827</v>
      </c>
      <c r="AL278" s="43"/>
      <c r="AM278" s="43" t="s">
        <v>2092</v>
      </c>
      <c r="AN278" s="74" t="s">
        <v>2093</v>
      </c>
      <c r="AO278" s="65" t="n">
        <v>44924</v>
      </c>
      <c r="AP278" s="43" t="s">
        <v>2094</v>
      </c>
      <c r="AQ278" s="66" t="s">
        <v>2095</v>
      </c>
      <c r="AR278" s="64"/>
    </row>
    <row r="279" customFormat="false" ht="14.25" hidden="false" customHeight="false" outlineLevel="0" collapsed="false">
      <c r="A279" s="26" t="n">
        <v>278</v>
      </c>
      <c r="B279" s="43" t="s">
        <v>2096</v>
      </c>
      <c r="C279" s="43" t="s">
        <v>1336</v>
      </c>
      <c r="D279" s="28" t="s">
        <v>73</v>
      </c>
      <c r="E279" s="43" t="n">
        <v>4.9</v>
      </c>
      <c r="F279" s="43" t="n">
        <v>1.5</v>
      </c>
      <c r="G279" s="43" t="n">
        <v>103</v>
      </c>
      <c r="H279" s="43" t="n">
        <v>2020</v>
      </c>
      <c r="I279" s="43" t="s">
        <v>1292</v>
      </c>
      <c r="J279" s="43" t="s">
        <v>74</v>
      </c>
      <c r="K279" s="30" t="s">
        <v>2097</v>
      </c>
      <c r="L279" s="35"/>
      <c r="M279" s="31" t="s">
        <v>2098</v>
      </c>
      <c r="N279" s="32" t="s">
        <v>179</v>
      </c>
      <c r="O279" s="28" t="s">
        <v>313</v>
      </c>
      <c r="P279" s="56" t="s">
        <v>181</v>
      </c>
      <c r="Q279" s="87" t="n">
        <v>7073</v>
      </c>
      <c r="R279" s="58" t="s">
        <v>171</v>
      </c>
      <c r="S279" s="69" t="n">
        <v>4133</v>
      </c>
      <c r="T279" s="35" t="s">
        <v>172</v>
      </c>
      <c r="U279" s="155" t="n">
        <v>341781.23</v>
      </c>
      <c r="V279" s="60" t="n">
        <v>24.4431</v>
      </c>
      <c r="W279" s="146" t="n">
        <f aca="false">1790391.61086883/17</f>
        <v>105317.153580519</v>
      </c>
      <c r="X279" s="161" t="n">
        <f aca="false">U279/V279</f>
        <v>13982.7284591562</v>
      </c>
      <c r="Y279" s="156" t="n">
        <f aca="false">93571.44/V279/17</f>
        <v>225.184299574979</v>
      </c>
      <c r="Z279" s="28" t="n">
        <v>5.11</v>
      </c>
      <c r="AA279" s="62" t="s">
        <v>80</v>
      </c>
      <c r="AB279" s="38" t="n">
        <v>43880</v>
      </c>
      <c r="AC279" s="38" t="n">
        <v>44027</v>
      </c>
      <c r="AD279" s="38" t="n">
        <v>44026</v>
      </c>
      <c r="AE279" s="50" t="n">
        <v>45851</v>
      </c>
      <c r="AF279" s="28" t="n">
        <f aca="false">YEAR(AE279)</f>
        <v>2025</v>
      </c>
      <c r="AG279" s="63" t="n">
        <f aca="false">X279/SUMIF($Z$2:$Z$380,Z279,$X$2:$X$380)*(VLOOKUP(Z279,'затраты по департаментам-2 '!$A$2:$C$182,2,FALSE())+VLOOKUP(Z279,'затраты по департаментам-2 '!$A$2:$C$182,3,FALSE()))</f>
        <v>8234.67457743759</v>
      </c>
      <c r="AH279" s="153" t="n">
        <f aca="false">W279/60</f>
        <v>1755.28589300866</v>
      </c>
      <c r="AI279" s="64" t="s">
        <v>81</v>
      </c>
      <c r="AJ279" s="63" t="s">
        <v>82</v>
      </c>
      <c r="AK279" s="43" t="n">
        <v>803802</v>
      </c>
      <c r="AL279" s="43"/>
      <c r="AM279" s="43" t="s">
        <v>2099</v>
      </c>
      <c r="AN279" s="74" t="s">
        <v>2100</v>
      </c>
      <c r="AO279" s="65" t="n">
        <v>44924</v>
      </c>
      <c r="AP279" s="43" t="s">
        <v>2101</v>
      </c>
      <c r="AQ279" s="66" t="s">
        <v>2102</v>
      </c>
      <c r="AR279" s="64"/>
    </row>
    <row r="280" customFormat="false" ht="14.25" hidden="false" customHeight="false" outlineLevel="0" collapsed="false">
      <c r="A280" s="26" t="n">
        <v>279</v>
      </c>
      <c r="B280" s="43" t="s">
        <v>2103</v>
      </c>
      <c r="C280" s="43" t="s">
        <v>1336</v>
      </c>
      <c r="D280" s="28" t="s">
        <v>73</v>
      </c>
      <c r="E280" s="43" t="n">
        <v>4.9</v>
      </c>
      <c r="F280" s="43" t="n">
        <v>1.5</v>
      </c>
      <c r="G280" s="43" t="n">
        <v>103</v>
      </c>
      <c r="H280" s="43" t="n">
        <v>2020</v>
      </c>
      <c r="I280" s="43" t="s">
        <v>1292</v>
      </c>
      <c r="J280" s="43" t="s">
        <v>74</v>
      </c>
      <c r="K280" s="30" t="s">
        <v>2104</v>
      </c>
      <c r="L280" s="35"/>
      <c r="M280" s="31" t="s">
        <v>2105</v>
      </c>
      <c r="N280" s="32" t="s">
        <v>227</v>
      </c>
      <c r="O280" s="28" t="s">
        <v>60</v>
      </c>
      <c r="P280" s="48" t="s">
        <v>298</v>
      </c>
      <c r="Q280" s="87" t="n">
        <v>1000</v>
      </c>
      <c r="R280" s="58" t="s">
        <v>189</v>
      </c>
      <c r="S280" s="69" t="n">
        <v>4178</v>
      </c>
      <c r="T280" s="35" t="s">
        <v>172</v>
      </c>
      <c r="U280" s="155" t="n">
        <v>341781.23</v>
      </c>
      <c r="V280" s="60" t="n">
        <v>24.4431</v>
      </c>
      <c r="W280" s="146" t="n">
        <f aca="false">1790391.61086883/17</f>
        <v>105317.153580519</v>
      </c>
      <c r="X280" s="161" t="n">
        <f aca="false">U280/V280</f>
        <v>13982.7284591562</v>
      </c>
      <c r="Y280" s="156" t="n">
        <f aca="false">93571.44/V280/17</f>
        <v>225.184299574979</v>
      </c>
      <c r="Z280" s="28" t="n">
        <v>5.11</v>
      </c>
      <c r="AA280" s="62" t="s">
        <v>80</v>
      </c>
      <c r="AB280" s="38" t="n">
        <v>43880</v>
      </c>
      <c r="AC280" s="38" t="n">
        <v>44027</v>
      </c>
      <c r="AD280" s="38" t="n">
        <v>44026</v>
      </c>
      <c r="AE280" s="50" t="n">
        <v>45851</v>
      </c>
      <c r="AF280" s="28" t="n">
        <f aca="false">YEAR(AE280)</f>
        <v>2025</v>
      </c>
      <c r="AG280" s="63" t="n">
        <f aca="false">X280/SUMIF($Z$2:$Z$380,Z280,$X$2:$X$380)*(VLOOKUP(Z280,'затраты по департаментам-2 '!$A$2:$C$182,2,FALSE())+VLOOKUP(Z280,'затраты по департаментам-2 '!$A$2:$C$182,3,FALSE()))</f>
        <v>8234.67457743759</v>
      </c>
      <c r="AH280" s="153" t="n">
        <f aca="false">W280/60</f>
        <v>1755.28589300866</v>
      </c>
      <c r="AI280" s="64" t="s">
        <v>81</v>
      </c>
      <c r="AJ280" s="63" t="s">
        <v>60</v>
      </c>
      <c r="AK280" s="43" t="n">
        <v>803794</v>
      </c>
      <c r="AL280" s="43"/>
      <c r="AM280" s="43" t="s">
        <v>2106</v>
      </c>
      <c r="AN280" s="78" t="s">
        <v>2107</v>
      </c>
      <c r="AO280" s="65" t="n">
        <v>44372</v>
      </c>
      <c r="AP280" s="43" t="s">
        <v>2108</v>
      </c>
      <c r="AQ280" s="66" t="s">
        <v>2109</v>
      </c>
      <c r="AR280" s="64"/>
    </row>
    <row r="281" customFormat="false" ht="14.25" hidden="false" customHeight="false" outlineLevel="0" collapsed="false">
      <c r="A281" s="26" t="n">
        <v>280</v>
      </c>
      <c r="B281" s="43" t="s">
        <v>2110</v>
      </c>
      <c r="C281" s="43" t="s">
        <v>1336</v>
      </c>
      <c r="D281" s="28" t="s">
        <v>73</v>
      </c>
      <c r="E281" s="43" t="n">
        <v>4.9</v>
      </c>
      <c r="F281" s="43" t="n">
        <v>1.5</v>
      </c>
      <c r="G281" s="43" t="n">
        <v>103</v>
      </c>
      <c r="H281" s="43" t="n">
        <v>2020</v>
      </c>
      <c r="I281" s="43" t="s">
        <v>1292</v>
      </c>
      <c r="J281" s="43" t="s">
        <v>74</v>
      </c>
      <c r="K281" s="30" t="s">
        <v>2111</v>
      </c>
      <c r="L281" s="35"/>
      <c r="M281" s="31" t="s">
        <v>2112</v>
      </c>
      <c r="N281" s="84" t="s">
        <v>179</v>
      </c>
      <c r="O281" s="28" t="s">
        <v>169</v>
      </c>
      <c r="P281" s="56" t="s">
        <v>91</v>
      </c>
      <c r="Q281" s="87" t="n">
        <v>7083</v>
      </c>
      <c r="R281" s="97" t="s">
        <v>171</v>
      </c>
      <c r="S281" s="69" t="n">
        <v>4138</v>
      </c>
      <c r="T281" s="35" t="s">
        <v>172</v>
      </c>
      <c r="U281" s="155" t="n">
        <v>341781.23</v>
      </c>
      <c r="V281" s="60" t="n">
        <v>24.4431</v>
      </c>
      <c r="W281" s="146" t="n">
        <f aca="false">1790391.61086883/17</f>
        <v>105317.153580519</v>
      </c>
      <c r="X281" s="161" t="n">
        <f aca="false">U281/V281</f>
        <v>13982.7284591562</v>
      </c>
      <c r="Y281" s="156" t="n">
        <f aca="false">93571.44/V281/17</f>
        <v>225.184299574979</v>
      </c>
      <c r="Z281" s="28" t="n">
        <v>5.11</v>
      </c>
      <c r="AA281" s="62" t="s">
        <v>80</v>
      </c>
      <c r="AB281" s="38" t="n">
        <v>43880</v>
      </c>
      <c r="AC281" s="38" t="n">
        <v>44027</v>
      </c>
      <c r="AD281" s="38" t="n">
        <v>44026</v>
      </c>
      <c r="AE281" s="50" t="n">
        <v>45851</v>
      </c>
      <c r="AF281" s="28" t="n">
        <f aca="false">YEAR(AE281)</f>
        <v>2025</v>
      </c>
      <c r="AG281" s="63" t="n">
        <f aca="false">X281/SUMIF($Z$2:$Z$380,Z281,$X$2:$X$380)*(VLOOKUP(Z281,'затраты по департаментам-2 '!$A$2:$C$182,2,FALSE())+VLOOKUP(Z281,'затраты по департаментам-2 '!$A$2:$C$182,3,FALSE()))</f>
        <v>8234.67457743759</v>
      </c>
      <c r="AH281" s="153" t="n">
        <f aca="false">W281/60</f>
        <v>1755.28589300866</v>
      </c>
      <c r="AI281" s="64" t="s">
        <v>81</v>
      </c>
      <c r="AJ281" s="63" t="s">
        <v>82</v>
      </c>
      <c r="AK281" s="43" t="n">
        <v>798887</v>
      </c>
      <c r="AL281" s="43"/>
      <c r="AM281" s="43" t="s">
        <v>2113</v>
      </c>
      <c r="AN281" s="74" t="s">
        <v>2114</v>
      </c>
      <c r="AO281" s="65" t="n">
        <v>44818</v>
      </c>
      <c r="AP281" s="43" t="s">
        <v>2115</v>
      </c>
      <c r="AQ281" s="66" t="s">
        <v>2116</v>
      </c>
      <c r="AR281" s="64"/>
    </row>
    <row r="282" customFormat="false" ht="14.25" hidden="false" customHeight="false" outlineLevel="0" collapsed="false">
      <c r="A282" s="26" t="n">
        <v>281</v>
      </c>
      <c r="B282" s="26" t="s">
        <v>2117</v>
      </c>
      <c r="C282" s="43" t="s">
        <v>1336</v>
      </c>
      <c r="D282" s="28" t="s">
        <v>73</v>
      </c>
      <c r="E282" s="43" t="n">
        <v>4.9</v>
      </c>
      <c r="F282" s="43" t="n">
        <v>1.5</v>
      </c>
      <c r="G282" s="43" t="n">
        <v>103</v>
      </c>
      <c r="H282" s="43" t="n">
        <v>2020</v>
      </c>
      <c r="I282" s="43" t="s">
        <v>1292</v>
      </c>
      <c r="J282" s="43" t="s">
        <v>74</v>
      </c>
      <c r="K282" s="194" t="s">
        <v>2118</v>
      </c>
      <c r="L282" s="82"/>
      <c r="M282" s="31" t="s">
        <v>2119</v>
      </c>
      <c r="N282" s="32" t="s">
        <v>179</v>
      </c>
      <c r="O282" s="28" t="s">
        <v>52</v>
      </c>
      <c r="P282" s="56" t="s">
        <v>327</v>
      </c>
      <c r="Q282" s="87" t="n">
        <v>7011</v>
      </c>
      <c r="R282" s="58" t="s">
        <v>171</v>
      </c>
      <c r="S282" s="122" t="n">
        <v>4131</v>
      </c>
      <c r="T282" s="35" t="s">
        <v>172</v>
      </c>
      <c r="U282" s="155" t="n">
        <v>341781.23</v>
      </c>
      <c r="V282" s="60" t="n">
        <v>24.4431</v>
      </c>
      <c r="W282" s="146" t="n">
        <f aca="false">1790391.61086883/17</f>
        <v>105317.153580519</v>
      </c>
      <c r="X282" s="161" t="n">
        <f aca="false">U282/V282</f>
        <v>13982.7284591562</v>
      </c>
      <c r="Y282" s="156" t="n">
        <f aca="false">93571.44/V282/17</f>
        <v>225.184299574979</v>
      </c>
      <c r="Z282" s="28" t="n">
        <v>5.11</v>
      </c>
      <c r="AA282" s="62" t="s">
        <v>80</v>
      </c>
      <c r="AB282" s="38" t="n">
        <v>43880</v>
      </c>
      <c r="AC282" s="38" t="n">
        <v>44027</v>
      </c>
      <c r="AD282" s="38" t="n">
        <v>44026</v>
      </c>
      <c r="AE282" s="50" t="n">
        <v>45851</v>
      </c>
      <c r="AF282" s="28" t="n">
        <f aca="false">YEAR(AE282)</f>
        <v>2025</v>
      </c>
      <c r="AG282" s="63" t="n">
        <f aca="false">X282/SUMIF($Z$2:$Z$380,Z282,$X$2:$X$380)*(VLOOKUP(Z282,'затраты по департаментам-2 '!$A$2:$C$182,2,FALSE())+VLOOKUP(Z282,'затраты по департаментам-2 '!$A$2:$C$182,3,FALSE()))</f>
        <v>8234.67457743759</v>
      </c>
      <c r="AH282" s="153" t="n">
        <f aca="false">W282/60</f>
        <v>1755.28589300866</v>
      </c>
      <c r="AI282" s="64" t="s">
        <v>81</v>
      </c>
      <c r="AJ282" s="63" t="s">
        <v>52</v>
      </c>
      <c r="AK282" s="43" t="n">
        <v>803703</v>
      </c>
      <c r="AL282" s="43"/>
      <c r="AM282" s="43" t="s">
        <v>2120</v>
      </c>
      <c r="AN282" s="74" t="s">
        <v>2121</v>
      </c>
      <c r="AO282" s="65" t="n">
        <v>44813</v>
      </c>
      <c r="AP282" s="43" t="s">
        <v>2122</v>
      </c>
      <c r="AQ282" s="66" t="s">
        <v>2123</v>
      </c>
      <c r="AR282" s="64"/>
    </row>
    <row r="283" customFormat="false" ht="14.25" hidden="false" customHeight="false" outlineLevel="0" collapsed="false">
      <c r="A283" s="26" t="n">
        <v>282</v>
      </c>
      <c r="B283" s="43" t="s">
        <v>2124</v>
      </c>
      <c r="C283" s="43" t="s">
        <v>1336</v>
      </c>
      <c r="D283" s="28" t="s">
        <v>73</v>
      </c>
      <c r="E283" s="43" t="n">
        <v>4.9</v>
      </c>
      <c r="F283" s="43" t="n">
        <v>1.5</v>
      </c>
      <c r="G283" s="43" t="n">
        <v>103</v>
      </c>
      <c r="H283" s="43" t="n">
        <v>2020</v>
      </c>
      <c r="I283" s="43" t="s">
        <v>1292</v>
      </c>
      <c r="J283" s="43" t="s">
        <v>74</v>
      </c>
      <c r="K283" s="30" t="s">
        <v>2125</v>
      </c>
      <c r="L283" s="35"/>
      <c r="M283" s="31" t="s">
        <v>2126</v>
      </c>
      <c r="N283" s="84" t="s">
        <v>179</v>
      </c>
      <c r="O283" s="28" t="s">
        <v>899</v>
      </c>
      <c r="P283" s="48" t="s">
        <v>327</v>
      </c>
      <c r="Q283" s="87" t="n">
        <v>7014</v>
      </c>
      <c r="R283" s="58" t="s">
        <v>171</v>
      </c>
      <c r="S283" s="69" t="n">
        <v>4131</v>
      </c>
      <c r="T283" s="35" t="s">
        <v>172</v>
      </c>
      <c r="U283" s="155" t="n">
        <v>341781.23</v>
      </c>
      <c r="V283" s="60" t="n">
        <v>24.4431</v>
      </c>
      <c r="W283" s="146" t="n">
        <f aca="false">1790391.61086883/17</f>
        <v>105317.153580519</v>
      </c>
      <c r="X283" s="161" t="n">
        <f aca="false">U283/V283</f>
        <v>13982.7284591562</v>
      </c>
      <c r="Y283" s="156" t="n">
        <f aca="false">93571.44/V283/17</f>
        <v>225.184299574979</v>
      </c>
      <c r="Z283" s="28" t="n">
        <v>5.11</v>
      </c>
      <c r="AA283" s="62" t="s">
        <v>80</v>
      </c>
      <c r="AB283" s="38" t="n">
        <v>43880</v>
      </c>
      <c r="AC283" s="38" t="n">
        <v>44027</v>
      </c>
      <c r="AD283" s="38" t="n">
        <v>44026</v>
      </c>
      <c r="AE283" s="50" t="n">
        <v>45851</v>
      </c>
      <c r="AF283" s="28" t="n">
        <f aca="false">YEAR(AE283)</f>
        <v>2025</v>
      </c>
      <c r="AG283" s="63" t="n">
        <f aca="false">X283/SUMIF($Z$2:$Z$380,Z283,$X$2:$X$380)*(VLOOKUP(Z283,'затраты по департаментам-2 '!$A$2:$C$182,2,FALSE())+VLOOKUP(Z283,'затраты по департаментам-2 '!$A$2:$C$182,3,FALSE()))</f>
        <v>8234.67457743759</v>
      </c>
      <c r="AH283" s="153" t="n">
        <f aca="false">W283/60</f>
        <v>1755.28589300866</v>
      </c>
      <c r="AI283" s="64" t="s">
        <v>81</v>
      </c>
      <c r="AJ283" s="63" t="s">
        <v>52</v>
      </c>
      <c r="AK283" s="43" t="n">
        <v>662297</v>
      </c>
      <c r="AL283" s="43"/>
      <c r="AM283" s="43" t="s">
        <v>2127</v>
      </c>
      <c r="AN283" s="78" t="s">
        <v>2128</v>
      </c>
      <c r="AO283" s="65" t="n">
        <v>44981</v>
      </c>
      <c r="AP283" s="43" t="s">
        <v>2129</v>
      </c>
      <c r="AQ283" s="66" t="s">
        <v>2130</v>
      </c>
      <c r="AR283" s="64"/>
    </row>
    <row r="284" customFormat="false" ht="14.25" hidden="false" customHeight="false" outlineLevel="0" collapsed="false">
      <c r="A284" s="26" t="n">
        <v>283</v>
      </c>
      <c r="B284" s="43" t="s">
        <v>2131</v>
      </c>
      <c r="C284" s="43" t="s">
        <v>1336</v>
      </c>
      <c r="D284" s="28" t="s">
        <v>73</v>
      </c>
      <c r="E284" s="43" t="n">
        <v>4.9</v>
      </c>
      <c r="F284" s="43" t="n">
        <v>1.5</v>
      </c>
      <c r="G284" s="43" t="n">
        <v>103</v>
      </c>
      <c r="H284" s="43" t="n">
        <v>2020</v>
      </c>
      <c r="I284" s="43" t="s">
        <v>1292</v>
      </c>
      <c r="J284" s="43" t="s">
        <v>74</v>
      </c>
      <c r="K284" s="30" t="s">
        <v>2132</v>
      </c>
      <c r="L284" s="69"/>
      <c r="M284" s="31" t="s">
        <v>2133</v>
      </c>
      <c r="N284" s="32" t="s">
        <v>168</v>
      </c>
      <c r="O284" s="57" t="s">
        <v>60</v>
      </c>
      <c r="P284" s="56" t="s">
        <v>170</v>
      </c>
      <c r="Q284" s="57" t="n">
        <v>9000</v>
      </c>
      <c r="R284" s="58" t="s">
        <v>189</v>
      </c>
      <c r="S284" s="69" t="n">
        <v>4170</v>
      </c>
      <c r="T284" s="35" t="s">
        <v>172</v>
      </c>
      <c r="U284" s="155" t="n">
        <v>341781.23</v>
      </c>
      <c r="V284" s="60" t="n">
        <v>24.4431</v>
      </c>
      <c r="W284" s="146" t="n">
        <f aca="false">1790391.61086883/17</f>
        <v>105317.153580519</v>
      </c>
      <c r="X284" s="161" t="n">
        <f aca="false">U284/V284</f>
        <v>13982.7284591562</v>
      </c>
      <c r="Y284" s="156" t="n">
        <f aca="false">93571.44/V284/17</f>
        <v>225.184299574979</v>
      </c>
      <c r="Z284" s="28" t="n">
        <v>5.11</v>
      </c>
      <c r="AA284" s="62" t="s">
        <v>80</v>
      </c>
      <c r="AB284" s="38" t="n">
        <v>43880</v>
      </c>
      <c r="AC284" s="38" t="n">
        <v>44027</v>
      </c>
      <c r="AD284" s="38" t="n">
        <v>44026</v>
      </c>
      <c r="AE284" s="50" t="n">
        <v>45851</v>
      </c>
      <c r="AF284" s="28" t="n">
        <f aca="false">YEAR(AE284)</f>
        <v>2025</v>
      </c>
      <c r="AG284" s="63" t="n">
        <f aca="false">X284/SUMIF($Z$2:$Z$380,Z284,$X$2:$X$380)*(VLOOKUP(Z284,'затраты по департаментам-2 '!$A$2:$C$182,2,FALSE())+VLOOKUP(Z284,'затраты по департаментам-2 '!$A$2:$C$182,3,FALSE()))</f>
        <v>8234.67457743759</v>
      </c>
      <c r="AH284" s="153" t="n">
        <f aca="false">W284/60</f>
        <v>1755.28589300866</v>
      </c>
      <c r="AI284" s="64" t="s">
        <v>81</v>
      </c>
      <c r="AJ284" s="63" t="s">
        <v>82</v>
      </c>
      <c r="AK284" s="43" t="n">
        <v>798739</v>
      </c>
      <c r="AL284" s="43"/>
      <c r="AM284" s="43" t="s">
        <v>2134</v>
      </c>
      <c r="AN284" s="74" t="s">
        <v>2135</v>
      </c>
      <c r="AO284" s="65" t="n">
        <v>44874</v>
      </c>
      <c r="AP284" s="43" t="s">
        <v>2136</v>
      </c>
      <c r="AQ284" s="66" t="s">
        <v>2137</v>
      </c>
      <c r="AR284" s="64"/>
    </row>
    <row r="285" customFormat="false" ht="14.25" hidden="false" customHeight="false" outlineLevel="0" collapsed="false">
      <c r="A285" s="26" t="n">
        <v>284</v>
      </c>
      <c r="B285" s="43" t="s">
        <v>2138</v>
      </c>
      <c r="C285" s="43" t="s">
        <v>1336</v>
      </c>
      <c r="D285" s="28" t="s">
        <v>73</v>
      </c>
      <c r="E285" s="43" t="n">
        <v>4.9</v>
      </c>
      <c r="F285" s="43" t="n">
        <v>1.5</v>
      </c>
      <c r="G285" s="43" t="n">
        <v>103</v>
      </c>
      <c r="H285" s="43" t="n">
        <v>2020</v>
      </c>
      <c r="I285" s="43" t="s">
        <v>1292</v>
      </c>
      <c r="J285" s="43" t="s">
        <v>74</v>
      </c>
      <c r="K285" s="30" t="s">
        <v>2139</v>
      </c>
      <c r="L285" s="35"/>
      <c r="M285" s="31" t="s">
        <v>2140</v>
      </c>
      <c r="N285" s="84" t="s">
        <v>179</v>
      </c>
      <c r="O285" s="57" t="s">
        <v>2141</v>
      </c>
      <c r="P285" s="48" t="s">
        <v>327</v>
      </c>
      <c r="Q285" s="87" t="n">
        <v>7050</v>
      </c>
      <c r="R285" s="58" t="s">
        <v>171</v>
      </c>
      <c r="S285" s="69" t="n">
        <v>4131</v>
      </c>
      <c r="T285" s="35" t="s">
        <v>172</v>
      </c>
      <c r="U285" s="155" t="n">
        <v>341781.23</v>
      </c>
      <c r="V285" s="60" t="n">
        <v>24.4431</v>
      </c>
      <c r="W285" s="146" t="n">
        <f aca="false">1790391.61086883/17</f>
        <v>105317.153580519</v>
      </c>
      <c r="X285" s="161" t="n">
        <f aca="false">U285/V285</f>
        <v>13982.7284591562</v>
      </c>
      <c r="Y285" s="156" t="n">
        <f aca="false">93571.44/V285/17</f>
        <v>225.184299574979</v>
      </c>
      <c r="Z285" s="28" t="n">
        <v>5.11</v>
      </c>
      <c r="AA285" s="62" t="s">
        <v>80</v>
      </c>
      <c r="AB285" s="38" t="n">
        <v>43880</v>
      </c>
      <c r="AC285" s="38" t="n">
        <v>44027</v>
      </c>
      <c r="AD285" s="38" t="n">
        <v>44026</v>
      </c>
      <c r="AE285" s="50" t="n">
        <v>45851</v>
      </c>
      <c r="AF285" s="28" t="n">
        <f aca="false">YEAR(AE285)</f>
        <v>2025</v>
      </c>
      <c r="AG285" s="63" t="n">
        <f aca="false">X285/SUMIF($Z$2:$Z$380,Z285,$X$2:$X$380)*(VLOOKUP(Z285,'затраты по департаментам-2 '!$A$2:$C$182,2,FALSE())+VLOOKUP(Z285,'затраты по департаментам-2 '!$A$2:$C$182,3,FALSE()))</f>
        <v>8234.67457743759</v>
      </c>
      <c r="AH285" s="153" t="n">
        <f aca="false">W285/60</f>
        <v>1755.28589300866</v>
      </c>
      <c r="AI285" s="64" t="s">
        <v>81</v>
      </c>
      <c r="AJ285" s="63" t="s">
        <v>52</v>
      </c>
      <c r="AK285" s="43" t="n">
        <v>803760</v>
      </c>
      <c r="AL285" s="43"/>
      <c r="AM285" s="43" t="s">
        <v>2142</v>
      </c>
      <c r="AN285" s="74" t="s">
        <v>2143</v>
      </c>
      <c r="AO285" s="65" t="n">
        <v>44895</v>
      </c>
      <c r="AP285" s="43" t="s">
        <v>2144</v>
      </c>
      <c r="AQ285" s="66" t="s">
        <v>2145</v>
      </c>
      <c r="AR285" s="64"/>
    </row>
    <row r="286" customFormat="false" ht="14.25" hidden="false" customHeight="false" outlineLevel="0" collapsed="false">
      <c r="A286" s="26" t="n">
        <v>285</v>
      </c>
      <c r="B286" s="43" t="s">
        <v>2146</v>
      </c>
      <c r="C286" s="43" t="s">
        <v>1336</v>
      </c>
      <c r="D286" s="28" t="s">
        <v>73</v>
      </c>
      <c r="E286" s="43" t="n">
        <v>4.9</v>
      </c>
      <c r="F286" s="43" t="n">
        <v>1.5</v>
      </c>
      <c r="G286" s="43" t="n">
        <v>103</v>
      </c>
      <c r="H286" s="43" t="n">
        <v>2020</v>
      </c>
      <c r="I286" s="43" t="s">
        <v>1292</v>
      </c>
      <c r="J286" s="43" t="s">
        <v>74</v>
      </c>
      <c r="K286" s="86" t="s">
        <v>2147</v>
      </c>
      <c r="L286" s="35"/>
      <c r="M286" s="31" t="s">
        <v>2148</v>
      </c>
      <c r="N286" s="84" t="s">
        <v>1142</v>
      </c>
      <c r="O286" s="28" t="s">
        <v>60</v>
      </c>
      <c r="P286" s="56" t="s">
        <v>298</v>
      </c>
      <c r="Q286" s="87" t="n">
        <v>1000</v>
      </c>
      <c r="R286" s="58" t="s">
        <v>189</v>
      </c>
      <c r="S286" s="69" t="n">
        <v>4178</v>
      </c>
      <c r="T286" s="35" t="s">
        <v>172</v>
      </c>
      <c r="U286" s="155" t="n">
        <v>341781.23</v>
      </c>
      <c r="V286" s="60" t="n">
        <v>24.4431</v>
      </c>
      <c r="W286" s="146" t="n">
        <f aca="false">1790391.61086883/17</f>
        <v>105317.153580519</v>
      </c>
      <c r="X286" s="161" t="n">
        <f aca="false">U286/V286</f>
        <v>13982.7284591562</v>
      </c>
      <c r="Y286" s="156" t="n">
        <f aca="false">93571.44/V286/17</f>
        <v>225.184299574979</v>
      </c>
      <c r="Z286" s="28" t="n">
        <v>5.11</v>
      </c>
      <c r="AA286" s="62" t="s">
        <v>80</v>
      </c>
      <c r="AB286" s="38" t="n">
        <v>43880</v>
      </c>
      <c r="AC286" s="38" t="n">
        <v>44027</v>
      </c>
      <c r="AD286" s="38" t="n">
        <v>44026</v>
      </c>
      <c r="AE286" s="50" t="n">
        <v>45851</v>
      </c>
      <c r="AF286" s="28" t="n">
        <f aca="false">YEAR(AE286)</f>
        <v>2025</v>
      </c>
      <c r="AG286" s="63" t="n">
        <f aca="false">X286/SUMIF($Z$2:$Z$380,Z286,$X$2:$X$380)*(VLOOKUP(Z286,'затраты по департаментам-2 '!$A$2:$C$182,2,FALSE())+VLOOKUP(Z286,'затраты по департаментам-2 '!$A$2:$C$182,3,FALSE()))</f>
        <v>8234.67457743759</v>
      </c>
      <c r="AH286" s="153" t="n">
        <f aca="false">W286/60</f>
        <v>1755.28589300866</v>
      </c>
      <c r="AI286" s="64" t="s">
        <v>81</v>
      </c>
      <c r="AJ286" s="63" t="s">
        <v>60</v>
      </c>
      <c r="AK286" s="43" t="n">
        <v>798747</v>
      </c>
      <c r="AL286" s="43"/>
      <c r="AM286" s="43" t="s">
        <v>2149</v>
      </c>
      <c r="AN286" s="74" t="s">
        <v>2150</v>
      </c>
      <c r="AO286" s="65" t="n">
        <v>44818</v>
      </c>
      <c r="AP286" s="43" t="s">
        <v>2151</v>
      </c>
      <c r="AQ286" s="66" t="s">
        <v>2152</v>
      </c>
      <c r="AR286" s="76" t="n">
        <v>44616</v>
      </c>
    </row>
    <row r="287" customFormat="false" ht="14.25" hidden="false" customHeight="false" outlineLevel="0" collapsed="false">
      <c r="A287" s="26" t="n">
        <v>286</v>
      </c>
      <c r="B287" s="195" t="s">
        <v>2153</v>
      </c>
      <c r="C287" s="43" t="s">
        <v>1336</v>
      </c>
      <c r="D287" s="28" t="s">
        <v>73</v>
      </c>
      <c r="E287" s="43" t="n">
        <v>4.9</v>
      </c>
      <c r="F287" s="43" t="n">
        <v>1.5</v>
      </c>
      <c r="G287" s="43" t="n">
        <v>103</v>
      </c>
      <c r="H287" s="43" t="n">
        <v>2020</v>
      </c>
      <c r="I287" s="43" t="s">
        <v>1292</v>
      </c>
      <c r="J287" s="43" t="s">
        <v>74</v>
      </c>
      <c r="K287" s="196" t="s">
        <v>2154</v>
      </c>
      <c r="L287" s="35"/>
      <c r="M287" s="31" t="s">
        <v>2155</v>
      </c>
      <c r="N287" s="32" t="s">
        <v>1717</v>
      </c>
      <c r="O287" s="28" t="s">
        <v>52</v>
      </c>
      <c r="P287" s="56" t="s">
        <v>327</v>
      </c>
      <c r="Q287" s="87" t="n">
        <v>7011</v>
      </c>
      <c r="R287" s="58" t="s">
        <v>171</v>
      </c>
      <c r="S287" s="69" t="n">
        <v>4131</v>
      </c>
      <c r="T287" s="35" t="s">
        <v>172</v>
      </c>
      <c r="U287" s="155" t="n">
        <v>341781.23</v>
      </c>
      <c r="V287" s="60" t="n">
        <v>24.4431</v>
      </c>
      <c r="W287" s="146" t="n">
        <f aca="false">1790391.61086883/17</f>
        <v>105317.153580519</v>
      </c>
      <c r="X287" s="161" t="n">
        <f aca="false">U287/V287</f>
        <v>13982.7284591562</v>
      </c>
      <c r="Y287" s="156" t="n">
        <f aca="false">93571.44/V287/17</f>
        <v>225.184299574979</v>
      </c>
      <c r="Z287" s="28" t="n">
        <v>5.11</v>
      </c>
      <c r="AA287" s="62" t="s">
        <v>80</v>
      </c>
      <c r="AB287" s="38" t="n">
        <v>43880</v>
      </c>
      <c r="AC287" s="38" t="n">
        <v>44027</v>
      </c>
      <c r="AD287" s="38" t="n">
        <v>44026</v>
      </c>
      <c r="AE287" s="50" t="n">
        <v>45851</v>
      </c>
      <c r="AF287" s="28" t="n">
        <f aca="false">YEAR(AE287)</f>
        <v>2025</v>
      </c>
      <c r="AG287" s="63" t="n">
        <f aca="false">X287/SUMIF($Z$2:$Z$380,Z287,$X$2:$X$380)*(VLOOKUP(Z287,'затраты по департаментам-2 '!$A$2:$C$182,2,FALSE())+VLOOKUP(Z287,'затраты по департаментам-2 '!$A$2:$C$182,3,FALSE()))</f>
        <v>8234.67457743759</v>
      </c>
      <c r="AH287" s="153" t="n">
        <f aca="false">W287/60</f>
        <v>1755.28589300866</v>
      </c>
      <c r="AI287" s="64" t="s">
        <v>81</v>
      </c>
      <c r="AJ287" s="63" t="s">
        <v>52</v>
      </c>
      <c r="AK287" s="43" t="n">
        <v>798937</v>
      </c>
      <c r="AL287" s="43"/>
      <c r="AM287" s="43" t="s">
        <v>2156</v>
      </c>
      <c r="AN287" s="74" t="s">
        <v>2157</v>
      </c>
      <c r="AO287" s="65" t="n">
        <v>44813</v>
      </c>
      <c r="AP287" s="43" t="s">
        <v>2158</v>
      </c>
      <c r="AQ287" s="66" t="s">
        <v>2159</v>
      </c>
      <c r="AR287" s="64"/>
    </row>
    <row r="288" customFormat="false" ht="14.25" hidden="false" customHeight="false" outlineLevel="0" collapsed="false">
      <c r="A288" s="26" t="n">
        <v>287</v>
      </c>
      <c r="B288" s="43" t="s">
        <v>2160</v>
      </c>
      <c r="C288" s="43" t="s">
        <v>1336</v>
      </c>
      <c r="D288" s="28" t="s">
        <v>73</v>
      </c>
      <c r="E288" s="43" t="n">
        <v>4.9</v>
      </c>
      <c r="F288" s="43" t="n">
        <v>1.5</v>
      </c>
      <c r="G288" s="43" t="n">
        <v>103</v>
      </c>
      <c r="H288" s="43" t="n">
        <v>2020</v>
      </c>
      <c r="I288" s="43" t="s">
        <v>1292</v>
      </c>
      <c r="J288" s="43" t="s">
        <v>74</v>
      </c>
      <c r="K288" s="118" t="s">
        <v>2161</v>
      </c>
      <c r="L288" s="35"/>
      <c r="M288" s="31" t="s">
        <v>2162</v>
      </c>
      <c r="N288" s="56" t="s">
        <v>227</v>
      </c>
      <c r="O288" s="28" t="s">
        <v>326</v>
      </c>
      <c r="P288" s="56" t="s">
        <v>228</v>
      </c>
      <c r="Q288" s="87" t="n">
        <v>1000</v>
      </c>
      <c r="R288" s="58" t="s">
        <v>189</v>
      </c>
      <c r="S288" s="69" t="n">
        <v>4171</v>
      </c>
      <c r="T288" s="35" t="s">
        <v>172</v>
      </c>
      <c r="U288" s="155" t="n">
        <v>341781.23</v>
      </c>
      <c r="V288" s="60" t="n">
        <v>24.4431</v>
      </c>
      <c r="W288" s="146" t="n">
        <f aca="false">1790391.61086883/17</f>
        <v>105317.153580519</v>
      </c>
      <c r="X288" s="161" t="n">
        <f aca="false">U288/V288</f>
        <v>13982.7284591562</v>
      </c>
      <c r="Y288" s="156" t="n">
        <f aca="false">93571.44/V288/17</f>
        <v>225.184299574979</v>
      </c>
      <c r="Z288" s="28" t="n">
        <v>5.11</v>
      </c>
      <c r="AA288" s="62" t="s">
        <v>80</v>
      </c>
      <c r="AB288" s="38" t="n">
        <v>43880</v>
      </c>
      <c r="AC288" s="38" t="n">
        <v>44027</v>
      </c>
      <c r="AD288" s="38" t="n">
        <v>44026</v>
      </c>
      <c r="AE288" s="50" t="n">
        <v>45851</v>
      </c>
      <c r="AF288" s="28" t="n">
        <f aca="false">YEAR(AE288)</f>
        <v>2025</v>
      </c>
      <c r="AG288" s="63" t="n">
        <f aca="false">X288/SUMIF($Z$2:$Z$380,Z288,$X$2:$X$380)*(VLOOKUP(Z288,'затраты по департаментам-2 '!$A$2:$C$182,2,FALSE())+VLOOKUP(Z288,'затраты по департаментам-2 '!$A$2:$C$182,3,FALSE()))</f>
        <v>8234.67457743759</v>
      </c>
      <c r="AH288" s="153" t="n">
        <f aca="false">W288/60</f>
        <v>1755.28589300866</v>
      </c>
      <c r="AI288" s="64" t="s">
        <v>81</v>
      </c>
      <c r="AJ288" s="63" t="s">
        <v>52</v>
      </c>
      <c r="AK288" s="43" t="n">
        <v>123053</v>
      </c>
      <c r="AL288" s="43"/>
      <c r="AM288" s="43" t="s">
        <v>2163</v>
      </c>
      <c r="AN288" s="74" t="s">
        <v>2164</v>
      </c>
      <c r="AO288" s="65" t="n">
        <v>44863</v>
      </c>
      <c r="AP288" s="43" t="s">
        <v>2165</v>
      </c>
      <c r="AQ288" s="66" t="s">
        <v>2166</v>
      </c>
      <c r="AR288" s="64"/>
    </row>
    <row r="289" customFormat="false" ht="14.25" hidden="false" customHeight="false" outlineLevel="0" collapsed="false">
      <c r="A289" s="26" t="n">
        <v>288</v>
      </c>
      <c r="B289" s="43" t="s">
        <v>2167</v>
      </c>
      <c r="C289" s="43" t="s">
        <v>1336</v>
      </c>
      <c r="D289" s="28" t="s">
        <v>73</v>
      </c>
      <c r="E289" s="43" t="n">
        <v>4.9</v>
      </c>
      <c r="F289" s="43" t="n">
        <v>1.5</v>
      </c>
      <c r="G289" s="43" t="n">
        <v>103</v>
      </c>
      <c r="H289" s="43" t="n">
        <v>2020</v>
      </c>
      <c r="I289" s="43" t="s">
        <v>1292</v>
      </c>
      <c r="J289" s="43" t="s">
        <v>74</v>
      </c>
      <c r="K289" s="30" t="s">
        <v>2168</v>
      </c>
      <c r="L289" s="35"/>
      <c r="M289" s="31" t="s">
        <v>2169</v>
      </c>
      <c r="N289" s="130" t="s">
        <v>179</v>
      </c>
      <c r="O289" s="28" t="s">
        <v>60</v>
      </c>
      <c r="P289" s="48" t="s">
        <v>91</v>
      </c>
      <c r="Q289" s="87" t="n">
        <v>7081</v>
      </c>
      <c r="R289" s="97" t="s">
        <v>467</v>
      </c>
      <c r="S289" s="69" t="n">
        <v>4148</v>
      </c>
      <c r="T289" s="35" t="s">
        <v>172</v>
      </c>
      <c r="U289" s="155" t="n">
        <v>341781.23</v>
      </c>
      <c r="V289" s="60" t="n">
        <v>24.4431</v>
      </c>
      <c r="W289" s="146" t="n">
        <f aca="false">1790391.61086883/17</f>
        <v>105317.153580519</v>
      </c>
      <c r="X289" s="161" t="n">
        <f aca="false">U289/V289</f>
        <v>13982.7284591562</v>
      </c>
      <c r="Y289" s="156" t="n">
        <f aca="false">93571.44/V289/17</f>
        <v>225.184299574979</v>
      </c>
      <c r="Z289" s="28" t="n">
        <v>5.11</v>
      </c>
      <c r="AA289" s="62" t="s">
        <v>80</v>
      </c>
      <c r="AB289" s="38" t="n">
        <v>43880</v>
      </c>
      <c r="AC289" s="38" t="n">
        <v>44027</v>
      </c>
      <c r="AD289" s="38" t="n">
        <v>44026</v>
      </c>
      <c r="AE289" s="50" t="n">
        <v>45851</v>
      </c>
      <c r="AF289" s="28" t="n">
        <f aca="false">YEAR(AE289)</f>
        <v>2025</v>
      </c>
      <c r="AG289" s="63" t="n">
        <f aca="false">X289/SUMIF($Z$2:$Z$380,Z289,$X$2:$X$380)*(VLOOKUP(Z289,'затраты по департаментам-2 '!$A$2:$C$182,2,FALSE())+VLOOKUP(Z289,'затраты по департаментам-2 '!$A$2:$C$182,3,FALSE()))</f>
        <v>8234.67457743759</v>
      </c>
      <c r="AH289" s="153" t="n">
        <f aca="false">W289/60</f>
        <v>1755.28589300866</v>
      </c>
      <c r="AI289" s="64" t="s">
        <v>81</v>
      </c>
      <c r="AJ289" s="63" t="s">
        <v>82</v>
      </c>
      <c r="AK289" s="43" t="n">
        <v>803679</v>
      </c>
      <c r="AL289" s="43"/>
      <c r="AM289" s="43" t="s">
        <v>2170</v>
      </c>
      <c r="AN289" s="78" t="s">
        <v>2171</v>
      </c>
      <c r="AO289" s="65" t="n">
        <v>44372</v>
      </c>
      <c r="AP289" s="43" t="s">
        <v>2172</v>
      </c>
      <c r="AQ289" s="66" t="s">
        <v>2173</v>
      </c>
      <c r="AR289" s="64"/>
    </row>
    <row r="290" customFormat="false" ht="14.25" hidden="false" customHeight="false" outlineLevel="0" collapsed="false">
      <c r="A290" s="26" t="n">
        <v>289</v>
      </c>
      <c r="B290" s="43" t="s">
        <v>2174</v>
      </c>
      <c r="C290" s="43" t="s">
        <v>1336</v>
      </c>
      <c r="D290" s="28" t="s">
        <v>73</v>
      </c>
      <c r="E290" s="43" t="n">
        <v>4.9</v>
      </c>
      <c r="F290" s="43" t="n">
        <v>1.5</v>
      </c>
      <c r="G290" s="43" t="n">
        <v>103</v>
      </c>
      <c r="H290" s="43" t="n">
        <v>2020</v>
      </c>
      <c r="I290" s="43" t="s">
        <v>1292</v>
      </c>
      <c r="J290" s="43" t="s">
        <v>74</v>
      </c>
      <c r="K290" s="30" t="s">
        <v>2175</v>
      </c>
      <c r="L290" s="35"/>
      <c r="M290" s="31" t="s">
        <v>2176</v>
      </c>
      <c r="N290" s="32" t="s">
        <v>179</v>
      </c>
      <c r="O290" s="28" t="s">
        <v>2177</v>
      </c>
      <c r="P290" s="56" t="s">
        <v>143</v>
      </c>
      <c r="Q290" s="87" t="n">
        <v>7063</v>
      </c>
      <c r="R290" s="58" t="s">
        <v>171</v>
      </c>
      <c r="S290" s="69" t="n">
        <v>4136</v>
      </c>
      <c r="T290" s="35" t="s">
        <v>172</v>
      </c>
      <c r="U290" s="155" t="n">
        <v>341781.23</v>
      </c>
      <c r="V290" s="60" t="n">
        <v>24.4431</v>
      </c>
      <c r="W290" s="146" t="n">
        <f aca="false">1790391.61086883/17</f>
        <v>105317.153580519</v>
      </c>
      <c r="X290" s="161" t="n">
        <f aca="false">U290/V290</f>
        <v>13982.7284591562</v>
      </c>
      <c r="Y290" s="156" t="n">
        <f aca="false">93571.44/V290/17</f>
        <v>225.184299574979</v>
      </c>
      <c r="Z290" s="28" t="n">
        <v>5.11</v>
      </c>
      <c r="AA290" s="62" t="s">
        <v>80</v>
      </c>
      <c r="AB290" s="38" t="n">
        <v>43880</v>
      </c>
      <c r="AC290" s="38" t="n">
        <v>44027</v>
      </c>
      <c r="AD290" s="38" t="n">
        <v>44026</v>
      </c>
      <c r="AE290" s="50" t="n">
        <v>45851</v>
      </c>
      <c r="AF290" s="28" t="n">
        <f aca="false">YEAR(AE290)</f>
        <v>2025</v>
      </c>
      <c r="AG290" s="63" t="n">
        <f aca="false">X290/SUMIF($Z$2:$Z$380,Z290,$X$2:$X$380)*(VLOOKUP(Z290,'затраты по департаментам-2 '!$A$2:$C$182,2,FALSE())+VLOOKUP(Z290,'затраты по департаментам-2 '!$A$2:$C$182,3,FALSE()))</f>
        <v>8234.67457743759</v>
      </c>
      <c r="AH290" s="153" t="n">
        <f aca="false">W290/60</f>
        <v>1755.28589300866</v>
      </c>
      <c r="AI290" s="64" t="s">
        <v>81</v>
      </c>
      <c r="AJ290" s="63" t="s">
        <v>142</v>
      </c>
      <c r="AK290" s="43" t="n">
        <v>798945</v>
      </c>
      <c r="AL290" s="43"/>
      <c r="AM290" s="43" t="s">
        <v>2178</v>
      </c>
      <c r="AN290" s="74" t="s">
        <v>2179</v>
      </c>
      <c r="AO290" s="65" t="n">
        <v>44813</v>
      </c>
      <c r="AP290" s="43" t="s">
        <v>2180</v>
      </c>
      <c r="AQ290" s="64" t="s">
        <v>2181</v>
      </c>
      <c r="AR290" s="64"/>
    </row>
    <row r="291" customFormat="false" ht="14.25" hidden="false" customHeight="false" outlineLevel="0" collapsed="false">
      <c r="A291" s="26" t="n">
        <v>290</v>
      </c>
      <c r="B291" s="43" t="s">
        <v>2182</v>
      </c>
      <c r="C291" s="43" t="s">
        <v>1336</v>
      </c>
      <c r="D291" s="28" t="s">
        <v>73</v>
      </c>
      <c r="E291" s="43" t="n">
        <v>4.9</v>
      </c>
      <c r="F291" s="43" t="n">
        <v>1.5</v>
      </c>
      <c r="G291" s="43" t="n">
        <v>103</v>
      </c>
      <c r="H291" s="43" t="n">
        <v>2020</v>
      </c>
      <c r="I291" s="43" t="s">
        <v>1292</v>
      </c>
      <c r="J291" s="43" t="s">
        <v>74</v>
      </c>
      <c r="K291" s="30" t="s">
        <v>2183</v>
      </c>
      <c r="L291" s="35"/>
      <c r="M291" s="31" t="s">
        <v>2184</v>
      </c>
      <c r="N291" s="56" t="s">
        <v>227</v>
      </c>
      <c r="O291" s="28" t="s">
        <v>142</v>
      </c>
      <c r="P291" s="56" t="s">
        <v>298</v>
      </c>
      <c r="Q291" s="87" t="n">
        <v>1000</v>
      </c>
      <c r="R291" s="58" t="s">
        <v>189</v>
      </c>
      <c r="S291" s="69" t="n">
        <v>4176</v>
      </c>
      <c r="T291" s="35" t="s">
        <v>172</v>
      </c>
      <c r="U291" s="155" t="n">
        <v>341781.23</v>
      </c>
      <c r="V291" s="60" t="n">
        <v>24.4431</v>
      </c>
      <c r="W291" s="146" t="n">
        <f aca="false">1790391.61086883/17</f>
        <v>105317.153580519</v>
      </c>
      <c r="X291" s="161" t="n">
        <f aca="false">U291/V291</f>
        <v>13982.7284591562</v>
      </c>
      <c r="Y291" s="156" t="n">
        <f aca="false">93571.44/V291/17</f>
        <v>225.184299574979</v>
      </c>
      <c r="Z291" s="28" t="n">
        <v>5.11</v>
      </c>
      <c r="AA291" s="62" t="s">
        <v>80</v>
      </c>
      <c r="AB291" s="38" t="n">
        <v>43880</v>
      </c>
      <c r="AC291" s="38" t="n">
        <v>44027</v>
      </c>
      <c r="AD291" s="38" t="n">
        <v>44026</v>
      </c>
      <c r="AE291" s="50" t="n">
        <v>45851</v>
      </c>
      <c r="AF291" s="28" t="n">
        <f aca="false">YEAR(AE291)</f>
        <v>2025</v>
      </c>
      <c r="AG291" s="63" t="n">
        <f aca="false">X291/SUMIF($Z$2:$Z$380,Z291,$X$2:$X$380)*(VLOOKUP(Z291,'затраты по департаментам-2 '!$A$2:$C$182,2,FALSE())+VLOOKUP(Z291,'затраты по департаментам-2 '!$A$2:$C$182,3,FALSE()))</f>
        <v>8234.67457743759</v>
      </c>
      <c r="AH291" s="153" t="n">
        <f aca="false">W291/60</f>
        <v>1755.28589300866</v>
      </c>
      <c r="AI291" s="64" t="s">
        <v>81</v>
      </c>
      <c r="AJ291" s="63" t="s">
        <v>142</v>
      </c>
      <c r="AK291" s="43" t="n">
        <v>123178</v>
      </c>
      <c r="AL291" s="43"/>
      <c r="AM291" s="43" t="s">
        <v>2185</v>
      </c>
      <c r="AN291" s="74" t="s">
        <v>2186</v>
      </c>
      <c r="AO291" s="65" t="n">
        <v>44722</v>
      </c>
      <c r="AP291" s="43" t="s">
        <v>2187</v>
      </c>
      <c r="AQ291" s="64" t="s">
        <v>2188</v>
      </c>
      <c r="AR291" s="64"/>
    </row>
    <row r="292" customFormat="false" ht="14.25" hidden="false" customHeight="false" outlineLevel="0" collapsed="false">
      <c r="A292" s="26" t="n">
        <v>291</v>
      </c>
      <c r="B292" s="43" t="s">
        <v>2189</v>
      </c>
      <c r="C292" s="43" t="s">
        <v>1336</v>
      </c>
      <c r="D292" s="28" t="s">
        <v>73</v>
      </c>
      <c r="E292" s="43" t="n">
        <v>4.9</v>
      </c>
      <c r="F292" s="43" t="n">
        <v>1.5</v>
      </c>
      <c r="G292" s="43" t="n">
        <v>103</v>
      </c>
      <c r="H292" s="43" t="n">
        <v>2020</v>
      </c>
      <c r="I292" s="43" t="s">
        <v>1292</v>
      </c>
      <c r="J292" s="43" t="s">
        <v>74</v>
      </c>
      <c r="K292" s="30" t="s">
        <v>2190</v>
      </c>
      <c r="L292" s="69"/>
      <c r="M292" s="31" t="s">
        <v>2191</v>
      </c>
      <c r="N292" s="84" t="s">
        <v>1142</v>
      </c>
      <c r="O292" s="57" t="s">
        <v>100</v>
      </c>
      <c r="P292" s="56" t="s">
        <v>298</v>
      </c>
      <c r="Q292" s="87" t="n">
        <v>1000</v>
      </c>
      <c r="R292" s="58" t="s">
        <v>189</v>
      </c>
      <c r="S292" s="69" t="n">
        <v>4176</v>
      </c>
      <c r="T292" s="35" t="s">
        <v>172</v>
      </c>
      <c r="U292" s="155" t="n">
        <v>341781.23</v>
      </c>
      <c r="V292" s="60" t="n">
        <v>24.4431</v>
      </c>
      <c r="W292" s="146" t="n">
        <f aca="false">1790391.61086883/17</f>
        <v>105317.153580519</v>
      </c>
      <c r="X292" s="161" t="n">
        <f aca="false">U292/V292</f>
        <v>13982.7284591562</v>
      </c>
      <c r="Y292" s="156" t="n">
        <f aca="false">93571.44/V292/17</f>
        <v>225.184299574979</v>
      </c>
      <c r="Z292" s="28" t="n">
        <v>5.11</v>
      </c>
      <c r="AA292" s="62" t="s">
        <v>80</v>
      </c>
      <c r="AB292" s="38" t="n">
        <v>43880</v>
      </c>
      <c r="AC292" s="38" t="n">
        <v>44027</v>
      </c>
      <c r="AD292" s="38" t="n">
        <v>44026</v>
      </c>
      <c r="AE292" s="50" t="n">
        <v>45851</v>
      </c>
      <c r="AF292" s="28" t="n">
        <f aca="false">YEAR(AE292)</f>
        <v>2025</v>
      </c>
      <c r="AG292" s="63" t="n">
        <f aca="false">X292/SUMIF($Z$2:$Z$380,Z292,$X$2:$X$380)*(VLOOKUP(Z292,'затраты по департаментам-2 '!$A$2:$C$182,2,FALSE())+VLOOKUP(Z292,'затраты по департаментам-2 '!$A$2:$C$182,3,FALSE()))</f>
        <v>8234.67457743759</v>
      </c>
      <c r="AH292" s="153" t="n">
        <f aca="false">W292/60</f>
        <v>1755.28589300866</v>
      </c>
      <c r="AI292" s="64" t="s">
        <v>81</v>
      </c>
      <c r="AJ292" s="63" t="s">
        <v>100</v>
      </c>
      <c r="AK292" s="43" t="n">
        <v>803786</v>
      </c>
      <c r="AL292" s="43"/>
      <c r="AM292" s="43" t="s">
        <v>2192</v>
      </c>
      <c r="AN292" s="74" t="s">
        <v>2193</v>
      </c>
      <c r="AO292" s="65" t="n">
        <v>44840</v>
      </c>
      <c r="AP292" s="43" t="s">
        <v>2194</v>
      </c>
      <c r="AQ292" s="66" t="s">
        <v>2195</v>
      </c>
      <c r="AR292" s="64"/>
    </row>
    <row r="293" customFormat="false" ht="14.25" hidden="false" customHeight="false" outlineLevel="0" collapsed="false">
      <c r="A293" s="26" t="n">
        <v>292</v>
      </c>
      <c r="B293" s="43" t="s">
        <v>2196</v>
      </c>
      <c r="C293" s="43" t="s">
        <v>1291</v>
      </c>
      <c r="D293" s="28" t="s">
        <v>73</v>
      </c>
      <c r="E293" s="43" t="n">
        <v>5.3</v>
      </c>
      <c r="F293" s="43" t="n">
        <v>1.5</v>
      </c>
      <c r="G293" s="43" t="n">
        <v>112</v>
      </c>
      <c r="H293" s="43" t="n">
        <v>2020</v>
      </c>
      <c r="I293" s="43" t="s">
        <v>1292</v>
      </c>
      <c r="J293" s="43" t="s">
        <v>74</v>
      </c>
      <c r="K293" s="30" t="s">
        <v>2197</v>
      </c>
      <c r="L293" s="35"/>
      <c r="M293" s="31" t="s">
        <v>2198</v>
      </c>
      <c r="N293" s="32" t="s">
        <v>438</v>
      </c>
      <c r="O293" s="28" t="s">
        <v>100</v>
      </c>
      <c r="P293" s="56" t="s">
        <v>1030</v>
      </c>
      <c r="Q293" s="87" t="n">
        <v>1000</v>
      </c>
      <c r="R293" s="58" t="s">
        <v>189</v>
      </c>
      <c r="S293" s="69" t="n">
        <v>4170</v>
      </c>
      <c r="T293" s="59" t="s">
        <v>123</v>
      </c>
      <c r="U293" s="155" t="n">
        <v>457128.22</v>
      </c>
      <c r="V293" s="60" t="n">
        <v>24.4431</v>
      </c>
      <c r="W293" s="146" t="n">
        <f aca="false">261344.922246769/2</f>
        <v>130672.461123385</v>
      </c>
      <c r="X293" s="161" t="n">
        <f aca="false">U293/V293</f>
        <v>18701.7285041586</v>
      </c>
      <c r="Y293" s="156" t="n">
        <f aca="false">15094.32/V293/2</f>
        <v>308.764436589467</v>
      </c>
      <c r="Z293" s="28" t="n">
        <v>5.12</v>
      </c>
      <c r="AA293" s="62" t="s">
        <v>80</v>
      </c>
      <c r="AB293" s="38" t="n">
        <v>43880</v>
      </c>
      <c r="AC293" s="38" t="n">
        <v>44030</v>
      </c>
      <c r="AD293" s="38" t="n">
        <v>44026</v>
      </c>
      <c r="AE293" s="50" t="n">
        <v>45851</v>
      </c>
      <c r="AF293" s="28" t="n">
        <f aca="false">YEAR(AE293)</f>
        <v>2025</v>
      </c>
      <c r="AG293" s="63" t="n">
        <f aca="false">X293/SUMIF($Z$2:$Z$380,Z293,$X$2:$X$380)*(VLOOKUP(Z293,'затраты по департаментам-2 '!$A$2:$C$182,2,FALSE())+VLOOKUP(Z293,'затраты по департаментам-2 '!$A$2:$C$182,3,FALSE()))</f>
        <v>11291.08</v>
      </c>
      <c r="AH293" s="153" t="n">
        <f aca="false">W293/60</f>
        <v>2177.87435205641</v>
      </c>
      <c r="AI293" s="64" t="s">
        <v>81</v>
      </c>
      <c r="AJ293" s="63" t="s">
        <v>100</v>
      </c>
      <c r="AK293" s="43" t="n">
        <v>803687</v>
      </c>
      <c r="AL293" s="43"/>
      <c r="AM293" s="43" t="s">
        <v>2199</v>
      </c>
      <c r="AN293" s="74" t="s">
        <v>2200</v>
      </c>
      <c r="AO293" s="65" t="n">
        <v>44728</v>
      </c>
      <c r="AP293" s="43" t="s">
        <v>2201</v>
      </c>
      <c r="AQ293" s="66" t="s">
        <v>2202</v>
      </c>
      <c r="AR293" s="64"/>
    </row>
    <row r="294" customFormat="false" ht="14.25" hidden="false" customHeight="false" outlineLevel="0" collapsed="false">
      <c r="A294" s="26" t="n">
        <v>293</v>
      </c>
      <c r="B294" s="43" t="s">
        <v>2203</v>
      </c>
      <c r="C294" s="43" t="s">
        <v>1291</v>
      </c>
      <c r="D294" s="28" t="s">
        <v>73</v>
      </c>
      <c r="E294" s="43" t="n">
        <v>5.3</v>
      </c>
      <c r="F294" s="43" t="n">
        <v>1.5</v>
      </c>
      <c r="G294" s="43" t="n">
        <v>112</v>
      </c>
      <c r="H294" s="43" t="n">
        <v>2020</v>
      </c>
      <c r="I294" s="43" t="s">
        <v>1292</v>
      </c>
      <c r="J294" s="43" t="s">
        <v>74</v>
      </c>
      <c r="K294" s="30" t="s">
        <v>2204</v>
      </c>
      <c r="L294" s="35"/>
      <c r="M294" s="31" t="s">
        <v>2205</v>
      </c>
      <c r="N294" s="32" t="s">
        <v>1870</v>
      </c>
      <c r="O294" s="48" t="s">
        <v>52</v>
      </c>
      <c r="P294" s="56" t="s">
        <v>2206</v>
      </c>
      <c r="Q294" s="100" t="n">
        <v>1000</v>
      </c>
      <c r="R294" s="58" t="s">
        <v>53</v>
      </c>
      <c r="S294" s="69" t="n">
        <v>3511</v>
      </c>
      <c r="T294" s="59" t="s">
        <v>123</v>
      </c>
      <c r="U294" s="155" t="n">
        <v>457128.22</v>
      </c>
      <c r="V294" s="60" t="n">
        <v>24.4431</v>
      </c>
      <c r="W294" s="146" t="n">
        <f aca="false">261344.922246769/2</f>
        <v>130672.461123385</v>
      </c>
      <c r="X294" s="161" t="n">
        <f aca="false">U294/V294</f>
        <v>18701.7285041586</v>
      </c>
      <c r="Y294" s="156" t="n">
        <f aca="false">15094.32/V294/2</f>
        <v>308.764436589467</v>
      </c>
      <c r="Z294" s="28" t="n">
        <v>5.12</v>
      </c>
      <c r="AA294" s="62" t="s">
        <v>80</v>
      </c>
      <c r="AB294" s="38" t="n">
        <v>43880</v>
      </c>
      <c r="AC294" s="38" t="n">
        <v>44030</v>
      </c>
      <c r="AD294" s="38" t="n">
        <v>44026</v>
      </c>
      <c r="AE294" s="50" t="n">
        <v>45851</v>
      </c>
      <c r="AF294" s="28" t="n">
        <f aca="false">YEAR(AE294)</f>
        <v>2025</v>
      </c>
      <c r="AG294" s="63" t="n">
        <f aca="false">X294/SUMIF($Z$2:$Z$380,Z294,$X$2:$X$380)*(VLOOKUP(Z294,'затраты по департаментам-2 '!$A$2:$C$182,2,FALSE())+VLOOKUP(Z294,'затраты по департаментам-2 '!$A$2:$C$182,3,FALSE()))</f>
        <v>11291.08</v>
      </c>
      <c r="AH294" s="153" t="n">
        <f aca="false">W294/60</f>
        <v>2177.87435205641</v>
      </c>
      <c r="AI294" s="64" t="s">
        <v>422</v>
      </c>
      <c r="AJ294" s="63" t="s">
        <v>52</v>
      </c>
      <c r="AK294" s="43" t="n">
        <v>128631</v>
      </c>
      <c r="AL294" s="43"/>
      <c r="AM294" s="43" t="s">
        <v>2207</v>
      </c>
      <c r="AN294" s="74" t="s">
        <v>2208</v>
      </c>
      <c r="AO294" s="65" t="n">
        <v>44789</v>
      </c>
      <c r="AP294" s="43" t="s">
        <v>2209</v>
      </c>
      <c r="AQ294" s="66" t="s">
        <v>2210</v>
      </c>
      <c r="AR294" s="64"/>
    </row>
    <row r="295" customFormat="false" ht="14.25" hidden="false" customHeight="false" outlineLevel="0" collapsed="false">
      <c r="A295" s="26" t="n">
        <v>294</v>
      </c>
      <c r="B295" s="43" t="s">
        <v>2211</v>
      </c>
      <c r="C295" s="43" t="s">
        <v>1291</v>
      </c>
      <c r="D295" s="28" t="s">
        <v>73</v>
      </c>
      <c r="E295" s="43" t="n">
        <v>5.3</v>
      </c>
      <c r="F295" s="43" t="n">
        <v>1.5</v>
      </c>
      <c r="G295" s="43" t="n">
        <v>112</v>
      </c>
      <c r="H295" s="43" t="n">
        <v>2021</v>
      </c>
      <c r="I295" s="43" t="s">
        <v>1292</v>
      </c>
      <c r="J295" s="43" t="s">
        <v>74</v>
      </c>
      <c r="K295" s="30" t="s">
        <v>2212</v>
      </c>
      <c r="L295" s="69"/>
      <c r="M295" s="31" t="s">
        <v>2213</v>
      </c>
      <c r="N295" s="84" t="s">
        <v>438</v>
      </c>
      <c r="O295" s="57" t="s">
        <v>942</v>
      </c>
      <c r="P295" s="56" t="s">
        <v>439</v>
      </c>
      <c r="Q295" s="87" t="n">
        <v>1000</v>
      </c>
      <c r="R295" s="58" t="s">
        <v>189</v>
      </c>
      <c r="S295" s="69" t="n">
        <v>4170</v>
      </c>
      <c r="T295" s="59" t="s">
        <v>123</v>
      </c>
      <c r="U295" s="155" t="n">
        <v>500519.97</v>
      </c>
      <c r="V295" s="60" t="n">
        <v>26.7633</v>
      </c>
      <c r="W295" s="146" t="n">
        <f aca="false">950494.026886819/7</f>
        <v>135784.860983831</v>
      </c>
      <c r="X295" s="161" t="n">
        <f aca="false">U295/V295</f>
        <v>18701.7284863974</v>
      </c>
      <c r="Y295" s="156" t="n">
        <f aca="false">57844.2/V295/7</f>
        <v>308.760771013184</v>
      </c>
      <c r="Z295" s="28" t="n">
        <v>5.13</v>
      </c>
      <c r="AA295" s="62" t="s">
        <v>80</v>
      </c>
      <c r="AB295" s="38" t="n">
        <v>44001</v>
      </c>
      <c r="AC295" s="38" t="n">
        <v>44061</v>
      </c>
      <c r="AD295" s="38" t="n">
        <v>44060</v>
      </c>
      <c r="AE295" s="50" t="n">
        <v>45885</v>
      </c>
      <c r="AF295" s="28" t="n">
        <f aca="false">YEAR(AE295)</f>
        <v>2025</v>
      </c>
      <c r="AG295" s="63" t="n">
        <f aca="false">X295/SUMIF($Z$2:$Z$380,Z295,$X$2:$X$380)*(VLOOKUP(Z295,'затраты по департаментам-2 '!$A$2:$C$182,2,FALSE())+VLOOKUP(Z295,'затраты по департаментам-2 '!$A$2:$C$182,3,FALSE()))</f>
        <v>11290.9491308727</v>
      </c>
      <c r="AH295" s="153" t="n">
        <f aca="false">W295/60</f>
        <v>2263.08101639719</v>
      </c>
      <c r="AI295" s="64" t="s">
        <v>81</v>
      </c>
      <c r="AJ295" s="63" t="s">
        <v>82</v>
      </c>
      <c r="AK295" s="43" t="n">
        <v>126882</v>
      </c>
      <c r="AL295" s="43"/>
      <c r="AM295" s="43" t="s">
        <v>2214</v>
      </c>
      <c r="AN295" s="74" t="s">
        <v>2215</v>
      </c>
      <c r="AO295" s="65" t="n">
        <v>44924</v>
      </c>
      <c r="AP295" s="43" t="s">
        <v>2216</v>
      </c>
      <c r="AQ295" s="66" t="s">
        <v>2217</v>
      </c>
      <c r="AR295" s="64"/>
    </row>
    <row r="296" customFormat="false" ht="14.25" hidden="false" customHeight="false" outlineLevel="0" collapsed="false">
      <c r="A296" s="26" t="n">
        <v>295</v>
      </c>
      <c r="B296" s="43" t="s">
        <v>2218</v>
      </c>
      <c r="C296" s="43" t="s">
        <v>1291</v>
      </c>
      <c r="D296" s="28" t="s">
        <v>73</v>
      </c>
      <c r="E296" s="43" t="n">
        <v>5.3</v>
      </c>
      <c r="F296" s="43" t="n">
        <v>1.5</v>
      </c>
      <c r="G296" s="43" t="n">
        <v>112</v>
      </c>
      <c r="H296" s="43" t="n">
        <v>2022</v>
      </c>
      <c r="I296" s="43" t="s">
        <v>1292</v>
      </c>
      <c r="J296" s="43" t="s">
        <v>74</v>
      </c>
      <c r="K296" s="30" t="s">
        <v>2219</v>
      </c>
      <c r="L296" s="69"/>
      <c r="M296" s="31" t="s">
        <v>2220</v>
      </c>
      <c r="N296" s="32" t="s">
        <v>1285</v>
      </c>
      <c r="O296" s="57" t="s">
        <v>2221</v>
      </c>
      <c r="P296" s="130" t="s">
        <v>920</v>
      </c>
      <c r="Q296" s="87" t="n">
        <v>9000</v>
      </c>
      <c r="R296" s="58" t="s">
        <v>171</v>
      </c>
      <c r="S296" s="69" t="n">
        <v>4130</v>
      </c>
      <c r="T296" s="59" t="s">
        <v>123</v>
      </c>
      <c r="U296" s="155" t="n">
        <v>500519.97</v>
      </c>
      <c r="V296" s="60" t="n">
        <v>26.7633</v>
      </c>
      <c r="W296" s="146" t="n">
        <f aca="false">950494.026886819/7</f>
        <v>135784.860983831</v>
      </c>
      <c r="X296" s="161" t="n">
        <f aca="false">U296/V296</f>
        <v>18701.7284863974</v>
      </c>
      <c r="Y296" s="156" t="n">
        <f aca="false">57844.2/V296/7</f>
        <v>308.760771013184</v>
      </c>
      <c r="Z296" s="28" t="n">
        <v>5.13</v>
      </c>
      <c r="AA296" s="62" t="s">
        <v>80</v>
      </c>
      <c r="AB296" s="38" t="n">
        <v>44001</v>
      </c>
      <c r="AC296" s="38" t="n">
        <v>44061</v>
      </c>
      <c r="AD296" s="38" t="n">
        <v>44060</v>
      </c>
      <c r="AE296" s="50" t="n">
        <v>45885</v>
      </c>
      <c r="AF296" s="28" t="n">
        <f aca="false">YEAR(AE296)</f>
        <v>2025</v>
      </c>
      <c r="AG296" s="63" t="n">
        <f aca="false">X296/SUMIF($Z$2:$Z$380,Z296,$X$2:$X$380)*(VLOOKUP(Z296,'затраты по департаментам-2 '!$A$2:$C$182,2,FALSE())+VLOOKUP(Z296,'затраты по департаментам-2 '!$A$2:$C$182,3,FALSE()))</f>
        <v>11290.9491308727</v>
      </c>
      <c r="AH296" s="153" t="n">
        <f aca="false">W296/60</f>
        <v>2263.08101639719</v>
      </c>
      <c r="AI296" s="64" t="s">
        <v>81</v>
      </c>
      <c r="AJ296" s="63" t="s">
        <v>82</v>
      </c>
      <c r="AK296" s="43" t="n">
        <v>126965</v>
      </c>
      <c r="AL296" s="43"/>
      <c r="AM296" s="43" t="s">
        <v>2222</v>
      </c>
      <c r="AN296" s="78" t="s">
        <v>2223</v>
      </c>
      <c r="AO296" s="65" t="n">
        <v>44413</v>
      </c>
      <c r="AP296" s="43" t="s">
        <v>2224</v>
      </c>
      <c r="AQ296" s="66" t="s">
        <v>2225</v>
      </c>
      <c r="AR296" s="64"/>
    </row>
    <row r="297" customFormat="false" ht="14.25" hidden="false" customHeight="false" outlineLevel="0" collapsed="false">
      <c r="A297" s="26" t="n">
        <v>296</v>
      </c>
      <c r="B297" s="43" t="s">
        <v>2226</v>
      </c>
      <c r="C297" s="43" t="s">
        <v>1291</v>
      </c>
      <c r="D297" s="28" t="s">
        <v>73</v>
      </c>
      <c r="E297" s="43" t="n">
        <v>5.3</v>
      </c>
      <c r="F297" s="43" t="n">
        <v>1.5</v>
      </c>
      <c r="G297" s="43" t="n">
        <v>112</v>
      </c>
      <c r="H297" s="43" t="n">
        <v>2023</v>
      </c>
      <c r="I297" s="43" t="s">
        <v>1292</v>
      </c>
      <c r="J297" s="43" t="s">
        <v>74</v>
      </c>
      <c r="K297" s="30" t="s">
        <v>2227</v>
      </c>
      <c r="L297" s="35"/>
      <c r="M297" s="31" t="s">
        <v>2228</v>
      </c>
      <c r="N297" s="84" t="s">
        <v>412</v>
      </c>
      <c r="O297" s="28" t="s">
        <v>60</v>
      </c>
      <c r="P297" s="56" t="s">
        <v>298</v>
      </c>
      <c r="Q297" s="87" t="n">
        <v>1000</v>
      </c>
      <c r="R297" s="58" t="s">
        <v>351</v>
      </c>
      <c r="S297" s="69" t="n">
        <v>4178</v>
      </c>
      <c r="T297" s="35" t="s">
        <v>123</v>
      </c>
      <c r="U297" s="155" t="n">
        <v>500519.97</v>
      </c>
      <c r="V297" s="60" t="n">
        <v>26.7633</v>
      </c>
      <c r="W297" s="146" t="n">
        <f aca="false">950494.026886819/7</f>
        <v>135784.860983831</v>
      </c>
      <c r="X297" s="161" t="n">
        <f aca="false">U297/V297</f>
        <v>18701.7284863974</v>
      </c>
      <c r="Y297" s="156" t="n">
        <f aca="false">57844.2/V297/7</f>
        <v>308.760771013184</v>
      </c>
      <c r="Z297" s="28" t="n">
        <v>5.13</v>
      </c>
      <c r="AA297" s="62" t="s">
        <v>80</v>
      </c>
      <c r="AB297" s="38" t="n">
        <v>44001</v>
      </c>
      <c r="AC297" s="38" t="n">
        <v>44061</v>
      </c>
      <c r="AD297" s="38" t="n">
        <v>44060</v>
      </c>
      <c r="AE297" s="50" t="n">
        <v>45885</v>
      </c>
      <c r="AF297" s="28" t="n">
        <f aca="false">YEAR(AE297)</f>
        <v>2025</v>
      </c>
      <c r="AG297" s="63" t="n">
        <f aca="false">X297/SUMIF($Z$2:$Z$380,Z297,$X$2:$X$380)*(VLOOKUP(Z297,'затраты по департаментам-2 '!$A$2:$C$182,2,FALSE())+VLOOKUP(Z297,'затраты по департаментам-2 '!$A$2:$C$182,3,FALSE()))</f>
        <v>11290.9491308727</v>
      </c>
      <c r="AH297" s="153" t="n">
        <f aca="false">W297/60</f>
        <v>2263.08101639719</v>
      </c>
      <c r="AI297" s="64" t="s">
        <v>81</v>
      </c>
      <c r="AJ297" s="63" t="s">
        <v>60</v>
      </c>
      <c r="AK297" s="43" t="n">
        <v>126973</v>
      </c>
      <c r="AL297" s="43"/>
      <c r="AM297" s="43" t="s">
        <v>2229</v>
      </c>
      <c r="AN297" s="74" t="s">
        <v>2230</v>
      </c>
      <c r="AO297" s="65" t="n">
        <v>44937</v>
      </c>
      <c r="AP297" s="43" t="s">
        <v>2231</v>
      </c>
      <c r="AQ297" s="66" t="s">
        <v>2232</v>
      </c>
      <c r="AR297" s="64"/>
    </row>
    <row r="298" customFormat="false" ht="14.25" hidden="false" customHeight="false" outlineLevel="0" collapsed="false">
      <c r="A298" s="26" t="n">
        <v>297</v>
      </c>
      <c r="B298" s="43" t="s">
        <v>2233</v>
      </c>
      <c r="C298" s="43" t="s">
        <v>1291</v>
      </c>
      <c r="D298" s="28" t="s">
        <v>73</v>
      </c>
      <c r="E298" s="43" t="n">
        <v>5.3</v>
      </c>
      <c r="F298" s="43" t="n">
        <v>1.5</v>
      </c>
      <c r="G298" s="43" t="n">
        <v>112</v>
      </c>
      <c r="H298" s="43" t="n">
        <v>2024</v>
      </c>
      <c r="I298" s="43" t="s">
        <v>1292</v>
      </c>
      <c r="J298" s="43" t="s">
        <v>74</v>
      </c>
      <c r="K298" s="30" t="s">
        <v>2234</v>
      </c>
      <c r="L298" s="57"/>
      <c r="M298" s="31" t="s">
        <v>2235</v>
      </c>
      <c r="N298" s="32" t="s">
        <v>1717</v>
      </c>
      <c r="O298" s="57" t="s">
        <v>1003</v>
      </c>
      <c r="P298" s="56" t="s">
        <v>327</v>
      </c>
      <c r="Q298" s="57" t="n">
        <v>7014</v>
      </c>
      <c r="R298" s="58" t="s">
        <v>171</v>
      </c>
      <c r="S298" s="69" t="n">
        <v>4131</v>
      </c>
      <c r="T298" s="59" t="s">
        <v>123</v>
      </c>
      <c r="U298" s="155" t="n">
        <v>500519.97</v>
      </c>
      <c r="V298" s="60" t="n">
        <v>26.7633</v>
      </c>
      <c r="W298" s="146" t="n">
        <f aca="false">950494.026886819/7</f>
        <v>135784.860983831</v>
      </c>
      <c r="X298" s="161" t="n">
        <f aca="false">U298/V298</f>
        <v>18701.7284863974</v>
      </c>
      <c r="Y298" s="156" t="n">
        <f aca="false">57844.2/V298/7</f>
        <v>308.760771013184</v>
      </c>
      <c r="Z298" s="28" t="n">
        <v>5.13</v>
      </c>
      <c r="AA298" s="62" t="s">
        <v>80</v>
      </c>
      <c r="AB298" s="38" t="n">
        <v>44001</v>
      </c>
      <c r="AC298" s="38" t="n">
        <v>44061</v>
      </c>
      <c r="AD298" s="38" t="n">
        <v>44060</v>
      </c>
      <c r="AE298" s="50" t="n">
        <v>45885</v>
      </c>
      <c r="AF298" s="28" t="n">
        <f aca="false">YEAR(AE298)</f>
        <v>2025</v>
      </c>
      <c r="AG298" s="63" t="n">
        <f aca="false">X298/SUMIF($Z$2:$Z$380,Z298,$X$2:$X$380)*(VLOOKUP(Z298,'затраты по департаментам-2 '!$A$2:$C$182,2,FALSE())+VLOOKUP(Z298,'затраты по департаментам-2 '!$A$2:$C$182,3,FALSE()))</f>
        <v>11290.9491308727</v>
      </c>
      <c r="AH298" s="153" t="n">
        <f aca="false">W298/60</f>
        <v>2263.08101639719</v>
      </c>
      <c r="AI298" s="64" t="s">
        <v>81</v>
      </c>
      <c r="AJ298" s="63" t="s">
        <v>52</v>
      </c>
      <c r="AK298" s="43" t="n">
        <v>126924</v>
      </c>
      <c r="AL298" s="43"/>
      <c r="AM298" s="43" t="s">
        <v>2236</v>
      </c>
      <c r="AN298" s="78" t="s">
        <v>2237</v>
      </c>
      <c r="AO298" s="65" t="n">
        <v>44981</v>
      </c>
      <c r="AP298" s="43" t="s">
        <v>2238</v>
      </c>
      <c r="AQ298" s="66" t="s">
        <v>2239</v>
      </c>
      <c r="AR298" s="64"/>
    </row>
    <row r="299" customFormat="false" ht="14.25" hidden="false" customHeight="false" outlineLevel="0" collapsed="false">
      <c r="A299" s="26" t="n">
        <v>298</v>
      </c>
      <c r="B299" s="43" t="s">
        <v>2240</v>
      </c>
      <c r="C299" s="43" t="s">
        <v>1291</v>
      </c>
      <c r="D299" s="28" t="s">
        <v>73</v>
      </c>
      <c r="E299" s="43" t="n">
        <v>5.3</v>
      </c>
      <c r="F299" s="43" t="n">
        <v>1.5</v>
      </c>
      <c r="G299" s="43" t="n">
        <v>112</v>
      </c>
      <c r="H299" s="43" t="n">
        <v>2025</v>
      </c>
      <c r="I299" s="43" t="s">
        <v>1292</v>
      </c>
      <c r="J299" s="43" t="s">
        <v>74</v>
      </c>
      <c r="K299" s="30" t="s">
        <v>2241</v>
      </c>
      <c r="L299" s="69"/>
      <c r="M299" s="31" t="s">
        <v>2242</v>
      </c>
      <c r="N299" s="32" t="s">
        <v>2243</v>
      </c>
      <c r="O299" s="57" t="s">
        <v>52</v>
      </c>
      <c r="P299" s="56" t="s">
        <v>394</v>
      </c>
      <c r="Q299" s="57" t="n">
        <v>1000</v>
      </c>
      <c r="R299" s="89" t="s">
        <v>2244</v>
      </c>
      <c r="S299" s="69" t="n">
        <v>5411</v>
      </c>
      <c r="T299" s="35" t="s">
        <v>172</v>
      </c>
      <c r="U299" s="155" t="n">
        <v>500519.97</v>
      </c>
      <c r="V299" s="60" t="n">
        <v>26.7633</v>
      </c>
      <c r="W299" s="146" t="n">
        <f aca="false">950494.026886819/7</f>
        <v>135784.860983831</v>
      </c>
      <c r="X299" s="161" t="n">
        <f aca="false">U299/V299</f>
        <v>18701.7284863974</v>
      </c>
      <c r="Y299" s="156" t="n">
        <f aca="false">57844.2/V299/7</f>
        <v>308.760771013184</v>
      </c>
      <c r="Z299" s="28" t="n">
        <v>5.13</v>
      </c>
      <c r="AA299" s="62" t="s">
        <v>80</v>
      </c>
      <c r="AB299" s="38" t="n">
        <v>44001</v>
      </c>
      <c r="AC299" s="38" t="n">
        <v>44061</v>
      </c>
      <c r="AD299" s="38" t="n">
        <v>44060</v>
      </c>
      <c r="AE299" s="50" t="n">
        <v>45885</v>
      </c>
      <c r="AF299" s="28" t="n">
        <f aca="false">YEAR(AE299)</f>
        <v>2025</v>
      </c>
      <c r="AG299" s="63" t="n">
        <f aca="false">X299/SUMIF($Z$2:$Z$380,Z299,$X$2:$X$380)*(VLOOKUP(Z299,'затраты по департаментам-2 '!$A$2:$C$182,2,FALSE())+VLOOKUP(Z299,'затраты по департаментам-2 '!$A$2:$C$182,3,FALSE()))</f>
        <v>11290.9491308727</v>
      </c>
      <c r="AH299" s="153" t="n">
        <f aca="false">W299/60</f>
        <v>2263.08101639719</v>
      </c>
      <c r="AI299" s="64" t="s">
        <v>81</v>
      </c>
      <c r="AJ299" s="63" t="s">
        <v>52</v>
      </c>
      <c r="AK299" s="43" t="n">
        <v>90054</v>
      </c>
      <c r="AL299" s="43"/>
      <c r="AM299" s="43" t="s">
        <v>2245</v>
      </c>
      <c r="AN299" s="78" t="s">
        <v>2246</v>
      </c>
      <c r="AO299" s="65" t="n">
        <v>44413</v>
      </c>
      <c r="AP299" s="43" t="s">
        <v>2247</v>
      </c>
      <c r="AQ299" s="66" t="s">
        <v>2248</v>
      </c>
      <c r="AR299" s="64"/>
    </row>
    <row r="300" customFormat="false" ht="14.25" hidden="false" customHeight="false" outlineLevel="0" collapsed="false">
      <c r="A300" s="26" t="n">
        <v>299</v>
      </c>
      <c r="B300" s="26" t="s">
        <v>2249</v>
      </c>
      <c r="C300" s="43" t="s">
        <v>1291</v>
      </c>
      <c r="D300" s="28" t="s">
        <v>73</v>
      </c>
      <c r="E300" s="43" t="n">
        <v>5.3</v>
      </c>
      <c r="F300" s="43" t="n">
        <v>1.5</v>
      </c>
      <c r="G300" s="43" t="n">
        <v>112</v>
      </c>
      <c r="H300" s="43" t="n">
        <v>2026</v>
      </c>
      <c r="I300" s="43" t="s">
        <v>1292</v>
      </c>
      <c r="J300" s="43" t="s">
        <v>74</v>
      </c>
      <c r="K300" s="30" t="s">
        <v>2250</v>
      </c>
      <c r="L300" s="28"/>
      <c r="M300" s="31" t="s">
        <v>2251</v>
      </c>
      <c r="N300" s="84" t="s">
        <v>2252</v>
      </c>
      <c r="O300" s="28" t="s">
        <v>100</v>
      </c>
      <c r="P300" s="56" t="s">
        <v>2253</v>
      </c>
      <c r="Q300" s="87" t="n">
        <v>1000</v>
      </c>
      <c r="R300" s="89" t="s">
        <v>2254</v>
      </c>
      <c r="S300" s="69" t="n">
        <v>5211</v>
      </c>
      <c r="T300" s="35" t="n">
        <v>5</v>
      </c>
      <c r="U300" s="155" t="n">
        <v>500519.97</v>
      </c>
      <c r="V300" s="60" t="n">
        <v>26.7633</v>
      </c>
      <c r="W300" s="146" t="n">
        <f aca="false">950494.026886819/7</f>
        <v>135784.860983831</v>
      </c>
      <c r="X300" s="161" t="n">
        <f aca="false">U300/V300</f>
        <v>18701.7284863974</v>
      </c>
      <c r="Y300" s="156" t="n">
        <f aca="false">57844.2/V300/7</f>
        <v>308.760771013184</v>
      </c>
      <c r="Z300" s="28" t="n">
        <v>5.13</v>
      </c>
      <c r="AA300" s="62" t="s">
        <v>80</v>
      </c>
      <c r="AB300" s="38" t="n">
        <v>44001</v>
      </c>
      <c r="AC300" s="38" t="n">
        <v>44061</v>
      </c>
      <c r="AD300" s="38" t="n">
        <v>44060</v>
      </c>
      <c r="AE300" s="50" t="n">
        <v>45885</v>
      </c>
      <c r="AF300" s="28" t="n">
        <f aca="false">YEAR(AE300)</f>
        <v>2025</v>
      </c>
      <c r="AG300" s="63" t="n">
        <f aca="false">X300/SUMIF($Z$2:$Z$380,Z300,$X$2:$X$380)*(VLOOKUP(Z300,'затраты по департаментам-2 '!$A$2:$C$182,2,FALSE())+VLOOKUP(Z300,'затраты по департаментам-2 '!$A$2:$C$182,3,FALSE()))</f>
        <v>11290.9491308727</v>
      </c>
      <c r="AH300" s="153" t="n">
        <f aca="false">W300/60</f>
        <v>2263.08101639719</v>
      </c>
      <c r="AI300" s="64" t="s">
        <v>81</v>
      </c>
      <c r="AJ300" s="63" t="s">
        <v>100</v>
      </c>
      <c r="AK300" s="43" t="n">
        <v>106058</v>
      </c>
      <c r="AL300" s="43"/>
      <c r="AM300" s="43" t="s">
        <v>2255</v>
      </c>
      <c r="AN300" s="74" t="s">
        <v>2256</v>
      </c>
      <c r="AO300" s="65" t="n">
        <v>44789</v>
      </c>
      <c r="AP300" s="43" t="s">
        <v>2257</v>
      </c>
      <c r="AQ300" s="66" t="s">
        <v>2258</v>
      </c>
      <c r="AR300" s="64"/>
    </row>
    <row r="301" customFormat="false" ht="14.25" hidden="false" customHeight="false" outlineLevel="0" collapsed="false">
      <c r="A301" s="26" t="n">
        <v>300</v>
      </c>
      <c r="B301" s="43" t="s">
        <v>2259</v>
      </c>
      <c r="C301" s="43" t="s">
        <v>1291</v>
      </c>
      <c r="D301" s="28" t="s">
        <v>73</v>
      </c>
      <c r="E301" s="43" t="n">
        <v>5.3</v>
      </c>
      <c r="F301" s="43" t="n">
        <v>1.5</v>
      </c>
      <c r="G301" s="43" t="n">
        <v>112</v>
      </c>
      <c r="H301" s="43" t="n">
        <v>2027</v>
      </c>
      <c r="I301" s="43" t="s">
        <v>1292</v>
      </c>
      <c r="J301" s="43" t="s">
        <v>74</v>
      </c>
      <c r="K301" s="30" t="s">
        <v>2260</v>
      </c>
      <c r="L301" s="57"/>
      <c r="M301" s="31" t="s">
        <v>2261</v>
      </c>
      <c r="N301" s="32" t="s">
        <v>2262</v>
      </c>
      <c r="O301" s="57" t="s">
        <v>100</v>
      </c>
      <c r="P301" s="28" t="s">
        <v>2263</v>
      </c>
      <c r="Q301" s="57" t="n">
        <v>1000</v>
      </c>
      <c r="R301" s="58" t="s">
        <v>405</v>
      </c>
      <c r="S301" s="69" t="n">
        <v>4230</v>
      </c>
      <c r="T301" s="69" t="n">
        <v>5</v>
      </c>
      <c r="U301" s="155" t="n">
        <v>500519.97</v>
      </c>
      <c r="V301" s="60" t="n">
        <v>26.7633</v>
      </c>
      <c r="W301" s="146" t="n">
        <f aca="false">950494.026886819/7</f>
        <v>135784.860983831</v>
      </c>
      <c r="X301" s="161" t="n">
        <f aca="false">U301/V301</f>
        <v>18701.7284863974</v>
      </c>
      <c r="Y301" s="156" t="n">
        <f aca="false">57844.2/V301/7</f>
        <v>308.760771013184</v>
      </c>
      <c r="Z301" s="28" t="n">
        <v>5.13</v>
      </c>
      <c r="AA301" s="62" t="s">
        <v>80</v>
      </c>
      <c r="AB301" s="38" t="n">
        <v>44001</v>
      </c>
      <c r="AC301" s="38" t="n">
        <v>44061</v>
      </c>
      <c r="AD301" s="38" t="n">
        <v>44060</v>
      </c>
      <c r="AE301" s="50" t="n">
        <v>45885</v>
      </c>
      <c r="AF301" s="28" t="n">
        <f aca="false">YEAR(AE301)</f>
        <v>2025</v>
      </c>
      <c r="AG301" s="63" t="n">
        <f aca="false">X301/SUMIF($Z$2:$Z$380,Z301,$X$2:$X$380)*(VLOOKUP(Z301,'затраты по департаментам-2 '!$A$2:$C$182,2,FALSE())+VLOOKUP(Z301,'затраты по департаментам-2 '!$A$2:$C$182,3,FALSE()))</f>
        <v>11290.9491308727</v>
      </c>
      <c r="AH301" s="153" t="n">
        <f aca="false">W301/60</f>
        <v>2263.08101639719</v>
      </c>
      <c r="AI301" s="64" t="s">
        <v>81</v>
      </c>
      <c r="AJ301" s="63" t="s">
        <v>100</v>
      </c>
      <c r="AK301" s="43" t="n">
        <v>127427</v>
      </c>
      <c r="AL301" s="43"/>
      <c r="AM301" s="43" t="s">
        <v>2264</v>
      </c>
      <c r="AN301" s="78" t="s">
        <v>2265</v>
      </c>
      <c r="AO301" s="65" t="n">
        <v>44413</v>
      </c>
      <c r="AP301" s="43" t="s">
        <v>2266</v>
      </c>
      <c r="AQ301" s="66" t="s">
        <v>2267</v>
      </c>
      <c r="AR301" s="64"/>
    </row>
    <row r="302" customFormat="false" ht="14.25" hidden="false" customHeight="false" outlineLevel="0" collapsed="false">
      <c r="A302" s="26" t="n">
        <v>301</v>
      </c>
      <c r="B302" s="43" t="s">
        <v>2268</v>
      </c>
      <c r="C302" s="43" t="s">
        <v>1291</v>
      </c>
      <c r="D302" s="28" t="s">
        <v>73</v>
      </c>
      <c r="E302" s="43" t="n">
        <v>5.3</v>
      </c>
      <c r="F302" s="43" t="n">
        <v>1.5</v>
      </c>
      <c r="G302" s="43" t="n">
        <v>112</v>
      </c>
      <c r="H302" s="43" t="n">
        <v>2020</v>
      </c>
      <c r="I302" s="43" t="s">
        <v>1292</v>
      </c>
      <c r="J302" s="43" t="s">
        <v>74</v>
      </c>
      <c r="K302" s="30" t="s">
        <v>2269</v>
      </c>
      <c r="L302" s="35"/>
      <c r="M302" s="31" t="s">
        <v>2270</v>
      </c>
      <c r="N302" s="32" t="s">
        <v>2271</v>
      </c>
      <c r="O302" s="57" t="s">
        <v>100</v>
      </c>
      <c r="P302" s="56" t="s">
        <v>2263</v>
      </c>
      <c r="Q302" s="57" t="n">
        <v>1000</v>
      </c>
      <c r="R302" s="58" t="s">
        <v>405</v>
      </c>
      <c r="S302" s="69" t="n">
        <v>4230</v>
      </c>
      <c r="T302" s="59" t="s">
        <v>123</v>
      </c>
      <c r="U302" s="155" t="n">
        <v>506005.19</v>
      </c>
      <c r="V302" s="60" t="n">
        <v>27.0566</v>
      </c>
      <c r="W302" s="146" t="n">
        <v>135784.860671149</v>
      </c>
      <c r="X302" s="161" t="n">
        <f aca="false">U302/V302</f>
        <v>18701.7285985674</v>
      </c>
      <c r="Y302" s="156" t="n">
        <f aca="false">8354.1/V302</f>
        <v>308.763850594679</v>
      </c>
      <c r="Z302" s="28" t="n">
        <v>5.16</v>
      </c>
      <c r="AA302" s="62" t="s">
        <v>80</v>
      </c>
      <c r="AB302" s="38" t="n">
        <v>43908</v>
      </c>
      <c r="AC302" s="38" t="n">
        <v>44062</v>
      </c>
      <c r="AD302" s="38" t="n">
        <v>44057</v>
      </c>
      <c r="AE302" s="50" t="n">
        <v>45882</v>
      </c>
      <c r="AF302" s="28" t="n">
        <f aca="false">YEAR(AE302)</f>
        <v>2025</v>
      </c>
      <c r="AG302" s="63" t="n">
        <f aca="false">X302/SUMIF($Z$2:$Z$380,Z302,$X$2:$X$380)*(VLOOKUP(Z302,'затраты по департаментам-2 '!$A$2:$C$182,2,FALSE())+VLOOKUP(Z302,'затраты по департаментам-2 '!$A$2:$C$182,3,FALSE()))</f>
        <v>11291.0617468566</v>
      </c>
      <c r="AH302" s="153" t="n">
        <f aca="false">W302/60</f>
        <v>2263.08101118581</v>
      </c>
      <c r="AI302" s="64" t="s">
        <v>81</v>
      </c>
      <c r="AJ302" s="63" t="s">
        <v>100</v>
      </c>
      <c r="AK302" s="43" t="n">
        <v>127005</v>
      </c>
      <c r="AL302" s="43"/>
      <c r="AM302" s="43" t="s">
        <v>2272</v>
      </c>
      <c r="AN302" s="74" t="s">
        <v>2273</v>
      </c>
      <c r="AO302" s="65" t="n">
        <v>44821</v>
      </c>
      <c r="AP302" s="43" t="s">
        <v>2274</v>
      </c>
      <c r="AQ302" s="66" t="s">
        <v>2275</v>
      </c>
      <c r="AR302" s="64"/>
    </row>
    <row r="303" customFormat="false" ht="14.25" hidden="false" customHeight="false" outlineLevel="0" collapsed="false">
      <c r="A303" s="26" t="n">
        <v>302</v>
      </c>
      <c r="B303" s="43" t="s">
        <v>2276</v>
      </c>
      <c r="C303" s="43" t="s">
        <v>1291</v>
      </c>
      <c r="D303" s="28" t="s">
        <v>73</v>
      </c>
      <c r="E303" s="43" t="n">
        <v>5.3</v>
      </c>
      <c r="F303" s="43" t="n">
        <v>1.5</v>
      </c>
      <c r="G303" s="43" t="n">
        <v>112</v>
      </c>
      <c r="H303" s="43" t="n">
        <v>2020</v>
      </c>
      <c r="I303" s="43" t="s">
        <v>1292</v>
      </c>
      <c r="J303" s="43" t="s">
        <v>74</v>
      </c>
      <c r="K303" s="30" t="s">
        <v>2277</v>
      </c>
      <c r="L303" s="35"/>
      <c r="M303" s="31" t="s">
        <v>2278</v>
      </c>
      <c r="N303" s="92" t="s">
        <v>2279</v>
      </c>
      <c r="O303" s="28" t="s">
        <v>52</v>
      </c>
      <c r="P303" s="56" t="s">
        <v>2280</v>
      </c>
      <c r="Q303" s="87" t="n">
        <v>1000</v>
      </c>
      <c r="R303" s="58" t="s">
        <v>2254</v>
      </c>
      <c r="S303" s="69" t="n">
        <v>5211</v>
      </c>
      <c r="T303" s="69" t="n">
        <v>5</v>
      </c>
      <c r="U303" s="155" t="n">
        <v>506005.19</v>
      </c>
      <c r="V303" s="60" t="n">
        <v>27.0566</v>
      </c>
      <c r="W303" s="146" t="n">
        <f aca="false">3937760.85695043/29</f>
        <v>135784.857136222</v>
      </c>
      <c r="X303" s="161" t="n">
        <f aca="false">U303/V303</f>
        <v>18701.7285985674</v>
      </c>
      <c r="Y303" s="156" t="n">
        <f aca="false">242268.96/29/V303</f>
        <v>308.763927062732</v>
      </c>
      <c r="Z303" s="28" t="n">
        <v>5.18</v>
      </c>
      <c r="AA303" s="62" t="s">
        <v>80</v>
      </c>
      <c r="AB303" s="38" t="n">
        <v>43908</v>
      </c>
      <c r="AC303" s="38" t="n">
        <v>44071</v>
      </c>
      <c r="AD303" s="38" t="n">
        <v>44069</v>
      </c>
      <c r="AE303" s="50" t="n">
        <v>45894</v>
      </c>
      <c r="AF303" s="28" t="n">
        <f aca="false">YEAR(AE303)</f>
        <v>2025</v>
      </c>
      <c r="AG303" s="63" t="n">
        <f aca="false">X303/SUMIF($Z$2:$Z$380,Z303,$X$2:$X$380)*(VLOOKUP(Z303,'затраты по департаментам-2 '!$A$2:$C$182,2,FALSE())+VLOOKUP(Z303,'затраты по департаментам-2 '!$A$2:$C$182,3,FALSE()))</f>
        <v>11291.0645431862</v>
      </c>
      <c r="AH303" s="153" t="n">
        <f aca="false">W303/60</f>
        <v>2263.08095227036</v>
      </c>
      <c r="AI303" s="64" t="s">
        <v>422</v>
      </c>
      <c r="AJ303" s="63" t="s">
        <v>52</v>
      </c>
      <c r="AK303" s="43" t="n">
        <v>996572</v>
      </c>
      <c r="AL303" s="43"/>
      <c r="AM303" s="43" t="s">
        <v>2281</v>
      </c>
      <c r="AN303" s="78" t="s">
        <v>2282</v>
      </c>
      <c r="AO303" s="65" t="n">
        <v>44413</v>
      </c>
      <c r="AP303" s="43" t="s">
        <v>2283</v>
      </c>
      <c r="AQ303" s="66" t="s">
        <v>2284</v>
      </c>
      <c r="AR303" s="64"/>
    </row>
    <row r="304" customFormat="false" ht="14.25" hidden="false" customHeight="false" outlineLevel="0" collapsed="false">
      <c r="A304" s="26" t="n">
        <v>303</v>
      </c>
      <c r="B304" s="43" t="s">
        <v>2285</v>
      </c>
      <c r="C304" s="43" t="s">
        <v>1291</v>
      </c>
      <c r="D304" s="28" t="s">
        <v>73</v>
      </c>
      <c r="E304" s="43" t="n">
        <v>5.3</v>
      </c>
      <c r="F304" s="43" t="n">
        <v>1.5</v>
      </c>
      <c r="G304" s="43" t="n">
        <v>112</v>
      </c>
      <c r="H304" s="43" t="n">
        <v>2020</v>
      </c>
      <c r="I304" s="43" t="s">
        <v>1292</v>
      </c>
      <c r="J304" s="43" t="s">
        <v>74</v>
      </c>
      <c r="K304" s="30" t="s">
        <v>2286</v>
      </c>
      <c r="L304" s="35"/>
      <c r="M304" s="31" t="s">
        <v>2287</v>
      </c>
      <c r="N304" s="92" t="s">
        <v>438</v>
      </c>
      <c r="O304" s="28" t="s">
        <v>100</v>
      </c>
      <c r="P304" s="56" t="s">
        <v>1030</v>
      </c>
      <c r="Q304" s="87" t="n">
        <v>1000</v>
      </c>
      <c r="R304" s="58" t="s">
        <v>413</v>
      </c>
      <c r="S304" s="69" t="n">
        <v>4170</v>
      </c>
      <c r="T304" s="59" t="s">
        <v>123</v>
      </c>
      <c r="U304" s="155" t="n">
        <v>506005.19</v>
      </c>
      <c r="V304" s="60" t="n">
        <v>27.0566</v>
      </c>
      <c r="W304" s="146" t="n">
        <f aca="false">3937760.85695043/29</f>
        <v>135784.857136222</v>
      </c>
      <c r="X304" s="161" t="n">
        <f aca="false">U304/V304</f>
        <v>18701.7285985674</v>
      </c>
      <c r="Y304" s="156" t="n">
        <f aca="false">242268.96/29/V304</f>
        <v>308.763927062732</v>
      </c>
      <c r="Z304" s="28" t="n">
        <v>5.18</v>
      </c>
      <c r="AA304" s="62" t="s">
        <v>80</v>
      </c>
      <c r="AB304" s="38" t="n">
        <v>43908</v>
      </c>
      <c r="AC304" s="38" t="n">
        <v>44071</v>
      </c>
      <c r="AD304" s="38" t="n">
        <v>44068</v>
      </c>
      <c r="AE304" s="50" t="n">
        <v>45893</v>
      </c>
      <c r="AF304" s="28" t="n">
        <f aca="false">YEAR(AE304)</f>
        <v>2025</v>
      </c>
      <c r="AG304" s="63" t="n">
        <f aca="false">X304/SUMIF($Z$2:$Z$380,Z304,$X$2:$X$380)*(VLOOKUP(Z304,'затраты по департаментам-2 '!$A$2:$C$182,2,FALSE())+VLOOKUP(Z304,'затраты по департаментам-2 '!$A$2:$C$182,3,FALSE()))</f>
        <v>11291.0645431862</v>
      </c>
      <c r="AH304" s="153" t="n">
        <f aca="false">W304/60</f>
        <v>2263.08095227036</v>
      </c>
      <c r="AI304" s="64" t="s">
        <v>81</v>
      </c>
      <c r="AJ304" s="63" t="s">
        <v>100</v>
      </c>
      <c r="AK304" s="43" t="n">
        <v>148571</v>
      </c>
      <c r="AL304" s="43"/>
      <c r="AM304" s="43" t="s">
        <v>2288</v>
      </c>
      <c r="AN304" s="74" t="s">
        <v>2289</v>
      </c>
      <c r="AO304" s="65" t="n">
        <v>44855</v>
      </c>
      <c r="AP304" s="43" t="s">
        <v>2290</v>
      </c>
      <c r="AQ304" s="197" t="s">
        <v>2291</v>
      </c>
      <c r="AR304" s="64"/>
    </row>
    <row r="305" customFormat="false" ht="14.25" hidden="false" customHeight="false" outlineLevel="0" collapsed="false">
      <c r="A305" s="26" t="n">
        <v>304</v>
      </c>
      <c r="B305" s="43" t="s">
        <v>2292</v>
      </c>
      <c r="C305" s="43" t="s">
        <v>1291</v>
      </c>
      <c r="D305" s="28" t="s">
        <v>73</v>
      </c>
      <c r="E305" s="43" t="n">
        <v>5.3</v>
      </c>
      <c r="F305" s="43" t="n">
        <v>1.5</v>
      </c>
      <c r="G305" s="43" t="n">
        <v>112</v>
      </c>
      <c r="H305" s="43" t="n">
        <v>2020</v>
      </c>
      <c r="I305" s="43" t="s">
        <v>1292</v>
      </c>
      <c r="J305" s="43" t="s">
        <v>74</v>
      </c>
      <c r="K305" s="30" t="s">
        <v>2293</v>
      </c>
      <c r="L305" s="31" t="s">
        <v>2294</v>
      </c>
      <c r="M305" s="31" t="s">
        <v>2295</v>
      </c>
      <c r="N305" s="32" t="s">
        <v>2296</v>
      </c>
      <c r="O305" s="28" t="s">
        <v>100</v>
      </c>
      <c r="P305" s="56" t="s">
        <v>2297</v>
      </c>
      <c r="Q305" s="87" t="n">
        <v>4000</v>
      </c>
      <c r="R305" s="58" t="s">
        <v>53</v>
      </c>
      <c r="S305" s="69" t="n">
        <v>3599</v>
      </c>
      <c r="T305" s="35" t="n">
        <v>5</v>
      </c>
      <c r="U305" s="155" t="n">
        <v>506005.19</v>
      </c>
      <c r="V305" s="60" t="n">
        <v>27.0566</v>
      </c>
      <c r="W305" s="146" t="n">
        <f aca="false">3937760.85695043/29</f>
        <v>135784.857136222</v>
      </c>
      <c r="X305" s="161" t="n">
        <f aca="false">U305/V305</f>
        <v>18701.7285985674</v>
      </c>
      <c r="Y305" s="156" t="n">
        <f aca="false">242268.96/29/V305</f>
        <v>308.763927062732</v>
      </c>
      <c r="Z305" s="28" t="n">
        <v>5.18</v>
      </c>
      <c r="AA305" s="62" t="s">
        <v>80</v>
      </c>
      <c r="AB305" s="38" t="n">
        <v>43908</v>
      </c>
      <c r="AC305" s="38" t="n">
        <v>44071</v>
      </c>
      <c r="AD305" s="38" t="n">
        <v>44068</v>
      </c>
      <c r="AE305" s="50" t="n">
        <v>45893</v>
      </c>
      <c r="AF305" s="28" t="n">
        <f aca="false">YEAR(AE305)</f>
        <v>2025</v>
      </c>
      <c r="AG305" s="63" t="n">
        <f aca="false">X305/SUMIF($Z$2:$Z$380,Z305,$X$2:$X$380)*(VLOOKUP(Z305,'затраты по департаментам-2 '!$A$2:$C$182,2,FALSE())+VLOOKUP(Z305,'затраты по департаментам-2 '!$A$2:$C$182,3,FALSE()))</f>
        <v>11291.0645431862</v>
      </c>
      <c r="AH305" s="153" t="n">
        <f aca="false">W305/60</f>
        <v>2263.08095227036</v>
      </c>
      <c r="AI305" s="64" t="s">
        <v>103</v>
      </c>
      <c r="AJ305" s="63" t="s">
        <v>100</v>
      </c>
      <c r="AK305" s="125" t="n">
        <v>148522</v>
      </c>
      <c r="AM305" s="43" t="s">
        <v>2298</v>
      </c>
      <c r="AN305" s="74" t="s">
        <v>2299</v>
      </c>
      <c r="AO305" s="65" t="n">
        <v>44775</v>
      </c>
      <c r="AP305" s="43" t="s">
        <v>2300</v>
      </c>
      <c r="AQ305" s="66" t="s">
        <v>2301</v>
      </c>
      <c r="AR305" s="64"/>
    </row>
    <row r="306" customFormat="false" ht="14.25" hidden="false" customHeight="false" outlineLevel="0" collapsed="false">
      <c r="A306" s="26" t="n">
        <v>305</v>
      </c>
      <c r="B306" s="43" t="s">
        <v>2302</v>
      </c>
      <c r="C306" s="43" t="s">
        <v>1291</v>
      </c>
      <c r="D306" s="28" t="s">
        <v>73</v>
      </c>
      <c r="E306" s="43" t="n">
        <v>5.3</v>
      </c>
      <c r="F306" s="43" t="n">
        <v>1.5</v>
      </c>
      <c r="G306" s="43" t="n">
        <v>112</v>
      </c>
      <c r="H306" s="43" t="n">
        <v>2020</v>
      </c>
      <c r="I306" s="43" t="s">
        <v>1292</v>
      </c>
      <c r="J306" s="43" t="s">
        <v>74</v>
      </c>
      <c r="K306" s="128" t="s">
        <v>2303</v>
      </c>
      <c r="L306" s="69"/>
      <c r="M306" s="198" t="s">
        <v>2304</v>
      </c>
      <c r="N306" s="199" t="s">
        <v>2305</v>
      </c>
      <c r="O306" s="57" t="s">
        <v>197</v>
      </c>
      <c r="P306" s="200" t="s">
        <v>228</v>
      </c>
      <c r="Q306" s="87" t="n">
        <v>1000</v>
      </c>
      <c r="R306" s="201" t="s">
        <v>189</v>
      </c>
      <c r="S306" s="69" t="n">
        <v>4174</v>
      </c>
      <c r="T306" s="59" t="s">
        <v>123</v>
      </c>
      <c r="U306" s="155" t="n">
        <v>506005.19</v>
      </c>
      <c r="V306" s="60" t="n">
        <v>27.0566</v>
      </c>
      <c r="W306" s="146" t="n">
        <f aca="false">3937760.85695043/29</f>
        <v>135784.857136222</v>
      </c>
      <c r="X306" s="161" t="n">
        <f aca="false">U306/V306</f>
        <v>18701.7285985674</v>
      </c>
      <c r="Y306" s="156" t="n">
        <f aca="false">242268.96/29/V306</f>
        <v>308.763927062732</v>
      </c>
      <c r="Z306" s="28" t="n">
        <v>5.18</v>
      </c>
      <c r="AA306" s="62" t="s">
        <v>80</v>
      </c>
      <c r="AB306" s="38" t="n">
        <v>43908</v>
      </c>
      <c r="AC306" s="38" t="n">
        <v>44071</v>
      </c>
      <c r="AD306" s="38" t="n">
        <v>44068</v>
      </c>
      <c r="AE306" s="50" t="n">
        <v>45893</v>
      </c>
      <c r="AF306" s="28" t="n">
        <f aca="false">YEAR(AE306)</f>
        <v>2025</v>
      </c>
      <c r="AG306" s="63" t="n">
        <f aca="false">X306/SUMIF($Z$2:$Z$380,Z306,$X$2:$X$380)*(VLOOKUP(Z306,'затраты по департаментам-2 '!$A$2:$C$182,2,FALSE())+VLOOKUP(Z306,'затраты по департаментам-2 '!$A$2:$C$182,3,FALSE()))</f>
        <v>11291.0645431862</v>
      </c>
      <c r="AH306" s="153" t="n">
        <f aca="false">W306/60</f>
        <v>2263.08095227036</v>
      </c>
      <c r="AI306" s="64" t="s">
        <v>81</v>
      </c>
      <c r="AJ306" s="63" t="s">
        <v>197</v>
      </c>
      <c r="AK306" s="43" t="n">
        <v>127344</v>
      </c>
      <c r="AL306" s="43"/>
      <c r="AM306" s="43" t="s">
        <v>2306</v>
      </c>
      <c r="AN306" s="74" t="s">
        <v>2307</v>
      </c>
      <c r="AO306" s="65" t="n">
        <v>44825</v>
      </c>
      <c r="AP306" s="43" t="s">
        <v>2308</v>
      </c>
      <c r="AQ306" s="66" t="s">
        <v>2309</v>
      </c>
      <c r="AR306" s="64"/>
    </row>
    <row r="307" customFormat="false" ht="14.25" hidden="false" customHeight="false" outlineLevel="0" collapsed="false">
      <c r="A307" s="26" t="n">
        <v>306</v>
      </c>
      <c r="B307" s="43" t="s">
        <v>2310</v>
      </c>
      <c r="C307" s="43" t="s">
        <v>1291</v>
      </c>
      <c r="D307" s="28" t="s">
        <v>73</v>
      </c>
      <c r="E307" s="43" t="n">
        <v>5.3</v>
      </c>
      <c r="F307" s="43" t="n">
        <v>1.5</v>
      </c>
      <c r="G307" s="43" t="n">
        <v>112</v>
      </c>
      <c r="H307" s="43" t="n">
        <v>2020</v>
      </c>
      <c r="I307" s="43" t="s">
        <v>1292</v>
      </c>
      <c r="J307" s="43" t="s">
        <v>74</v>
      </c>
      <c r="K307" s="30" t="s">
        <v>2311</v>
      </c>
      <c r="L307" s="35"/>
      <c r="M307" s="31" t="s">
        <v>2312</v>
      </c>
      <c r="N307" s="32" t="s">
        <v>1717</v>
      </c>
      <c r="O307" s="28" t="s">
        <v>732</v>
      </c>
      <c r="P307" s="56" t="s">
        <v>91</v>
      </c>
      <c r="Q307" s="87" t="n">
        <v>7080</v>
      </c>
      <c r="R307" s="58" t="s">
        <v>171</v>
      </c>
      <c r="S307" s="69" t="n">
        <v>4138</v>
      </c>
      <c r="T307" s="59" t="s">
        <v>123</v>
      </c>
      <c r="U307" s="155" t="n">
        <v>506005.19</v>
      </c>
      <c r="V307" s="60" t="n">
        <v>27.0566</v>
      </c>
      <c r="W307" s="146" t="n">
        <f aca="false">3937760.85695043/29</f>
        <v>135784.857136222</v>
      </c>
      <c r="X307" s="161" t="n">
        <f aca="false">U307/V307</f>
        <v>18701.7285985674</v>
      </c>
      <c r="Y307" s="156" t="n">
        <f aca="false">242268.96/29/V307</f>
        <v>308.763927062732</v>
      </c>
      <c r="Z307" s="28" t="n">
        <v>5.18</v>
      </c>
      <c r="AA307" s="62" t="s">
        <v>80</v>
      </c>
      <c r="AB307" s="38" t="n">
        <v>43908</v>
      </c>
      <c r="AC307" s="38" t="n">
        <v>44071</v>
      </c>
      <c r="AD307" s="38" t="n">
        <v>44068</v>
      </c>
      <c r="AE307" s="50" t="n">
        <v>45893</v>
      </c>
      <c r="AF307" s="28" t="n">
        <f aca="false">YEAR(AE307)</f>
        <v>2025</v>
      </c>
      <c r="AG307" s="63" t="n">
        <f aca="false">X307/SUMIF($Z$2:$Z$380,Z307,$X$2:$X$380)*(VLOOKUP(Z307,'затраты по департаментам-2 '!$A$2:$C$182,2,FALSE())+VLOOKUP(Z307,'затраты по департаментам-2 '!$A$2:$C$182,3,FALSE()))</f>
        <v>11291.0645431862</v>
      </c>
      <c r="AH307" s="153" t="n">
        <f aca="false">W307/60</f>
        <v>2263.08095227036</v>
      </c>
      <c r="AI307" s="64" t="s">
        <v>81</v>
      </c>
      <c r="AJ307" s="63" t="s">
        <v>82</v>
      </c>
      <c r="AK307" s="43" t="n">
        <v>148407</v>
      </c>
      <c r="AL307" s="43"/>
      <c r="AM307" s="43" t="s">
        <v>2313</v>
      </c>
      <c r="AN307" s="74" t="s">
        <v>2314</v>
      </c>
      <c r="AO307" s="65" t="n">
        <v>44825</v>
      </c>
      <c r="AP307" s="43" t="s">
        <v>2315</v>
      </c>
      <c r="AQ307" s="66" t="s">
        <v>2316</v>
      </c>
      <c r="AR307" s="64"/>
    </row>
    <row r="308" customFormat="false" ht="14.25" hidden="false" customHeight="false" outlineLevel="0" collapsed="false">
      <c r="A308" s="26" t="n">
        <v>307</v>
      </c>
      <c r="B308" s="43" t="s">
        <v>2317</v>
      </c>
      <c r="C308" s="43" t="s">
        <v>1291</v>
      </c>
      <c r="D308" s="28" t="s">
        <v>73</v>
      </c>
      <c r="E308" s="43" t="n">
        <v>5.3</v>
      </c>
      <c r="F308" s="43" t="n">
        <v>1.5</v>
      </c>
      <c r="G308" s="43" t="n">
        <v>112</v>
      </c>
      <c r="H308" s="43" t="n">
        <v>2020</v>
      </c>
      <c r="I308" s="43" t="s">
        <v>1292</v>
      </c>
      <c r="J308" s="43" t="s">
        <v>74</v>
      </c>
      <c r="K308" s="30" t="s">
        <v>2318</v>
      </c>
      <c r="L308" s="35"/>
      <c r="M308" s="31" t="s">
        <v>2319</v>
      </c>
      <c r="N308" s="56" t="s">
        <v>1747</v>
      </c>
      <c r="O308" s="28" t="s">
        <v>197</v>
      </c>
      <c r="P308" s="56" t="s">
        <v>198</v>
      </c>
      <c r="Q308" s="87" t="n">
        <v>1000</v>
      </c>
      <c r="R308" s="58" t="s">
        <v>171</v>
      </c>
      <c r="S308" s="69" t="n">
        <v>4134</v>
      </c>
      <c r="T308" s="59" t="s">
        <v>123</v>
      </c>
      <c r="U308" s="155" t="n">
        <v>506005.19</v>
      </c>
      <c r="V308" s="60" t="n">
        <v>27.0566</v>
      </c>
      <c r="W308" s="146" t="n">
        <f aca="false">3937760.85695043/29</f>
        <v>135784.857136222</v>
      </c>
      <c r="X308" s="161" t="n">
        <f aca="false">U308/V308</f>
        <v>18701.7285985674</v>
      </c>
      <c r="Y308" s="156" t="n">
        <f aca="false">242268.96/29/V308</f>
        <v>308.763927062732</v>
      </c>
      <c r="Z308" s="28" t="n">
        <v>5.18</v>
      </c>
      <c r="AA308" s="62" t="s">
        <v>80</v>
      </c>
      <c r="AB308" s="38" t="n">
        <v>43908</v>
      </c>
      <c r="AC308" s="38" t="n">
        <v>44071</v>
      </c>
      <c r="AD308" s="38" t="n">
        <v>44068</v>
      </c>
      <c r="AE308" s="50" t="n">
        <v>45893</v>
      </c>
      <c r="AF308" s="28" t="n">
        <f aca="false">YEAR(AE308)</f>
        <v>2025</v>
      </c>
      <c r="AG308" s="63" t="n">
        <f aca="false">X308/SUMIF($Z$2:$Z$380,Z308,$X$2:$X$380)*(VLOOKUP(Z308,'затраты по департаментам-2 '!$A$2:$C$182,2,FALSE())+VLOOKUP(Z308,'затраты по департаментам-2 '!$A$2:$C$182,3,FALSE()))</f>
        <v>11291.0645431862</v>
      </c>
      <c r="AH308" s="153" t="n">
        <f aca="false">W308/60</f>
        <v>2263.08095227036</v>
      </c>
      <c r="AI308" s="64" t="s">
        <v>81</v>
      </c>
      <c r="AJ308" s="63" t="s">
        <v>197</v>
      </c>
      <c r="AK308" s="43" t="n">
        <v>127476</v>
      </c>
      <c r="AL308" s="43"/>
      <c r="AM308" s="43" t="s">
        <v>2320</v>
      </c>
      <c r="AN308" s="74" t="s">
        <v>2321</v>
      </c>
      <c r="AO308" s="65" t="n">
        <v>44821</v>
      </c>
      <c r="AP308" s="43" t="s">
        <v>2322</v>
      </c>
      <c r="AQ308" s="66" t="s">
        <v>2323</v>
      </c>
      <c r="AR308" s="64"/>
    </row>
    <row r="309" customFormat="false" ht="14.25" hidden="false" customHeight="false" outlineLevel="0" collapsed="false">
      <c r="A309" s="26" t="n">
        <v>308</v>
      </c>
      <c r="B309" s="43" t="s">
        <v>2324</v>
      </c>
      <c r="C309" s="43" t="s">
        <v>1291</v>
      </c>
      <c r="D309" s="28" t="s">
        <v>73</v>
      </c>
      <c r="E309" s="43" t="n">
        <v>5.3</v>
      </c>
      <c r="F309" s="43" t="n">
        <v>1.5</v>
      </c>
      <c r="G309" s="43" t="n">
        <v>112</v>
      </c>
      <c r="H309" s="43" t="n">
        <v>2020</v>
      </c>
      <c r="I309" s="43" t="s">
        <v>1292</v>
      </c>
      <c r="J309" s="43" t="s">
        <v>74</v>
      </c>
      <c r="K309" s="30" t="s">
        <v>2325</v>
      </c>
      <c r="L309" s="69"/>
      <c r="M309" s="31" t="s">
        <v>2326</v>
      </c>
      <c r="N309" s="97" t="s">
        <v>1709</v>
      </c>
      <c r="O309" s="57" t="s">
        <v>100</v>
      </c>
      <c r="P309" s="48" t="s">
        <v>181</v>
      </c>
      <c r="Q309" s="87" t="n">
        <v>1000</v>
      </c>
      <c r="R309" s="97" t="s">
        <v>467</v>
      </c>
      <c r="S309" s="69" t="n">
        <v>4143</v>
      </c>
      <c r="T309" s="59" t="s">
        <v>123</v>
      </c>
      <c r="U309" s="155" t="n">
        <v>506005.19</v>
      </c>
      <c r="V309" s="60" t="n">
        <v>27.0566</v>
      </c>
      <c r="W309" s="146" t="n">
        <f aca="false">3937760.85695043/29</f>
        <v>135784.857136222</v>
      </c>
      <c r="X309" s="161" t="n">
        <f aca="false">U309/V309</f>
        <v>18701.7285985674</v>
      </c>
      <c r="Y309" s="156" t="n">
        <f aca="false">242268.96/29/V309</f>
        <v>308.763927062732</v>
      </c>
      <c r="Z309" s="28" t="n">
        <v>5.18</v>
      </c>
      <c r="AA309" s="62" t="s">
        <v>80</v>
      </c>
      <c r="AB309" s="38" t="n">
        <v>43908</v>
      </c>
      <c r="AC309" s="38" t="n">
        <v>44071</v>
      </c>
      <c r="AD309" s="38" t="n">
        <v>44068</v>
      </c>
      <c r="AE309" s="50" t="n">
        <v>45893</v>
      </c>
      <c r="AF309" s="28" t="n">
        <f aca="false">YEAR(AE309)</f>
        <v>2025</v>
      </c>
      <c r="AG309" s="63" t="n">
        <f aca="false">X309/SUMIF($Z$2:$Z$380,Z309,$X$2:$X$380)*(VLOOKUP(Z309,'затраты по департаментам-2 '!$A$2:$C$182,2,FALSE())+VLOOKUP(Z309,'затраты по департаментам-2 '!$A$2:$C$182,3,FALSE()))</f>
        <v>11291.0645431862</v>
      </c>
      <c r="AH309" s="153" t="n">
        <f aca="false">W309/60</f>
        <v>2263.08095227036</v>
      </c>
      <c r="AI309" s="64" t="s">
        <v>81</v>
      </c>
      <c r="AJ309" s="63" t="s">
        <v>100</v>
      </c>
      <c r="AK309" s="43" t="n">
        <v>148472</v>
      </c>
      <c r="AL309" s="43"/>
      <c r="AM309" s="43" t="s">
        <v>2327</v>
      </c>
      <c r="AN309" s="78" t="s">
        <v>2328</v>
      </c>
      <c r="AO309" s="65" t="n">
        <v>44967</v>
      </c>
      <c r="AP309" s="43" t="s">
        <v>2329</v>
      </c>
      <c r="AQ309" s="66" t="s">
        <v>2330</v>
      </c>
      <c r="AR309" s="64"/>
    </row>
    <row r="310" customFormat="false" ht="14.25" hidden="false" customHeight="false" outlineLevel="0" collapsed="false">
      <c r="A310" s="26" t="n">
        <v>309</v>
      </c>
      <c r="B310" s="43" t="s">
        <v>2331</v>
      </c>
      <c r="C310" s="43" t="s">
        <v>1291</v>
      </c>
      <c r="D310" s="28" t="s">
        <v>73</v>
      </c>
      <c r="E310" s="43" t="n">
        <v>5.3</v>
      </c>
      <c r="F310" s="43" t="n">
        <v>1.5</v>
      </c>
      <c r="G310" s="43" t="n">
        <v>112</v>
      </c>
      <c r="H310" s="43" t="n">
        <v>2020</v>
      </c>
      <c r="I310" s="43" t="s">
        <v>1292</v>
      </c>
      <c r="J310" s="43" t="s">
        <v>74</v>
      </c>
      <c r="K310" s="30" t="s">
        <v>2332</v>
      </c>
      <c r="L310" s="35"/>
      <c r="M310" s="31" t="s">
        <v>2333</v>
      </c>
      <c r="N310" s="32" t="s">
        <v>2243</v>
      </c>
      <c r="O310" s="28" t="s">
        <v>60</v>
      </c>
      <c r="P310" s="48" t="s">
        <v>394</v>
      </c>
      <c r="Q310" s="87" t="n">
        <v>1000</v>
      </c>
      <c r="R310" s="58" t="s">
        <v>395</v>
      </c>
      <c r="S310" s="69" t="n">
        <v>5411</v>
      </c>
      <c r="T310" s="35" t="s">
        <v>172</v>
      </c>
      <c r="U310" s="155" t="n">
        <v>506005.19</v>
      </c>
      <c r="V310" s="60" t="n">
        <v>27.0566</v>
      </c>
      <c r="W310" s="146" t="n">
        <f aca="false">3937760.85695043/29</f>
        <v>135784.857136222</v>
      </c>
      <c r="X310" s="161" t="n">
        <f aca="false">U310/V310</f>
        <v>18701.7285985674</v>
      </c>
      <c r="Y310" s="156" t="n">
        <f aca="false">242268.96/29/V310</f>
        <v>308.763927062732</v>
      </c>
      <c r="Z310" s="28" t="n">
        <v>5.18</v>
      </c>
      <c r="AA310" s="62" t="s">
        <v>80</v>
      </c>
      <c r="AB310" s="38" t="n">
        <v>43908</v>
      </c>
      <c r="AC310" s="38" t="n">
        <v>44071</v>
      </c>
      <c r="AD310" s="38" t="n">
        <v>44068</v>
      </c>
      <c r="AE310" s="50" t="n">
        <v>45893</v>
      </c>
      <c r="AF310" s="28" t="n">
        <f aca="false">YEAR(AE310)</f>
        <v>2025</v>
      </c>
      <c r="AG310" s="63" t="n">
        <f aca="false">X310/SUMIF($Z$2:$Z$380,Z310,$X$2:$X$380)*(VLOOKUP(Z310,'затраты по департаментам-2 '!$A$2:$C$182,2,FALSE())+VLOOKUP(Z310,'затраты по департаментам-2 '!$A$2:$C$182,3,FALSE()))</f>
        <v>11291.0645431862</v>
      </c>
      <c r="AH310" s="153" t="n">
        <f aca="false">W310/60</f>
        <v>2263.08095227036</v>
      </c>
      <c r="AI310" s="64" t="s">
        <v>81</v>
      </c>
      <c r="AJ310" s="63" t="s">
        <v>82</v>
      </c>
      <c r="AK310" s="43" t="n">
        <v>148431</v>
      </c>
      <c r="AL310" s="43"/>
      <c r="AM310" s="43" t="s">
        <v>2334</v>
      </c>
      <c r="AN310" s="74" t="s">
        <v>2335</v>
      </c>
      <c r="AO310" s="65" t="n">
        <v>44793</v>
      </c>
      <c r="AP310" s="43" t="s">
        <v>2336</v>
      </c>
      <c r="AQ310" s="66" t="s">
        <v>2337</v>
      </c>
      <c r="AR310" s="64"/>
    </row>
    <row r="311" customFormat="false" ht="14.25" hidden="false" customHeight="false" outlineLevel="0" collapsed="false">
      <c r="A311" s="26" t="n">
        <v>310</v>
      </c>
      <c r="B311" s="43" t="s">
        <v>2338</v>
      </c>
      <c r="C311" s="43" t="s">
        <v>2339</v>
      </c>
      <c r="D311" s="28" t="s">
        <v>73</v>
      </c>
      <c r="E311" s="43" t="n">
        <v>5.3</v>
      </c>
      <c r="F311" s="43" t="n">
        <v>1.5</v>
      </c>
      <c r="G311" s="43" t="n">
        <v>112</v>
      </c>
      <c r="H311" s="43" t="n">
        <v>2020</v>
      </c>
      <c r="I311" s="43" t="s">
        <v>1292</v>
      </c>
      <c r="J311" s="43" t="s">
        <v>74</v>
      </c>
      <c r="K311" s="30" t="s">
        <v>2340</v>
      </c>
      <c r="L311" s="69"/>
      <c r="M311" s="31" t="s">
        <v>2341</v>
      </c>
      <c r="N311" s="92" t="s">
        <v>1922</v>
      </c>
      <c r="O311" s="57" t="s">
        <v>100</v>
      </c>
      <c r="P311" s="56" t="s">
        <v>439</v>
      </c>
      <c r="Q311" s="87" t="n">
        <v>1000</v>
      </c>
      <c r="R311" s="58" t="s">
        <v>413</v>
      </c>
      <c r="S311" s="69" t="n">
        <v>4170</v>
      </c>
      <c r="T311" s="59" t="s">
        <v>123</v>
      </c>
      <c r="U311" s="155" t="n">
        <v>506005.19</v>
      </c>
      <c r="V311" s="60" t="n">
        <v>27.0566</v>
      </c>
      <c r="W311" s="146" t="n">
        <f aca="false">3937760.85695043/29</f>
        <v>135784.857136222</v>
      </c>
      <c r="X311" s="161" t="n">
        <f aca="false">U311/V311</f>
        <v>18701.7285985674</v>
      </c>
      <c r="Y311" s="156" t="n">
        <f aca="false">242268.96/29/V311</f>
        <v>308.763927062732</v>
      </c>
      <c r="Z311" s="28" t="n">
        <v>5.18</v>
      </c>
      <c r="AA311" s="62" t="s">
        <v>80</v>
      </c>
      <c r="AB311" s="38" t="n">
        <v>43908</v>
      </c>
      <c r="AC311" s="38" t="n">
        <v>44071</v>
      </c>
      <c r="AD311" s="38" t="n">
        <v>44074</v>
      </c>
      <c r="AE311" s="50" t="n">
        <v>45899</v>
      </c>
      <c r="AF311" s="28" t="n">
        <f aca="false">YEAR(AE311)</f>
        <v>2025</v>
      </c>
      <c r="AG311" s="63" t="n">
        <f aca="false">X311/SUMIF($Z$2:$Z$380,Z311,$X$2:$X$380)*(VLOOKUP(Z311,'затраты по департаментам-2 '!$A$2:$C$182,2,FALSE())+VLOOKUP(Z311,'затраты по департаментам-2 '!$A$2:$C$182,3,FALSE()))</f>
        <v>11291.0645431862</v>
      </c>
      <c r="AH311" s="153" t="n">
        <f aca="false">W311/60</f>
        <v>2263.08095227036</v>
      </c>
      <c r="AI311" s="64" t="s">
        <v>81</v>
      </c>
      <c r="AJ311" s="63" t="s">
        <v>100</v>
      </c>
      <c r="AK311" s="43" t="n">
        <v>57582</v>
      </c>
      <c r="AL311" s="43"/>
      <c r="AM311" s="43" t="s">
        <v>2342</v>
      </c>
      <c r="AN311" s="78" t="s">
        <v>2343</v>
      </c>
      <c r="AO311" s="65" t="n">
        <v>44413</v>
      </c>
      <c r="AP311" s="43" t="s">
        <v>2344</v>
      </c>
      <c r="AQ311" s="66" t="s">
        <v>2345</v>
      </c>
      <c r="AR311" s="64"/>
    </row>
    <row r="312" customFormat="false" ht="14.25" hidden="false" customHeight="false" outlineLevel="0" collapsed="false">
      <c r="A312" s="26" t="n">
        <v>311</v>
      </c>
      <c r="B312" s="43" t="s">
        <v>2346</v>
      </c>
      <c r="C312" s="43" t="s">
        <v>1291</v>
      </c>
      <c r="D312" s="28" t="s">
        <v>73</v>
      </c>
      <c r="E312" s="43" t="n">
        <v>5.3</v>
      </c>
      <c r="F312" s="43" t="n">
        <v>1.5</v>
      </c>
      <c r="G312" s="43" t="n">
        <v>112</v>
      </c>
      <c r="H312" s="43" t="n">
        <v>2020</v>
      </c>
      <c r="I312" s="43" t="s">
        <v>1292</v>
      </c>
      <c r="J312" s="43" t="s">
        <v>74</v>
      </c>
      <c r="K312" s="30" t="s">
        <v>2347</v>
      </c>
      <c r="L312" s="35"/>
      <c r="M312" s="31" t="s">
        <v>2348</v>
      </c>
      <c r="N312" s="32" t="s">
        <v>1717</v>
      </c>
      <c r="O312" s="28" t="s">
        <v>1366</v>
      </c>
      <c r="P312" s="56" t="s">
        <v>327</v>
      </c>
      <c r="Q312" s="87" t="n">
        <v>7011</v>
      </c>
      <c r="R312" s="58" t="s">
        <v>171</v>
      </c>
      <c r="S312" s="69" t="n">
        <v>4131</v>
      </c>
      <c r="T312" s="59" t="s">
        <v>123</v>
      </c>
      <c r="U312" s="155" t="n">
        <v>506005.19</v>
      </c>
      <c r="V312" s="60" t="n">
        <v>27.0566</v>
      </c>
      <c r="W312" s="146" t="n">
        <f aca="false">3937760.85695043/29</f>
        <v>135784.857136222</v>
      </c>
      <c r="X312" s="161" t="n">
        <f aca="false">U312/V312</f>
        <v>18701.7285985674</v>
      </c>
      <c r="Y312" s="156" t="n">
        <f aca="false">242268.96/29/V312</f>
        <v>308.763927062732</v>
      </c>
      <c r="Z312" s="28" t="n">
        <v>5.18</v>
      </c>
      <c r="AA312" s="62" t="s">
        <v>80</v>
      </c>
      <c r="AB312" s="38" t="n">
        <v>43908</v>
      </c>
      <c r="AC312" s="38" t="n">
        <v>44071</v>
      </c>
      <c r="AD312" s="38" t="n">
        <v>44069</v>
      </c>
      <c r="AE312" s="50" t="n">
        <v>45894</v>
      </c>
      <c r="AF312" s="28" t="n">
        <f aca="false">YEAR(AE312)</f>
        <v>2025</v>
      </c>
      <c r="AG312" s="63" t="n">
        <f aca="false">X312/SUMIF($Z$2:$Z$380,Z312,$X$2:$X$380)*(VLOOKUP(Z312,'затраты по департаментам-2 '!$A$2:$C$182,2,FALSE())+VLOOKUP(Z312,'затраты по департаментам-2 '!$A$2:$C$182,3,FALSE()))</f>
        <v>11291.0645431862</v>
      </c>
      <c r="AH312" s="153" t="n">
        <f aca="false">W312/60</f>
        <v>2263.08095227036</v>
      </c>
      <c r="AI312" s="64" t="s">
        <v>81</v>
      </c>
      <c r="AJ312" s="63" t="s">
        <v>52</v>
      </c>
      <c r="AK312" s="43" t="n">
        <v>924639</v>
      </c>
      <c r="AL312" s="43"/>
      <c r="AM312" s="43" t="s">
        <v>2349</v>
      </c>
      <c r="AN312" s="78" t="s">
        <v>2350</v>
      </c>
      <c r="AO312" s="65" t="n">
        <v>44413</v>
      </c>
      <c r="AP312" s="43" t="s">
        <v>2351</v>
      </c>
      <c r="AQ312" s="66" t="s">
        <v>2352</v>
      </c>
      <c r="AR312" s="64"/>
    </row>
    <row r="313" customFormat="false" ht="14.25" hidden="false" customHeight="false" outlineLevel="0" collapsed="false">
      <c r="A313" s="26" t="n">
        <v>312</v>
      </c>
      <c r="B313" s="43" t="s">
        <v>2353</v>
      </c>
      <c r="C313" s="43" t="s">
        <v>1291</v>
      </c>
      <c r="D313" s="28" t="s">
        <v>73</v>
      </c>
      <c r="E313" s="43" t="n">
        <v>5.3</v>
      </c>
      <c r="F313" s="43" t="n">
        <v>1.5</v>
      </c>
      <c r="G313" s="43" t="n">
        <v>112</v>
      </c>
      <c r="H313" s="43" t="n">
        <v>2020</v>
      </c>
      <c r="I313" s="43" t="s">
        <v>1292</v>
      </c>
      <c r="J313" s="43" t="s">
        <v>74</v>
      </c>
      <c r="K313" s="30" t="s">
        <v>2354</v>
      </c>
      <c r="L313" s="69"/>
      <c r="M313" s="31" t="s">
        <v>2355</v>
      </c>
      <c r="N313" s="32" t="s">
        <v>2356</v>
      </c>
      <c r="O313" s="57" t="s">
        <v>100</v>
      </c>
      <c r="P313" s="56" t="s">
        <v>2357</v>
      </c>
      <c r="Q313" s="87" t="n">
        <v>1000</v>
      </c>
      <c r="R313" s="58" t="s">
        <v>122</v>
      </c>
      <c r="S313" s="69" t="n">
        <v>4190</v>
      </c>
      <c r="T313" s="59" t="s">
        <v>123</v>
      </c>
      <c r="U313" s="155" t="n">
        <v>506005.19</v>
      </c>
      <c r="V313" s="60" t="n">
        <v>27.0566</v>
      </c>
      <c r="W313" s="146" t="n">
        <f aca="false">3937760.85695043/29</f>
        <v>135784.857136222</v>
      </c>
      <c r="X313" s="161" t="n">
        <f aca="false">U313/V313</f>
        <v>18701.7285985674</v>
      </c>
      <c r="Y313" s="156" t="n">
        <f aca="false">242268.96/29/V313</f>
        <v>308.763927062732</v>
      </c>
      <c r="Z313" s="28" t="n">
        <v>5.18</v>
      </c>
      <c r="AA313" s="62" t="s">
        <v>80</v>
      </c>
      <c r="AB313" s="38" t="n">
        <v>43908</v>
      </c>
      <c r="AC313" s="38" t="n">
        <v>44071</v>
      </c>
      <c r="AD313" s="38" t="n">
        <v>44074</v>
      </c>
      <c r="AE313" s="50" t="n">
        <v>45899</v>
      </c>
      <c r="AF313" s="28" t="n">
        <f aca="false">YEAR(AE313)</f>
        <v>2025</v>
      </c>
      <c r="AG313" s="63" t="n">
        <f aca="false">X313/SUMIF($Z$2:$Z$380,Z313,$X$2:$X$380)*(VLOOKUP(Z313,'затраты по департаментам-2 '!$A$2:$C$182,2,FALSE())+VLOOKUP(Z313,'затраты по департаментам-2 '!$A$2:$C$182,3,FALSE()))</f>
        <v>11291.0645431862</v>
      </c>
      <c r="AH313" s="153" t="n">
        <f aca="false">W313/60</f>
        <v>2263.08095227036</v>
      </c>
      <c r="AI313" s="64" t="s">
        <v>81</v>
      </c>
      <c r="AJ313" s="153" t="s">
        <v>100</v>
      </c>
      <c r="AK313" s="43" t="n">
        <v>127500</v>
      </c>
      <c r="AL313" s="43"/>
      <c r="AM313" s="43" t="s">
        <v>2358</v>
      </c>
      <c r="AN313" s="74" t="s">
        <v>2359</v>
      </c>
      <c r="AO313" s="65" t="n">
        <v>44799</v>
      </c>
      <c r="AP313" s="43" t="s">
        <v>2360</v>
      </c>
      <c r="AQ313" s="66" t="s">
        <v>2361</v>
      </c>
      <c r="AR313" s="64"/>
    </row>
    <row r="314" customFormat="false" ht="14.25" hidden="false" customHeight="false" outlineLevel="0" collapsed="false">
      <c r="A314" s="26" t="n">
        <v>313</v>
      </c>
      <c r="B314" s="43" t="s">
        <v>2362</v>
      </c>
      <c r="C314" s="43" t="s">
        <v>1291</v>
      </c>
      <c r="D314" s="28" t="s">
        <v>73</v>
      </c>
      <c r="E314" s="43" t="n">
        <v>5.3</v>
      </c>
      <c r="F314" s="43" t="n">
        <v>1.5</v>
      </c>
      <c r="G314" s="43" t="n">
        <v>112</v>
      </c>
      <c r="H314" s="43" t="n">
        <v>2020</v>
      </c>
      <c r="I314" s="43" t="s">
        <v>1292</v>
      </c>
      <c r="J314" s="43" t="s">
        <v>74</v>
      </c>
      <c r="K314" s="30" t="s">
        <v>2363</v>
      </c>
      <c r="L314" s="35"/>
      <c r="M314" s="31" t="s">
        <v>2364</v>
      </c>
      <c r="N314" s="56" t="s">
        <v>1709</v>
      </c>
      <c r="O314" s="28" t="s">
        <v>142</v>
      </c>
      <c r="P314" s="56" t="s">
        <v>143</v>
      </c>
      <c r="Q314" s="87" t="n">
        <v>1000</v>
      </c>
      <c r="R314" s="58" t="s">
        <v>92</v>
      </c>
      <c r="S314" s="69" t="n">
        <v>4146</v>
      </c>
      <c r="T314" s="59" t="s">
        <v>123</v>
      </c>
      <c r="U314" s="155" t="n">
        <v>506005.19</v>
      </c>
      <c r="V314" s="60" t="n">
        <v>27.0566</v>
      </c>
      <c r="W314" s="146" t="n">
        <f aca="false">3937760.85695043/29</f>
        <v>135784.857136222</v>
      </c>
      <c r="X314" s="161" t="n">
        <f aca="false">U314/V314</f>
        <v>18701.7285985674</v>
      </c>
      <c r="Y314" s="156" t="n">
        <f aca="false">242268.96/29/V314</f>
        <v>308.763927062732</v>
      </c>
      <c r="Z314" s="28" t="n">
        <v>5.18</v>
      </c>
      <c r="AA314" s="62" t="s">
        <v>80</v>
      </c>
      <c r="AB314" s="38" t="n">
        <v>43908</v>
      </c>
      <c r="AC314" s="38" t="n">
        <v>44071</v>
      </c>
      <c r="AD314" s="38" t="n">
        <v>44069</v>
      </c>
      <c r="AE314" s="50" t="n">
        <v>45894</v>
      </c>
      <c r="AF314" s="28" t="n">
        <f aca="false">YEAR(AE314)</f>
        <v>2025</v>
      </c>
      <c r="AG314" s="63" t="n">
        <f aca="false">X314/SUMIF($Z$2:$Z$380,Z314,$X$2:$X$380)*(VLOOKUP(Z314,'затраты по департаментам-2 '!$A$2:$C$182,2,FALSE())+VLOOKUP(Z314,'затраты по департаментам-2 '!$A$2:$C$182,3,FALSE()))</f>
        <v>11291.0645431862</v>
      </c>
      <c r="AH314" s="153" t="n">
        <f aca="false">W314/60</f>
        <v>2263.08095227036</v>
      </c>
      <c r="AI314" s="64" t="s">
        <v>81</v>
      </c>
      <c r="AJ314" s="63" t="s">
        <v>142</v>
      </c>
      <c r="AK314" s="43" t="n">
        <v>148381</v>
      </c>
      <c r="AL314" s="43"/>
      <c r="AM314" s="43" t="s">
        <v>2365</v>
      </c>
      <c r="AN314" s="74" t="s">
        <v>2366</v>
      </c>
      <c r="AO314" s="65" t="n">
        <v>44783</v>
      </c>
      <c r="AP314" s="43" t="s">
        <v>2367</v>
      </c>
      <c r="AQ314" s="66" t="s">
        <v>2368</v>
      </c>
      <c r="AR314" s="64"/>
    </row>
    <row r="315" customFormat="false" ht="12.75" hidden="false" customHeight="false" outlineLevel="0" collapsed="false">
      <c r="A315" s="26" t="n">
        <v>314</v>
      </c>
      <c r="B315" s="43" t="s">
        <v>2369</v>
      </c>
      <c r="C315" s="43" t="s">
        <v>1291</v>
      </c>
      <c r="D315" s="28" t="s">
        <v>73</v>
      </c>
      <c r="E315" s="43" t="n">
        <v>5.3</v>
      </c>
      <c r="F315" s="43" t="n">
        <v>1.5</v>
      </c>
      <c r="G315" s="43" t="n">
        <v>112</v>
      </c>
      <c r="H315" s="43" t="n">
        <v>2020</v>
      </c>
      <c r="I315" s="43" t="s">
        <v>1292</v>
      </c>
      <c r="J315" s="43" t="s">
        <v>74</v>
      </c>
      <c r="K315" s="30" t="s">
        <v>2370</v>
      </c>
      <c r="L315" s="35"/>
      <c r="M315" s="31" t="s">
        <v>2371</v>
      </c>
      <c r="N315" s="48" t="s">
        <v>1747</v>
      </c>
      <c r="O315" s="28" t="s">
        <v>142</v>
      </c>
      <c r="P315" s="48" t="s">
        <v>143</v>
      </c>
      <c r="Q315" s="87" t="n">
        <v>1000</v>
      </c>
      <c r="R315" s="58" t="s">
        <v>171</v>
      </c>
      <c r="S315" s="69" t="n">
        <v>4136</v>
      </c>
      <c r="T315" s="59" t="s">
        <v>123</v>
      </c>
      <c r="U315" s="155" t="n">
        <v>506005.19</v>
      </c>
      <c r="V315" s="60" t="n">
        <v>27.0566</v>
      </c>
      <c r="W315" s="146" t="n">
        <f aca="false">3937760.85695043/29</f>
        <v>135784.857136222</v>
      </c>
      <c r="X315" s="161" t="n">
        <f aca="false">U315/V315</f>
        <v>18701.7285985674</v>
      </c>
      <c r="Y315" s="156" t="n">
        <f aca="false">242268.96/29/V315</f>
        <v>308.763927062732</v>
      </c>
      <c r="Z315" s="28" t="n">
        <v>5.18</v>
      </c>
      <c r="AA315" s="62" t="s">
        <v>80</v>
      </c>
      <c r="AB315" s="38" t="n">
        <v>43908</v>
      </c>
      <c r="AC315" s="38" t="n">
        <v>44071</v>
      </c>
      <c r="AD315" s="38" t="n">
        <v>44068</v>
      </c>
      <c r="AE315" s="50" t="n">
        <v>45893</v>
      </c>
      <c r="AF315" s="28" t="n">
        <f aca="false">YEAR(AE315)</f>
        <v>2025</v>
      </c>
      <c r="AG315" s="63" t="n">
        <f aca="false">X315/SUMIF($Z$2:$Z$380,Z315,$X$2:$X$380)*(VLOOKUP(Z315,'затраты по департаментам-2 '!$A$2:$C$182,2,FALSE())+VLOOKUP(Z315,'затраты по департаментам-2 '!$A$2:$C$182,3,FALSE()))</f>
        <v>11291.0645431862</v>
      </c>
      <c r="AH315" s="153" t="n">
        <f aca="false">W315/60</f>
        <v>2263.08095227036</v>
      </c>
      <c r="AI315" s="64" t="s">
        <v>81</v>
      </c>
      <c r="AJ315" s="63" t="s">
        <v>142</v>
      </c>
      <c r="AK315" s="43" t="n">
        <v>133748</v>
      </c>
      <c r="AL315" s="43"/>
      <c r="AM315" s="43" t="s">
        <v>2372</v>
      </c>
      <c r="AN315" s="74" t="s">
        <v>2373</v>
      </c>
      <c r="AO315" s="65" t="n">
        <v>44783</v>
      </c>
      <c r="AP315" s="43" t="s">
        <v>2374</v>
      </c>
      <c r="AQ315" s="66" t="s">
        <v>2375</v>
      </c>
      <c r="AR315" s="64"/>
    </row>
    <row r="316" customFormat="false" ht="14.25" hidden="false" customHeight="false" outlineLevel="0" collapsed="false">
      <c r="A316" s="26" t="n">
        <v>315</v>
      </c>
      <c r="B316" s="43" t="s">
        <v>2376</v>
      </c>
      <c r="C316" s="43" t="s">
        <v>1291</v>
      </c>
      <c r="D316" s="28" t="s">
        <v>73</v>
      </c>
      <c r="E316" s="43" t="n">
        <v>5.3</v>
      </c>
      <c r="F316" s="43" t="n">
        <v>1.5</v>
      </c>
      <c r="G316" s="43" t="n">
        <v>112</v>
      </c>
      <c r="H316" s="43" t="n">
        <v>2020</v>
      </c>
      <c r="I316" s="43" t="s">
        <v>1292</v>
      </c>
      <c r="J316" s="43" t="s">
        <v>74</v>
      </c>
      <c r="K316" s="30" t="s">
        <v>2377</v>
      </c>
      <c r="L316" s="59"/>
      <c r="M316" s="31" t="s">
        <v>2378</v>
      </c>
      <c r="N316" s="32" t="s">
        <v>2379</v>
      </c>
      <c r="O316" s="28" t="s">
        <v>100</v>
      </c>
      <c r="P316" s="48" t="s">
        <v>2380</v>
      </c>
      <c r="Q316" s="87" t="n">
        <v>1000</v>
      </c>
      <c r="R316" s="58" t="s">
        <v>457</v>
      </c>
      <c r="S316" s="69" t="n">
        <v>5220</v>
      </c>
      <c r="T316" s="69" t="n">
        <v>5</v>
      </c>
      <c r="U316" s="155" t="n">
        <v>506005.19</v>
      </c>
      <c r="V316" s="60" t="n">
        <v>27.0566</v>
      </c>
      <c r="W316" s="146" t="n">
        <f aca="false">3937760.85695043/29</f>
        <v>135784.857136222</v>
      </c>
      <c r="X316" s="161" t="n">
        <f aca="false">U316/V316</f>
        <v>18701.7285985674</v>
      </c>
      <c r="Y316" s="156" t="n">
        <f aca="false">242268.96/29/V316</f>
        <v>308.763927062732</v>
      </c>
      <c r="Z316" s="28" t="n">
        <v>5.18</v>
      </c>
      <c r="AA316" s="62" t="s">
        <v>80</v>
      </c>
      <c r="AB316" s="38" t="n">
        <v>43908</v>
      </c>
      <c r="AC316" s="38" t="n">
        <v>44071</v>
      </c>
      <c r="AD316" s="38" t="n">
        <v>44068</v>
      </c>
      <c r="AE316" s="50" t="n">
        <v>45893</v>
      </c>
      <c r="AF316" s="28" t="n">
        <f aca="false">YEAR(AE316)</f>
        <v>2025</v>
      </c>
      <c r="AG316" s="63" t="n">
        <f aca="false">X316/SUMIF($Z$2:$Z$380,Z316,$X$2:$X$380)*(VLOOKUP(Z316,'затраты по департаментам-2 '!$A$2:$C$182,2,FALSE())+VLOOKUP(Z316,'затраты по департаментам-2 '!$A$2:$C$182,3,FALSE()))</f>
        <v>11291.0645431862</v>
      </c>
      <c r="AH316" s="153" t="n">
        <f aca="false">W316/60</f>
        <v>2263.08095227036</v>
      </c>
      <c r="AI316" s="64" t="s">
        <v>81</v>
      </c>
      <c r="AJ316" s="63" t="s">
        <v>100</v>
      </c>
      <c r="AK316" s="43" t="n">
        <v>137756</v>
      </c>
      <c r="AL316" s="43"/>
      <c r="AM316" s="43" t="s">
        <v>2381</v>
      </c>
      <c r="AN316" s="74" t="s">
        <v>2382</v>
      </c>
      <c r="AO316" s="65" t="n">
        <v>44874</v>
      </c>
      <c r="AP316" s="43" t="s">
        <v>2383</v>
      </c>
      <c r="AQ316" s="66" t="s">
        <v>2384</v>
      </c>
      <c r="AR316" s="64"/>
    </row>
    <row r="317" customFormat="false" ht="14.25" hidden="false" customHeight="false" outlineLevel="0" collapsed="false">
      <c r="A317" s="26" t="n">
        <v>316</v>
      </c>
      <c r="B317" s="43" t="s">
        <v>2385</v>
      </c>
      <c r="C317" s="43" t="s">
        <v>1291</v>
      </c>
      <c r="D317" s="28" t="s">
        <v>73</v>
      </c>
      <c r="E317" s="43" t="n">
        <v>5.3</v>
      </c>
      <c r="F317" s="43" t="n">
        <v>1.5</v>
      </c>
      <c r="G317" s="43" t="n">
        <v>112</v>
      </c>
      <c r="H317" s="43" t="n">
        <v>2020</v>
      </c>
      <c r="I317" s="43" t="s">
        <v>1292</v>
      </c>
      <c r="J317" s="43" t="s">
        <v>74</v>
      </c>
      <c r="K317" s="128" t="s">
        <v>2386</v>
      </c>
      <c r="L317" s="35"/>
      <c r="M317" s="126" t="s">
        <v>2387</v>
      </c>
      <c r="N317" s="84" t="s">
        <v>1023</v>
      </c>
      <c r="O317" s="28" t="s">
        <v>197</v>
      </c>
      <c r="P317" s="48" t="s">
        <v>2388</v>
      </c>
      <c r="Q317" s="87" t="n">
        <v>1000</v>
      </c>
      <c r="R317" s="201" t="s">
        <v>122</v>
      </c>
      <c r="S317" s="69" t="n">
        <v>4194</v>
      </c>
      <c r="T317" s="59" t="s">
        <v>123</v>
      </c>
      <c r="U317" s="155" t="n">
        <v>506005.19</v>
      </c>
      <c r="V317" s="60" t="n">
        <v>27.0566</v>
      </c>
      <c r="W317" s="146" t="n">
        <f aca="false">3937760.85695043/29</f>
        <v>135784.857136222</v>
      </c>
      <c r="X317" s="161" t="n">
        <f aca="false">U317/V317</f>
        <v>18701.7285985674</v>
      </c>
      <c r="Y317" s="156" t="n">
        <f aca="false">242268.96/29/V317</f>
        <v>308.763927062732</v>
      </c>
      <c r="Z317" s="28" t="n">
        <v>5.18</v>
      </c>
      <c r="AA317" s="62" t="s">
        <v>80</v>
      </c>
      <c r="AB317" s="38" t="n">
        <v>43908</v>
      </c>
      <c r="AC317" s="38" t="n">
        <v>44071</v>
      </c>
      <c r="AD317" s="38" t="n">
        <v>44068</v>
      </c>
      <c r="AE317" s="50" t="n">
        <v>45893</v>
      </c>
      <c r="AF317" s="28" t="n">
        <f aca="false">YEAR(AE317)</f>
        <v>2025</v>
      </c>
      <c r="AG317" s="63" t="n">
        <f aca="false">X317/SUMIF($Z$2:$Z$380,Z317,$X$2:$X$380)*(VLOOKUP(Z317,'затраты по департаментам-2 '!$A$2:$C$182,2,FALSE())+VLOOKUP(Z317,'затраты по департаментам-2 '!$A$2:$C$182,3,FALSE()))</f>
        <v>11291.0645431862</v>
      </c>
      <c r="AH317" s="153" t="n">
        <f aca="false">W317/60</f>
        <v>2263.08095227036</v>
      </c>
      <c r="AI317" s="64" t="s">
        <v>81</v>
      </c>
      <c r="AJ317" s="63" t="s">
        <v>197</v>
      </c>
      <c r="AK317" s="43" t="n">
        <v>127435</v>
      </c>
      <c r="AL317" s="43"/>
      <c r="AM317" s="43" t="s">
        <v>2389</v>
      </c>
      <c r="AN317" s="74" t="s">
        <v>2390</v>
      </c>
      <c r="AO317" s="65" t="n">
        <v>44825</v>
      </c>
      <c r="AP317" s="43" t="s">
        <v>2391</v>
      </c>
      <c r="AQ317" s="66" t="s">
        <v>2392</v>
      </c>
      <c r="AR317" s="76" t="n">
        <v>44448</v>
      </c>
    </row>
    <row r="318" customFormat="false" ht="14.25" hidden="false" customHeight="false" outlineLevel="0" collapsed="false">
      <c r="A318" s="26" t="n">
        <v>317</v>
      </c>
      <c r="B318" s="43" t="s">
        <v>2393</v>
      </c>
      <c r="C318" s="43" t="s">
        <v>1291</v>
      </c>
      <c r="D318" s="28" t="s">
        <v>73</v>
      </c>
      <c r="E318" s="43" t="n">
        <v>5.3</v>
      </c>
      <c r="F318" s="43" t="n">
        <v>1.5</v>
      </c>
      <c r="G318" s="43" t="n">
        <v>112</v>
      </c>
      <c r="H318" s="43" t="n">
        <v>2020</v>
      </c>
      <c r="I318" s="43" t="s">
        <v>1292</v>
      </c>
      <c r="J318" s="43" t="s">
        <v>74</v>
      </c>
      <c r="K318" s="30" t="s">
        <v>2394</v>
      </c>
      <c r="L318" s="35"/>
      <c r="M318" s="31" t="s">
        <v>2395</v>
      </c>
      <c r="N318" s="32" t="s">
        <v>1732</v>
      </c>
      <c r="O318" s="28" t="s">
        <v>60</v>
      </c>
      <c r="P318" s="84" t="s">
        <v>170</v>
      </c>
      <c r="Q318" s="87" t="n">
        <v>9000</v>
      </c>
      <c r="R318" s="58" t="s">
        <v>171</v>
      </c>
      <c r="S318" s="69" t="n">
        <v>4130</v>
      </c>
      <c r="T318" s="59" t="s">
        <v>123</v>
      </c>
      <c r="U318" s="155" t="n">
        <v>506005.19</v>
      </c>
      <c r="V318" s="60" t="n">
        <v>27.0566</v>
      </c>
      <c r="W318" s="146" t="n">
        <f aca="false">3937760.85695043/29</f>
        <v>135784.857136222</v>
      </c>
      <c r="X318" s="161" t="n">
        <f aca="false">U318/V318</f>
        <v>18701.7285985674</v>
      </c>
      <c r="Y318" s="156" t="n">
        <f aca="false">242268.96/29/V318</f>
        <v>308.763927062732</v>
      </c>
      <c r="Z318" s="28" t="n">
        <v>5.18</v>
      </c>
      <c r="AA318" s="62" t="s">
        <v>80</v>
      </c>
      <c r="AB318" s="38" t="n">
        <v>43908</v>
      </c>
      <c r="AC318" s="38" t="n">
        <v>44071</v>
      </c>
      <c r="AD318" s="38" t="n">
        <v>44068</v>
      </c>
      <c r="AE318" s="50" t="n">
        <v>45893</v>
      </c>
      <c r="AF318" s="28" t="n">
        <f aca="false">YEAR(AE318)</f>
        <v>2025</v>
      </c>
      <c r="AG318" s="63" t="n">
        <f aca="false">X318/SUMIF($Z$2:$Z$380,Z318,$X$2:$X$380)*(VLOOKUP(Z318,'затраты по департаментам-2 '!$A$2:$C$182,2,FALSE())+VLOOKUP(Z318,'затраты по департаментам-2 '!$A$2:$C$182,3,FALSE()))</f>
        <v>11291.0645431862</v>
      </c>
      <c r="AH318" s="153" t="n">
        <f aca="false">W318/60</f>
        <v>2263.08095227036</v>
      </c>
      <c r="AI318" s="64" t="s">
        <v>81</v>
      </c>
      <c r="AJ318" s="63" t="s">
        <v>82</v>
      </c>
      <c r="AK318" s="43" t="n">
        <v>999647</v>
      </c>
      <c r="AL318" s="43"/>
      <c r="AM318" s="43" t="s">
        <v>2396</v>
      </c>
      <c r="AN318" s="74" t="s">
        <v>2397</v>
      </c>
      <c r="AO318" s="65" t="n">
        <v>44818</v>
      </c>
      <c r="AP318" s="43" t="s">
        <v>2398</v>
      </c>
      <c r="AQ318" s="66" t="s">
        <v>2399</v>
      </c>
      <c r="AR318" s="64"/>
    </row>
    <row r="319" customFormat="false" ht="14.25" hidden="false" customHeight="false" outlineLevel="0" collapsed="false">
      <c r="A319" s="26" t="n">
        <v>318</v>
      </c>
      <c r="B319" s="43" t="s">
        <v>2400</v>
      </c>
      <c r="C319" s="43" t="s">
        <v>1291</v>
      </c>
      <c r="D319" s="28" t="s">
        <v>73</v>
      </c>
      <c r="E319" s="43" t="n">
        <v>5.3</v>
      </c>
      <c r="F319" s="43" t="n">
        <v>1.5</v>
      </c>
      <c r="G319" s="43" t="n">
        <v>112</v>
      </c>
      <c r="H319" s="43" t="n">
        <v>2020</v>
      </c>
      <c r="I319" s="43" t="s">
        <v>1292</v>
      </c>
      <c r="J319" s="43" t="s">
        <v>74</v>
      </c>
      <c r="K319" s="30" t="s">
        <v>2401</v>
      </c>
      <c r="L319" s="35"/>
      <c r="M319" s="31" t="s">
        <v>2402</v>
      </c>
      <c r="N319" s="32" t="s">
        <v>1023</v>
      </c>
      <c r="O319" s="28" t="s">
        <v>60</v>
      </c>
      <c r="P319" s="174" t="s">
        <v>91</v>
      </c>
      <c r="Q319" s="87" t="n">
        <v>1000</v>
      </c>
      <c r="R319" s="58" t="s">
        <v>122</v>
      </c>
      <c r="S319" s="69" t="n">
        <v>4198</v>
      </c>
      <c r="T319" s="59" t="s">
        <v>123</v>
      </c>
      <c r="U319" s="155" t="n">
        <v>506005.19</v>
      </c>
      <c r="V319" s="60" t="n">
        <v>27.0566</v>
      </c>
      <c r="W319" s="146" t="n">
        <f aca="false">3937760.85695043/29</f>
        <v>135784.857136222</v>
      </c>
      <c r="X319" s="161" t="n">
        <f aca="false">U319/V319</f>
        <v>18701.7285985674</v>
      </c>
      <c r="Y319" s="156" t="n">
        <f aca="false">242268.96/29/V319</f>
        <v>308.763927062732</v>
      </c>
      <c r="Z319" s="28" t="n">
        <v>5.18</v>
      </c>
      <c r="AA319" s="62" t="s">
        <v>80</v>
      </c>
      <c r="AB319" s="38" t="n">
        <v>43908</v>
      </c>
      <c r="AC319" s="38" t="n">
        <v>44071</v>
      </c>
      <c r="AD319" s="38" t="n">
        <v>44068</v>
      </c>
      <c r="AE319" s="50" t="n">
        <v>45893</v>
      </c>
      <c r="AF319" s="28" t="n">
        <f aca="false">YEAR(AE319)</f>
        <v>2025</v>
      </c>
      <c r="AG319" s="63" t="n">
        <f aca="false">X319/SUMIF($Z$2:$Z$380,Z319,$X$2:$X$380)*(VLOOKUP(Z319,'затраты по департаментам-2 '!$A$2:$C$182,2,FALSE())+VLOOKUP(Z319,'затраты по департаментам-2 '!$A$2:$C$182,3,FALSE()))</f>
        <v>11291.0645431862</v>
      </c>
      <c r="AH319" s="153" t="n">
        <f aca="false">W319/60</f>
        <v>2263.08095227036</v>
      </c>
      <c r="AI319" s="64" t="s">
        <v>81</v>
      </c>
      <c r="AJ319" s="63" t="s">
        <v>82</v>
      </c>
      <c r="AK319" s="43" t="n">
        <v>127351</v>
      </c>
      <c r="AL319" s="43"/>
      <c r="AM319" s="43" t="s">
        <v>2403</v>
      </c>
      <c r="AN319" s="74" t="s">
        <v>2404</v>
      </c>
      <c r="AO319" s="65" t="n">
        <v>44915</v>
      </c>
      <c r="AP319" s="43" t="s">
        <v>2405</v>
      </c>
      <c r="AQ319" s="66" t="s">
        <v>2406</v>
      </c>
      <c r="AR319" s="64"/>
    </row>
    <row r="320" customFormat="false" ht="14.25" hidden="false" customHeight="false" outlineLevel="0" collapsed="false">
      <c r="A320" s="26" t="n">
        <v>319</v>
      </c>
      <c r="B320" s="43" t="s">
        <v>2407</v>
      </c>
      <c r="C320" s="43" t="s">
        <v>1291</v>
      </c>
      <c r="D320" s="28" t="s">
        <v>73</v>
      </c>
      <c r="E320" s="43" t="n">
        <v>5.3</v>
      </c>
      <c r="F320" s="43" t="n">
        <v>1.5</v>
      </c>
      <c r="G320" s="43" t="n">
        <v>112</v>
      </c>
      <c r="H320" s="43" t="n">
        <v>2020</v>
      </c>
      <c r="I320" s="43" t="s">
        <v>1292</v>
      </c>
      <c r="J320" s="43" t="s">
        <v>74</v>
      </c>
      <c r="K320" s="30" t="s">
        <v>2408</v>
      </c>
      <c r="L320" s="35"/>
      <c r="M320" s="31" t="s">
        <v>2409</v>
      </c>
      <c r="N320" s="32" t="s">
        <v>2410</v>
      </c>
      <c r="O320" s="28" t="s">
        <v>100</v>
      </c>
      <c r="P320" s="56" t="s">
        <v>228</v>
      </c>
      <c r="Q320" s="57" t="n">
        <v>1000</v>
      </c>
      <c r="R320" s="58" t="s">
        <v>2411</v>
      </c>
      <c r="S320" s="69" t="n">
        <v>4170</v>
      </c>
      <c r="T320" s="35" t="s">
        <v>123</v>
      </c>
      <c r="U320" s="155" t="n">
        <v>506005.19</v>
      </c>
      <c r="V320" s="60" t="n">
        <v>27.0566</v>
      </c>
      <c r="W320" s="146" t="n">
        <f aca="false">3937760.85695043/29</f>
        <v>135784.857136222</v>
      </c>
      <c r="X320" s="161" t="n">
        <f aca="false">U320/V320</f>
        <v>18701.7285985674</v>
      </c>
      <c r="Y320" s="156" t="n">
        <f aca="false">242268.96/29/V320</f>
        <v>308.763927062732</v>
      </c>
      <c r="Z320" s="28" t="n">
        <v>5.18</v>
      </c>
      <c r="AA320" s="62" t="s">
        <v>80</v>
      </c>
      <c r="AB320" s="38" t="n">
        <v>43908</v>
      </c>
      <c r="AC320" s="38" t="n">
        <v>44071</v>
      </c>
      <c r="AD320" s="38" t="n">
        <v>44069</v>
      </c>
      <c r="AE320" s="50" t="n">
        <v>45894</v>
      </c>
      <c r="AF320" s="28" t="n">
        <f aca="false">YEAR(AE320)</f>
        <v>2025</v>
      </c>
      <c r="AG320" s="63" t="n">
        <f aca="false">X320/SUMIF($Z$2:$Z$380,Z320,$X$2:$X$380)*(VLOOKUP(Z320,'затраты по департаментам-2 '!$A$2:$C$182,2,FALSE())+VLOOKUP(Z320,'затраты по департаментам-2 '!$A$2:$C$182,3,FALSE()))</f>
        <v>11291.0645431862</v>
      </c>
      <c r="AH320" s="153" t="n">
        <f aca="false">W320/60</f>
        <v>2263.08095227036</v>
      </c>
      <c r="AI320" s="64" t="s">
        <v>81</v>
      </c>
      <c r="AJ320" s="63" t="s">
        <v>100</v>
      </c>
      <c r="AK320" s="43" t="n">
        <v>136477</v>
      </c>
      <c r="AL320" s="43"/>
      <c r="AM320" s="43" t="s">
        <v>2412</v>
      </c>
      <c r="AN320" s="74" t="s">
        <v>2413</v>
      </c>
      <c r="AO320" s="65" t="n">
        <v>44834</v>
      </c>
      <c r="AP320" s="43" t="s">
        <v>2414</v>
      </c>
      <c r="AQ320" s="66" t="s">
        <v>2415</v>
      </c>
      <c r="AR320" s="76" t="n">
        <v>44585</v>
      </c>
    </row>
    <row r="321" customFormat="false" ht="14.25" hidden="false" customHeight="false" outlineLevel="0" collapsed="false">
      <c r="A321" s="26" t="n">
        <v>320</v>
      </c>
      <c r="B321" s="43" t="s">
        <v>2416</v>
      </c>
      <c r="C321" s="43" t="s">
        <v>1291</v>
      </c>
      <c r="D321" s="28" t="s">
        <v>73</v>
      </c>
      <c r="E321" s="43" t="n">
        <v>5.3</v>
      </c>
      <c r="F321" s="43" t="n">
        <v>1.5</v>
      </c>
      <c r="G321" s="43" t="n">
        <v>112</v>
      </c>
      <c r="H321" s="43" t="n">
        <v>2020</v>
      </c>
      <c r="I321" s="43" t="s">
        <v>1292</v>
      </c>
      <c r="J321" s="43" t="s">
        <v>74</v>
      </c>
      <c r="K321" s="30" t="s">
        <v>2417</v>
      </c>
      <c r="L321" s="35"/>
      <c r="M321" s="31" t="s">
        <v>2418</v>
      </c>
      <c r="N321" s="32" t="s">
        <v>1717</v>
      </c>
      <c r="O321" s="57" t="s">
        <v>218</v>
      </c>
      <c r="P321" s="56" t="s">
        <v>327</v>
      </c>
      <c r="Q321" s="87" t="n">
        <v>7010</v>
      </c>
      <c r="R321" s="58" t="s">
        <v>171</v>
      </c>
      <c r="S321" s="69" t="n">
        <v>4131</v>
      </c>
      <c r="T321" s="59" t="s">
        <v>123</v>
      </c>
      <c r="U321" s="155" t="n">
        <v>506005.19</v>
      </c>
      <c r="V321" s="60" t="n">
        <v>27.0566</v>
      </c>
      <c r="W321" s="146" t="n">
        <f aca="false">3937760.85695043/29</f>
        <v>135784.857136222</v>
      </c>
      <c r="X321" s="161" t="n">
        <f aca="false">U321/V321</f>
        <v>18701.7285985674</v>
      </c>
      <c r="Y321" s="156" t="n">
        <f aca="false">242268.96/29/V321</f>
        <v>308.763927062732</v>
      </c>
      <c r="Z321" s="28" t="n">
        <v>5.18</v>
      </c>
      <c r="AA321" s="62" t="s">
        <v>80</v>
      </c>
      <c r="AB321" s="38" t="n">
        <v>43908</v>
      </c>
      <c r="AC321" s="38" t="n">
        <v>44071</v>
      </c>
      <c r="AD321" s="38" t="n">
        <v>44068</v>
      </c>
      <c r="AE321" s="50" t="n">
        <v>45893</v>
      </c>
      <c r="AF321" s="28" t="n">
        <f aca="false">YEAR(AE321)</f>
        <v>2025</v>
      </c>
      <c r="AG321" s="63" t="n">
        <f aca="false">X321/SUMIF($Z$2:$Z$380,Z321,$X$2:$X$380)*(VLOOKUP(Z321,'затраты по департаментам-2 '!$A$2:$C$182,2,FALSE())+VLOOKUP(Z321,'затраты по департаментам-2 '!$A$2:$C$182,3,FALSE()))</f>
        <v>11291.0645431862</v>
      </c>
      <c r="AH321" s="153" t="n">
        <f aca="false">W321/60</f>
        <v>2263.08095227036</v>
      </c>
      <c r="AI321" s="64" t="s">
        <v>81</v>
      </c>
      <c r="AJ321" s="63" t="s">
        <v>52</v>
      </c>
      <c r="AK321" s="43" t="n">
        <v>127401</v>
      </c>
      <c r="AL321" s="43"/>
      <c r="AM321" s="43" t="s">
        <v>2419</v>
      </c>
      <c r="AN321" s="74" t="s">
        <v>2420</v>
      </c>
      <c r="AO321" s="65" t="n">
        <v>44728</v>
      </c>
      <c r="AP321" s="43" t="s">
        <v>2421</v>
      </c>
      <c r="AQ321" s="66" t="s">
        <v>2422</v>
      </c>
      <c r="AR321" s="64"/>
    </row>
    <row r="322" customFormat="false" ht="14.25" hidden="false" customHeight="false" outlineLevel="0" collapsed="false">
      <c r="A322" s="26" t="n">
        <v>321</v>
      </c>
      <c r="B322" s="43" t="s">
        <v>2423</v>
      </c>
      <c r="C322" s="43" t="s">
        <v>1291</v>
      </c>
      <c r="D322" s="28" t="s">
        <v>73</v>
      </c>
      <c r="E322" s="43" t="n">
        <v>5.3</v>
      </c>
      <c r="F322" s="43" t="n">
        <v>1.5</v>
      </c>
      <c r="G322" s="43" t="n">
        <v>112</v>
      </c>
      <c r="H322" s="43" t="n">
        <v>2020</v>
      </c>
      <c r="I322" s="43" t="s">
        <v>1292</v>
      </c>
      <c r="J322" s="43" t="s">
        <v>74</v>
      </c>
      <c r="K322" s="30" t="s">
        <v>2424</v>
      </c>
      <c r="L322" s="35"/>
      <c r="M322" s="31" t="s">
        <v>2425</v>
      </c>
      <c r="N322" s="32" t="s">
        <v>1717</v>
      </c>
      <c r="O322" s="28" t="s">
        <v>754</v>
      </c>
      <c r="P322" s="56" t="s">
        <v>198</v>
      </c>
      <c r="Q322" s="87" t="n">
        <v>7040</v>
      </c>
      <c r="R322" s="58" t="s">
        <v>171</v>
      </c>
      <c r="S322" s="69" t="n">
        <v>4134</v>
      </c>
      <c r="T322" s="59" t="s">
        <v>123</v>
      </c>
      <c r="U322" s="155" t="n">
        <v>506005.19</v>
      </c>
      <c r="V322" s="60" t="n">
        <v>27.0566</v>
      </c>
      <c r="W322" s="146" t="n">
        <f aca="false">3937760.85695043/29</f>
        <v>135784.857136222</v>
      </c>
      <c r="X322" s="161" t="n">
        <f aca="false">U322/V322</f>
        <v>18701.7285985674</v>
      </c>
      <c r="Y322" s="156" t="n">
        <f aca="false">242268.96/29/V322</f>
        <v>308.763927062732</v>
      </c>
      <c r="Z322" s="28" t="n">
        <v>5.18</v>
      </c>
      <c r="AA322" s="62" t="s">
        <v>80</v>
      </c>
      <c r="AB322" s="38" t="n">
        <v>43908</v>
      </c>
      <c r="AC322" s="38" t="n">
        <v>44071</v>
      </c>
      <c r="AD322" s="38" t="n">
        <v>44068</v>
      </c>
      <c r="AE322" s="50" t="n">
        <v>45893</v>
      </c>
      <c r="AF322" s="28" t="n">
        <f aca="false">YEAR(AE322)</f>
        <v>2025</v>
      </c>
      <c r="AG322" s="63" t="n">
        <f aca="false">X322/SUMIF($Z$2:$Z$380,Z322,$X$2:$X$380)*(VLOOKUP(Z322,'затраты по департаментам-2 '!$A$2:$C$182,2,FALSE())+VLOOKUP(Z322,'затраты по департаментам-2 '!$A$2:$C$182,3,FALSE()))</f>
        <v>11291.0645431862</v>
      </c>
      <c r="AH322" s="153" t="n">
        <f aca="false">W322/60</f>
        <v>2263.08095227036</v>
      </c>
      <c r="AI322" s="64" t="s">
        <v>81</v>
      </c>
      <c r="AJ322" s="63" t="s">
        <v>197</v>
      </c>
      <c r="AK322" s="43" t="n">
        <v>148514</v>
      </c>
      <c r="AL322" s="43"/>
      <c r="AM322" s="43" t="s">
        <v>2426</v>
      </c>
      <c r="AN322" s="74" t="s">
        <v>2427</v>
      </c>
      <c r="AO322" s="65" t="n">
        <v>44852</v>
      </c>
      <c r="AP322" s="43" t="s">
        <v>2428</v>
      </c>
      <c r="AQ322" s="66" t="s">
        <v>2429</v>
      </c>
      <c r="AR322" s="64"/>
    </row>
    <row r="323" customFormat="false" ht="14.25" hidden="false" customHeight="false" outlineLevel="0" collapsed="false">
      <c r="A323" s="26" t="n">
        <v>322</v>
      </c>
      <c r="B323" s="43" t="s">
        <v>2430</v>
      </c>
      <c r="C323" s="43" t="s">
        <v>1291</v>
      </c>
      <c r="D323" s="28" t="s">
        <v>73</v>
      </c>
      <c r="E323" s="43" t="n">
        <v>5.3</v>
      </c>
      <c r="F323" s="43" t="n">
        <v>1.5</v>
      </c>
      <c r="G323" s="43" t="n">
        <v>112</v>
      </c>
      <c r="H323" s="43" t="n">
        <v>2020</v>
      </c>
      <c r="I323" s="43" t="s">
        <v>1292</v>
      </c>
      <c r="J323" s="43" t="s">
        <v>74</v>
      </c>
      <c r="K323" s="30" t="s">
        <v>2431</v>
      </c>
      <c r="L323" s="35"/>
      <c r="M323" s="31" t="s">
        <v>2432</v>
      </c>
      <c r="N323" s="32" t="s">
        <v>1717</v>
      </c>
      <c r="O323" s="28" t="s">
        <v>142</v>
      </c>
      <c r="P323" s="56" t="s">
        <v>143</v>
      </c>
      <c r="Q323" s="87" t="n">
        <v>7065</v>
      </c>
      <c r="R323" s="58" t="s">
        <v>171</v>
      </c>
      <c r="S323" s="69" t="n">
        <v>4136</v>
      </c>
      <c r="T323" s="59" t="s">
        <v>123</v>
      </c>
      <c r="U323" s="155" t="n">
        <v>506005.19</v>
      </c>
      <c r="V323" s="60" t="n">
        <v>27.0566</v>
      </c>
      <c r="W323" s="146" t="n">
        <f aca="false">3937760.85695043/29</f>
        <v>135784.857136222</v>
      </c>
      <c r="X323" s="161" t="n">
        <f aca="false">U323/V323</f>
        <v>18701.7285985674</v>
      </c>
      <c r="Y323" s="156" t="n">
        <f aca="false">242268.96/29/V323</f>
        <v>308.763927062732</v>
      </c>
      <c r="Z323" s="28" t="n">
        <v>5.18</v>
      </c>
      <c r="AA323" s="62" t="s">
        <v>80</v>
      </c>
      <c r="AB323" s="38" t="n">
        <v>43908</v>
      </c>
      <c r="AC323" s="38" t="n">
        <v>44071</v>
      </c>
      <c r="AD323" s="38" t="n">
        <v>44068</v>
      </c>
      <c r="AE323" s="50" t="n">
        <v>45893</v>
      </c>
      <c r="AF323" s="28" t="n">
        <f aca="false">YEAR(AE323)</f>
        <v>2025</v>
      </c>
      <c r="AG323" s="63" t="n">
        <f aca="false">X323/SUMIF($Z$2:$Z$380,Z323,$X$2:$X$380)*(VLOOKUP(Z323,'затраты по департаментам-2 '!$A$2:$C$182,2,FALSE())+VLOOKUP(Z323,'затраты по департаментам-2 '!$A$2:$C$182,3,FALSE()))</f>
        <v>11291.0645431862</v>
      </c>
      <c r="AH323" s="153" t="n">
        <f aca="false">W323/60</f>
        <v>2263.08095227036</v>
      </c>
      <c r="AI323" s="64" t="s">
        <v>81</v>
      </c>
      <c r="AJ323" s="63" t="s">
        <v>142</v>
      </c>
      <c r="AK323" s="43" t="n">
        <v>148332</v>
      </c>
      <c r="AL323" s="43"/>
      <c r="AM323" s="43" t="s">
        <v>2433</v>
      </c>
      <c r="AN323" s="74" t="s">
        <v>2434</v>
      </c>
      <c r="AO323" s="65" t="n">
        <v>44783</v>
      </c>
      <c r="AP323" s="43" t="s">
        <v>2435</v>
      </c>
      <c r="AQ323" s="66" t="s">
        <v>2436</v>
      </c>
      <c r="AR323" s="64"/>
    </row>
    <row r="324" customFormat="false" ht="12.75" hidden="false" customHeight="false" outlineLevel="0" collapsed="false">
      <c r="A324" s="26" t="n">
        <v>323</v>
      </c>
      <c r="B324" s="26" t="s">
        <v>2437</v>
      </c>
      <c r="C324" s="43" t="s">
        <v>1291</v>
      </c>
      <c r="D324" s="28" t="s">
        <v>73</v>
      </c>
      <c r="E324" s="43" t="n">
        <v>5.3</v>
      </c>
      <c r="F324" s="43" t="n">
        <v>1.5</v>
      </c>
      <c r="G324" s="43" t="n">
        <v>112</v>
      </c>
      <c r="H324" s="43" t="n">
        <v>2020</v>
      </c>
      <c r="I324" s="43" t="s">
        <v>1292</v>
      </c>
      <c r="J324" s="43" t="s">
        <v>74</v>
      </c>
      <c r="K324" s="30" t="s">
        <v>2438</v>
      </c>
      <c r="L324" s="69"/>
      <c r="M324" s="31" t="s">
        <v>2439</v>
      </c>
      <c r="N324" s="130" t="s">
        <v>438</v>
      </c>
      <c r="O324" s="28" t="s">
        <v>60</v>
      </c>
      <c r="P324" s="48" t="s">
        <v>439</v>
      </c>
      <c r="Q324" s="57" t="n">
        <v>1000</v>
      </c>
      <c r="R324" s="58" t="s">
        <v>351</v>
      </c>
      <c r="S324" s="69" t="n">
        <v>4178</v>
      </c>
      <c r="T324" s="59" t="s">
        <v>123</v>
      </c>
      <c r="U324" s="155" t="n">
        <v>506005.19</v>
      </c>
      <c r="V324" s="60" t="n">
        <v>27.0566</v>
      </c>
      <c r="W324" s="146" t="n">
        <f aca="false">3937760.85695043/29</f>
        <v>135784.857136222</v>
      </c>
      <c r="X324" s="161" t="n">
        <f aca="false">U324/V324</f>
        <v>18701.7285985674</v>
      </c>
      <c r="Y324" s="156" t="n">
        <f aca="false">242268.96/29/V324</f>
        <v>308.763927062732</v>
      </c>
      <c r="Z324" s="28" t="n">
        <v>5.18</v>
      </c>
      <c r="AA324" s="62" t="s">
        <v>80</v>
      </c>
      <c r="AB324" s="38" t="n">
        <v>43908</v>
      </c>
      <c r="AC324" s="38" t="n">
        <v>44071</v>
      </c>
      <c r="AD324" s="38" t="n">
        <v>44068</v>
      </c>
      <c r="AE324" s="50" t="n">
        <v>45893</v>
      </c>
      <c r="AF324" s="28" t="n">
        <f aca="false">YEAR(AE324)</f>
        <v>2025</v>
      </c>
      <c r="AG324" s="63" t="n">
        <f aca="false">X324/SUMIF($Z$2:$Z$380,Z324,$X$2:$X$380)*(VLOOKUP(Z324,'затраты по департаментам-2 '!$A$2:$C$182,2,FALSE())+VLOOKUP(Z324,'затраты по департаментам-2 '!$A$2:$C$182,3,FALSE()))</f>
        <v>11291.0645431862</v>
      </c>
      <c r="AH324" s="153" t="n">
        <f aca="false">W324/60</f>
        <v>2263.08095227036</v>
      </c>
      <c r="AI324" s="64" t="s">
        <v>81</v>
      </c>
      <c r="AJ324" s="63" t="s">
        <v>82</v>
      </c>
      <c r="AK324" s="43" t="n">
        <v>127484</v>
      </c>
      <c r="AL324" s="43"/>
      <c r="AM324" s="43" t="s">
        <v>2440</v>
      </c>
      <c r="AN324" s="74" t="s">
        <v>2441</v>
      </c>
      <c r="AO324" s="65" t="n">
        <v>44793</v>
      </c>
      <c r="AP324" s="2" t="s">
        <v>2442</v>
      </c>
      <c r="AQ324" s="66" t="s">
        <v>2443</v>
      </c>
      <c r="AR324" s="64"/>
    </row>
    <row r="325" customFormat="false" ht="12.75" hidden="false" customHeight="false" outlineLevel="0" collapsed="false">
      <c r="A325" s="26" t="n">
        <v>324</v>
      </c>
      <c r="B325" s="43" t="s">
        <v>2444</v>
      </c>
      <c r="C325" s="43" t="s">
        <v>1291</v>
      </c>
      <c r="D325" s="28" t="s">
        <v>73</v>
      </c>
      <c r="E325" s="43" t="n">
        <v>5.3</v>
      </c>
      <c r="F325" s="43" t="n">
        <v>1.5</v>
      </c>
      <c r="G325" s="43" t="n">
        <v>112</v>
      </c>
      <c r="H325" s="43" t="n">
        <v>2020</v>
      </c>
      <c r="I325" s="43" t="s">
        <v>1292</v>
      </c>
      <c r="J325" s="43" t="s">
        <v>74</v>
      </c>
      <c r="K325" s="30" t="s">
        <v>2445</v>
      </c>
      <c r="L325" s="69"/>
      <c r="M325" s="31" t="s">
        <v>2446</v>
      </c>
      <c r="N325" s="130" t="s">
        <v>2296</v>
      </c>
      <c r="O325" s="57" t="s">
        <v>60</v>
      </c>
      <c r="P325" s="48" t="s">
        <v>2447</v>
      </c>
      <c r="Q325" s="87" t="n">
        <v>6000</v>
      </c>
      <c r="R325" s="58" t="s">
        <v>53</v>
      </c>
      <c r="S325" s="69" t="n">
        <v>3519</v>
      </c>
      <c r="T325" s="69" t="n">
        <v>5</v>
      </c>
      <c r="U325" s="155" t="n">
        <v>506005.19</v>
      </c>
      <c r="V325" s="60" t="n">
        <v>27.0566</v>
      </c>
      <c r="W325" s="146" t="n">
        <f aca="false">3937760.85695043/29</f>
        <v>135784.857136222</v>
      </c>
      <c r="X325" s="161" t="n">
        <f aca="false">U325/V325</f>
        <v>18701.7285985674</v>
      </c>
      <c r="Y325" s="156" t="n">
        <f aca="false">242268.96/29/V325</f>
        <v>308.763927062732</v>
      </c>
      <c r="Z325" s="28" t="n">
        <v>5.18</v>
      </c>
      <c r="AA325" s="62" t="s">
        <v>80</v>
      </c>
      <c r="AB325" s="38" t="n">
        <v>43908</v>
      </c>
      <c r="AC325" s="38" t="n">
        <v>44071</v>
      </c>
      <c r="AD325" s="38" t="n">
        <v>44068</v>
      </c>
      <c r="AE325" s="50" t="n">
        <v>45893</v>
      </c>
      <c r="AF325" s="28" t="n">
        <f aca="false">YEAR(AE325)</f>
        <v>2025</v>
      </c>
      <c r="AG325" s="63" t="n">
        <f aca="false">X325/SUMIF($Z$2:$Z$380,Z325,$X$2:$X$380)*(VLOOKUP(Z325,'затраты по департаментам-2 '!$A$2:$C$182,2,FALSE())+VLOOKUP(Z325,'затраты по департаментам-2 '!$A$2:$C$182,3,FALSE()))</f>
        <v>11291.0645431862</v>
      </c>
      <c r="AH325" s="153" t="n">
        <f aca="false">W325/60</f>
        <v>2263.08095227036</v>
      </c>
      <c r="AI325" s="64" t="s">
        <v>112</v>
      </c>
      <c r="AJ325" s="153" t="s">
        <v>82</v>
      </c>
      <c r="AK325" s="43" t="n">
        <v>133045</v>
      </c>
      <c r="AL325" s="43"/>
      <c r="AM325" s="43" t="s">
        <v>2448</v>
      </c>
      <c r="AN325" s="74" t="s">
        <v>2449</v>
      </c>
      <c r="AO325" s="65" t="n">
        <v>44775</v>
      </c>
      <c r="AP325" s="43" t="s">
        <v>2450</v>
      </c>
      <c r="AQ325" s="66" t="s">
        <v>2451</v>
      </c>
      <c r="AR325" s="76" t="n">
        <v>44531</v>
      </c>
    </row>
    <row r="326" customFormat="false" ht="14.25" hidden="false" customHeight="false" outlineLevel="0" collapsed="false">
      <c r="A326" s="26" t="n">
        <v>325</v>
      </c>
      <c r="B326" s="43" t="s">
        <v>2452</v>
      </c>
      <c r="C326" s="43" t="s">
        <v>1291</v>
      </c>
      <c r="D326" s="28" t="s">
        <v>73</v>
      </c>
      <c r="E326" s="43" t="n">
        <v>5.3</v>
      </c>
      <c r="F326" s="43" t="n">
        <v>1.5</v>
      </c>
      <c r="G326" s="43" t="n">
        <v>112</v>
      </c>
      <c r="H326" s="43" t="n">
        <v>2020</v>
      </c>
      <c r="I326" s="43" t="s">
        <v>1292</v>
      </c>
      <c r="J326" s="43" t="s">
        <v>74</v>
      </c>
      <c r="K326" s="30" t="s">
        <v>2453</v>
      </c>
      <c r="L326" s="69"/>
      <c r="M326" s="31" t="s">
        <v>2454</v>
      </c>
      <c r="N326" s="32" t="s">
        <v>2455</v>
      </c>
      <c r="O326" s="57" t="s">
        <v>60</v>
      </c>
      <c r="P326" s="48" t="s">
        <v>1778</v>
      </c>
      <c r="Q326" s="87" t="n">
        <v>6000</v>
      </c>
      <c r="R326" s="58" t="s">
        <v>405</v>
      </c>
      <c r="S326" s="69" t="n">
        <v>4237</v>
      </c>
      <c r="T326" s="69" t="n">
        <v>5</v>
      </c>
      <c r="U326" s="155" t="n">
        <v>506005.19</v>
      </c>
      <c r="V326" s="60" t="n">
        <v>27.0566</v>
      </c>
      <c r="W326" s="146" t="n">
        <f aca="false">3937760.85695043/29</f>
        <v>135784.857136222</v>
      </c>
      <c r="X326" s="161" t="n">
        <f aca="false">U326/V326</f>
        <v>18701.7285985674</v>
      </c>
      <c r="Y326" s="156" t="n">
        <f aca="false">242268.96/29/V326</f>
        <v>308.763927062732</v>
      </c>
      <c r="Z326" s="28" t="n">
        <v>5.18</v>
      </c>
      <c r="AA326" s="62" t="s">
        <v>80</v>
      </c>
      <c r="AB326" s="38" t="n">
        <v>43908</v>
      </c>
      <c r="AC326" s="38" t="n">
        <v>44071</v>
      </c>
      <c r="AD326" s="38" t="n">
        <v>44068</v>
      </c>
      <c r="AE326" s="50" t="n">
        <v>45893</v>
      </c>
      <c r="AF326" s="28" t="n">
        <f aca="false">YEAR(AE326)</f>
        <v>2025</v>
      </c>
      <c r="AG326" s="63" t="n">
        <f aca="false">X326/SUMIF($Z$2:$Z$380,Z326,$X$2:$X$380)*(VLOOKUP(Z326,'затраты по департаментам-2 '!$A$2:$C$182,2,FALSE())+VLOOKUP(Z326,'затраты по департаментам-2 '!$A$2:$C$182,3,FALSE()))</f>
        <v>11291.0645431862</v>
      </c>
      <c r="AH326" s="153" t="n">
        <f aca="false">W326/60</f>
        <v>2263.08095227036</v>
      </c>
      <c r="AI326" s="64" t="s">
        <v>81</v>
      </c>
      <c r="AJ326" s="63" t="s">
        <v>82</v>
      </c>
      <c r="AK326" s="43" t="n">
        <v>148373</v>
      </c>
      <c r="AL326" s="43"/>
      <c r="AM326" s="43" t="s">
        <v>2456</v>
      </c>
      <c r="AN326" s="74" t="s">
        <v>2457</v>
      </c>
      <c r="AO326" s="65" t="n">
        <v>44764</v>
      </c>
      <c r="AP326" s="43" t="s">
        <v>2458</v>
      </c>
      <c r="AQ326" s="66" t="s">
        <v>2459</v>
      </c>
      <c r="AR326" s="64"/>
    </row>
    <row r="327" customFormat="false" ht="14.25" hidden="false" customHeight="false" outlineLevel="0" collapsed="false">
      <c r="A327" s="26" t="n">
        <v>326</v>
      </c>
      <c r="B327" s="43" t="s">
        <v>2460</v>
      </c>
      <c r="C327" s="43" t="s">
        <v>1291</v>
      </c>
      <c r="D327" s="28" t="s">
        <v>73</v>
      </c>
      <c r="E327" s="43" t="n">
        <v>5.3</v>
      </c>
      <c r="F327" s="43" t="n">
        <v>1.5</v>
      </c>
      <c r="G327" s="43" t="n">
        <v>112</v>
      </c>
      <c r="H327" s="43" t="n">
        <v>2020</v>
      </c>
      <c r="I327" s="43" t="s">
        <v>1292</v>
      </c>
      <c r="J327" s="43" t="s">
        <v>74</v>
      </c>
      <c r="K327" s="30" t="s">
        <v>2461</v>
      </c>
      <c r="L327" s="59"/>
      <c r="M327" s="31" t="s">
        <v>2462</v>
      </c>
      <c r="N327" s="32" t="s">
        <v>438</v>
      </c>
      <c r="O327" s="70" t="s">
        <v>100</v>
      </c>
      <c r="P327" s="56" t="s">
        <v>439</v>
      </c>
      <c r="Q327" s="93" t="n">
        <v>1000</v>
      </c>
      <c r="R327" s="58" t="s">
        <v>189</v>
      </c>
      <c r="S327" s="116" t="n">
        <v>4170</v>
      </c>
      <c r="T327" s="59" t="s">
        <v>123</v>
      </c>
      <c r="U327" s="155" t="n">
        <v>506005.19</v>
      </c>
      <c r="V327" s="60" t="n">
        <v>27.0566</v>
      </c>
      <c r="W327" s="146" t="n">
        <f aca="false">3937760.85695043/29</f>
        <v>135784.857136222</v>
      </c>
      <c r="X327" s="161" t="n">
        <f aca="false">U327/V327</f>
        <v>18701.7285985674</v>
      </c>
      <c r="Y327" s="156" t="n">
        <f aca="false">242268.96/29/V327</f>
        <v>308.763927062732</v>
      </c>
      <c r="Z327" s="28" t="n">
        <v>5.18</v>
      </c>
      <c r="AA327" s="62" t="s">
        <v>80</v>
      </c>
      <c r="AB327" s="38" t="n">
        <v>43908</v>
      </c>
      <c r="AC327" s="38" t="n">
        <v>44071</v>
      </c>
      <c r="AD327" s="38" t="n">
        <v>44068</v>
      </c>
      <c r="AE327" s="50" t="n">
        <v>45893</v>
      </c>
      <c r="AF327" s="28" t="n">
        <f aca="false">YEAR(AE327)</f>
        <v>2025</v>
      </c>
      <c r="AG327" s="63" t="n">
        <f aca="false">X327/SUMIF($Z$2:$Z$380,Z327,$X$2:$X$380)*(VLOOKUP(Z327,'затраты по департаментам-2 '!$A$2:$C$182,2,FALSE())+VLOOKUP(Z327,'затраты по департаментам-2 '!$A$2:$C$182,3,FALSE()))</f>
        <v>11291.0645431862</v>
      </c>
      <c r="AH327" s="153" t="n">
        <f aca="false">W327/60</f>
        <v>2263.08095227036</v>
      </c>
      <c r="AI327" s="64" t="s">
        <v>81</v>
      </c>
      <c r="AJ327" s="63" t="s">
        <v>100</v>
      </c>
      <c r="AK327" s="43" t="n">
        <v>762809</v>
      </c>
      <c r="AL327" s="43"/>
      <c r="AM327" s="43" t="s">
        <v>2463</v>
      </c>
      <c r="AN327" s="74" t="s">
        <v>2464</v>
      </c>
      <c r="AO327" s="65" t="n">
        <v>44825</v>
      </c>
      <c r="AP327" s="43" t="s">
        <v>2465</v>
      </c>
      <c r="AQ327" s="66" t="s">
        <v>2466</v>
      </c>
      <c r="AR327" s="64"/>
    </row>
    <row r="328" customFormat="false" ht="14.25" hidden="false" customHeight="false" outlineLevel="0" collapsed="false">
      <c r="A328" s="26" t="n">
        <v>327</v>
      </c>
      <c r="B328" s="43" t="s">
        <v>2467</v>
      </c>
      <c r="C328" s="43" t="s">
        <v>1291</v>
      </c>
      <c r="D328" s="28" t="s">
        <v>73</v>
      </c>
      <c r="E328" s="43" t="n">
        <v>5.3</v>
      </c>
      <c r="F328" s="43" t="n">
        <v>1.5</v>
      </c>
      <c r="G328" s="43" t="n">
        <v>112</v>
      </c>
      <c r="H328" s="43" t="n">
        <v>2020</v>
      </c>
      <c r="I328" s="43" t="s">
        <v>1292</v>
      </c>
      <c r="J328" s="43" t="s">
        <v>74</v>
      </c>
      <c r="K328" s="30" t="s">
        <v>2468</v>
      </c>
      <c r="L328" s="69"/>
      <c r="M328" s="31" t="s">
        <v>2469</v>
      </c>
      <c r="N328" s="32" t="s">
        <v>2470</v>
      </c>
      <c r="O328" s="93" t="s">
        <v>100</v>
      </c>
      <c r="P328" s="48" t="s">
        <v>1310</v>
      </c>
      <c r="Q328" s="87" t="n">
        <v>1000</v>
      </c>
      <c r="R328" s="58" t="s">
        <v>2471</v>
      </c>
      <c r="S328" s="69" t="n">
        <v>4140</v>
      </c>
      <c r="T328" s="59" t="s">
        <v>123</v>
      </c>
      <c r="U328" s="155" t="n">
        <v>506005.19</v>
      </c>
      <c r="V328" s="60" t="n">
        <v>27.0566</v>
      </c>
      <c r="W328" s="146" t="n">
        <f aca="false">3937760.85695043/29</f>
        <v>135784.857136222</v>
      </c>
      <c r="X328" s="161" t="n">
        <f aca="false">U328/V328</f>
        <v>18701.7285985674</v>
      </c>
      <c r="Y328" s="156" t="n">
        <f aca="false">242268.96/29/V328</f>
        <v>308.763927062732</v>
      </c>
      <c r="Z328" s="28" t="n">
        <v>5.18</v>
      </c>
      <c r="AA328" s="62" t="s">
        <v>80</v>
      </c>
      <c r="AB328" s="38" t="n">
        <v>43908</v>
      </c>
      <c r="AC328" s="38" t="n">
        <v>44071</v>
      </c>
      <c r="AD328" s="38" t="n">
        <v>44068</v>
      </c>
      <c r="AE328" s="50" t="n">
        <v>45893</v>
      </c>
      <c r="AF328" s="28" t="n">
        <f aca="false">YEAR(AE328)</f>
        <v>2025</v>
      </c>
      <c r="AG328" s="63" t="n">
        <f aca="false">X328/SUMIF($Z$2:$Z$380,Z328,$X$2:$X$380)*(VLOOKUP(Z328,'затраты по департаментам-2 '!$A$2:$C$182,2,FALSE())+VLOOKUP(Z328,'затраты по департаментам-2 '!$A$2:$C$182,3,FALSE()))</f>
        <v>11291.0645431862</v>
      </c>
      <c r="AH328" s="153" t="n">
        <f aca="false">W328/60</f>
        <v>2263.08095227036</v>
      </c>
      <c r="AI328" s="64" t="s">
        <v>81</v>
      </c>
      <c r="AJ328" s="63" t="s">
        <v>100</v>
      </c>
      <c r="AK328" s="43" t="n">
        <v>762833</v>
      </c>
      <c r="AL328" s="43"/>
      <c r="AM328" s="43" t="s">
        <v>2472</v>
      </c>
      <c r="AN328" s="74" t="s">
        <v>2473</v>
      </c>
      <c r="AO328" s="65" t="n">
        <v>44789</v>
      </c>
      <c r="AP328" s="43" t="s">
        <v>2474</v>
      </c>
      <c r="AQ328" s="66" t="s">
        <v>2475</v>
      </c>
      <c r="AR328" s="64"/>
    </row>
    <row r="329" customFormat="false" ht="14.25" hidden="false" customHeight="false" outlineLevel="0" collapsed="false">
      <c r="A329" s="26" t="n">
        <v>328</v>
      </c>
      <c r="B329" s="43" t="s">
        <v>2476</v>
      </c>
      <c r="C329" s="43" t="s">
        <v>1291</v>
      </c>
      <c r="D329" s="28" t="s">
        <v>73</v>
      </c>
      <c r="E329" s="43" t="n">
        <v>5.3</v>
      </c>
      <c r="F329" s="43" t="n">
        <v>1.5</v>
      </c>
      <c r="G329" s="43" t="n">
        <v>112</v>
      </c>
      <c r="H329" s="43" t="n">
        <v>2020</v>
      </c>
      <c r="I329" s="43" t="s">
        <v>1292</v>
      </c>
      <c r="J329" s="43" t="s">
        <v>74</v>
      </c>
      <c r="K329" s="30" t="s">
        <v>2477</v>
      </c>
      <c r="L329" s="35"/>
      <c r="M329" s="31" t="s">
        <v>1665</v>
      </c>
      <c r="N329" s="32" t="s">
        <v>2478</v>
      </c>
      <c r="O329" s="57" t="s">
        <v>52</v>
      </c>
      <c r="P329" s="56" t="s">
        <v>439</v>
      </c>
      <c r="Q329" s="57" t="n">
        <v>1000</v>
      </c>
      <c r="R329" s="58" t="s">
        <v>189</v>
      </c>
      <c r="S329" s="69" t="n">
        <v>4170</v>
      </c>
      <c r="T329" s="59" t="s">
        <v>123</v>
      </c>
      <c r="U329" s="155" t="n">
        <v>506005.19</v>
      </c>
      <c r="V329" s="60" t="n">
        <v>27.0566</v>
      </c>
      <c r="W329" s="146" t="n">
        <f aca="false">3937760.85695043/29</f>
        <v>135784.857136222</v>
      </c>
      <c r="X329" s="161" t="n">
        <f aca="false">U329/V329</f>
        <v>18701.7285985674</v>
      </c>
      <c r="Y329" s="156" t="n">
        <f aca="false">242268.96/29/V329</f>
        <v>308.763927062732</v>
      </c>
      <c r="Z329" s="28" t="n">
        <v>5.18</v>
      </c>
      <c r="AA329" s="62" t="s">
        <v>80</v>
      </c>
      <c r="AB329" s="38" t="n">
        <v>43908</v>
      </c>
      <c r="AC329" s="38" t="n">
        <v>44071</v>
      </c>
      <c r="AD329" s="38" t="n">
        <v>44074</v>
      </c>
      <c r="AE329" s="50" t="n">
        <v>45899</v>
      </c>
      <c r="AF329" s="28" t="n">
        <f aca="false">YEAR(AE329)</f>
        <v>2025</v>
      </c>
      <c r="AG329" s="63" t="n">
        <f aca="false">X329/SUMIF($Z$2:$Z$380,Z329,$X$2:$X$380)*(VLOOKUP(Z329,'затраты по департаментам-2 '!$A$2:$C$182,2,FALSE())+VLOOKUP(Z329,'затраты по департаментам-2 '!$A$2:$C$182,3,FALSE()))</f>
        <v>11291.0645431862</v>
      </c>
      <c r="AH329" s="153" t="n">
        <f aca="false">W329/60</f>
        <v>2263.08095227036</v>
      </c>
      <c r="AI329" s="64" t="s">
        <v>81</v>
      </c>
      <c r="AJ329" s="63" t="s">
        <v>52</v>
      </c>
      <c r="AK329" s="43" t="n">
        <v>127310</v>
      </c>
      <c r="AL329" s="43"/>
      <c r="AM329" s="43" t="s">
        <v>2479</v>
      </c>
      <c r="AN329" s="74" t="s">
        <v>2480</v>
      </c>
      <c r="AO329" s="65" t="n">
        <v>44840</v>
      </c>
      <c r="AP329" s="43" t="s">
        <v>2481</v>
      </c>
      <c r="AQ329" s="66" t="s">
        <v>2482</v>
      </c>
      <c r="AR329" s="76" t="n">
        <v>44706</v>
      </c>
    </row>
    <row r="330" customFormat="false" ht="14.25" hidden="false" customHeight="false" outlineLevel="0" collapsed="false">
      <c r="A330" s="26" t="n">
        <v>329</v>
      </c>
      <c r="B330" s="43" t="s">
        <v>2483</v>
      </c>
      <c r="C330" s="43" t="s">
        <v>1291</v>
      </c>
      <c r="D330" s="28" t="s">
        <v>73</v>
      </c>
      <c r="E330" s="43" t="n">
        <v>5.3</v>
      </c>
      <c r="F330" s="43" t="n">
        <v>1.5</v>
      </c>
      <c r="G330" s="43" t="n">
        <v>112</v>
      </c>
      <c r="H330" s="43" t="n">
        <v>2020</v>
      </c>
      <c r="I330" s="43" t="s">
        <v>1292</v>
      </c>
      <c r="J330" s="43" t="s">
        <v>74</v>
      </c>
      <c r="K330" s="30" t="s">
        <v>2484</v>
      </c>
      <c r="L330" s="69"/>
      <c r="M330" s="31" t="s">
        <v>2485</v>
      </c>
      <c r="N330" s="56" t="s">
        <v>2410</v>
      </c>
      <c r="O330" s="57" t="s">
        <v>100</v>
      </c>
      <c r="P330" s="56" t="s">
        <v>298</v>
      </c>
      <c r="Q330" s="87" t="n">
        <v>1000</v>
      </c>
      <c r="R330" s="58" t="s">
        <v>413</v>
      </c>
      <c r="S330" s="69" t="n">
        <v>4170</v>
      </c>
      <c r="T330" s="59" t="s">
        <v>123</v>
      </c>
      <c r="U330" s="155" t="n">
        <v>506005.19</v>
      </c>
      <c r="V330" s="60" t="n">
        <v>27.0566</v>
      </c>
      <c r="W330" s="146" t="n">
        <f aca="false">3937760.85695043/29</f>
        <v>135784.857136222</v>
      </c>
      <c r="X330" s="161" t="n">
        <f aca="false">U330/V330</f>
        <v>18701.7285985674</v>
      </c>
      <c r="Y330" s="156" t="n">
        <f aca="false">242268.96/29/V330</f>
        <v>308.763927062732</v>
      </c>
      <c r="Z330" s="28" t="n">
        <v>5.18</v>
      </c>
      <c r="AA330" s="62" t="s">
        <v>80</v>
      </c>
      <c r="AB330" s="38" t="n">
        <v>43908</v>
      </c>
      <c r="AC330" s="38" t="n">
        <v>44071</v>
      </c>
      <c r="AD330" s="38" t="n">
        <v>44069</v>
      </c>
      <c r="AE330" s="50" t="n">
        <v>45894</v>
      </c>
      <c r="AF330" s="28" t="n">
        <f aca="false">YEAR(AE330)</f>
        <v>2025</v>
      </c>
      <c r="AG330" s="63" t="n">
        <f aca="false">X330/SUMIF($Z$2:$Z$380,Z330,$X$2:$X$380)*(VLOOKUP(Z330,'затраты по департаментам-2 '!$A$2:$C$182,2,FALSE())+VLOOKUP(Z330,'затраты по департаментам-2 '!$A$2:$C$182,3,FALSE()))</f>
        <v>11291.0645431862</v>
      </c>
      <c r="AH330" s="153" t="n">
        <f aca="false">W330/60</f>
        <v>2263.08095227036</v>
      </c>
      <c r="AI330" s="64" t="s">
        <v>81</v>
      </c>
      <c r="AJ330" s="63" t="s">
        <v>100</v>
      </c>
      <c r="AK330" s="43" t="n">
        <v>137491</v>
      </c>
      <c r="AL330" s="43"/>
      <c r="AM330" s="43" t="s">
        <v>2486</v>
      </c>
      <c r="AN330" s="74" t="s">
        <v>2487</v>
      </c>
      <c r="AO330" s="65" t="n">
        <v>44845</v>
      </c>
      <c r="AP330" s="43" t="s">
        <v>2488</v>
      </c>
      <c r="AQ330" s="66" t="s">
        <v>2489</v>
      </c>
      <c r="AR330" s="64"/>
    </row>
    <row r="331" customFormat="false" ht="14.25" hidden="false" customHeight="false" outlineLevel="0" collapsed="false">
      <c r="A331" s="26" t="n">
        <v>330</v>
      </c>
      <c r="B331" s="43" t="s">
        <v>2490</v>
      </c>
      <c r="C331" s="43" t="s">
        <v>1291</v>
      </c>
      <c r="D331" s="28" t="s">
        <v>73</v>
      </c>
      <c r="E331" s="43" t="n">
        <v>5.3</v>
      </c>
      <c r="F331" s="43" t="n">
        <v>1.5</v>
      </c>
      <c r="G331" s="43" t="n">
        <v>112</v>
      </c>
      <c r="H331" s="43" t="n">
        <v>2020</v>
      </c>
      <c r="I331" s="43" t="s">
        <v>1292</v>
      </c>
      <c r="J331" s="43" t="s">
        <v>74</v>
      </c>
      <c r="K331" s="30" t="s">
        <v>2491</v>
      </c>
      <c r="L331" s="35"/>
      <c r="M331" s="31" t="s">
        <v>2492</v>
      </c>
      <c r="N331" s="32" t="s">
        <v>1717</v>
      </c>
      <c r="O331" s="28" t="s">
        <v>252</v>
      </c>
      <c r="P331" s="56" t="s">
        <v>143</v>
      </c>
      <c r="Q331" s="87" t="n">
        <v>7060</v>
      </c>
      <c r="R331" s="58" t="s">
        <v>171</v>
      </c>
      <c r="S331" s="69" t="n">
        <v>4136</v>
      </c>
      <c r="T331" s="59" t="s">
        <v>123</v>
      </c>
      <c r="U331" s="155" t="n">
        <v>506005.19</v>
      </c>
      <c r="V331" s="60" t="n">
        <v>27.0566</v>
      </c>
      <c r="W331" s="146" t="n">
        <f aca="false">3937760.85695043/29</f>
        <v>135784.857136222</v>
      </c>
      <c r="X331" s="161" t="n">
        <f aca="false">U331/V331</f>
        <v>18701.7285985674</v>
      </c>
      <c r="Y331" s="156" t="n">
        <f aca="false">242268.96/29/V331</f>
        <v>308.763927062732</v>
      </c>
      <c r="Z331" s="28" t="n">
        <v>5.18</v>
      </c>
      <c r="AA331" s="62" t="s">
        <v>80</v>
      </c>
      <c r="AB331" s="38" t="n">
        <v>43908</v>
      </c>
      <c r="AC331" s="38" t="n">
        <v>44071</v>
      </c>
      <c r="AD331" s="38" t="n">
        <v>44069</v>
      </c>
      <c r="AE331" s="50" t="n">
        <v>45894</v>
      </c>
      <c r="AF331" s="28" t="n">
        <f aca="false">YEAR(AE331)</f>
        <v>2025</v>
      </c>
      <c r="AG331" s="63" t="n">
        <f aca="false">X331/SUMIF($Z$2:$Z$380,Z331,$X$2:$X$380)*(VLOOKUP(Z331,'затраты по департаментам-2 '!$A$2:$C$182,2,FALSE())+VLOOKUP(Z331,'затраты по департаментам-2 '!$A$2:$C$182,3,FALSE()))</f>
        <v>11291.0645431862</v>
      </c>
      <c r="AH331" s="153" t="n">
        <f aca="false">W331/60</f>
        <v>2263.08095227036</v>
      </c>
      <c r="AI331" s="64" t="s">
        <v>81</v>
      </c>
      <c r="AJ331" s="63" t="s">
        <v>142</v>
      </c>
      <c r="AK331" s="43" t="n">
        <v>133789</v>
      </c>
      <c r="AL331" s="43"/>
      <c r="AM331" s="43" t="s">
        <v>2493</v>
      </c>
      <c r="AN331" s="74" t="s">
        <v>2494</v>
      </c>
      <c r="AO331" s="65" t="n">
        <v>44783</v>
      </c>
      <c r="AP331" s="43" t="s">
        <v>2495</v>
      </c>
      <c r="AQ331" s="66" t="s">
        <v>2496</v>
      </c>
      <c r="AR331" s="64"/>
    </row>
    <row r="332" customFormat="false" ht="14.25" hidden="false" customHeight="false" outlineLevel="0" collapsed="false">
      <c r="A332" s="26" t="n">
        <v>331</v>
      </c>
      <c r="B332" s="43" t="s">
        <v>2497</v>
      </c>
      <c r="C332" s="43" t="s">
        <v>1326</v>
      </c>
      <c r="D332" s="28" t="s">
        <v>73</v>
      </c>
      <c r="E332" s="43" t="n">
        <v>5.3</v>
      </c>
      <c r="F332" s="43" t="n">
        <v>1.5</v>
      </c>
      <c r="G332" s="43" t="n">
        <v>112</v>
      </c>
      <c r="H332" s="43" t="n">
        <v>2020</v>
      </c>
      <c r="I332" s="43" t="s">
        <v>1292</v>
      </c>
      <c r="J332" s="43" t="s">
        <v>74</v>
      </c>
      <c r="K332" s="30" t="s">
        <v>2498</v>
      </c>
      <c r="L332" s="69"/>
      <c r="M332" s="31" t="s">
        <v>419</v>
      </c>
      <c r="N332" s="32" t="s">
        <v>403</v>
      </c>
      <c r="O332" s="28" t="s">
        <v>52</v>
      </c>
      <c r="P332" s="56" t="s">
        <v>1374</v>
      </c>
      <c r="Q332" s="79" t="n">
        <v>1000</v>
      </c>
      <c r="R332" s="58" t="s">
        <v>405</v>
      </c>
      <c r="S332" s="69" t="n">
        <v>4290</v>
      </c>
      <c r="T332" s="59" t="s">
        <v>123</v>
      </c>
      <c r="U332" s="71" t="n">
        <v>508996.38</v>
      </c>
      <c r="V332" s="60" t="n">
        <v>24.4431</v>
      </c>
      <c r="W332" s="71" t="n">
        <v>147556.203287431</v>
      </c>
      <c r="X332" s="112" t="n">
        <f aca="false">U332/V332</f>
        <v>20823.7244866649</v>
      </c>
      <c r="Y332" s="112" t="n">
        <f aca="false">8369.34/V332</f>
        <v>342.400922959854</v>
      </c>
      <c r="Z332" s="28" t="n">
        <v>5.19</v>
      </c>
      <c r="AA332" s="62" t="s">
        <v>80</v>
      </c>
      <c r="AB332" s="38" t="n">
        <v>43880</v>
      </c>
      <c r="AC332" s="38" t="n">
        <v>44068</v>
      </c>
      <c r="AD332" s="38" t="n">
        <v>44068</v>
      </c>
      <c r="AE332" s="50" t="n">
        <v>45893</v>
      </c>
      <c r="AF332" s="28" t="n">
        <v>2025</v>
      </c>
      <c r="AG332" s="63" t="n">
        <f aca="false">X332/SUMIF($Z$2:$Z$380,Z332,$X$2:$X$380)*(VLOOKUP(Z332,'затраты по департаментам-2 '!$A$2:$C$182,2,FALSE())+VLOOKUP(Z332,'затраты по департаментам-2 '!$A$2:$C$182,3,FALSE()))</f>
        <v>12521.1223913497</v>
      </c>
      <c r="AH332" s="153" t="n">
        <f aca="false">W332/60</f>
        <v>2459.27005479051</v>
      </c>
      <c r="AI332" s="64" t="s">
        <v>81</v>
      </c>
      <c r="AJ332" s="63" t="s">
        <v>52</v>
      </c>
      <c r="AK332" s="43" t="n">
        <v>57541</v>
      </c>
      <c r="AL332" s="43"/>
      <c r="AM332" s="43" t="s">
        <v>2499</v>
      </c>
      <c r="AN332" s="74" t="s">
        <v>2500</v>
      </c>
      <c r="AO332" s="65" t="n">
        <v>44863</v>
      </c>
      <c r="AP332" s="43" t="s">
        <v>2501</v>
      </c>
      <c r="AQ332" s="66" t="s">
        <v>2502</v>
      </c>
      <c r="AR332" s="76" t="n">
        <v>44494</v>
      </c>
    </row>
    <row r="333" customFormat="false" ht="14.25" hidden="false" customHeight="false" outlineLevel="0" collapsed="false">
      <c r="A333" s="26" t="n">
        <v>332</v>
      </c>
      <c r="B333" s="43" t="s">
        <v>2503</v>
      </c>
      <c r="C333" s="43" t="s">
        <v>2504</v>
      </c>
      <c r="D333" s="28" t="s">
        <v>73</v>
      </c>
      <c r="E333" s="43" t="n">
        <v>9.1</v>
      </c>
      <c r="F333" s="43" t="n">
        <v>2.3</v>
      </c>
      <c r="G333" s="43"/>
      <c r="H333" s="43" t="n">
        <v>2020</v>
      </c>
      <c r="I333" s="43" t="s">
        <v>1292</v>
      </c>
      <c r="J333" s="157" t="s">
        <v>87</v>
      </c>
      <c r="K333" s="30" t="s">
        <v>2505</v>
      </c>
      <c r="L333" s="116"/>
      <c r="M333" s="31" t="s">
        <v>2506</v>
      </c>
      <c r="N333" s="32" t="s">
        <v>2507</v>
      </c>
      <c r="O333" s="57" t="s">
        <v>100</v>
      </c>
      <c r="P333" s="56" t="s">
        <v>1778</v>
      </c>
      <c r="Q333" s="87" t="n">
        <v>1000</v>
      </c>
      <c r="R333" s="58" t="s">
        <v>405</v>
      </c>
      <c r="S333" s="69" t="n">
        <v>4230</v>
      </c>
      <c r="T333" s="59" t="s">
        <v>79</v>
      </c>
      <c r="U333" s="71" t="n">
        <v>769986.33</v>
      </c>
      <c r="V333" s="60" t="n">
        <v>26.77</v>
      </c>
      <c r="W333" s="71" t="n">
        <v>194098.113053941</v>
      </c>
      <c r="X333" s="112" t="n">
        <f aca="false">U333/V333</f>
        <v>28763.0306313037</v>
      </c>
      <c r="Y333" s="112" t="n">
        <f aca="false">12466.86/V333</f>
        <v>465.702652222637</v>
      </c>
      <c r="Z333" s="146" t="s">
        <v>2508</v>
      </c>
      <c r="AA333" s="62" t="s">
        <v>80</v>
      </c>
      <c r="AB333" s="38" t="n">
        <v>44014</v>
      </c>
      <c r="AC333" s="38" t="n">
        <v>44096</v>
      </c>
      <c r="AD333" s="38" t="n">
        <v>44089</v>
      </c>
      <c r="AE333" s="50" t="n">
        <v>45914</v>
      </c>
      <c r="AF333" s="28" t="n">
        <v>2025</v>
      </c>
      <c r="AG333" s="63" t="n">
        <f aca="false">X333/SUMIF($Z$2:$Z$380,Z333,$X$2:$X$380)*(VLOOKUP(Z333,'затраты по департаментам-2 '!$A$2:$C$182,2,FALSE())+VLOOKUP(Z333,'затраты по департаментам-2 '!$A$2:$C$182,3,FALSE()))</f>
        <v>17030.0940080687</v>
      </c>
      <c r="AH333" s="153" t="n">
        <f aca="false">W333/60</f>
        <v>3234.96855089902</v>
      </c>
      <c r="AI333" s="64" t="s">
        <v>81</v>
      </c>
      <c r="AJ333" s="153" t="s">
        <v>100</v>
      </c>
      <c r="AK333" s="43" t="n">
        <v>3790486</v>
      </c>
      <c r="AL333" s="43"/>
      <c r="AM333" s="43" t="s">
        <v>2509</v>
      </c>
      <c r="AN333" s="74" t="s">
        <v>2510</v>
      </c>
      <c r="AO333" s="65" t="n">
        <v>44825</v>
      </c>
      <c r="AP333" s="43" t="s">
        <v>2511</v>
      </c>
      <c r="AQ333" s="66" t="s">
        <v>2512</v>
      </c>
      <c r="AR333" s="64"/>
    </row>
    <row r="334" customFormat="false" ht="12.75" hidden="false" customHeight="false" outlineLevel="0" collapsed="false">
      <c r="A334" s="26" t="n">
        <v>333</v>
      </c>
      <c r="B334" s="43" t="s">
        <v>2513</v>
      </c>
      <c r="C334" s="43" t="s">
        <v>1291</v>
      </c>
      <c r="D334" s="28" t="s">
        <v>73</v>
      </c>
      <c r="E334" s="43" t="n">
        <v>5.3</v>
      </c>
      <c r="F334" s="43" t="n">
        <v>1.5</v>
      </c>
      <c r="G334" s="43" t="n">
        <v>112</v>
      </c>
      <c r="H334" s="43" t="n">
        <v>2020</v>
      </c>
      <c r="I334" s="43" t="s">
        <v>1292</v>
      </c>
      <c r="J334" s="43" t="s">
        <v>74</v>
      </c>
      <c r="K334" s="30" t="s">
        <v>2514</v>
      </c>
      <c r="L334" s="116"/>
      <c r="M334" s="31" t="s">
        <v>2515</v>
      </c>
      <c r="N334" s="48" t="s">
        <v>1747</v>
      </c>
      <c r="O334" s="28" t="s">
        <v>899</v>
      </c>
      <c r="P334" s="48" t="s">
        <v>327</v>
      </c>
      <c r="Q334" s="87" t="n">
        <v>1000</v>
      </c>
      <c r="R334" s="58" t="s">
        <v>171</v>
      </c>
      <c r="S334" s="69" t="n">
        <v>4131</v>
      </c>
      <c r="T334" s="35" t="s">
        <v>123</v>
      </c>
      <c r="U334" s="155" t="n">
        <v>500519.97</v>
      </c>
      <c r="V334" s="60" t="n">
        <v>26.7633</v>
      </c>
      <c r="W334" s="146" t="n">
        <f aca="false">277147.685545953/2</f>
        <v>138573.842772976</v>
      </c>
      <c r="X334" s="161" t="n">
        <f aca="false">U334/V334</f>
        <v>18701.7284863974</v>
      </c>
      <c r="Y334" s="156" t="n">
        <f aca="false">16526.76/V334/2</f>
        <v>308.757888601181</v>
      </c>
      <c r="Z334" s="28" t="n">
        <v>5.21</v>
      </c>
      <c r="AA334" s="62" t="s">
        <v>80</v>
      </c>
      <c r="AB334" s="38" t="n">
        <v>44001</v>
      </c>
      <c r="AC334" s="38" t="n">
        <v>44117</v>
      </c>
      <c r="AD334" s="38" t="n">
        <v>44116</v>
      </c>
      <c r="AE334" s="50" t="n">
        <v>45941</v>
      </c>
      <c r="AF334" s="28" t="n">
        <v>2025</v>
      </c>
      <c r="AG334" s="63" t="n">
        <f aca="false">X334/SUMIF($Z$2:$Z$380,Z334,$X$2:$X$380)*(VLOOKUP(Z334,'затраты по департаментам-2 '!$A$2:$C$182,2,FALSE())+VLOOKUP(Z334,'затраты по департаментам-2 '!$A$2:$C$182,3,FALSE()))</f>
        <v>11290.84</v>
      </c>
      <c r="AH334" s="153" t="n">
        <f aca="false">W334/60</f>
        <v>2309.56404621628</v>
      </c>
      <c r="AI334" s="64" t="s">
        <v>81</v>
      </c>
      <c r="AJ334" s="63" t="s">
        <v>52</v>
      </c>
      <c r="AK334" s="202" t="s">
        <v>2516</v>
      </c>
      <c r="AL334" s="43"/>
      <c r="AM334" s="43" t="s">
        <v>2517</v>
      </c>
      <c r="AN334" s="43" t="s">
        <v>2518</v>
      </c>
      <c r="AO334" s="65" t="n">
        <v>44468</v>
      </c>
      <c r="AP334" s="43" t="s">
        <v>2519</v>
      </c>
      <c r="AQ334" s="66" t="s">
        <v>2520</v>
      </c>
      <c r="AR334" s="64"/>
    </row>
    <row r="335" customFormat="false" ht="14.25" hidden="false" customHeight="false" outlineLevel="0" collapsed="false">
      <c r="A335" s="26" t="n">
        <v>334</v>
      </c>
      <c r="B335" s="43" t="s">
        <v>2521</v>
      </c>
      <c r="C335" s="43" t="s">
        <v>1291</v>
      </c>
      <c r="D335" s="28" t="s">
        <v>73</v>
      </c>
      <c r="E335" s="43" t="n">
        <v>5.3</v>
      </c>
      <c r="F335" s="43" t="n">
        <v>1.5</v>
      </c>
      <c r="G335" s="43" t="n">
        <v>112</v>
      </c>
      <c r="H335" s="43" t="n">
        <v>2020</v>
      </c>
      <c r="I335" s="43" t="s">
        <v>1292</v>
      </c>
      <c r="J335" s="43" t="s">
        <v>74</v>
      </c>
      <c r="K335" s="30" t="s">
        <v>2522</v>
      </c>
      <c r="L335" s="69"/>
      <c r="M335" s="31" t="s">
        <v>2523</v>
      </c>
      <c r="N335" s="32" t="s">
        <v>1717</v>
      </c>
      <c r="O335" s="57" t="s">
        <v>100</v>
      </c>
      <c r="P335" s="56" t="s">
        <v>181</v>
      </c>
      <c r="Q335" s="87" t="n">
        <v>7023</v>
      </c>
      <c r="R335" s="58" t="s">
        <v>171</v>
      </c>
      <c r="S335" s="69" t="n">
        <v>4133</v>
      </c>
      <c r="T335" s="59" t="s">
        <v>123</v>
      </c>
      <c r="U335" s="155" t="n">
        <v>500519.97</v>
      </c>
      <c r="V335" s="60" t="n">
        <v>26.7633</v>
      </c>
      <c r="W335" s="146" t="n">
        <f aca="false">277147.685545953/2</f>
        <v>138573.842772976</v>
      </c>
      <c r="X335" s="161" t="n">
        <f aca="false">U335/V335</f>
        <v>18701.7284863974</v>
      </c>
      <c r="Y335" s="156" t="n">
        <f aca="false">16526.76/V335/2</f>
        <v>308.757888601181</v>
      </c>
      <c r="Z335" s="28" t="n">
        <v>5.21</v>
      </c>
      <c r="AA335" s="62" t="s">
        <v>80</v>
      </c>
      <c r="AB335" s="38" t="n">
        <v>44001</v>
      </c>
      <c r="AC335" s="38" t="n">
        <v>44117</v>
      </c>
      <c r="AD335" s="38" t="n">
        <v>44116</v>
      </c>
      <c r="AE335" s="50" t="n">
        <v>45941</v>
      </c>
      <c r="AF335" s="28" t="n">
        <v>2025</v>
      </c>
      <c r="AG335" s="63" t="n">
        <f aca="false">X335/SUMIF($Z$2:$Z$380,Z335,$X$2:$X$380)*(VLOOKUP(Z335,'затраты по департаментам-2 '!$A$2:$C$182,2,FALSE())+VLOOKUP(Z335,'затраты по департаментам-2 '!$A$2:$C$182,3,FALSE()))</f>
        <v>11290.84</v>
      </c>
      <c r="AH335" s="153" t="n">
        <f aca="false">W335/60</f>
        <v>2309.56404621628</v>
      </c>
      <c r="AI335" s="64" t="s">
        <v>81</v>
      </c>
      <c r="AJ335" s="63" t="s">
        <v>100</v>
      </c>
      <c r="AK335" s="202" t="s">
        <v>2524</v>
      </c>
      <c r="AL335" s="43"/>
      <c r="AM335" s="43" t="s">
        <v>2525</v>
      </c>
      <c r="AN335" s="74" t="s">
        <v>2526</v>
      </c>
      <c r="AO335" s="65" t="n">
        <v>44863</v>
      </c>
      <c r="AP335" s="43" t="s">
        <v>2527</v>
      </c>
      <c r="AQ335" s="66" t="s">
        <v>2528</v>
      </c>
      <c r="AR335" s="64"/>
    </row>
    <row r="336" customFormat="false" ht="14.25" hidden="false" customHeight="false" outlineLevel="0" collapsed="false">
      <c r="A336" s="26" t="n">
        <v>335</v>
      </c>
      <c r="B336" s="43" t="s">
        <v>2529</v>
      </c>
      <c r="C336" s="43" t="s">
        <v>1336</v>
      </c>
      <c r="D336" s="28" t="s">
        <v>73</v>
      </c>
      <c r="E336" s="43" t="n">
        <v>4.9</v>
      </c>
      <c r="F336" s="43" t="n">
        <v>1.5</v>
      </c>
      <c r="G336" s="43" t="n">
        <v>103</v>
      </c>
      <c r="H336" s="43" t="n">
        <v>2020</v>
      </c>
      <c r="I336" s="43" t="s">
        <v>1292</v>
      </c>
      <c r="J336" s="43" t="s">
        <v>74</v>
      </c>
      <c r="K336" s="30" t="s">
        <v>2530</v>
      </c>
      <c r="L336" s="35"/>
      <c r="M336" s="31" t="s">
        <v>2531</v>
      </c>
      <c r="N336" s="92" t="s">
        <v>179</v>
      </c>
      <c r="O336" s="28" t="s">
        <v>961</v>
      </c>
      <c r="P336" s="56" t="s">
        <v>327</v>
      </c>
      <c r="Q336" s="57" t="n">
        <v>7010</v>
      </c>
      <c r="R336" s="58" t="s">
        <v>171</v>
      </c>
      <c r="S336" s="57" t="n">
        <v>4131</v>
      </c>
      <c r="T336" s="35" t="s">
        <v>172</v>
      </c>
      <c r="U336" s="71" t="n">
        <v>388754.81</v>
      </c>
      <c r="V336" s="60" t="n">
        <v>27.8025</v>
      </c>
      <c r="W336" s="71" t="n">
        <f aca="false">3030282.38696419/27</f>
        <v>112232.680998674</v>
      </c>
      <c r="X336" s="112" t="n">
        <f aca="false">U336/V336</f>
        <v>13982.7285316069</v>
      </c>
      <c r="Y336" s="112" t="n">
        <f aca="false">169041.24/27/V336</f>
        <v>225.187902766538</v>
      </c>
      <c r="Z336" s="28" t="n">
        <v>5.24</v>
      </c>
      <c r="AA336" s="62" t="s">
        <v>80</v>
      </c>
      <c r="AB336" s="38" t="n">
        <v>43910</v>
      </c>
      <c r="AC336" s="38" t="n">
        <v>44134</v>
      </c>
      <c r="AD336" s="38" t="n">
        <v>44132</v>
      </c>
      <c r="AE336" s="50" t="n">
        <v>45957</v>
      </c>
      <c r="AF336" s="28" t="n">
        <v>2025</v>
      </c>
      <c r="AG336" s="63" t="n">
        <f aca="false">X336/SUMIF($Z$2:$Z$380,Z336,$X$2:$X$380)*(VLOOKUP(Z336,'затраты по департаментам-2 '!$A$2:$C$182,2,FALSE())+VLOOKUP(Z336,'затраты по департаментам-2 '!$A$2:$C$182,3,FALSE()))</f>
        <v>8234.80634110842</v>
      </c>
      <c r="AH336" s="153" t="n">
        <f aca="false">W336/60</f>
        <v>1870.54468331123</v>
      </c>
      <c r="AI336" s="64" t="s">
        <v>81</v>
      </c>
      <c r="AJ336" s="63" t="s">
        <v>52</v>
      </c>
      <c r="AK336" s="43" t="n">
        <v>790304</v>
      </c>
      <c r="AL336" s="43"/>
      <c r="AM336" s="43" t="s">
        <v>2532</v>
      </c>
      <c r="AN336" s="43" t="s">
        <v>2533</v>
      </c>
      <c r="AO336" s="65" t="n">
        <v>44476</v>
      </c>
      <c r="AP336" s="43" t="s">
        <v>2534</v>
      </c>
      <c r="AQ336" s="66" t="s">
        <v>2535</v>
      </c>
      <c r="AR336" s="64"/>
    </row>
    <row r="337" customFormat="false" ht="14.25" hidden="false" customHeight="false" outlineLevel="0" collapsed="false">
      <c r="A337" s="26" t="n">
        <v>336</v>
      </c>
      <c r="B337" s="43" t="s">
        <v>2536</v>
      </c>
      <c r="C337" s="43" t="s">
        <v>1336</v>
      </c>
      <c r="D337" s="28" t="s">
        <v>73</v>
      </c>
      <c r="E337" s="43" t="n">
        <v>4.9</v>
      </c>
      <c r="F337" s="43" t="n">
        <v>1.5</v>
      </c>
      <c r="G337" s="43" t="n">
        <v>103</v>
      </c>
      <c r="H337" s="43" t="n">
        <v>2020</v>
      </c>
      <c r="I337" s="43" t="s">
        <v>1292</v>
      </c>
      <c r="J337" s="43" t="s">
        <v>74</v>
      </c>
      <c r="K337" s="30" t="s">
        <v>2537</v>
      </c>
      <c r="L337" s="35"/>
      <c r="M337" s="31" t="s">
        <v>2538</v>
      </c>
      <c r="N337" s="32" t="s">
        <v>236</v>
      </c>
      <c r="O337" s="28" t="s">
        <v>373</v>
      </c>
      <c r="P337" s="48" t="s">
        <v>198</v>
      </c>
      <c r="Q337" s="87" t="n">
        <v>7032</v>
      </c>
      <c r="R337" s="58" t="s">
        <v>171</v>
      </c>
      <c r="S337" s="69" t="n">
        <v>4134</v>
      </c>
      <c r="T337" s="35" t="s">
        <v>172</v>
      </c>
      <c r="U337" s="71" t="n">
        <v>388754.81</v>
      </c>
      <c r="V337" s="60" t="n">
        <v>27.8025</v>
      </c>
      <c r="W337" s="71" t="n">
        <f aca="false">3030282.38696419/27</f>
        <v>112232.680998674</v>
      </c>
      <c r="X337" s="112" t="n">
        <f aca="false">U337/V337</f>
        <v>13982.7285316069</v>
      </c>
      <c r="Y337" s="112" t="n">
        <f aca="false">169041.24/27/V337</f>
        <v>225.187902766538</v>
      </c>
      <c r="Z337" s="28" t="n">
        <v>5.24</v>
      </c>
      <c r="AA337" s="62" t="s">
        <v>80</v>
      </c>
      <c r="AB337" s="38" t="n">
        <v>43910</v>
      </c>
      <c r="AC337" s="38" t="n">
        <v>44134</v>
      </c>
      <c r="AD337" s="38" t="n">
        <v>44131</v>
      </c>
      <c r="AE337" s="38" t="n">
        <v>45956</v>
      </c>
      <c r="AF337" s="28" t="n">
        <v>2025</v>
      </c>
      <c r="AG337" s="63" t="n">
        <f aca="false">X337/SUMIF($Z$2:$Z$380,Z337,$X$2:$X$380)*(VLOOKUP(Z337,'затраты по департаментам-2 '!$A$2:$C$182,2,FALSE())+VLOOKUP(Z337,'затраты по департаментам-2 '!$A$2:$C$182,3,FALSE()))</f>
        <v>8234.80634110842</v>
      </c>
      <c r="AH337" s="153" t="n">
        <f aca="false">W337/60</f>
        <v>1870.54468331123</v>
      </c>
      <c r="AI337" s="64" t="s">
        <v>81</v>
      </c>
      <c r="AJ337" s="63" t="s">
        <v>197</v>
      </c>
      <c r="AK337" s="43" t="n">
        <v>791229</v>
      </c>
      <c r="AL337" s="43"/>
      <c r="AM337" s="43" t="s">
        <v>2539</v>
      </c>
      <c r="AN337" s="74" t="s">
        <v>2540</v>
      </c>
      <c r="AO337" s="65" t="n">
        <v>44889</v>
      </c>
      <c r="AP337" s="43" t="s">
        <v>2541</v>
      </c>
      <c r="AQ337" s="66" t="s">
        <v>2542</v>
      </c>
      <c r="AR337" s="64"/>
    </row>
    <row r="338" customFormat="false" ht="14.25" hidden="false" customHeight="false" outlineLevel="0" collapsed="false">
      <c r="A338" s="26" t="n">
        <v>337</v>
      </c>
      <c r="B338" s="43" t="s">
        <v>2543</v>
      </c>
      <c r="C338" s="43" t="s">
        <v>1336</v>
      </c>
      <c r="D338" s="28" t="s">
        <v>73</v>
      </c>
      <c r="E338" s="43" t="n">
        <v>4.9</v>
      </c>
      <c r="F338" s="43" t="n">
        <v>1.5</v>
      </c>
      <c r="G338" s="43" t="n">
        <v>103</v>
      </c>
      <c r="H338" s="43" t="n">
        <v>2020</v>
      </c>
      <c r="I338" s="43" t="s">
        <v>1292</v>
      </c>
      <c r="J338" s="43" t="s">
        <v>74</v>
      </c>
      <c r="K338" s="30" t="s">
        <v>2544</v>
      </c>
      <c r="L338" s="69"/>
      <c r="M338" s="31" t="s">
        <v>2545</v>
      </c>
      <c r="N338" s="92" t="s">
        <v>179</v>
      </c>
      <c r="O338" s="57" t="s">
        <v>1366</v>
      </c>
      <c r="P338" s="56" t="s">
        <v>327</v>
      </c>
      <c r="Q338" s="87" t="n">
        <v>7011</v>
      </c>
      <c r="R338" s="58" t="s">
        <v>171</v>
      </c>
      <c r="S338" s="69" t="n">
        <v>4131</v>
      </c>
      <c r="T338" s="35" t="s">
        <v>172</v>
      </c>
      <c r="U338" s="71" t="n">
        <v>388754.81</v>
      </c>
      <c r="V338" s="60" t="n">
        <v>27.8025</v>
      </c>
      <c r="W338" s="71" t="n">
        <f aca="false">3030282.38696419/27</f>
        <v>112232.680998674</v>
      </c>
      <c r="X338" s="112" t="n">
        <f aca="false">U338/V338</f>
        <v>13982.7285316069</v>
      </c>
      <c r="Y338" s="112" t="n">
        <f aca="false">169041.24/27/V338</f>
        <v>225.187902766538</v>
      </c>
      <c r="Z338" s="28" t="n">
        <v>5.24</v>
      </c>
      <c r="AA338" s="62" t="s">
        <v>80</v>
      </c>
      <c r="AB338" s="38" t="n">
        <v>43910</v>
      </c>
      <c r="AC338" s="38" t="n">
        <v>44134</v>
      </c>
      <c r="AD338" s="38" t="n">
        <v>44132</v>
      </c>
      <c r="AE338" s="50" t="n">
        <v>45957</v>
      </c>
      <c r="AF338" s="28" t="n">
        <v>2025</v>
      </c>
      <c r="AG338" s="63" t="n">
        <f aca="false">X338/SUMIF($Z$2:$Z$380,Z338,$X$2:$X$380)*(VLOOKUP(Z338,'затраты по департаментам-2 '!$A$2:$C$182,2,FALSE())+VLOOKUP(Z338,'затраты по департаментам-2 '!$A$2:$C$182,3,FALSE()))</f>
        <v>8234.80634110842</v>
      </c>
      <c r="AH338" s="153" t="n">
        <f aca="false">W338/60</f>
        <v>1870.54468331123</v>
      </c>
      <c r="AI338" s="64" t="s">
        <v>81</v>
      </c>
      <c r="AJ338" s="63" t="s">
        <v>52</v>
      </c>
      <c r="AK338" s="43" t="n">
        <v>791476</v>
      </c>
      <c r="AL338" s="43"/>
      <c r="AM338" s="43" t="s">
        <v>2546</v>
      </c>
      <c r="AN338" s="43" t="s">
        <v>2547</v>
      </c>
      <c r="AO338" s="65" t="n">
        <v>44476</v>
      </c>
      <c r="AP338" s="43" t="s">
        <v>2548</v>
      </c>
      <c r="AQ338" s="66" t="s">
        <v>2549</v>
      </c>
      <c r="AR338" s="64"/>
    </row>
    <row r="339" customFormat="false" ht="14.25" hidden="false" customHeight="false" outlineLevel="0" collapsed="false">
      <c r="A339" s="26" t="n">
        <v>338</v>
      </c>
      <c r="B339" s="43" t="s">
        <v>2550</v>
      </c>
      <c r="C339" s="43" t="s">
        <v>1336</v>
      </c>
      <c r="D339" s="28" t="s">
        <v>73</v>
      </c>
      <c r="E339" s="43" t="n">
        <v>4.9</v>
      </c>
      <c r="F339" s="43" t="n">
        <v>1.5</v>
      </c>
      <c r="G339" s="43" t="n">
        <v>103</v>
      </c>
      <c r="H339" s="43" t="n">
        <v>2020</v>
      </c>
      <c r="I339" s="43" t="s">
        <v>1292</v>
      </c>
      <c r="J339" s="43" t="s">
        <v>74</v>
      </c>
      <c r="K339" s="30" t="s">
        <v>2551</v>
      </c>
      <c r="L339" s="35"/>
      <c r="M339" s="31" t="s">
        <v>2552</v>
      </c>
      <c r="N339" s="92" t="s">
        <v>179</v>
      </c>
      <c r="O339" s="28" t="s">
        <v>60</v>
      </c>
      <c r="P339" s="56" t="s">
        <v>91</v>
      </c>
      <c r="Q339" s="87" t="n">
        <v>7070</v>
      </c>
      <c r="R339" s="115" t="s">
        <v>171</v>
      </c>
      <c r="S339" s="69" t="n">
        <v>4138</v>
      </c>
      <c r="T339" s="35" t="s">
        <v>172</v>
      </c>
      <c r="U339" s="71" t="n">
        <v>388754.81</v>
      </c>
      <c r="V339" s="60" t="n">
        <v>27.8025</v>
      </c>
      <c r="W339" s="71" t="n">
        <f aca="false">3030282.38696419/27</f>
        <v>112232.680998674</v>
      </c>
      <c r="X339" s="112" t="n">
        <f aca="false">U339/V339</f>
        <v>13982.7285316069</v>
      </c>
      <c r="Y339" s="112" t="n">
        <f aca="false">169041.24/27/V339</f>
        <v>225.187902766538</v>
      </c>
      <c r="Z339" s="28" t="n">
        <v>5.24</v>
      </c>
      <c r="AA339" s="62" t="s">
        <v>80</v>
      </c>
      <c r="AB339" s="38" t="n">
        <v>43910</v>
      </c>
      <c r="AC339" s="38" t="n">
        <v>44134</v>
      </c>
      <c r="AD339" s="38" t="n">
        <v>44131</v>
      </c>
      <c r="AE339" s="38" t="n">
        <v>45956</v>
      </c>
      <c r="AF339" s="28" t="n">
        <v>2025</v>
      </c>
      <c r="AG339" s="63" t="n">
        <f aca="false">X339/SUMIF($Z$2:$Z$380,Z339,$X$2:$X$380)*(VLOOKUP(Z339,'затраты по департаментам-2 '!$A$2:$C$182,2,FALSE())+VLOOKUP(Z339,'затраты по департаментам-2 '!$A$2:$C$182,3,FALSE()))</f>
        <v>8234.80634110842</v>
      </c>
      <c r="AH339" s="153" t="n">
        <f aca="false">W339/60</f>
        <v>1870.54468331123</v>
      </c>
      <c r="AI339" s="64" t="s">
        <v>81</v>
      </c>
      <c r="AJ339" s="63" t="s">
        <v>82</v>
      </c>
      <c r="AK339" s="43" t="n">
        <v>794702</v>
      </c>
      <c r="AL339" s="43"/>
      <c r="AM339" s="43" t="s">
        <v>2553</v>
      </c>
      <c r="AN339" s="43" t="s">
        <v>2554</v>
      </c>
      <c r="AO339" s="65" t="n">
        <v>44476</v>
      </c>
      <c r="AP339" s="43" t="s">
        <v>2555</v>
      </c>
      <c r="AQ339" s="66" t="s">
        <v>2556</v>
      </c>
      <c r="AR339" s="64"/>
    </row>
    <row r="340" customFormat="false" ht="14.25" hidden="false" customHeight="false" outlineLevel="0" collapsed="false">
      <c r="A340" s="26" t="n">
        <v>339</v>
      </c>
      <c r="B340" s="43" t="s">
        <v>2557</v>
      </c>
      <c r="C340" s="43" t="s">
        <v>1336</v>
      </c>
      <c r="D340" s="28" t="s">
        <v>73</v>
      </c>
      <c r="E340" s="43" t="n">
        <v>4.9</v>
      </c>
      <c r="F340" s="43" t="n">
        <v>1.5</v>
      </c>
      <c r="G340" s="43" t="n">
        <v>103</v>
      </c>
      <c r="H340" s="43" t="n">
        <v>2020</v>
      </c>
      <c r="I340" s="43" t="s">
        <v>1292</v>
      </c>
      <c r="J340" s="43" t="s">
        <v>74</v>
      </c>
      <c r="K340" s="30" t="s">
        <v>2558</v>
      </c>
      <c r="L340" s="35"/>
      <c r="M340" s="31" t="s">
        <v>2559</v>
      </c>
      <c r="N340" s="97" t="s">
        <v>227</v>
      </c>
      <c r="O340" s="28" t="s">
        <v>100</v>
      </c>
      <c r="P340" s="48" t="s">
        <v>228</v>
      </c>
      <c r="Q340" s="87" t="n">
        <v>1000</v>
      </c>
      <c r="R340" s="58" t="s">
        <v>189</v>
      </c>
      <c r="S340" s="69" t="n">
        <v>4173</v>
      </c>
      <c r="T340" s="35" t="s">
        <v>172</v>
      </c>
      <c r="U340" s="71" t="n">
        <v>388754.81</v>
      </c>
      <c r="V340" s="60" t="n">
        <v>27.8025</v>
      </c>
      <c r="W340" s="71" t="n">
        <f aca="false">3030282.38696419/27</f>
        <v>112232.680998674</v>
      </c>
      <c r="X340" s="112" t="n">
        <f aca="false">U340/V340</f>
        <v>13982.7285316069</v>
      </c>
      <c r="Y340" s="112" t="n">
        <f aca="false">169041.24/27/V340</f>
        <v>225.187902766538</v>
      </c>
      <c r="Z340" s="28" t="n">
        <v>5.24</v>
      </c>
      <c r="AA340" s="62" t="s">
        <v>80</v>
      </c>
      <c r="AB340" s="38" t="n">
        <v>43910</v>
      </c>
      <c r="AC340" s="38" t="n">
        <v>44134</v>
      </c>
      <c r="AD340" s="38" t="n">
        <v>44131</v>
      </c>
      <c r="AE340" s="38" t="n">
        <v>45956</v>
      </c>
      <c r="AF340" s="28" t="n">
        <v>2025</v>
      </c>
      <c r="AG340" s="63" t="n">
        <f aca="false">X340/SUMIF($Z$2:$Z$380,Z340,$X$2:$X$380)*(VLOOKUP(Z340,'затраты по департаментам-2 '!$A$2:$C$182,2,FALSE())+VLOOKUP(Z340,'затраты по департаментам-2 '!$A$2:$C$182,3,FALSE()))</f>
        <v>8234.80634110842</v>
      </c>
      <c r="AH340" s="153" t="n">
        <f aca="false">W340/60</f>
        <v>1870.54468331123</v>
      </c>
      <c r="AI340" s="64" t="s">
        <v>81</v>
      </c>
      <c r="AJ340" s="63" t="s">
        <v>100</v>
      </c>
      <c r="AK340" s="43" t="n">
        <v>69375</v>
      </c>
      <c r="AL340" s="43"/>
      <c r="AM340" s="43" t="s">
        <v>2560</v>
      </c>
      <c r="AN340" s="43" t="s">
        <v>2561</v>
      </c>
      <c r="AO340" s="65" t="n">
        <v>44476</v>
      </c>
      <c r="AP340" s="43" t="s">
        <v>2562</v>
      </c>
      <c r="AQ340" s="66" t="s">
        <v>2563</v>
      </c>
      <c r="AR340" s="64"/>
    </row>
    <row r="341" customFormat="false" ht="14.25" hidden="false" customHeight="false" outlineLevel="0" collapsed="false">
      <c r="A341" s="26" t="n">
        <v>340</v>
      </c>
      <c r="B341" s="43" t="s">
        <v>2564</v>
      </c>
      <c r="C341" s="43" t="s">
        <v>1336</v>
      </c>
      <c r="D341" s="28" t="s">
        <v>73</v>
      </c>
      <c r="E341" s="43" t="n">
        <v>4.9</v>
      </c>
      <c r="F341" s="43" t="n">
        <v>1.5</v>
      </c>
      <c r="G341" s="43" t="n">
        <v>103</v>
      </c>
      <c r="H341" s="43" t="n">
        <v>2020</v>
      </c>
      <c r="I341" s="43" t="s">
        <v>1292</v>
      </c>
      <c r="J341" s="43" t="s">
        <v>74</v>
      </c>
      <c r="K341" s="30" t="s">
        <v>2565</v>
      </c>
      <c r="L341" s="35"/>
      <c r="M341" s="31" t="s">
        <v>2566</v>
      </c>
      <c r="N341" s="32" t="s">
        <v>168</v>
      </c>
      <c r="O341" s="35" t="s">
        <v>52</v>
      </c>
      <c r="P341" s="84" t="s">
        <v>832</v>
      </c>
      <c r="Q341" s="69" t="n">
        <v>9000</v>
      </c>
      <c r="R341" s="58" t="s">
        <v>171</v>
      </c>
      <c r="S341" s="57" t="n">
        <v>4130</v>
      </c>
      <c r="T341" s="35" t="s">
        <v>172</v>
      </c>
      <c r="U341" s="71" t="n">
        <v>388754.81</v>
      </c>
      <c r="V341" s="60" t="n">
        <v>27.8025</v>
      </c>
      <c r="W341" s="71" t="n">
        <f aca="false">3030282.38696419/27</f>
        <v>112232.680998674</v>
      </c>
      <c r="X341" s="112" t="n">
        <f aca="false">U341/V341</f>
        <v>13982.7285316069</v>
      </c>
      <c r="Y341" s="112" t="n">
        <f aca="false">169041.24/27/V341</f>
        <v>225.187902766538</v>
      </c>
      <c r="Z341" s="28" t="n">
        <v>5.24</v>
      </c>
      <c r="AA341" s="62" t="s">
        <v>80</v>
      </c>
      <c r="AB341" s="38" t="n">
        <v>43910</v>
      </c>
      <c r="AC341" s="38" t="n">
        <v>44134</v>
      </c>
      <c r="AD341" s="38" t="n">
        <v>44131</v>
      </c>
      <c r="AE341" s="38" t="n">
        <v>45956</v>
      </c>
      <c r="AF341" s="28" t="n">
        <v>2025</v>
      </c>
      <c r="AG341" s="63" t="n">
        <f aca="false">X341/SUMIF($Z$2:$Z$380,Z341,$X$2:$X$380)*(VLOOKUP(Z341,'затраты по департаментам-2 '!$A$2:$C$182,2,FALSE())+VLOOKUP(Z341,'затраты по департаментам-2 '!$A$2:$C$182,3,FALSE()))</f>
        <v>8234.80634110842</v>
      </c>
      <c r="AH341" s="153" t="n">
        <f aca="false">W341/60</f>
        <v>1870.54468331123</v>
      </c>
      <c r="AI341" s="64" t="s">
        <v>81</v>
      </c>
      <c r="AJ341" s="63" t="s">
        <v>52</v>
      </c>
      <c r="AK341" s="43" t="n">
        <v>790320</v>
      </c>
      <c r="AL341" s="43"/>
      <c r="AM341" s="43" t="s">
        <v>2567</v>
      </c>
      <c r="AN341" s="43" t="s">
        <v>2568</v>
      </c>
      <c r="AO341" s="65" t="n">
        <v>44476</v>
      </c>
      <c r="AP341" s="43" t="s">
        <v>2569</v>
      </c>
      <c r="AQ341" s="66" t="s">
        <v>2570</v>
      </c>
      <c r="AR341" s="64"/>
    </row>
    <row r="342" customFormat="false" ht="14.25" hidden="false" customHeight="false" outlineLevel="0" collapsed="false">
      <c r="A342" s="26" t="n">
        <v>341</v>
      </c>
      <c r="B342" s="43" t="s">
        <v>2571</v>
      </c>
      <c r="C342" s="43" t="s">
        <v>1336</v>
      </c>
      <c r="D342" s="28" t="s">
        <v>73</v>
      </c>
      <c r="E342" s="43" t="n">
        <v>4.9</v>
      </c>
      <c r="F342" s="43" t="n">
        <v>1.5</v>
      </c>
      <c r="G342" s="43" t="n">
        <v>103</v>
      </c>
      <c r="H342" s="43" t="n">
        <v>2020</v>
      </c>
      <c r="I342" s="43" t="s">
        <v>1292</v>
      </c>
      <c r="J342" s="43" t="s">
        <v>74</v>
      </c>
      <c r="K342" s="30" t="s">
        <v>2572</v>
      </c>
      <c r="L342" s="35"/>
      <c r="M342" s="31" t="s">
        <v>2573</v>
      </c>
      <c r="N342" s="32" t="s">
        <v>179</v>
      </c>
      <c r="O342" s="28" t="s">
        <v>373</v>
      </c>
      <c r="P342" s="56" t="s">
        <v>198</v>
      </c>
      <c r="Q342" s="87" t="n">
        <v>7032</v>
      </c>
      <c r="R342" s="115" t="s">
        <v>171</v>
      </c>
      <c r="S342" s="69" t="n">
        <v>4134</v>
      </c>
      <c r="T342" s="35" t="s">
        <v>172</v>
      </c>
      <c r="U342" s="71" t="n">
        <v>388754.81</v>
      </c>
      <c r="V342" s="60" t="n">
        <v>27.8025</v>
      </c>
      <c r="W342" s="71" t="n">
        <f aca="false">3030282.38696419/27</f>
        <v>112232.680998674</v>
      </c>
      <c r="X342" s="112" t="n">
        <f aca="false">U342/V342</f>
        <v>13982.7285316069</v>
      </c>
      <c r="Y342" s="112" t="n">
        <f aca="false">169041.24/27/V342</f>
        <v>225.187902766538</v>
      </c>
      <c r="Z342" s="28" t="n">
        <v>5.24</v>
      </c>
      <c r="AA342" s="62" t="s">
        <v>80</v>
      </c>
      <c r="AB342" s="38" t="n">
        <v>43910</v>
      </c>
      <c r="AC342" s="38" t="n">
        <v>44134</v>
      </c>
      <c r="AD342" s="38" t="n">
        <v>44132</v>
      </c>
      <c r="AE342" s="50" t="n">
        <v>45957</v>
      </c>
      <c r="AF342" s="28" t="n">
        <v>2025</v>
      </c>
      <c r="AG342" s="63" t="n">
        <f aca="false">X342/SUMIF($Z$2:$Z$380,Z342,$X$2:$X$380)*(VLOOKUP(Z342,'затраты по департаментам-2 '!$A$2:$C$182,2,FALSE())+VLOOKUP(Z342,'затраты по департаментам-2 '!$A$2:$C$182,3,FALSE()))</f>
        <v>8234.80634110842</v>
      </c>
      <c r="AH342" s="153" t="n">
        <f aca="false">W342/60</f>
        <v>1870.54468331123</v>
      </c>
      <c r="AI342" s="64" t="s">
        <v>81</v>
      </c>
      <c r="AJ342" s="63" t="s">
        <v>197</v>
      </c>
      <c r="AK342" s="43" t="n">
        <v>781287</v>
      </c>
      <c r="AL342" s="43"/>
      <c r="AM342" s="43" t="s">
        <v>2574</v>
      </c>
      <c r="AN342" s="74" t="s">
        <v>2575</v>
      </c>
      <c r="AO342" s="65" t="n">
        <v>44889</v>
      </c>
      <c r="AP342" s="43" t="s">
        <v>2576</v>
      </c>
      <c r="AQ342" s="66" t="s">
        <v>2577</v>
      </c>
      <c r="AR342" s="64"/>
    </row>
    <row r="343" customFormat="false" ht="14.25" hidden="false" customHeight="false" outlineLevel="0" collapsed="false">
      <c r="A343" s="26" t="n">
        <v>342</v>
      </c>
      <c r="B343" s="43" t="s">
        <v>2578</v>
      </c>
      <c r="C343" s="43" t="s">
        <v>1336</v>
      </c>
      <c r="D343" s="28" t="s">
        <v>73</v>
      </c>
      <c r="E343" s="43" t="n">
        <v>4.9</v>
      </c>
      <c r="F343" s="43" t="n">
        <v>1.5</v>
      </c>
      <c r="G343" s="43" t="n">
        <v>103</v>
      </c>
      <c r="H343" s="43" t="n">
        <v>2020</v>
      </c>
      <c r="I343" s="43" t="s">
        <v>1292</v>
      </c>
      <c r="J343" s="43" t="s">
        <v>74</v>
      </c>
      <c r="K343" s="30" t="s">
        <v>2579</v>
      </c>
      <c r="L343" s="69"/>
      <c r="M343" s="31" t="s">
        <v>2580</v>
      </c>
      <c r="N343" s="92" t="s">
        <v>227</v>
      </c>
      <c r="O343" s="57" t="s">
        <v>732</v>
      </c>
      <c r="P343" s="56" t="s">
        <v>298</v>
      </c>
      <c r="Q343" s="57" t="n">
        <v>1000</v>
      </c>
      <c r="R343" s="58" t="s">
        <v>189</v>
      </c>
      <c r="S343" s="69" t="n">
        <v>4178</v>
      </c>
      <c r="T343" s="35" t="s">
        <v>172</v>
      </c>
      <c r="U343" s="71" t="n">
        <v>388754.81</v>
      </c>
      <c r="V343" s="60" t="n">
        <v>27.8025</v>
      </c>
      <c r="W343" s="71" t="n">
        <f aca="false">3030282.38696419/27</f>
        <v>112232.680998674</v>
      </c>
      <c r="X343" s="112" t="n">
        <f aca="false">U343/V343</f>
        <v>13982.7285316069</v>
      </c>
      <c r="Y343" s="112" t="n">
        <f aca="false">169041.24/27/V343</f>
        <v>225.187902766538</v>
      </c>
      <c r="Z343" s="28" t="n">
        <v>5.24</v>
      </c>
      <c r="AA343" s="62" t="s">
        <v>80</v>
      </c>
      <c r="AB343" s="38" t="n">
        <v>43910</v>
      </c>
      <c r="AC343" s="38" t="n">
        <v>44134</v>
      </c>
      <c r="AD343" s="38" t="n">
        <v>44132</v>
      </c>
      <c r="AE343" s="50" t="n">
        <v>45957</v>
      </c>
      <c r="AF343" s="28" t="n">
        <v>2025</v>
      </c>
      <c r="AG343" s="63" t="n">
        <f aca="false">X343/SUMIF($Z$2:$Z$380,Z343,$X$2:$X$380)*(VLOOKUP(Z343,'затраты по департаментам-2 '!$A$2:$C$182,2,FALSE())+VLOOKUP(Z343,'затраты по департаментам-2 '!$A$2:$C$182,3,FALSE()))</f>
        <v>8234.80634110842</v>
      </c>
      <c r="AH343" s="153" t="n">
        <f aca="false">W343/60</f>
        <v>1870.54468331123</v>
      </c>
      <c r="AI343" s="64" t="s">
        <v>81</v>
      </c>
      <c r="AJ343" s="63" t="s">
        <v>82</v>
      </c>
      <c r="AK343" s="43" t="n">
        <v>791211</v>
      </c>
      <c r="AL343" s="43"/>
      <c r="AM343" s="43" t="s">
        <v>2581</v>
      </c>
      <c r="AN343" s="43" t="s">
        <v>2582</v>
      </c>
      <c r="AO343" s="65" t="n">
        <v>44476</v>
      </c>
      <c r="AP343" s="43" t="s">
        <v>2583</v>
      </c>
      <c r="AQ343" s="66" t="s">
        <v>2584</v>
      </c>
      <c r="AR343" s="76" t="n">
        <v>44460</v>
      </c>
    </row>
    <row r="344" customFormat="false" ht="14.25" hidden="false" customHeight="false" outlineLevel="0" collapsed="false">
      <c r="A344" s="26" t="n">
        <v>343</v>
      </c>
      <c r="B344" s="43" t="s">
        <v>2585</v>
      </c>
      <c r="C344" s="43" t="s">
        <v>1336</v>
      </c>
      <c r="D344" s="28" t="s">
        <v>73</v>
      </c>
      <c r="E344" s="43" t="n">
        <v>4.9</v>
      </c>
      <c r="F344" s="43" t="n">
        <v>1.5</v>
      </c>
      <c r="G344" s="43" t="n">
        <v>103</v>
      </c>
      <c r="H344" s="43" t="n">
        <v>2020</v>
      </c>
      <c r="I344" s="43" t="s">
        <v>1292</v>
      </c>
      <c r="J344" s="43" t="s">
        <v>74</v>
      </c>
      <c r="K344" s="30" t="s">
        <v>2586</v>
      </c>
      <c r="L344" s="69"/>
      <c r="M344" s="31" t="s">
        <v>2587</v>
      </c>
      <c r="N344" s="56" t="s">
        <v>227</v>
      </c>
      <c r="O344" s="93" t="s">
        <v>681</v>
      </c>
      <c r="P344" s="56" t="s">
        <v>298</v>
      </c>
      <c r="Q344" s="87" t="n">
        <v>1000</v>
      </c>
      <c r="R344" s="58" t="s">
        <v>189</v>
      </c>
      <c r="S344" s="69" t="n">
        <v>4173</v>
      </c>
      <c r="T344" s="35" t="s">
        <v>172</v>
      </c>
      <c r="U344" s="71" t="n">
        <v>388754.81</v>
      </c>
      <c r="V344" s="60" t="n">
        <v>27.8025</v>
      </c>
      <c r="W344" s="71" t="n">
        <f aca="false">3030282.38696419/27</f>
        <v>112232.680998674</v>
      </c>
      <c r="X344" s="112" t="n">
        <f aca="false">U344/V344</f>
        <v>13982.7285316069</v>
      </c>
      <c r="Y344" s="112" t="n">
        <f aca="false">169041.24/27/V344</f>
        <v>225.187902766538</v>
      </c>
      <c r="Z344" s="28" t="n">
        <v>5.24</v>
      </c>
      <c r="AA344" s="62" t="s">
        <v>80</v>
      </c>
      <c r="AB344" s="38" t="n">
        <v>43910</v>
      </c>
      <c r="AC344" s="38" t="n">
        <v>44134</v>
      </c>
      <c r="AD344" s="38" t="n">
        <v>44131</v>
      </c>
      <c r="AE344" s="38" t="n">
        <v>45956</v>
      </c>
      <c r="AF344" s="28" t="n">
        <v>2025</v>
      </c>
      <c r="AG344" s="63" t="n">
        <f aca="false">X344/SUMIF($Z$2:$Z$380,Z344,$X$2:$X$380)*(VLOOKUP(Z344,'затраты по департаментам-2 '!$A$2:$C$182,2,FALSE())+VLOOKUP(Z344,'затраты по департаментам-2 '!$A$2:$C$182,3,FALSE()))</f>
        <v>8234.80634110842</v>
      </c>
      <c r="AH344" s="153" t="n">
        <f aca="false">W344/60</f>
        <v>1870.54468331123</v>
      </c>
      <c r="AI344" s="64" t="s">
        <v>81</v>
      </c>
      <c r="AJ344" s="63" t="s">
        <v>100</v>
      </c>
      <c r="AK344" s="43" t="n">
        <v>791153</v>
      </c>
      <c r="AL344" s="43"/>
      <c r="AM344" s="43" t="s">
        <v>2588</v>
      </c>
      <c r="AN344" s="74" t="s">
        <v>2589</v>
      </c>
      <c r="AO344" s="65" t="n">
        <v>44855</v>
      </c>
      <c r="AP344" s="43" t="s">
        <v>2590</v>
      </c>
      <c r="AQ344" s="66" t="s">
        <v>2591</v>
      </c>
      <c r="AR344" s="64"/>
    </row>
    <row r="345" customFormat="false" ht="14.25" hidden="false" customHeight="false" outlineLevel="0" collapsed="false">
      <c r="A345" s="26" t="n">
        <v>344</v>
      </c>
      <c r="B345" s="43" t="s">
        <v>2592</v>
      </c>
      <c r="C345" s="43" t="s">
        <v>1336</v>
      </c>
      <c r="D345" s="28" t="s">
        <v>73</v>
      </c>
      <c r="E345" s="43" t="n">
        <v>4.9</v>
      </c>
      <c r="F345" s="43" t="n">
        <v>1.5</v>
      </c>
      <c r="G345" s="43" t="n">
        <v>103</v>
      </c>
      <c r="H345" s="43" t="n">
        <v>2020</v>
      </c>
      <c r="I345" s="43" t="s">
        <v>1292</v>
      </c>
      <c r="J345" s="43" t="s">
        <v>74</v>
      </c>
      <c r="K345" s="30" t="s">
        <v>2593</v>
      </c>
      <c r="L345" s="69"/>
      <c r="M345" s="31" t="s">
        <v>2594</v>
      </c>
      <c r="N345" s="32" t="s">
        <v>179</v>
      </c>
      <c r="O345" s="57" t="s">
        <v>60</v>
      </c>
      <c r="P345" s="56" t="s">
        <v>91</v>
      </c>
      <c r="Q345" s="87" t="n">
        <v>7081</v>
      </c>
      <c r="R345" s="58" t="s">
        <v>171</v>
      </c>
      <c r="S345" s="69" t="n">
        <v>4138</v>
      </c>
      <c r="T345" s="35" t="s">
        <v>172</v>
      </c>
      <c r="U345" s="71" t="n">
        <v>388754.81</v>
      </c>
      <c r="V345" s="60" t="n">
        <v>27.8025</v>
      </c>
      <c r="W345" s="71" t="n">
        <f aca="false">3030282.38696419/27</f>
        <v>112232.680998674</v>
      </c>
      <c r="X345" s="112" t="n">
        <f aca="false">U345/V345</f>
        <v>13982.7285316069</v>
      </c>
      <c r="Y345" s="112" t="n">
        <f aca="false">169041.24/27/V345</f>
        <v>225.187902766538</v>
      </c>
      <c r="Z345" s="28" t="n">
        <v>5.24</v>
      </c>
      <c r="AA345" s="62" t="s">
        <v>80</v>
      </c>
      <c r="AB345" s="38" t="n">
        <v>43910</v>
      </c>
      <c r="AC345" s="38" t="n">
        <v>44134</v>
      </c>
      <c r="AD345" s="38" t="n">
        <v>44131</v>
      </c>
      <c r="AE345" s="38" t="n">
        <v>45956</v>
      </c>
      <c r="AF345" s="28" t="n">
        <v>2025</v>
      </c>
      <c r="AG345" s="63" t="n">
        <f aca="false">X345/SUMIF($Z$2:$Z$380,Z345,$X$2:$X$380)*(VLOOKUP(Z345,'затраты по департаментам-2 '!$A$2:$C$182,2,FALSE())+VLOOKUP(Z345,'затраты по департаментам-2 '!$A$2:$C$182,3,FALSE()))</f>
        <v>8234.80634110842</v>
      </c>
      <c r="AH345" s="153" t="n">
        <f aca="false">W345/60</f>
        <v>1870.54468331123</v>
      </c>
      <c r="AI345" s="64" t="s">
        <v>81</v>
      </c>
      <c r="AJ345" s="203" t="s">
        <v>82</v>
      </c>
      <c r="AK345" s="44" t="n">
        <v>772179</v>
      </c>
      <c r="AL345" s="44"/>
      <c r="AM345" s="125" t="s">
        <v>2595</v>
      </c>
      <c r="AN345" s="125" t="s">
        <v>2596</v>
      </c>
      <c r="AO345" s="65" t="n">
        <v>44476</v>
      </c>
      <c r="AP345" s="44" t="s">
        <v>2597</v>
      </c>
      <c r="AQ345" s="66" t="s">
        <v>2598</v>
      </c>
      <c r="AR345" s="64"/>
    </row>
    <row r="346" customFormat="false" ht="14.25" hidden="false" customHeight="false" outlineLevel="0" collapsed="false">
      <c r="A346" s="26" t="n">
        <v>345</v>
      </c>
      <c r="B346" s="43" t="s">
        <v>2599</v>
      </c>
      <c r="C346" s="43" t="s">
        <v>1336</v>
      </c>
      <c r="D346" s="28" t="s">
        <v>73</v>
      </c>
      <c r="E346" s="43" t="n">
        <v>4.9</v>
      </c>
      <c r="F346" s="43" t="n">
        <v>1.5</v>
      </c>
      <c r="G346" s="43" t="n">
        <v>103</v>
      </c>
      <c r="H346" s="43" t="n">
        <v>2020</v>
      </c>
      <c r="I346" s="43" t="s">
        <v>1292</v>
      </c>
      <c r="J346" s="43" t="s">
        <v>74</v>
      </c>
      <c r="K346" s="30" t="s">
        <v>2600</v>
      </c>
      <c r="L346" s="69"/>
      <c r="M346" s="31" t="s">
        <v>2601</v>
      </c>
      <c r="N346" s="84" t="s">
        <v>179</v>
      </c>
      <c r="O346" s="57" t="s">
        <v>2221</v>
      </c>
      <c r="P346" s="56" t="s">
        <v>181</v>
      </c>
      <c r="Q346" s="87" t="n">
        <v>7073</v>
      </c>
      <c r="R346" s="58" t="s">
        <v>171</v>
      </c>
      <c r="S346" s="69" t="n">
        <v>4133</v>
      </c>
      <c r="T346" s="35" t="s">
        <v>172</v>
      </c>
      <c r="U346" s="71" t="n">
        <v>388754.81</v>
      </c>
      <c r="V346" s="60" t="n">
        <v>27.8025</v>
      </c>
      <c r="W346" s="71" t="n">
        <f aca="false">3030282.38696419/27</f>
        <v>112232.680998674</v>
      </c>
      <c r="X346" s="112" t="n">
        <f aca="false">U346/V346</f>
        <v>13982.7285316069</v>
      </c>
      <c r="Y346" s="112" t="n">
        <f aca="false">169041.24/27/V346</f>
        <v>225.187902766538</v>
      </c>
      <c r="Z346" s="28" t="n">
        <v>5.24</v>
      </c>
      <c r="AA346" s="62" t="s">
        <v>80</v>
      </c>
      <c r="AB346" s="38" t="n">
        <v>43910</v>
      </c>
      <c r="AC346" s="38" t="n">
        <v>44134</v>
      </c>
      <c r="AD346" s="38" t="n">
        <v>44131</v>
      </c>
      <c r="AE346" s="38" t="n">
        <v>45956</v>
      </c>
      <c r="AF346" s="28" t="n">
        <v>2025</v>
      </c>
      <c r="AG346" s="63" t="n">
        <f aca="false">X346/SUMIF($Z$2:$Z$380,Z346,$X$2:$X$380)*(VLOOKUP(Z346,'затраты по департаментам-2 '!$A$2:$C$182,2,FALSE())+VLOOKUP(Z346,'затраты по департаментам-2 '!$A$2:$C$182,3,FALSE()))</f>
        <v>8234.80634110842</v>
      </c>
      <c r="AH346" s="153" t="n">
        <f aca="false">W346/60</f>
        <v>1870.54468331123</v>
      </c>
      <c r="AI346" s="64" t="s">
        <v>81</v>
      </c>
      <c r="AJ346" s="63" t="s">
        <v>82</v>
      </c>
      <c r="AK346" s="43" t="n">
        <v>790932</v>
      </c>
      <c r="AL346" s="43"/>
      <c r="AM346" s="43" t="s">
        <v>2602</v>
      </c>
      <c r="AN346" s="43" t="s">
        <v>2603</v>
      </c>
      <c r="AO346" s="65" t="n">
        <v>44476</v>
      </c>
      <c r="AP346" s="43" t="s">
        <v>2604</v>
      </c>
      <c r="AQ346" s="66" t="s">
        <v>2605</v>
      </c>
      <c r="AR346" s="64"/>
    </row>
    <row r="347" customFormat="false" ht="14.25" hidden="false" customHeight="false" outlineLevel="0" collapsed="false">
      <c r="A347" s="26" t="n">
        <v>346</v>
      </c>
      <c r="B347" s="43" t="s">
        <v>2606</v>
      </c>
      <c r="C347" s="43" t="s">
        <v>1336</v>
      </c>
      <c r="D347" s="28" t="s">
        <v>73</v>
      </c>
      <c r="E347" s="43" t="n">
        <v>4.9</v>
      </c>
      <c r="F347" s="43" t="n">
        <v>1.5</v>
      </c>
      <c r="G347" s="43" t="n">
        <v>103</v>
      </c>
      <c r="H347" s="43" t="n">
        <v>2020</v>
      </c>
      <c r="I347" s="43" t="s">
        <v>1292</v>
      </c>
      <c r="J347" s="43" t="s">
        <v>74</v>
      </c>
      <c r="K347" s="30" t="s">
        <v>2607</v>
      </c>
      <c r="L347" s="27"/>
      <c r="M347" s="31" t="s">
        <v>2608</v>
      </c>
      <c r="N347" s="32" t="s">
        <v>2609</v>
      </c>
      <c r="O347" s="28" t="s">
        <v>732</v>
      </c>
      <c r="P347" s="28" t="s">
        <v>91</v>
      </c>
      <c r="Q347" s="87" t="n">
        <v>7080</v>
      </c>
      <c r="R347" s="58" t="s">
        <v>171</v>
      </c>
      <c r="S347" s="69" t="n">
        <v>4138</v>
      </c>
      <c r="T347" s="35" t="s">
        <v>172</v>
      </c>
      <c r="U347" s="71" t="n">
        <v>388754.81</v>
      </c>
      <c r="V347" s="60" t="n">
        <v>27.8025</v>
      </c>
      <c r="W347" s="71" t="n">
        <f aca="false">3030282.38696419/27</f>
        <v>112232.680998674</v>
      </c>
      <c r="X347" s="112" t="n">
        <f aca="false">U347/V347</f>
        <v>13982.7285316069</v>
      </c>
      <c r="Y347" s="112" t="n">
        <f aca="false">169041.24/27/V347</f>
        <v>225.187902766538</v>
      </c>
      <c r="Z347" s="28" t="n">
        <v>5.24</v>
      </c>
      <c r="AA347" s="62" t="s">
        <v>80</v>
      </c>
      <c r="AB347" s="38" t="n">
        <v>43910</v>
      </c>
      <c r="AC347" s="38" t="n">
        <v>44134</v>
      </c>
      <c r="AD347" s="38" t="n">
        <v>44132</v>
      </c>
      <c r="AE347" s="50" t="n">
        <v>45957</v>
      </c>
      <c r="AF347" s="28" t="n">
        <v>2025</v>
      </c>
      <c r="AG347" s="63" t="n">
        <f aca="false">X347/SUMIF($Z$2:$Z$380,Z347,$X$2:$X$380)*(VLOOKUP(Z347,'затраты по департаментам-2 '!$A$2:$C$182,2,FALSE())+VLOOKUP(Z347,'затраты по департаментам-2 '!$A$2:$C$182,3,FALSE()))</f>
        <v>8234.80634110842</v>
      </c>
      <c r="AH347" s="153" t="n">
        <f aca="false">W347/60</f>
        <v>1870.54468331123</v>
      </c>
      <c r="AI347" s="64" t="s">
        <v>81</v>
      </c>
      <c r="AJ347" s="63" t="s">
        <v>82</v>
      </c>
      <c r="AK347" s="43" t="n">
        <v>781048</v>
      </c>
      <c r="AL347" s="43"/>
      <c r="AM347" s="43" t="s">
        <v>2610</v>
      </c>
      <c r="AN347" s="43" t="s">
        <v>2611</v>
      </c>
      <c r="AO347" s="65" t="n">
        <v>44476</v>
      </c>
      <c r="AP347" s="43" t="s">
        <v>2612</v>
      </c>
      <c r="AQ347" s="66" t="s">
        <v>2613</v>
      </c>
      <c r="AR347" s="64"/>
    </row>
    <row r="348" customFormat="false" ht="14.25" hidden="false" customHeight="false" outlineLevel="0" collapsed="false">
      <c r="A348" s="26" t="n">
        <v>347</v>
      </c>
      <c r="B348" s="43" t="s">
        <v>2614</v>
      </c>
      <c r="C348" s="43" t="s">
        <v>1336</v>
      </c>
      <c r="D348" s="28" t="s">
        <v>73</v>
      </c>
      <c r="E348" s="43" t="n">
        <v>4.9</v>
      </c>
      <c r="F348" s="43" t="n">
        <v>1.5</v>
      </c>
      <c r="G348" s="43" t="n">
        <v>103</v>
      </c>
      <c r="H348" s="43" t="n">
        <v>2020</v>
      </c>
      <c r="I348" s="43" t="s">
        <v>1292</v>
      </c>
      <c r="J348" s="43" t="s">
        <v>74</v>
      </c>
      <c r="K348" s="86" t="s">
        <v>2615</v>
      </c>
      <c r="L348" s="35"/>
      <c r="M348" s="31" t="s">
        <v>2616</v>
      </c>
      <c r="N348" s="32" t="s">
        <v>2617</v>
      </c>
      <c r="O348" s="28" t="s">
        <v>100</v>
      </c>
      <c r="P348" s="28" t="s">
        <v>593</v>
      </c>
      <c r="Q348" s="87" t="n">
        <v>1000</v>
      </c>
      <c r="R348" s="58" t="s">
        <v>1330</v>
      </c>
      <c r="S348" s="69" t="n">
        <v>3490</v>
      </c>
      <c r="T348" s="35" t="s">
        <v>172</v>
      </c>
      <c r="U348" s="71" t="n">
        <v>388754.81</v>
      </c>
      <c r="V348" s="60" t="n">
        <v>27.8025</v>
      </c>
      <c r="W348" s="71" t="n">
        <f aca="false">3030282.38696419/27</f>
        <v>112232.680998674</v>
      </c>
      <c r="X348" s="112" t="n">
        <f aca="false">U348/V348</f>
        <v>13982.7285316069</v>
      </c>
      <c r="Y348" s="112" t="n">
        <f aca="false">169041.24/27/V348</f>
        <v>225.187902766538</v>
      </c>
      <c r="Z348" s="28" t="n">
        <v>5.24</v>
      </c>
      <c r="AA348" s="62" t="s">
        <v>80</v>
      </c>
      <c r="AB348" s="38" t="n">
        <v>43910</v>
      </c>
      <c r="AC348" s="38" t="n">
        <v>44134</v>
      </c>
      <c r="AD348" s="38" t="n">
        <v>44131</v>
      </c>
      <c r="AE348" s="38" t="n">
        <v>45956</v>
      </c>
      <c r="AF348" s="28" t="n">
        <v>2025</v>
      </c>
      <c r="AG348" s="63" t="n">
        <f aca="false">X348/SUMIF($Z$2:$Z$380,Z348,$X$2:$X$380)*(VLOOKUP(Z348,'затраты по департаментам-2 '!$A$2:$C$182,2,FALSE())+VLOOKUP(Z348,'затраты по департаментам-2 '!$A$2:$C$182,3,FALSE()))</f>
        <v>8234.80634110842</v>
      </c>
      <c r="AH348" s="153" t="n">
        <f aca="false">W348/60</f>
        <v>1870.54468331123</v>
      </c>
      <c r="AI348" s="64" t="s">
        <v>81</v>
      </c>
      <c r="AJ348" s="63" t="s">
        <v>100</v>
      </c>
      <c r="AK348" s="43" t="n">
        <v>738865</v>
      </c>
      <c r="AL348" s="43"/>
      <c r="AM348" s="43" t="s">
        <v>2618</v>
      </c>
      <c r="AN348" s="74" t="s">
        <v>2619</v>
      </c>
      <c r="AO348" s="65" t="n">
        <v>44852</v>
      </c>
      <c r="AP348" s="43" t="s">
        <v>2620</v>
      </c>
      <c r="AQ348" s="66" t="s">
        <v>2621</v>
      </c>
      <c r="AR348" s="76" t="n">
        <v>44665</v>
      </c>
    </row>
    <row r="349" customFormat="false" ht="14.25" hidden="false" customHeight="false" outlineLevel="0" collapsed="false">
      <c r="A349" s="26" t="n">
        <v>348</v>
      </c>
      <c r="B349" s="43" t="s">
        <v>2622</v>
      </c>
      <c r="C349" s="43" t="s">
        <v>1336</v>
      </c>
      <c r="D349" s="28" t="s">
        <v>73</v>
      </c>
      <c r="E349" s="43" t="n">
        <v>4.9</v>
      </c>
      <c r="F349" s="43" t="n">
        <v>1.5</v>
      </c>
      <c r="G349" s="43" t="n">
        <v>103</v>
      </c>
      <c r="H349" s="43" t="n">
        <v>2020</v>
      </c>
      <c r="I349" s="43" t="s">
        <v>1292</v>
      </c>
      <c r="J349" s="43" t="s">
        <v>74</v>
      </c>
      <c r="K349" s="30" t="s">
        <v>2623</v>
      </c>
      <c r="L349" s="69"/>
      <c r="M349" s="31" t="s">
        <v>2624</v>
      </c>
      <c r="N349" s="32" t="s">
        <v>2617</v>
      </c>
      <c r="O349" s="28" t="s">
        <v>100</v>
      </c>
      <c r="P349" s="28" t="s">
        <v>593</v>
      </c>
      <c r="Q349" s="57" t="n">
        <v>1000</v>
      </c>
      <c r="R349" s="58" t="s">
        <v>1330</v>
      </c>
      <c r="S349" s="69" t="n">
        <v>3490</v>
      </c>
      <c r="T349" s="35" t="s">
        <v>172</v>
      </c>
      <c r="U349" s="71" t="n">
        <v>388754.81</v>
      </c>
      <c r="V349" s="60" t="n">
        <v>27.8025</v>
      </c>
      <c r="W349" s="71" t="n">
        <f aca="false">3030282.38696419/27</f>
        <v>112232.680998674</v>
      </c>
      <c r="X349" s="112" t="n">
        <f aca="false">U349/V349</f>
        <v>13982.7285316069</v>
      </c>
      <c r="Y349" s="112" t="n">
        <f aca="false">169041.24/27/V349</f>
        <v>225.187902766538</v>
      </c>
      <c r="Z349" s="28" t="n">
        <v>5.24</v>
      </c>
      <c r="AA349" s="62" t="s">
        <v>80</v>
      </c>
      <c r="AB349" s="38" t="n">
        <v>43910</v>
      </c>
      <c r="AC349" s="38" t="n">
        <v>44134</v>
      </c>
      <c r="AD349" s="38" t="n">
        <v>44131</v>
      </c>
      <c r="AE349" s="38" t="n">
        <v>45956</v>
      </c>
      <c r="AF349" s="28" t="n">
        <v>2025</v>
      </c>
      <c r="AG349" s="63" t="n">
        <f aca="false">X349/SUMIF($Z$2:$Z$380,Z349,$X$2:$X$380)*(VLOOKUP(Z349,'затраты по департаментам-2 '!$A$2:$C$182,2,FALSE())+VLOOKUP(Z349,'затраты по департаментам-2 '!$A$2:$C$182,3,FALSE()))</f>
        <v>8234.80634110842</v>
      </c>
      <c r="AH349" s="153" t="n">
        <f aca="false">W349/60</f>
        <v>1870.54468331123</v>
      </c>
      <c r="AI349" s="64" t="s">
        <v>81</v>
      </c>
      <c r="AJ349" s="63" t="s">
        <v>100</v>
      </c>
      <c r="AK349" s="43" t="n">
        <v>790973</v>
      </c>
      <c r="AL349" s="43"/>
      <c r="AM349" s="43" t="s">
        <v>2625</v>
      </c>
      <c r="AN349" s="74" t="s">
        <v>2626</v>
      </c>
      <c r="AO349" s="65" t="n">
        <v>44840</v>
      </c>
      <c r="AP349" s="43" t="s">
        <v>2627</v>
      </c>
      <c r="AQ349" s="2" t="s">
        <v>2628</v>
      </c>
      <c r="AR349" s="76" t="n">
        <v>44414</v>
      </c>
    </row>
    <row r="350" customFormat="false" ht="14.25" hidden="false" customHeight="false" outlineLevel="0" collapsed="false">
      <c r="A350" s="26" t="n">
        <v>349</v>
      </c>
      <c r="B350" s="43" t="s">
        <v>2629</v>
      </c>
      <c r="C350" s="43" t="s">
        <v>1336</v>
      </c>
      <c r="D350" s="28" t="s">
        <v>73</v>
      </c>
      <c r="E350" s="43" t="n">
        <v>4.9</v>
      </c>
      <c r="F350" s="43" t="n">
        <v>1.5</v>
      </c>
      <c r="G350" s="43" t="n">
        <v>103</v>
      </c>
      <c r="H350" s="43" t="n">
        <v>2020</v>
      </c>
      <c r="I350" s="43" t="s">
        <v>1292</v>
      </c>
      <c r="J350" s="43" t="s">
        <v>74</v>
      </c>
      <c r="K350" s="30" t="s">
        <v>2630</v>
      </c>
      <c r="L350" s="27"/>
      <c r="M350" s="31" t="s">
        <v>2631</v>
      </c>
      <c r="N350" s="84" t="s">
        <v>179</v>
      </c>
      <c r="O350" s="48" t="s">
        <v>313</v>
      </c>
      <c r="P350" s="56" t="s">
        <v>181</v>
      </c>
      <c r="Q350" s="87" t="n">
        <v>7073</v>
      </c>
      <c r="R350" s="58" t="s">
        <v>171</v>
      </c>
      <c r="S350" s="69" t="n">
        <v>4133</v>
      </c>
      <c r="T350" s="35" t="s">
        <v>172</v>
      </c>
      <c r="U350" s="71" t="n">
        <v>388754.81</v>
      </c>
      <c r="V350" s="60" t="n">
        <v>27.8025</v>
      </c>
      <c r="W350" s="71" t="n">
        <f aca="false">3030282.38696419/27</f>
        <v>112232.680998674</v>
      </c>
      <c r="X350" s="112" t="n">
        <f aca="false">U350/V350</f>
        <v>13982.7285316069</v>
      </c>
      <c r="Y350" s="112" t="n">
        <f aca="false">169041.24/27/V350</f>
        <v>225.187902766538</v>
      </c>
      <c r="Z350" s="28" t="n">
        <v>5.24</v>
      </c>
      <c r="AA350" s="62" t="s">
        <v>80</v>
      </c>
      <c r="AB350" s="38" t="n">
        <v>43910</v>
      </c>
      <c r="AC350" s="38" t="n">
        <v>44134</v>
      </c>
      <c r="AD350" s="38" t="n">
        <v>44131</v>
      </c>
      <c r="AE350" s="38" t="n">
        <v>45956</v>
      </c>
      <c r="AF350" s="28" t="n">
        <v>2025</v>
      </c>
      <c r="AG350" s="63" t="n">
        <f aca="false">X350/SUMIF($Z$2:$Z$380,Z350,$X$2:$X$380)*(VLOOKUP(Z350,'затраты по департаментам-2 '!$A$2:$C$182,2,FALSE())+VLOOKUP(Z350,'затраты по департаментам-2 '!$A$2:$C$182,3,FALSE()))</f>
        <v>8234.80634110842</v>
      </c>
      <c r="AH350" s="153" t="n">
        <f aca="false">W350/60</f>
        <v>1870.54468331123</v>
      </c>
      <c r="AI350" s="64" t="s">
        <v>81</v>
      </c>
      <c r="AJ350" s="63" t="s">
        <v>82</v>
      </c>
      <c r="AK350" s="43" t="n">
        <v>779216</v>
      </c>
      <c r="AL350" s="43"/>
      <c r="AM350" s="43" t="s">
        <v>2632</v>
      </c>
      <c r="AN350" s="43" t="s">
        <v>2633</v>
      </c>
      <c r="AO350" s="65" t="n">
        <v>44476</v>
      </c>
      <c r="AP350" s="43" t="s">
        <v>2634</v>
      </c>
      <c r="AQ350" s="66" t="s">
        <v>2635</v>
      </c>
      <c r="AR350" s="64"/>
    </row>
    <row r="351" customFormat="false" ht="14.25" hidden="false" customHeight="false" outlineLevel="0" collapsed="false">
      <c r="A351" s="26" t="n">
        <v>350</v>
      </c>
      <c r="B351" s="43" t="s">
        <v>2636</v>
      </c>
      <c r="C351" s="43" t="s">
        <v>1336</v>
      </c>
      <c r="D351" s="28" t="s">
        <v>73</v>
      </c>
      <c r="E351" s="43" t="n">
        <v>4.9</v>
      </c>
      <c r="F351" s="43" t="n">
        <v>1.5</v>
      </c>
      <c r="G351" s="43" t="n">
        <v>103</v>
      </c>
      <c r="H351" s="43" t="n">
        <v>2020</v>
      </c>
      <c r="I351" s="43" t="s">
        <v>1292</v>
      </c>
      <c r="J351" s="43" t="s">
        <v>74</v>
      </c>
      <c r="K351" s="86" t="s">
        <v>177</v>
      </c>
      <c r="L351" s="35"/>
      <c r="M351" s="31" t="s">
        <v>2637</v>
      </c>
      <c r="N351" s="32" t="s">
        <v>2638</v>
      </c>
      <c r="O351" s="28" t="s">
        <v>100</v>
      </c>
      <c r="P351" s="28" t="s">
        <v>2639</v>
      </c>
      <c r="Q351" s="87" t="n">
        <v>1000</v>
      </c>
      <c r="R351" s="58" t="s">
        <v>2640</v>
      </c>
      <c r="S351" s="69" t="n">
        <v>3615</v>
      </c>
      <c r="T351" s="35" t="s">
        <v>172</v>
      </c>
      <c r="U351" s="71" t="n">
        <v>388754.81</v>
      </c>
      <c r="V351" s="60" t="n">
        <v>27.8025</v>
      </c>
      <c r="W351" s="71" t="n">
        <f aca="false">3030282.38696419/27</f>
        <v>112232.680998674</v>
      </c>
      <c r="X351" s="112" t="n">
        <f aca="false">U351/V351</f>
        <v>13982.7285316069</v>
      </c>
      <c r="Y351" s="112" t="n">
        <f aca="false">169041.24/27/V351</f>
        <v>225.187902766538</v>
      </c>
      <c r="Z351" s="28" t="n">
        <v>5.24</v>
      </c>
      <c r="AA351" s="62" t="s">
        <v>80</v>
      </c>
      <c r="AB351" s="38" t="n">
        <v>43910</v>
      </c>
      <c r="AC351" s="38" t="n">
        <v>44134</v>
      </c>
      <c r="AD351" s="38" t="n">
        <v>44132</v>
      </c>
      <c r="AE351" s="50" t="n">
        <v>45957</v>
      </c>
      <c r="AF351" s="28" t="n">
        <v>2025</v>
      </c>
      <c r="AG351" s="63" t="n">
        <f aca="false">X351/SUMIF($Z$2:$Z$380,Z351,$X$2:$X$380)*(VLOOKUP(Z351,'затраты по департаментам-2 '!$A$2:$C$182,2,FALSE())+VLOOKUP(Z351,'затраты по департаментам-2 '!$A$2:$C$182,3,FALSE()))</f>
        <v>8234.80634110842</v>
      </c>
      <c r="AH351" s="153" t="n">
        <f aca="false">W351/60</f>
        <v>1870.54468331123</v>
      </c>
      <c r="AI351" s="64" t="s">
        <v>81</v>
      </c>
      <c r="AJ351" s="63" t="s">
        <v>100</v>
      </c>
      <c r="AK351" s="43" t="n">
        <v>794546</v>
      </c>
      <c r="AL351" s="43"/>
      <c r="AM351" s="43" t="s">
        <v>2641</v>
      </c>
      <c r="AN351" s="74" t="s">
        <v>2642</v>
      </c>
      <c r="AO351" s="65" t="n">
        <v>44840</v>
      </c>
      <c r="AP351" s="43" t="s">
        <v>2643</v>
      </c>
      <c r="AQ351" s="75" t="s">
        <v>2644</v>
      </c>
      <c r="AR351" s="76" t="n">
        <v>44503</v>
      </c>
    </row>
    <row r="352" customFormat="false" ht="14.25" hidden="false" customHeight="false" outlineLevel="0" collapsed="false">
      <c r="A352" s="26" t="n">
        <v>351</v>
      </c>
      <c r="B352" s="43" t="s">
        <v>2645</v>
      </c>
      <c r="C352" s="43" t="s">
        <v>1336</v>
      </c>
      <c r="D352" s="28" t="s">
        <v>73</v>
      </c>
      <c r="E352" s="43" t="n">
        <v>4.9</v>
      </c>
      <c r="F352" s="43" t="n">
        <v>1.5</v>
      </c>
      <c r="G352" s="43" t="n">
        <v>103</v>
      </c>
      <c r="H352" s="43" t="n">
        <v>2020</v>
      </c>
      <c r="I352" s="43" t="s">
        <v>1292</v>
      </c>
      <c r="J352" s="43" t="s">
        <v>74</v>
      </c>
      <c r="K352" s="30" t="s">
        <v>2646</v>
      </c>
      <c r="L352" s="69"/>
      <c r="M352" s="31" t="s">
        <v>2647</v>
      </c>
      <c r="N352" s="56" t="s">
        <v>227</v>
      </c>
      <c r="O352" s="57" t="s">
        <v>313</v>
      </c>
      <c r="P352" s="56" t="s">
        <v>298</v>
      </c>
      <c r="Q352" s="57" t="n">
        <v>1000</v>
      </c>
      <c r="R352" s="58" t="s">
        <v>189</v>
      </c>
      <c r="S352" s="69" t="n">
        <v>4173</v>
      </c>
      <c r="T352" s="35" t="s">
        <v>172</v>
      </c>
      <c r="U352" s="71" t="n">
        <v>388754.81</v>
      </c>
      <c r="V352" s="60" t="n">
        <v>27.8025</v>
      </c>
      <c r="W352" s="71" t="n">
        <f aca="false">3030282.38696419/27</f>
        <v>112232.680998674</v>
      </c>
      <c r="X352" s="112" t="n">
        <f aca="false">U352/V352</f>
        <v>13982.7285316069</v>
      </c>
      <c r="Y352" s="112" t="n">
        <f aca="false">169041.24/27/V352</f>
        <v>225.187902766538</v>
      </c>
      <c r="Z352" s="28" t="n">
        <v>5.24</v>
      </c>
      <c r="AA352" s="62" t="s">
        <v>80</v>
      </c>
      <c r="AB352" s="38" t="n">
        <v>43910</v>
      </c>
      <c r="AC352" s="38" t="n">
        <v>44134</v>
      </c>
      <c r="AD352" s="38" t="n">
        <v>44131</v>
      </c>
      <c r="AE352" s="38" t="n">
        <v>45956</v>
      </c>
      <c r="AF352" s="28" t="n">
        <v>2025</v>
      </c>
      <c r="AG352" s="63" t="n">
        <f aca="false">X352/SUMIF($Z$2:$Z$380,Z352,$X$2:$X$380)*(VLOOKUP(Z352,'затраты по департаментам-2 '!$A$2:$C$182,2,FALSE())+VLOOKUP(Z352,'затраты по департаментам-2 '!$A$2:$C$182,3,FALSE()))</f>
        <v>8234.80634110842</v>
      </c>
      <c r="AH352" s="153" t="n">
        <f aca="false">W352/60</f>
        <v>1870.54468331123</v>
      </c>
      <c r="AI352" s="64" t="s">
        <v>81</v>
      </c>
      <c r="AJ352" s="63" t="s">
        <v>82</v>
      </c>
      <c r="AK352" s="43" t="n">
        <v>790478</v>
      </c>
      <c r="AL352" s="43"/>
      <c r="AM352" s="43" t="s">
        <v>2648</v>
      </c>
      <c r="AN352" s="43" t="s">
        <v>2649</v>
      </c>
      <c r="AO352" s="65" t="n">
        <v>44476</v>
      </c>
      <c r="AP352" s="43" t="s">
        <v>2650</v>
      </c>
      <c r="AQ352" s="66" t="s">
        <v>2651</v>
      </c>
      <c r="AR352" s="64"/>
    </row>
    <row r="353" customFormat="false" ht="14.25" hidden="false" customHeight="false" outlineLevel="0" collapsed="false">
      <c r="A353" s="26" t="n">
        <v>352</v>
      </c>
      <c r="B353" s="43" t="s">
        <v>2652</v>
      </c>
      <c r="C353" s="43" t="s">
        <v>1336</v>
      </c>
      <c r="D353" s="28" t="s">
        <v>73</v>
      </c>
      <c r="E353" s="43" t="n">
        <v>4.9</v>
      </c>
      <c r="F353" s="43" t="n">
        <v>1.5</v>
      </c>
      <c r="G353" s="43" t="n">
        <v>103</v>
      </c>
      <c r="H353" s="43" t="n">
        <v>2020</v>
      </c>
      <c r="I353" s="43" t="s">
        <v>1292</v>
      </c>
      <c r="J353" s="43" t="s">
        <v>74</v>
      </c>
      <c r="K353" s="30" t="s">
        <v>2653</v>
      </c>
      <c r="L353" s="28"/>
      <c r="M353" s="31" t="s">
        <v>2654</v>
      </c>
      <c r="N353" s="32" t="s">
        <v>179</v>
      </c>
      <c r="O353" s="28" t="s">
        <v>1149</v>
      </c>
      <c r="P353" s="56" t="s">
        <v>181</v>
      </c>
      <c r="Q353" s="87" t="n">
        <v>7020</v>
      </c>
      <c r="R353" s="58" t="s">
        <v>171</v>
      </c>
      <c r="S353" s="69" t="n">
        <v>4133</v>
      </c>
      <c r="T353" s="35" t="s">
        <v>172</v>
      </c>
      <c r="U353" s="71" t="n">
        <v>388754.81</v>
      </c>
      <c r="V353" s="60" t="n">
        <v>27.8025</v>
      </c>
      <c r="W353" s="71" t="n">
        <f aca="false">3030282.38696419/27</f>
        <v>112232.680998674</v>
      </c>
      <c r="X353" s="112" t="n">
        <f aca="false">U353/V353</f>
        <v>13982.7285316069</v>
      </c>
      <c r="Y353" s="112" t="n">
        <f aca="false">169041.24/27/V353</f>
        <v>225.187902766538</v>
      </c>
      <c r="Z353" s="28" t="n">
        <v>5.24</v>
      </c>
      <c r="AA353" s="62" t="s">
        <v>80</v>
      </c>
      <c r="AB353" s="38" t="n">
        <v>43910</v>
      </c>
      <c r="AC353" s="38" t="n">
        <v>44134</v>
      </c>
      <c r="AD353" s="38" t="n">
        <v>44132</v>
      </c>
      <c r="AE353" s="50" t="n">
        <v>45957</v>
      </c>
      <c r="AF353" s="28" t="n">
        <v>2025</v>
      </c>
      <c r="AG353" s="63" t="n">
        <f aca="false">X353/SUMIF($Z$2:$Z$380,Z353,$X$2:$X$380)*(VLOOKUP(Z353,'затраты по департаментам-2 '!$A$2:$C$182,2,FALSE())+VLOOKUP(Z353,'затраты по департаментам-2 '!$A$2:$C$182,3,FALSE()))</f>
        <v>8234.80634110842</v>
      </c>
      <c r="AH353" s="153" t="n">
        <f aca="false">W353/60</f>
        <v>1870.54468331123</v>
      </c>
      <c r="AI353" s="64" t="s">
        <v>81</v>
      </c>
      <c r="AJ353" s="63" t="s">
        <v>100</v>
      </c>
      <c r="AK353" s="43" t="n">
        <v>702031</v>
      </c>
      <c r="AL353" s="43"/>
      <c r="AM353" s="43" t="s">
        <v>2655</v>
      </c>
      <c r="AN353" s="74" t="s">
        <v>2656</v>
      </c>
      <c r="AO353" s="65" t="n">
        <v>44855</v>
      </c>
      <c r="AP353" s="43" t="s">
        <v>2657</v>
      </c>
      <c r="AQ353" s="66" t="s">
        <v>2658</v>
      </c>
      <c r="AR353" s="64"/>
    </row>
    <row r="354" customFormat="false" ht="14.25" hidden="false" customHeight="false" outlineLevel="0" collapsed="false">
      <c r="A354" s="26" t="n">
        <v>353</v>
      </c>
      <c r="B354" s="43" t="s">
        <v>2659</v>
      </c>
      <c r="C354" s="43" t="s">
        <v>1336</v>
      </c>
      <c r="D354" s="28" t="s">
        <v>73</v>
      </c>
      <c r="E354" s="43" t="n">
        <v>4.9</v>
      </c>
      <c r="F354" s="43" t="n">
        <v>1.5</v>
      </c>
      <c r="G354" s="43" t="n">
        <v>103</v>
      </c>
      <c r="H354" s="43" t="n">
        <v>2020</v>
      </c>
      <c r="I354" s="43" t="s">
        <v>1292</v>
      </c>
      <c r="J354" s="43" t="s">
        <v>74</v>
      </c>
      <c r="K354" s="30" t="s">
        <v>2660</v>
      </c>
      <c r="L354" s="82"/>
      <c r="M354" s="31" t="s">
        <v>2661</v>
      </c>
      <c r="N354" s="32" t="s">
        <v>179</v>
      </c>
      <c r="O354" s="57" t="s">
        <v>681</v>
      </c>
      <c r="P354" s="56" t="s">
        <v>181</v>
      </c>
      <c r="Q354" s="87" t="n">
        <v>7031</v>
      </c>
      <c r="R354" s="58" t="s">
        <v>171</v>
      </c>
      <c r="S354" s="69" t="n">
        <v>4133</v>
      </c>
      <c r="T354" s="35" t="s">
        <v>172</v>
      </c>
      <c r="U354" s="71" t="n">
        <v>388754.81</v>
      </c>
      <c r="V354" s="60" t="n">
        <v>27.8025</v>
      </c>
      <c r="W354" s="71" t="n">
        <f aca="false">3030282.38696419/27</f>
        <v>112232.680998674</v>
      </c>
      <c r="X354" s="112" t="n">
        <f aca="false">U354/V354</f>
        <v>13982.7285316069</v>
      </c>
      <c r="Y354" s="112" t="n">
        <f aca="false">169041.24/27/V354</f>
        <v>225.187902766538</v>
      </c>
      <c r="Z354" s="28" t="n">
        <v>5.24</v>
      </c>
      <c r="AA354" s="62" t="s">
        <v>80</v>
      </c>
      <c r="AB354" s="38" t="n">
        <v>43910</v>
      </c>
      <c r="AC354" s="38" t="n">
        <v>44134</v>
      </c>
      <c r="AD354" s="38" t="n">
        <v>44132</v>
      </c>
      <c r="AE354" s="50" t="n">
        <v>45957</v>
      </c>
      <c r="AF354" s="28" t="n">
        <v>2025</v>
      </c>
      <c r="AG354" s="63" t="n">
        <f aca="false">X354/SUMIF($Z$2:$Z$380,Z354,$X$2:$X$380)*(VLOOKUP(Z354,'затраты по департаментам-2 '!$A$2:$C$182,2,FALSE())+VLOOKUP(Z354,'затраты по департаментам-2 '!$A$2:$C$182,3,FALSE()))</f>
        <v>8234.80634110842</v>
      </c>
      <c r="AH354" s="153" t="n">
        <f aca="false">W354/60</f>
        <v>1870.54468331123</v>
      </c>
      <c r="AI354" s="64" t="s">
        <v>81</v>
      </c>
      <c r="AJ354" s="63" t="s">
        <v>100</v>
      </c>
      <c r="AK354" s="43" t="n">
        <v>790544</v>
      </c>
      <c r="AL354" s="43"/>
      <c r="AM354" s="43" t="s">
        <v>2662</v>
      </c>
      <c r="AN354" s="74" t="s">
        <v>2663</v>
      </c>
      <c r="AO354" s="65" t="n">
        <v>44889</v>
      </c>
      <c r="AP354" s="43" t="s">
        <v>2664</v>
      </c>
      <c r="AQ354" s="66" t="s">
        <v>2665</v>
      </c>
      <c r="AR354" s="64"/>
    </row>
    <row r="355" customFormat="false" ht="14.25" hidden="false" customHeight="false" outlineLevel="0" collapsed="false">
      <c r="A355" s="26" t="n">
        <v>354</v>
      </c>
      <c r="B355" s="43" t="s">
        <v>2666</v>
      </c>
      <c r="C355" s="43" t="s">
        <v>1336</v>
      </c>
      <c r="D355" s="28" t="s">
        <v>73</v>
      </c>
      <c r="E355" s="43" t="n">
        <v>4.9</v>
      </c>
      <c r="F355" s="43" t="n">
        <v>1.5</v>
      </c>
      <c r="G355" s="43" t="n">
        <v>103</v>
      </c>
      <c r="H355" s="43" t="n">
        <v>2020</v>
      </c>
      <c r="I355" s="43" t="s">
        <v>1292</v>
      </c>
      <c r="J355" s="43" t="s">
        <v>74</v>
      </c>
      <c r="K355" s="30" t="s">
        <v>2667</v>
      </c>
      <c r="L355" s="35"/>
      <c r="M355" s="31" t="s">
        <v>2668</v>
      </c>
      <c r="N355" s="32" t="s">
        <v>179</v>
      </c>
      <c r="O355" s="28" t="s">
        <v>928</v>
      </c>
      <c r="P355" s="48" t="s">
        <v>91</v>
      </c>
      <c r="Q355" s="87" t="n">
        <v>7080</v>
      </c>
      <c r="R355" s="58" t="s">
        <v>171</v>
      </c>
      <c r="S355" s="69" t="n">
        <v>4138</v>
      </c>
      <c r="T355" s="35" t="s">
        <v>172</v>
      </c>
      <c r="U355" s="71" t="n">
        <v>388754.81</v>
      </c>
      <c r="V355" s="60" t="n">
        <v>27.8025</v>
      </c>
      <c r="W355" s="71" t="n">
        <f aca="false">3030282.38696419/27</f>
        <v>112232.680998674</v>
      </c>
      <c r="X355" s="112" t="n">
        <f aca="false">U355/V355</f>
        <v>13982.7285316069</v>
      </c>
      <c r="Y355" s="112" t="n">
        <f aca="false">169041.24/27/V355</f>
        <v>225.187902766538</v>
      </c>
      <c r="Z355" s="28" t="n">
        <v>5.24</v>
      </c>
      <c r="AA355" s="62" t="s">
        <v>80</v>
      </c>
      <c r="AB355" s="38" t="n">
        <v>43910</v>
      </c>
      <c r="AC355" s="38" t="n">
        <v>44134</v>
      </c>
      <c r="AD355" s="38" t="n">
        <v>44132</v>
      </c>
      <c r="AE355" s="50" t="n">
        <v>45957</v>
      </c>
      <c r="AF355" s="28" t="n">
        <v>2025</v>
      </c>
      <c r="AG355" s="63" t="n">
        <f aca="false">X355/SUMIF($Z$2:$Z$380,Z355,$X$2:$X$380)*(VLOOKUP(Z355,'затраты по департаментам-2 '!$A$2:$C$182,2,FALSE())+VLOOKUP(Z355,'затраты по департаментам-2 '!$A$2:$C$182,3,FALSE()))</f>
        <v>8234.80634110842</v>
      </c>
      <c r="AH355" s="153" t="n">
        <f aca="false">W355/60</f>
        <v>1870.54468331123</v>
      </c>
      <c r="AI355" s="64" t="s">
        <v>81</v>
      </c>
      <c r="AJ355" s="63" t="s">
        <v>82</v>
      </c>
      <c r="AK355" s="43" t="n">
        <v>781196</v>
      </c>
      <c r="AL355" s="43"/>
      <c r="AM355" s="43" t="s">
        <v>2669</v>
      </c>
      <c r="AN355" s="43" t="s">
        <v>2670</v>
      </c>
      <c r="AO355" s="65" t="n">
        <v>44476</v>
      </c>
      <c r="AP355" s="43" t="s">
        <v>2671</v>
      </c>
      <c r="AQ355" s="66" t="s">
        <v>2672</v>
      </c>
      <c r="AR355" s="64"/>
    </row>
    <row r="356" customFormat="false" ht="14.25" hidden="false" customHeight="false" outlineLevel="0" collapsed="false">
      <c r="A356" s="26" t="n">
        <v>355</v>
      </c>
      <c r="B356" s="43" t="s">
        <v>2673</v>
      </c>
      <c r="C356" s="43" t="s">
        <v>1336</v>
      </c>
      <c r="D356" s="28" t="s">
        <v>73</v>
      </c>
      <c r="E356" s="43" t="n">
        <v>4.9</v>
      </c>
      <c r="F356" s="43" t="n">
        <v>1.5</v>
      </c>
      <c r="G356" s="43" t="n">
        <v>103</v>
      </c>
      <c r="H356" s="43" t="n">
        <v>2020</v>
      </c>
      <c r="I356" s="43" t="s">
        <v>1292</v>
      </c>
      <c r="J356" s="43" t="s">
        <v>74</v>
      </c>
      <c r="K356" s="30" t="s">
        <v>2674</v>
      </c>
      <c r="L356" s="69"/>
      <c r="M356" s="126" t="s">
        <v>2675</v>
      </c>
      <c r="N356" s="32" t="s">
        <v>2676</v>
      </c>
      <c r="O356" s="57" t="s">
        <v>100</v>
      </c>
      <c r="P356" s="48" t="s">
        <v>1329</v>
      </c>
      <c r="Q356" s="57" t="n">
        <v>1000</v>
      </c>
      <c r="R356" s="58" t="s">
        <v>1330</v>
      </c>
      <c r="S356" s="69" t="n">
        <v>3480</v>
      </c>
      <c r="T356" s="35" t="s">
        <v>172</v>
      </c>
      <c r="U356" s="71" t="n">
        <v>388754.81</v>
      </c>
      <c r="V356" s="60" t="n">
        <v>27.8025</v>
      </c>
      <c r="W356" s="71" t="n">
        <f aca="false">3030282.38696419/27</f>
        <v>112232.680998674</v>
      </c>
      <c r="X356" s="112" t="n">
        <f aca="false">U356/V356</f>
        <v>13982.7285316069</v>
      </c>
      <c r="Y356" s="112" t="n">
        <f aca="false">169041.24/27/V356</f>
        <v>225.187902766538</v>
      </c>
      <c r="Z356" s="28" t="n">
        <v>5.24</v>
      </c>
      <c r="AA356" s="62" t="s">
        <v>80</v>
      </c>
      <c r="AB356" s="38" t="n">
        <v>43910</v>
      </c>
      <c r="AC356" s="38" t="n">
        <v>44134</v>
      </c>
      <c r="AD356" s="38" t="n">
        <v>44132</v>
      </c>
      <c r="AE356" s="50" t="n">
        <v>45957</v>
      </c>
      <c r="AF356" s="28" t="n">
        <v>2025</v>
      </c>
      <c r="AG356" s="63" t="n">
        <f aca="false">X356/SUMIF($Z$2:$Z$380,Z356,$X$2:$X$380)*(VLOOKUP(Z356,'затраты по департаментам-2 '!$A$2:$C$182,2,FALSE())+VLOOKUP(Z356,'затраты по департаментам-2 '!$A$2:$C$182,3,FALSE()))</f>
        <v>8234.80634110842</v>
      </c>
      <c r="AH356" s="153" t="n">
        <f aca="false">W356/60</f>
        <v>1870.54468331123</v>
      </c>
      <c r="AI356" s="64" t="s">
        <v>81</v>
      </c>
      <c r="AJ356" s="63" t="s">
        <v>100</v>
      </c>
      <c r="AK356" s="43" t="n">
        <v>790957</v>
      </c>
      <c r="AL356" s="43"/>
      <c r="AM356" s="43" t="s">
        <v>2677</v>
      </c>
      <c r="AN356" s="74" t="s">
        <v>2678</v>
      </c>
      <c r="AO356" s="65" t="n">
        <v>44915</v>
      </c>
      <c r="AP356" s="43" t="s">
        <v>2679</v>
      </c>
      <c r="AQ356" s="66" t="s">
        <v>2680</v>
      </c>
      <c r="AR356" s="64"/>
    </row>
    <row r="357" customFormat="false" ht="14.25" hidden="false" customHeight="false" outlineLevel="0" collapsed="false">
      <c r="A357" s="26" t="n">
        <v>356</v>
      </c>
      <c r="B357" s="43" t="s">
        <v>2681</v>
      </c>
      <c r="C357" s="43" t="s">
        <v>1336</v>
      </c>
      <c r="D357" s="28" t="s">
        <v>73</v>
      </c>
      <c r="E357" s="43" t="n">
        <v>4.9</v>
      </c>
      <c r="F357" s="43" t="n">
        <v>1.5</v>
      </c>
      <c r="G357" s="43" t="n">
        <v>103</v>
      </c>
      <c r="H357" s="43" t="n">
        <v>2020</v>
      </c>
      <c r="I357" s="43" t="s">
        <v>1292</v>
      </c>
      <c r="J357" s="43" t="s">
        <v>74</v>
      </c>
      <c r="K357" s="30" t="s">
        <v>2682</v>
      </c>
      <c r="L357" s="69"/>
      <c r="M357" s="31" t="s">
        <v>2683</v>
      </c>
      <c r="N357" s="32" t="s">
        <v>179</v>
      </c>
      <c r="O357" s="57" t="s">
        <v>2684</v>
      </c>
      <c r="P357" s="56" t="s">
        <v>143</v>
      </c>
      <c r="Q357" s="87" t="n">
        <v>7060</v>
      </c>
      <c r="R357" s="58" t="s">
        <v>171</v>
      </c>
      <c r="S357" s="69" t="n">
        <v>4136</v>
      </c>
      <c r="T357" s="35" t="s">
        <v>172</v>
      </c>
      <c r="U357" s="71" t="n">
        <v>388754.81</v>
      </c>
      <c r="V357" s="60" t="n">
        <v>27.8025</v>
      </c>
      <c r="W357" s="71" t="n">
        <f aca="false">3030282.38696419/27</f>
        <v>112232.680998674</v>
      </c>
      <c r="X357" s="112" t="n">
        <f aca="false">U357/V357</f>
        <v>13982.7285316069</v>
      </c>
      <c r="Y357" s="112" t="n">
        <f aca="false">169041.24/27/V357</f>
        <v>225.187902766538</v>
      </c>
      <c r="Z357" s="28" t="n">
        <v>5.24</v>
      </c>
      <c r="AA357" s="62" t="s">
        <v>80</v>
      </c>
      <c r="AB357" s="38" t="n">
        <v>43910</v>
      </c>
      <c r="AC357" s="38" t="n">
        <v>44134</v>
      </c>
      <c r="AD357" s="38" t="n">
        <v>44131</v>
      </c>
      <c r="AE357" s="38" t="n">
        <v>45956</v>
      </c>
      <c r="AF357" s="28" t="n">
        <v>2025</v>
      </c>
      <c r="AG357" s="63" t="n">
        <f aca="false">X357/SUMIF($Z$2:$Z$380,Z357,$X$2:$X$380)*(VLOOKUP(Z357,'затраты по департаментам-2 '!$A$2:$C$182,2,FALSE())+VLOOKUP(Z357,'затраты по департаментам-2 '!$A$2:$C$182,3,FALSE()))</f>
        <v>8234.80634110842</v>
      </c>
      <c r="AH357" s="153" t="n">
        <f aca="false">W357/60</f>
        <v>1870.54468331123</v>
      </c>
      <c r="AI357" s="64" t="s">
        <v>81</v>
      </c>
      <c r="AJ357" s="63" t="s">
        <v>142</v>
      </c>
      <c r="AK357" s="43" t="n">
        <v>791450</v>
      </c>
      <c r="AL357" s="43"/>
      <c r="AM357" s="43" t="s">
        <v>2685</v>
      </c>
      <c r="AN357" s="74" t="s">
        <v>2686</v>
      </c>
      <c r="AO357" s="65" t="n">
        <v>44874</v>
      </c>
      <c r="AP357" s="43" t="s">
        <v>2687</v>
      </c>
      <c r="AQ357" s="66" t="s">
        <v>2688</v>
      </c>
      <c r="AR357" s="64"/>
    </row>
    <row r="358" customFormat="false" ht="12.75" hidden="false" customHeight="false" outlineLevel="0" collapsed="false">
      <c r="A358" s="26" t="n">
        <v>357</v>
      </c>
      <c r="B358" s="43" t="s">
        <v>2689</v>
      </c>
      <c r="C358" s="43" t="s">
        <v>1336</v>
      </c>
      <c r="D358" s="28" t="s">
        <v>73</v>
      </c>
      <c r="E358" s="43" t="n">
        <v>4.9</v>
      </c>
      <c r="F358" s="43" t="n">
        <v>1.5</v>
      </c>
      <c r="G358" s="43" t="n">
        <v>103</v>
      </c>
      <c r="H358" s="43" t="n">
        <v>2020</v>
      </c>
      <c r="I358" s="43" t="s">
        <v>1292</v>
      </c>
      <c r="J358" s="43" t="s">
        <v>74</v>
      </c>
      <c r="K358" s="30" t="s">
        <v>2690</v>
      </c>
      <c r="L358" s="122"/>
      <c r="M358" s="31" t="s">
        <v>2691</v>
      </c>
      <c r="N358" s="130" t="s">
        <v>227</v>
      </c>
      <c r="O358" s="57" t="s">
        <v>1350</v>
      </c>
      <c r="P358" s="48" t="s">
        <v>298</v>
      </c>
      <c r="Q358" s="87" t="n">
        <v>1000</v>
      </c>
      <c r="R358" s="58" t="s">
        <v>351</v>
      </c>
      <c r="S358" s="69" t="n">
        <v>4178</v>
      </c>
      <c r="T358" s="35" t="s">
        <v>172</v>
      </c>
      <c r="U358" s="71" t="n">
        <v>388754.81</v>
      </c>
      <c r="V358" s="60" t="n">
        <v>27.8025</v>
      </c>
      <c r="W358" s="71" t="n">
        <f aca="false">3030282.38696419/27</f>
        <v>112232.680998674</v>
      </c>
      <c r="X358" s="112" t="n">
        <f aca="false">U358/V358</f>
        <v>13982.7285316069</v>
      </c>
      <c r="Y358" s="112" t="n">
        <f aca="false">169041.24/27/V358</f>
        <v>225.187902766538</v>
      </c>
      <c r="Z358" s="28" t="n">
        <v>5.24</v>
      </c>
      <c r="AA358" s="62" t="s">
        <v>80</v>
      </c>
      <c r="AB358" s="38" t="n">
        <v>43910</v>
      </c>
      <c r="AC358" s="38" t="n">
        <v>44134</v>
      </c>
      <c r="AD358" s="38" t="n">
        <v>44131</v>
      </c>
      <c r="AE358" s="38" t="n">
        <v>45956</v>
      </c>
      <c r="AF358" s="28" t="n">
        <v>2025</v>
      </c>
      <c r="AG358" s="63" t="n">
        <f aca="false">X358/SUMIF($Z$2:$Z$380,Z358,$X$2:$X$380)*(VLOOKUP(Z358,'затраты по департаментам-2 '!$A$2:$C$182,2,FALSE())+VLOOKUP(Z358,'затраты по департаментам-2 '!$A$2:$C$182,3,FALSE()))</f>
        <v>8234.80634110842</v>
      </c>
      <c r="AH358" s="153" t="n">
        <f aca="false">W358/60</f>
        <v>1870.54468331123</v>
      </c>
      <c r="AI358" s="64" t="s">
        <v>81</v>
      </c>
      <c r="AJ358" s="63" t="s">
        <v>82</v>
      </c>
      <c r="AK358" s="43" t="n">
        <v>790924</v>
      </c>
      <c r="AL358" s="43"/>
      <c r="AM358" s="43" t="s">
        <v>2692</v>
      </c>
      <c r="AN358" s="43" t="s">
        <v>2693</v>
      </c>
      <c r="AO358" s="65" t="n">
        <v>44476</v>
      </c>
      <c r="AP358" s="43" t="s">
        <v>2694</v>
      </c>
      <c r="AQ358" s="66" t="s">
        <v>2695</v>
      </c>
      <c r="AR358" s="64"/>
    </row>
    <row r="359" customFormat="false" ht="14.25" hidden="false" customHeight="false" outlineLevel="0" collapsed="false">
      <c r="A359" s="26" t="n">
        <v>358</v>
      </c>
      <c r="B359" s="43" t="s">
        <v>2696</v>
      </c>
      <c r="C359" s="43" t="s">
        <v>1336</v>
      </c>
      <c r="D359" s="28" t="s">
        <v>73</v>
      </c>
      <c r="E359" s="43" t="n">
        <v>4.9</v>
      </c>
      <c r="F359" s="43" t="n">
        <v>1.5</v>
      </c>
      <c r="G359" s="43" t="n">
        <v>103</v>
      </c>
      <c r="H359" s="43" t="n">
        <v>2020</v>
      </c>
      <c r="I359" s="43" t="s">
        <v>1292</v>
      </c>
      <c r="J359" s="43" t="s">
        <v>74</v>
      </c>
      <c r="K359" s="30" t="s">
        <v>2697</v>
      </c>
      <c r="L359" s="27"/>
      <c r="M359" s="31" t="s">
        <v>2698</v>
      </c>
      <c r="N359" s="84" t="s">
        <v>179</v>
      </c>
      <c r="O359" s="28" t="s">
        <v>928</v>
      </c>
      <c r="P359" s="56" t="s">
        <v>91</v>
      </c>
      <c r="Q359" s="87" t="n">
        <v>7080</v>
      </c>
      <c r="R359" s="58" t="s">
        <v>171</v>
      </c>
      <c r="S359" s="69" t="n">
        <v>4138</v>
      </c>
      <c r="T359" s="35" t="s">
        <v>172</v>
      </c>
      <c r="U359" s="71" t="n">
        <v>388754.81</v>
      </c>
      <c r="V359" s="60" t="n">
        <v>27.8025</v>
      </c>
      <c r="W359" s="71" t="n">
        <f aca="false">3030282.38696419/27</f>
        <v>112232.680998674</v>
      </c>
      <c r="X359" s="112" t="n">
        <f aca="false">U359/V359</f>
        <v>13982.7285316069</v>
      </c>
      <c r="Y359" s="112" t="n">
        <f aca="false">169041.24/27/V359</f>
        <v>225.187902766538</v>
      </c>
      <c r="Z359" s="28" t="n">
        <v>5.24</v>
      </c>
      <c r="AA359" s="62" t="s">
        <v>80</v>
      </c>
      <c r="AB359" s="38" t="n">
        <v>43910</v>
      </c>
      <c r="AC359" s="38" t="n">
        <v>44134</v>
      </c>
      <c r="AD359" s="38" t="n">
        <v>44132</v>
      </c>
      <c r="AE359" s="50" t="n">
        <v>45957</v>
      </c>
      <c r="AF359" s="28" t="n">
        <v>2025</v>
      </c>
      <c r="AG359" s="63" t="n">
        <f aca="false">X359/SUMIF($Z$2:$Z$380,Z359,$X$2:$X$380)*(VLOOKUP(Z359,'затраты по департаментам-2 '!$A$2:$C$182,2,FALSE())+VLOOKUP(Z359,'затраты по департаментам-2 '!$A$2:$C$182,3,FALSE()))</f>
        <v>8234.80634110842</v>
      </c>
      <c r="AH359" s="153" t="n">
        <f aca="false">W359/60</f>
        <v>1870.54468331123</v>
      </c>
      <c r="AI359" s="64" t="s">
        <v>81</v>
      </c>
      <c r="AJ359" s="63" t="s">
        <v>82</v>
      </c>
      <c r="AK359" s="43" t="n">
        <v>791013</v>
      </c>
      <c r="AL359" s="43"/>
      <c r="AM359" s="43" t="s">
        <v>2699</v>
      </c>
      <c r="AN359" s="43" t="s">
        <v>2700</v>
      </c>
      <c r="AO359" s="65" t="n">
        <v>44476</v>
      </c>
      <c r="AP359" s="43" t="s">
        <v>2701</v>
      </c>
      <c r="AQ359" s="66" t="s">
        <v>2702</v>
      </c>
      <c r="AR359" s="64"/>
    </row>
    <row r="360" customFormat="false" ht="14.25" hidden="false" customHeight="false" outlineLevel="0" collapsed="false">
      <c r="A360" s="26" t="n">
        <v>359</v>
      </c>
      <c r="B360" s="43" t="s">
        <v>2703</v>
      </c>
      <c r="C360" s="43" t="s">
        <v>1336</v>
      </c>
      <c r="D360" s="28" t="s">
        <v>73</v>
      </c>
      <c r="E360" s="43" t="n">
        <v>4.9</v>
      </c>
      <c r="F360" s="43" t="n">
        <v>1.5</v>
      </c>
      <c r="G360" s="43" t="n">
        <v>103</v>
      </c>
      <c r="H360" s="43" t="n">
        <v>2020</v>
      </c>
      <c r="I360" s="43" t="s">
        <v>1292</v>
      </c>
      <c r="J360" s="43" t="s">
        <v>74</v>
      </c>
      <c r="K360" s="30" t="s">
        <v>2704</v>
      </c>
      <c r="L360" s="35"/>
      <c r="M360" s="31" t="s">
        <v>2705</v>
      </c>
      <c r="N360" s="84" t="s">
        <v>179</v>
      </c>
      <c r="O360" s="28" t="s">
        <v>899</v>
      </c>
      <c r="P360" s="56" t="s">
        <v>327</v>
      </c>
      <c r="Q360" s="87" t="n">
        <v>7014</v>
      </c>
      <c r="R360" s="58" t="s">
        <v>171</v>
      </c>
      <c r="S360" s="69" t="n">
        <v>4131</v>
      </c>
      <c r="T360" s="35" t="s">
        <v>172</v>
      </c>
      <c r="U360" s="71" t="n">
        <v>388754.81</v>
      </c>
      <c r="V360" s="60" t="n">
        <v>27.8025</v>
      </c>
      <c r="W360" s="71" t="n">
        <f aca="false">3030282.38696419/27</f>
        <v>112232.680998674</v>
      </c>
      <c r="X360" s="112" t="n">
        <f aca="false">U360/V360</f>
        <v>13982.7285316069</v>
      </c>
      <c r="Y360" s="112" t="n">
        <f aca="false">169041.24/27/V360</f>
        <v>225.187902766538</v>
      </c>
      <c r="Z360" s="28" t="n">
        <v>5.24</v>
      </c>
      <c r="AA360" s="62" t="s">
        <v>80</v>
      </c>
      <c r="AB360" s="38" t="n">
        <v>43910</v>
      </c>
      <c r="AC360" s="38" t="n">
        <v>44134</v>
      </c>
      <c r="AD360" s="38" t="n">
        <v>44132</v>
      </c>
      <c r="AE360" s="50" t="n">
        <v>45957</v>
      </c>
      <c r="AF360" s="28" t="n">
        <v>2025</v>
      </c>
      <c r="AG360" s="63" t="n">
        <f aca="false">X360/SUMIF($Z$2:$Z$380,Z360,$X$2:$X$380)*(VLOOKUP(Z360,'затраты по департаментам-2 '!$A$2:$C$182,2,FALSE())+VLOOKUP(Z360,'затраты по департаментам-2 '!$A$2:$C$182,3,FALSE()))</f>
        <v>8234.80634110842</v>
      </c>
      <c r="AH360" s="153" t="n">
        <f aca="false">W360/60</f>
        <v>1870.54468331123</v>
      </c>
      <c r="AI360" s="64" t="s">
        <v>81</v>
      </c>
      <c r="AJ360" s="63" t="s">
        <v>52</v>
      </c>
      <c r="AK360" s="43" t="n">
        <v>794595</v>
      </c>
      <c r="AL360" s="43"/>
      <c r="AM360" s="43" t="s">
        <v>2706</v>
      </c>
      <c r="AN360" s="43" t="s">
        <v>2707</v>
      </c>
      <c r="AO360" s="65" t="n">
        <v>44476</v>
      </c>
      <c r="AP360" s="43" t="s">
        <v>2708</v>
      </c>
      <c r="AQ360" s="66" t="s">
        <v>2709</v>
      </c>
      <c r="AR360" s="64"/>
    </row>
    <row r="361" customFormat="false" ht="14.25" hidden="false" customHeight="false" outlineLevel="0" collapsed="false">
      <c r="A361" s="26" t="n">
        <v>360</v>
      </c>
      <c r="B361" s="43" t="s">
        <v>2710</v>
      </c>
      <c r="C361" s="43" t="s">
        <v>1336</v>
      </c>
      <c r="D361" s="28" t="s">
        <v>73</v>
      </c>
      <c r="E361" s="43" t="n">
        <v>4.9</v>
      </c>
      <c r="F361" s="43" t="n">
        <v>1.5</v>
      </c>
      <c r="G361" s="43" t="n">
        <v>103</v>
      </c>
      <c r="H361" s="43" t="n">
        <v>2020</v>
      </c>
      <c r="I361" s="43" t="s">
        <v>1292</v>
      </c>
      <c r="J361" s="43" t="s">
        <v>74</v>
      </c>
      <c r="K361" s="30" t="s">
        <v>2711</v>
      </c>
      <c r="L361" s="59"/>
      <c r="M361" s="31" t="s">
        <v>2712</v>
      </c>
      <c r="N361" s="84" t="s">
        <v>179</v>
      </c>
      <c r="O361" s="70" t="s">
        <v>1350</v>
      </c>
      <c r="P361" s="56" t="s">
        <v>91</v>
      </c>
      <c r="Q361" s="79" t="n">
        <v>7082</v>
      </c>
      <c r="R361" s="115" t="s">
        <v>171</v>
      </c>
      <c r="S361" s="69" t="n">
        <v>4138</v>
      </c>
      <c r="T361" s="35" t="s">
        <v>172</v>
      </c>
      <c r="U361" s="71" t="n">
        <v>388754.81</v>
      </c>
      <c r="V361" s="60" t="n">
        <v>27.8025</v>
      </c>
      <c r="W361" s="71" t="n">
        <f aca="false">3030282.38696419/27</f>
        <v>112232.680998674</v>
      </c>
      <c r="X361" s="112" t="n">
        <f aca="false">U361/V361</f>
        <v>13982.7285316069</v>
      </c>
      <c r="Y361" s="112" t="n">
        <f aca="false">169041.24/27/V361</f>
        <v>225.187902766538</v>
      </c>
      <c r="Z361" s="28" t="n">
        <v>5.24</v>
      </c>
      <c r="AA361" s="62" t="s">
        <v>80</v>
      </c>
      <c r="AB361" s="38" t="n">
        <v>43910</v>
      </c>
      <c r="AC361" s="38" t="n">
        <v>44134</v>
      </c>
      <c r="AD361" s="38" t="n">
        <v>44131</v>
      </c>
      <c r="AE361" s="38" t="n">
        <v>45956</v>
      </c>
      <c r="AF361" s="28" t="n">
        <v>2025</v>
      </c>
      <c r="AG361" s="63" t="n">
        <f aca="false">X361/SUMIF($Z$2:$Z$380,Z361,$X$2:$X$380)*(VLOOKUP(Z361,'затраты по департаментам-2 '!$A$2:$C$182,2,FALSE())+VLOOKUP(Z361,'затраты по департаментам-2 '!$A$2:$C$182,3,FALSE()))</f>
        <v>8234.80634110842</v>
      </c>
      <c r="AH361" s="153" t="n">
        <f aca="false">W361/60</f>
        <v>1870.54468331123</v>
      </c>
      <c r="AI361" s="64" t="s">
        <v>81</v>
      </c>
      <c r="AJ361" s="63" t="s">
        <v>82</v>
      </c>
      <c r="AK361" s="43" t="n">
        <v>794694</v>
      </c>
      <c r="AL361" s="43"/>
      <c r="AM361" s="43" t="s">
        <v>2713</v>
      </c>
      <c r="AN361" s="43" t="s">
        <v>2714</v>
      </c>
      <c r="AO361" s="65" t="n">
        <v>44476</v>
      </c>
      <c r="AP361" s="43" t="s">
        <v>2715</v>
      </c>
      <c r="AQ361" s="66" t="s">
        <v>2716</v>
      </c>
      <c r="AR361" s="64"/>
    </row>
    <row r="362" customFormat="false" ht="14.25" hidden="false" customHeight="false" outlineLevel="0" collapsed="false">
      <c r="A362" s="26" t="n">
        <v>361</v>
      </c>
      <c r="B362" s="43" t="s">
        <v>2717</v>
      </c>
      <c r="C362" s="43" t="s">
        <v>1336</v>
      </c>
      <c r="D362" s="28" t="s">
        <v>73</v>
      </c>
      <c r="E362" s="43" t="n">
        <v>4.9</v>
      </c>
      <c r="F362" s="43" t="n">
        <v>1.5</v>
      </c>
      <c r="G362" s="43" t="n">
        <v>103</v>
      </c>
      <c r="H362" s="43" t="n">
        <v>2020</v>
      </c>
      <c r="I362" s="43" t="s">
        <v>1292</v>
      </c>
      <c r="J362" s="43" t="s">
        <v>74</v>
      </c>
      <c r="K362" s="30" t="s">
        <v>2718</v>
      </c>
      <c r="L362" s="35"/>
      <c r="M362" s="31" t="s">
        <v>2719</v>
      </c>
      <c r="N362" s="32" t="s">
        <v>179</v>
      </c>
      <c r="O362" s="57" t="s">
        <v>1239</v>
      </c>
      <c r="P362" s="48" t="s">
        <v>327</v>
      </c>
      <c r="Q362" s="87" t="n">
        <v>7050</v>
      </c>
      <c r="R362" s="58" t="s">
        <v>171</v>
      </c>
      <c r="S362" s="69" t="n">
        <v>4131</v>
      </c>
      <c r="T362" s="35" t="s">
        <v>172</v>
      </c>
      <c r="U362" s="71" t="n">
        <v>388754.81</v>
      </c>
      <c r="V362" s="60" t="n">
        <v>27.8025</v>
      </c>
      <c r="W362" s="71" t="n">
        <f aca="false">3030282.38696419/27</f>
        <v>112232.680998674</v>
      </c>
      <c r="X362" s="112" t="n">
        <f aca="false">U362/V362</f>
        <v>13982.7285316069</v>
      </c>
      <c r="Y362" s="112" t="n">
        <f aca="false">169041.24/27/V362</f>
        <v>225.187902766538</v>
      </c>
      <c r="Z362" s="28" t="n">
        <v>5.24</v>
      </c>
      <c r="AA362" s="62" t="s">
        <v>80</v>
      </c>
      <c r="AB362" s="38" t="n">
        <v>43910</v>
      </c>
      <c r="AC362" s="38" t="n">
        <v>44134</v>
      </c>
      <c r="AD362" s="38" t="n">
        <v>44131</v>
      </c>
      <c r="AE362" s="38" t="n">
        <v>45956</v>
      </c>
      <c r="AF362" s="28" t="n">
        <v>2025</v>
      </c>
      <c r="AG362" s="63" t="n">
        <f aca="false">X362/SUMIF($Z$2:$Z$380,Z362,$X$2:$X$380)*(VLOOKUP(Z362,'затраты по департаментам-2 '!$A$2:$C$182,2,FALSE())+VLOOKUP(Z362,'затраты по департаментам-2 '!$A$2:$C$182,3,FALSE()))</f>
        <v>8234.80634110842</v>
      </c>
      <c r="AH362" s="153" t="n">
        <f aca="false">W362/60</f>
        <v>1870.54468331123</v>
      </c>
      <c r="AI362" s="64" t="s">
        <v>81</v>
      </c>
      <c r="AJ362" s="63" t="s">
        <v>52</v>
      </c>
      <c r="AK362" s="43" t="n">
        <v>794520</v>
      </c>
      <c r="AL362" s="43"/>
      <c r="AM362" s="43" t="s">
        <v>2720</v>
      </c>
      <c r="AN362" s="43" t="s">
        <v>2721</v>
      </c>
      <c r="AO362" s="65" t="n">
        <v>44476</v>
      </c>
      <c r="AP362" s="43" t="s">
        <v>2722</v>
      </c>
      <c r="AQ362" s="66" t="s">
        <v>2723</v>
      </c>
      <c r="AR362" s="64"/>
    </row>
    <row r="363" customFormat="false" ht="14.25" hidden="false" customHeight="false" outlineLevel="0" collapsed="false">
      <c r="A363" s="26" t="n">
        <v>362</v>
      </c>
      <c r="B363" s="43" t="s">
        <v>2724</v>
      </c>
      <c r="C363" s="43" t="s">
        <v>1326</v>
      </c>
      <c r="D363" s="28" t="s">
        <v>73</v>
      </c>
      <c r="E363" s="43" t="n">
        <v>5.3</v>
      </c>
      <c r="F363" s="43" t="n">
        <v>1.5</v>
      </c>
      <c r="G363" s="43" t="n">
        <v>112</v>
      </c>
      <c r="H363" s="43" t="n">
        <v>2020</v>
      </c>
      <c r="I363" s="43" t="s">
        <v>1292</v>
      </c>
      <c r="J363" s="43" t="s">
        <v>74</v>
      </c>
      <c r="K363" s="30" t="s">
        <v>2725</v>
      </c>
      <c r="L363" s="59"/>
      <c r="M363" s="31" t="s">
        <v>2726</v>
      </c>
      <c r="N363" s="56" t="s">
        <v>2727</v>
      </c>
      <c r="O363" s="57" t="s">
        <v>100</v>
      </c>
      <c r="P363" s="56" t="s">
        <v>660</v>
      </c>
      <c r="Q363" s="57" t="n">
        <v>1000</v>
      </c>
      <c r="R363" s="58" t="s">
        <v>122</v>
      </c>
      <c r="S363" s="69" t="n">
        <v>4190</v>
      </c>
      <c r="T363" s="59" t="s">
        <v>123</v>
      </c>
      <c r="U363" s="71" t="n">
        <v>565813.91</v>
      </c>
      <c r="V363" s="60" t="n">
        <v>27.1716</v>
      </c>
      <c r="W363" s="71" t="n">
        <v>151080.128734487</v>
      </c>
      <c r="X363" s="112" t="n">
        <f aca="false">U363/V363</f>
        <v>20823.7244034212</v>
      </c>
      <c r="Y363" s="112" t="n">
        <f aca="false">9303/V363</f>
        <v>342.37954334673</v>
      </c>
      <c r="Z363" s="146" t="s">
        <v>2728</v>
      </c>
      <c r="AA363" s="62" t="s">
        <v>80</v>
      </c>
      <c r="AB363" s="38" t="n">
        <v>44018</v>
      </c>
      <c r="AC363" s="38" t="n">
        <v>44156</v>
      </c>
      <c r="AD363" s="38" t="n">
        <v>44141</v>
      </c>
      <c r="AE363" s="50" t="n">
        <v>44140</v>
      </c>
      <c r="AF363" s="28" t="n">
        <v>2025</v>
      </c>
      <c r="AG363" s="63" t="n">
        <f aca="false">X363/SUMIF($Z$2:$Z$380,Z363,$X$2:$X$380)*(VLOOKUP(Z363,'затраты по департаментам-2 '!$A$2:$C$182,2,FALSE())+VLOOKUP(Z363,'затраты по департаментам-2 '!$A$2:$C$182,3,FALSE()))</f>
        <v>12520.3405688292</v>
      </c>
      <c r="AH363" s="153" t="n">
        <f aca="false">W363/60</f>
        <v>2518.00214557479</v>
      </c>
      <c r="AI363" s="64" t="s">
        <v>81</v>
      </c>
      <c r="AJ363" s="63" t="s">
        <v>100</v>
      </c>
      <c r="AK363" s="43" t="n">
        <v>108716304</v>
      </c>
      <c r="AL363" s="43"/>
      <c r="AM363" s="43" t="s">
        <v>2729</v>
      </c>
      <c r="AN363" s="43" t="s">
        <v>2730</v>
      </c>
      <c r="AO363" s="65" t="n">
        <v>44502</v>
      </c>
      <c r="AP363" s="43" t="s">
        <v>2731</v>
      </c>
      <c r="AQ363" s="43" t="s">
        <v>2732</v>
      </c>
      <c r="AR363" s="76" t="n">
        <v>44519</v>
      </c>
    </row>
    <row r="364" customFormat="false" ht="14.25" hidden="false" customHeight="false" outlineLevel="0" collapsed="false">
      <c r="A364" s="26" t="n">
        <v>363</v>
      </c>
      <c r="B364" s="43" t="s">
        <v>2733</v>
      </c>
      <c r="C364" s="43" t="s">
        <v>1336</v>
      </c>
      <c r="D364" s="28" t="s">
        <v>73</v>
      </c>
      <c r="E364" s="43" t="n">
        <v>4.9</v>
      </c>
      <c r="F364" s="43" t="n">
        <v>1.5</v>
      </c>
      <c r="G364" s="43" t="n">
        <v>103</v>
      </c>
      <c r="H364" s="43" t="n">
        <v>2020</v>
      </c>
      <c r="I364" s="43" t="s">
        <v>1292</v>
      </c>
      <c r="J364" s="43" t="s">
        <v>74</v>
      </c>
      <c r="K364" s="30" t="s">
        <v>2734</v>
      </c>
      <c r="L364" s="69"/>
      <c r="M364" s="31" t="s">
        <v>2735</v>
      </c>
      <c r="N364" s="56" t="s">
        <v>2736</v>
      </c>
      <c r="O364" s="57" t="s">
        <v>60</v>
      </c>
      <c r="P364" s="48" t="s">
        <v>1329</v>
      </c>
      <c r="Q364" s="87" t="n">
        <v>1000</v>
      </c>
      <c r="R364" s="58" t="s">
        <v>1330</v>
      </c>
      <c r="S364" s="69" t="n">
        <v>3480</v>
      </c>
      <c r="T364" s="35" t="s">
        <v>172</v>
      </c>
      <c r="U364" s="155" t="n">
        <v>341781.23</v>
      </c>
      <c r="V364" s="60" t="n">
        <v>24.4431</v>
      </c>
      <c r="W364" s="71" t="n">
        <f aca="false">428792.709013587/4</f>
        <v>107198.177253397</v>
      </c>
      <c r="X364" s="112" t="n">
        <f aca="false">U364/V364</f>
        <v>13982.7284591562</v>
      </c>
      <c r="Y364" s="156" t="n">
        <f aca="false">22017/V364/4</f>
        <v>225.186248880052</v>
      </c>
      <c r="Z364" s="28" t="n">
        <v>5.32</v>
      </c>
      <c r="AA364" s="62" t="s">
        <v>80</v>
      </c>
      <c r="AB364" s="38" t="n">
        <v>43880</v>
      </c>
      <c r="AC364" s="38" t="n">
        <v>44040</v>
      </c>
      <c r="AD364" s="38" t="n">
        <v>44040</v>
      </c>
      <c r="AE364" s="50" t="n">
        <v>45896</v>
      </c>
      <c r="AF364" s="28" t="n">
        <v>2025</v>
      </c>
      <c r="AG364" s="63" t="n">
        <f aca="false">X364/SUMIF($Z$2:$Z$380,Z364,$X$2:$X$380)*(VLOOKUP(Z364,'затраты по департаментам-2 '!$A$2:$C$182,2,FALSE())+VLOOKUP(Z364,'затраты по департаментам-2 '!$A$2:$C$182,3,FALSE()))</f>
        <v>8234.74586079507</v>
      </c>
      <c r="AH364" s="153" t="n">
        <f aca="false">W364/60</f>
        <v>1786.63628755661</v>
      </c>
      <c r="AI364" s="64" t="s">
        <v>81</v>
      </c>
      <c r="AJ364" s="63" t="s">
        <v>82</v>
      </c>
      <c r="AK364" s="43" t="n">
        <v>15305</v>
      </c>
      <c r="AL364" s="43"/>
      <c r="AM364" s="43" t="s">
        <v>2737</v>
      </c>
      <c r="AN364" s="78" t="s">
        <v>2738</v>
      </c>
      <c r="AO364" s="65" t="n">
        <v>44384</v>
      </c>
      <c r="AP364" s="43" t="s">
        <v>2739</v>
      </c>
      <c r="AQ364" s="66" t="s">
        <v>2740</v>
      </c>
      <c r="AR364" s="64"/>
    </row>
    <row r="365" customFormat="false" ht="14.25" hidden="false" customHeight="false" outlineLevel="0" collapsed="false">
      <c r="A365" s="26" t="n">
        <v>364</v>
      </c>
      <c r="B365" s="43" t="s">
        <v>2741</v>
      </c>
      <c r="C365" s="43" t="s">
        <v>1336</v>
      </c>
      <c r="D365" s="28" t="s">
        <v>73</v>
      </c>
      <c r="E365" s="43" t="n">
        <v>4.9</v>
      </c>
      <c r="F365" s="43" t="n">
        <v>1.5</v>
      </c>
      <c r="G365" s="43" t="n">
        <v>103</v>
      </c>
      <c r="H365" s="43" t="n">
        <v>2020</v>
      </c>
      <c r="I365" s="43" t="s">
        <v>1292</v>
      </c>
      <c r="J365" s="43" t="s">
        <v>74</v>
      </c>
      <c r="K365" s="30" t="s">
        <v>2742</v>
      </c>
      <c r="L365" s="35"/>
      <c r="M365" s="126" t="s">
        <v>2743</v>
      </c>
      <c r="N365" s="199" t="s">
        <v>179</v>
      </c>
      <c r="O365" s="28" t="s">
        <v>197</v>
      </c>
      <c r="P365" s="56" t="s">
        <v>198</v>
      </c>
      <c r="Q365" s="87" t="n">
        <v>7040</v>
      </c>
      <c r="R365" s="201" t="s">
        <v>171</v>
      </c>
      <c r="S365" s="69" t="n">
        <v>4134</v>
      </c>
      <c r="T365" s="35" t="s">
        <v>172</v>
      </c>
      <c r="U365" s="155" t="n">
        <v>341781.23</v>
      </c>
      <c r="V365" s="60" t="n">
        <v>24.4431</v>
      </c>
      <c r="W365" s="71" t="n">
        <f aca="false">428792.709013587/4</f>
        <v>107198.177253397</v>
      </c>
      <c r="X365" s="161" t="n">
        <f aca="false">U365/V365</f>
        <v>13982.7284591562</v>
      </c>
      <c r="Y365" s="156" t="n">
        <f aca="false">22017/V365/4</f>
        <v>225.186248880052</v>
      </c>
      <c r="Z365" s="28" t="n">
        <v>5.32</v>
      </c>
      <c r="AA365" s="62" t="s">
        <v>80</v>
      </c>
      <c r="AB365" s="38" t="n">
        <v>43880</v>
      </c>
      <c r="AC365" s="38" t="n">
        <v>44040</v>
      </c>
      <c r="AD365" s="38" t="n">
        <v>44040</v>
      </c>
      <c r="AE365" s="50" t="n">
        <v>45896</v>
      </c>
      <c r="AF365" s="28" t="n">
        <v>2025</v>
      </c>
      <c r="AG365" s="63" t="n">
        <f aca="false">X365/SUMIF($Z$2:$Z$380,Z365,$X$2:$X$380)*(VLOOKUP(Z365,'затраты по департаментам-2 '!$A$2:$C$182,2,FALSE())+VLOOKUP(Z365,'затраты по департаментам-2 '!$A$2:$C$182,3,FALSE()))</f>
        <v>8234.74586079507</v>
      </c>
      <c r="AH365" s="153" t="n">
        <f aca="false">W365/60</f>
        <v>1786.63628755661</v>
      </c>
      <c r="AI365" s="64"/>
      <c r="AJ365" s="63" t="s">
        <v>197</v>
      </c>
      <c r="AK365" s="43" t="n">
        <v>286405</v>
      </c>
      <c r="AL365" s="43"/>
      <c r="AM365" s="43" t="s">
        <v>2744</v>
      </c>
      <c r="AN365" s="78" t="s">
        <v>2745</v>
      </c>
      <c r="AO365" s="65" t="n">
        <v>44384</v>
      </c>
      <c r="AP365" s="43" t="s">
        <v>2746</v>
      </c>
      <c r="AQ365" s="66" t="s">
        <v>2747</v>
      </c>
      <c r="AR365" s="76" t="n">
        <v>44592</v>
      </c>
    </row>
    <row r="366" customFormat="false" ht="14.25" hidden="false" customHeight="false" outlineLevel="0" collapsed="false">
      <c r="A366" s="26" t="n">
        <v>365</v>
      </c>
      <c r="B366" s="195" t="s">
        <v>2748</v>
      </c>
      <c r="C366" s="43" t="s">
        <v>1336</v>
      </c>
      <c r="D366" s="28" t="s">
        <v>73</v>
      </c>
      <c r="E366" s="43" t="n">
        <v>4.9</v>
      </c>
      <c r="F366" s="43" t="n">
        <v>1.5</v>
      </c>
      <c r="G366" s="43" t="n">
        <v>103</v>
      </c>
      <c r="H366" s="43" t="n">
        <v>2020</v>
      </c>
      <c r="I366" s="43" t="s">
        <v>1292</v>
      </c>
      <c r="J366" s="43" t="s">
        <v>74</v>
      </c>
      <c r="K366" s="30" t="s">
        <v>2749</v>
      </c>
      <c r="L366" s="35"/>
      <c r="M366" s="31" t="s">
        <v>2750</v>
      </c>
      <c r="N366" s="32" t="s">
        <v>168</v>
      </c>
      <c r="O366" s="28" t="s">
        <v>100</v>
      </c>
      <c r="P366" s="84" t="s">
        <v>188</v>
      </c>
      <c r="Q366" s="87" t="n">
        <v>9000</v>
      </c>
      <c r="R366" s="58" t="s">
        <v>189</v>
      </c>
      <c r="S366" s="69" t="n">
        <v>4170</v>
      </c>
      <c r="T366" s="35" t="s">
        <v>172</v>
      </c>
      <c r="U366" s="155" t="n">
        <v>341781.23</v>
      </c>
      <c r="V366" s="60" t="n">
        <v>24.4431</v>
      </c>
      <c r="W366" s="71" t="n">
        <f aca="false">428792.709013587/4</f>
        <v>107198.177253397</v>
      </c>
      <c r="X366" s="161" t="n">
        <f aca="false">U366/V366</f>
        <v>13982.7284591562</v>
      </c>
      <c r="Y366" s="156" t="n">
        <f aca="false">22017/V366/4</f>
        <v>225.186248880052</v>
      </c>
      <c r="Z366" s="28" t="n">
        <v>5.32</v>
      </c>
      <c r="AA366" s="62" t="s">
        <v>80</v>
      </c>
      <c r="AB366" s="38" t="n">
        <v>43880</v>
      </c>
      <c r="AC366" s="38" t="n">
        <v>44040</v>
      </c>
      <c r="AD366" s="38" t="n">
        <v>44040</v>
      </c>
      <c r="AE366" s="50" t="n">
        <v>45896</v>
      </c>
      <c r="AF366" s="28" t="n">
        <v>2025</v>
      </c>
      <c r="AG366" s="63" t="n">
        <f aca="false">X366/SUMIF($Z$2:$Z$380,Z366,$X$2:$X$380)*(VLOOKUP(Z366,'затраты по департаментам-2 '!$A$2:$C$182,2,FALSE())+VLOOKUP(Z366,'затраты по департаментам-2 '!$A$2:$C$182,3,FALSE()))</f>
        <v>8234.74586079507</v>
      </c>
      <c r="AH366" s="153" t="n">
        <f aca="false">W366/60</f>
        <v>1786.63628755661</v>
      </c>
      <c r="AI366" s="64" t="s">
        <v>81</v>
      </c>
      <c r="AJ366" s="63" t="s">
        <v>100</v>
      </c>
      <c r="AK366" s="43" t="n">
        <v>137813</v>
      </c>
      <c r="AL366" s="43"/>
      <c r="AM366" s="43" t="s">
        <v>2751</v>
      </c>
      <c r="AN366" s="74" t="s">
        <v>2752</v>
      </c>
      <c r="AO366" s="65" t="n">
        <v>44755</v>
      </c>
      <c r="AP366" s="43" t="s">
        <v>2753</v>
      </c>
      <c r="AQ366" s="66" t="s">
        <v>2754</v>
      </c>
      <c r="AR366" s="64"/>
    </row>
    <row r="367" customFormat="false" ht="14.25" hidden="false" customHeight="false" outlineLevel="0" collapsed="false">
      <c r="A367" s="26" t="n">
        <v>366</v>
      </c>
      <c r="B367" s="43" t="s">
        <v>2755</v>
      </c>
      <c r="C367" s="43" t="s">
        <v>1336</v>
      </c>
      <c r="D367" s="28" t="s">
        <v>73</v>
      </c>
      <c r="E367" s="43" t="n">
        <v>4.9</v>
      </c>
      <c r="F367" s="43" t="n">
        <v>1.5</v>
      </c>
      <c r="G367" s="43" t="n">
        <v>103</v>
      </c>
      <c r="H367" s="43" t="n">
        <v>2020</v>
      </c>
      <c r="I367" s="43" t="s">
        <v>1292</v>
      </c>
      <c r="J367" s="43" t="s">
        <v>74</v>
      </c>
      <c r="K367" s="30" t="s">
        <v>2756</v>
      </c>
      <c r="L367" s="59"/>
      <c r="M367" s="31" t="s">
        <v>2757</v>
      </c>
      <c r="N367" s="84" t="s">
        <v>179</v>
      </c>
      <c r="O367" s="28" t="s">
        <v>1350</v>
      </c>
      <c r="P367" s="56" t="s">
        <v>91</v>
      </c>
      <c r="Q367" s="87" t="n">
        <v>7082</v>
      </c>
      <c r="R367" s="58" t="s">
        <v>171</v>
      </c>
      <c r="S367" s="69" t="n">
        <v>4138</v>
      </c>
      <c r="T367" s="35" t="s">
        <v>172</v>
      </c>
      <c r="U367" s="155" t="n">
        <v>341781.23</v>
      </c>
      <c r="V367" s="60" t="n">
        <v>24.4431</v>
      </c>
      <c r="W367" s="71" t="n">
        <f aca="false">428792.709013587/4</f>
        <v>107198.177253397</v>
      </c>
      <c r="X367" s="161" t="n">
        <f aca="false">U367/V367</f>
        <v>13982.7284591562</v>
      </c>
      <c r="Y367" s="156" t="n">
        <f aca="false">22017/V367/4</f>
        <v>225.186248880052</v>
      </c>
      <c r="Z367" s="28" t="n">
        <v>5.32</v>
      </c>
      <c r="AA367" s="62" t="s">
        <v>80</v>
      </c>
      <c r="AB367" s="38" t="n">
        <v>43880</v>
      </c>
      <c r="AC367" s="38" t="n">
        <v>44040</v>
      </c>
      <c r="AD367" s="38" t="n">
        <v>44040</v>
      </c>
      <c r="AE367" s="50" t="n">
        <v>45896</v>
      </c>
      <c r="AF367" s="28" t="n">
        <v>2025</v>
      </c>
      <c r="AG367" s="63" t="n">
        <f aca="false">X367/SUMIF($Z$2:$Z$380,Z367,$X$2:$X$380)*(VLOOKUP(Z367,'затраты по департаментам-2 '!$A$2:$C$182,2,FALSE())+VLOOKUP(Z367,'затраты по департаментам-2 '!$A$2:$C$182,3,FALSE()))</f>
        <v>8234.74586079507</v>
      </c>
      <c r="AH367" s="153" t="n">
        <f aca="false">W367/60</f>
        <v>1786.63628755661</v>
      </c>
      <c r="AI367" s="64" t="s">
        <v>81</v>
      </c>
      <c r="AJ367" s="63" t="s">
        <v>82</v>
      </c>
      <c r="AK367" s="43" t="n">
        <v>257368</v>
      </c>
      <c r="AL367" s="43"/>
      <c r="AM367" s="43" t="s">
        <v>2758</v>
      </c>
      <c r="AN367" s="74" t="s">
        <v>2759</v>
      </c>
      <c r="AO367" s="65" t="n">
        <v>44845</v>
      </c>
      <c r="AP367" s="43" t="s">
        <v>2760</v>
      </c>
      <c r="AQ367" s="66" t="s">
        <v>2761</v>
      </c>
      <c r="AR367" s="64"/>
    </row>
    <row r="368" customFormat="false" ht="14.25" hidden="false" customHeight="false" outlineLevel="0" collapsed="false">
      <c r="A368" s="26" t="n">
        <v>367</v>
      </c>
      <c r="B368" s="43" t="s">
        <v>2762</v>
      </c>
      <c r="C368" s="204" t="s">
        <v>2763</v>
      </c>
      <c r="D368" s="28" t="s">
        <v>73</v>
      </c>
      <c r="E368" s="43" t="n">
        <v>11.5</v>
      </c>
      <c r="F368" s="205" t="n">
        <v>2</v>
      </c>
      <c r="G368" s="43" t="n">
        <v>221</v>
      </c>
      <c r="H368" s="43" t="n">
        <v>2021</v>
      </c>
      <c r="I368" s="43" t="s">
        <v>1292</v>
      </c>
      <c r="J368" s="43" t="s">
        <v>74</v>
      </c>
      <c r="K368" s="30" t="s">
        <v>2764</v>
      </c>
      <c r="M368" s="31" t="s">
        <v>2765</v>
      </c>
      <c r="N368" s="32" t="s">
        <v>131</v>
      </c>
      <c r="O368" s="93" t="s">
        <v>100</v>
      </c>
      <c r="P368" s="56" t="s">
        <v>132</v>
      </c>
      <c r="Q368" s="79" t="n">
        <v>1000</v>
      </c>
      <c r="R368" s="58" t="s">
        <v>78</v>
      </c>
      <c r="S368" s="69" t="n">
        <v>5111</v>
      </c>
      <c r="T368" s="35" t="s">
        <v>79</v>
      </c>
      <c r="U368" s="155" t="n">
        <v>1533002.23</v>
      </c>
      <c r="V368" s="60" t="n">
        <v>27.9003</v>
      </c>
      <c r="W368" s="71" t="n">
        <v>339658.248067548</v>
      </c>
      <c r="X368" s="112" t="n">
        <f aca="false">U368/V368</f>
        <v>54945.7256732006</v>
      </c>
      <c r="Y368" s="156" t="n">
        <f aca="false">24343.98/V368</f>
        <v>872.534703927915</v>
      </c>
      <c r="Z368" s="28" t="n">
        <v>5.2</v>
      </c>
      <c r="AA368" s="62" t="s">
        <v>80</v>
      </c>
      <c r="AB368" s="38" t="n">
        <v>44088</v>
      </c>
      <c r="AC368" s="38" t="n">
        <v>44000</v>
      </c>
      <c r="AD368" s="38" t="n">
        <v>44371</v>
      </c>
      <c r="AE368" s="50" t="n">
        <v>46198</v>
      </c>
      <c r="AF368" s="28" t="n">
        <v>2026</v>
      </c>
      <c r="AG368" s="63" t="n">
        <f aca="false">X368/SUMIF($Z$2:$Z$380,Z368,$X$2:$X$380)*(VLOOKUP(Z368,'затраты по департаментам-2 '!$A$2:$C$182,2,FALSE())+VLOOKUP(Z368,'затраты по департаментам-2 '!$A$2:$C$182,3,FALSE()))</f>
        <v>31907.36</v>
      </c>
      <c r="AH368" s="153" t="n">
        <f aca="false">W368/60</f>
        <v>5660.97080112579</v>
      </c>
      <c r="AI368" s="64" t="s">
        <v>81</v>
      </c>
      <c r="AJ368" s="203" t="s">
        <v>100</v>
      </c>
      <c r="AM368" s="125" t="s">
        <v>2766</v>
      </c>
      <c r="AN368" s="43" t="s">
        <v>2767</v>
      </c>
      <c r="AO368" s="65"/>
      <c r="AP368" s="43" t="s">
        <v>2768</v>
      </c>
      <c r="AQ368" s="66" t="s">
        <v>2769</v>
      </c>
      <c r="AR368" s="64"/>
    </row>
    <row r="369" customFormat="false" ht="14.25" hidden="false" customHeight="false" outlineLevel="0" collapsed="false">
      <c r="A369" s="26" t="n">
        <v>368</v>
      </c>
      <c r="B369" s="43" t="s">
        <v>2770</v>
      </c>
      <c r="C369" s="43" t="s">
        <v>2771</v>
      </c>
      <c r="D369" s="28" t="s">
        <v>73</v>
      </c>
      <c r="E369" s="43" t="n">
        <v>9</v>
      </c>
      <c r="F369" s="205" t="n">
        <v>2</v>
      </c>
      <c r="G369" s="43" t="n">
        <v>199</v>
      </c>
      <c r="H369" s="43" t="n">
        <v>2020</v>
      </c>
      <c r="I369" s="43" t="s">
        <v>1292</v>
      </c>
      <c r="J369" s="43" t="s">
        <v>74</v>
      </c>
      <c r="K369" s="30" t="s">
        <v>2772</v>
      </c>
      <c r="M369" s="31" t="s">
        <v>2773</v>
      </c>
      <c r="N369" s="56" t="s">
        <v>2774</v>
      </c>
      <c r="O369" s="28" t="s">
        <v>100</v>
      </c>
      <c r="P369" s="56" t="s">
        <v>2775</v>
      </c>
      <c r="Q369" s="57" t="n">
        <v>1000</v>
      </c>
      <c r="R369" s="58" t="s">
        <v>395</v>
      </c>
      <c r="S369" s="69" t="n">
        <v>5411</v>
      </c>
      <c r="T369" s="35" t="s">
        <v>102</v>
      </c>
      <c r="U369" s="28" t="n">
        <v>1119394.28</v>
      </c>
      <c r="V369" s="60" t="n">
        <v>28.2673</v>
      </c>
      <c r="W369" s="71" t="n">
        <v>267891.613122937</v>
      </c>
      <c r="X369" s="206" t="n">
        <f aca="false">U369/V369</f>
        <v>39600.3254644059</v>
      </c>
      <c r="Y369" s="156" t="n">
        <f aca="false">18742.32/V369</f>
        <v>663.038917760097</v>
      </c>
      <c r="Z369" s="3" t="n">
        <v>5.26</v>
      </c>
      <c r="AA369" s="170" t="s">
        <v>80</v>
      </c>
      <c r="AB369" s="38" t="n">
        <v>44102</v>
      </c>
      <c r="AC369" s="38" t="n">
        <v>44170</v>
      </c>
      <c r="AD369" s="207" t="n">
        <v>44161</v>
      </c>
      <c r="AE369" s="50" t="n">
        <v>45986</v>
      </c>
      <c r="AF369" s="28" t="n">
        <v>2025</v>
      </c>
      <c r="AG369" s="63" t="n">
        <f aca="false">X369/SUMIF($Z$2:$Z$380,Z369,$X$2:$X$380)*(VLOOKUP(Z369,'затраты по департаментам-2 '!$A$2:$C$182,2,FALSE())+VLOOKUP(Z369,'затраты по департаментам-2 '!$A$2:$C$182,3,FALSE()))</f>
        <v>24246.4049680019</v>
      </c>
      <c r="AH369" s="153" t="n">
        <f aca="false">W369/60</f>
        <v>4464.86021871562</v>
      </c>
      <c r="AI369" s="64" t="s">
        <v>81</v>
      </c>
      <c r="AJ369" s="208" t="s">
        <v>100</v>
      </c>
      <c r="AK369" s="42" t="n">
        <v>108273850</v>
      </c>
      <c r="AL369" s="43"/>
      <c r="AM369" s="177" t="s">
        <v>2776</v>
      </c>
      <c r="AN369" s="74" t="s">
        <v>2777</v>
      </c>
      <c r="AO369" s="65" t="n">
        <v>44889</v>
      </c>
      <c r="AP369" s="2" t="s">
        <v>2778</v>
      </c>
      <c r="AQ369" s="66" t="s">
        <v>2779</v>
      </c>
      <c r="AR369" s="64"/>
    </row>
    <row r="370" customFormat="false" ht="14.25" hidden="false" customHeight="false" outlineLevel="0" collapsed="false">
      <c r="A370" s="26" t="n">
        <v>369</v>
      </c>
      <c r="B370" s="43" t="s">
        <v>2780</v>
      </c>
      <c r="C370" s="43" t="s">
        <v>2771</v>
      </c>
      <c r="D370" s="28" t="s">
        <v>73</v>
      </c>
      <c r="E370" s="43" t="n">
        <v>9</v>
      </c>
      <c r="F370" s="205" t="n">
        <v>2</v>
      </c>
      <c r="G370" s="43" t="n">
        <v>199</v>
      </c>
      <c r="H370" s="43" t="n">
        <v>2020</v>
      </c>
      <c r="I370" s="43" t="s">
        <v>1292</v>
      </c>
      <c r="J370" s="43" t="s">
        <v>74</v>
      </c>
      <c r="K370" s="30" t="s">
        <v>2781</v>
      </c>
      <c r="M370" s="31" t="s">
        <v>2782</v>
      </c>
      <c r="N370" s="32" t="s">
        <v>2783</v>
      </c>
      <c r="O370" s="57" t="s">
        <v>100</v>
      </c>
      <c r="P370" s="56" t="s">
        <v>2784</v>
      </c>
      <c r="Q370" s="57" t="n">
        <v>1000</v>
      </c>
      <c r="R370" s="89" t="s">
        <v>2254</v>
      </c>
      <c r="S370" s="69" t="n">
        <v>5210</v>
      </c>
      <c r="T370" s="35" t="s">
        <v>102</v>
      </c>
      <c r="U370" s="28" t="n">
        <v>1119394.28</v>
      </c>
      <c r="V370" s="60" t="n">
        <v>28.2673</v>
      </c>
      <c r="W370" s="71" t="n">
        <v>269442.209086825</v>
      </c>
      <c r="X370" s="112" t="n">
        <f aca="false">U370/V370</f>
        <v>39600.3254644059</v>
      </c>
      <c r="Y370" s="156" t="n">
        <f aca="false">18742.32/V370</f>
        <v>663.038917760097</v>
      </c>
      <c r="Z370" s="28" t="n">
        <v>5.27</v>
      </c>
      <c r="AA370" s="62" t="s">
        <v>80</v>
      </c>
      <c r="AB370" s="38" t="n">
        <v>44102</v>
      </c>
      <c r="AC370" s="38" t="n">
        <v>44125</v>
      </c>
      <c r="AD370" s="39" t="n">
        <v>44124</v>
      </c>
      <c r="AE370" s="50" t="n">
        <v>45949</v>
      </c>
      <c r="AF370" s="28" t="n">
        <v>2025</v>
      </c>
      <c r="AG370" s="63" t="n">
        <f aca="false">X370/SUMIF($Z$2:$Z$380,Z370,$X$2:$X$380)*(VLOOKUP(Z370,'затраты по департаментам-2 '!$A$2:$C$182,2,FALSE())+VLOOKUP(Z370,'затраты по департаментам-2 '!$A$2:$C$182,3,FALSE()))</f>
        <v>24246.4049680019</v>
      </c>
      <c r="AH370" s="153" t="n">
        <f aca="false">W370/60</f>
        <v>4490.70348478041</v>
      </c>
      <c r="AI370" s="64" t="s">
        <v>81</v>
      </c>
      <c r="AJ370" s="208" t="s">
        <v>100</v>
      </c>
      <c r="AK370" s="42" t="n">
        <v>8577979</v>
      </c>
      <c r="AL370" s="43"/>
      <c r="AM370" s="177" t="s">
        <v>2785</v>
      </c>
      <c r="AN370" s="74" t="s">
        <v>2786</v>
      </c>
      <c r="AO370" s="65" t="n">
        <v>44840</v>
      </c>
      <c r="AP370" s="43" t="s">
        <v>2787</v>
      </c>
      <c r="AQ370" s="66" t="s">
        <v>2788</v>
      </c>
      <c r="AR370" s="64"/>
    </row>
    <row r="371" customFormat="false" ht="12.75" hidden="false" customHeight="false" outlineLevel="0" collapsed="false">
      <c r="A371" s="26" t="n">
        <v>370</v>
      </c>
      <c r="B371" s="43" t="s">
        <v>2789</v>
      </c>
      <c r="C371" s="43" t="s">
        <v>379</v>
      </c>
      <c r="D371" s="28" t="s">
        <v>73</v>
      </c>
      <c r="E371" s="43" t="n">
        <v>12.5</v>
      </c>
      <c r="F371" s="205" t="n">
        <v>2</v>
      </c>
      <c r="G371" s="43" t="n">
        <v>193</v>
      </c>
      <c r="H371" s="43" t="n">
        <v>2020</v>
      </c>
      <c r="I371" s="43" t="s">
        <v>1292</v>
      </c>
      <c r="J371" s="43" t="s">
        <v>74</v>
      </c>
      <c r="K371" s="30" t="s">
        <v>2790</v>
      </c>
      <c r="M371" s="31" t="s">
        <v>2791</v>
      </c>
      <c r="N371" s="48" t="s">
        <v>2792</v>
      </c>
      <c r="O371" s="28" t="s">
        <v>100</v>
      </c>
      <c r="P371" s="48" t="s">
        <v>383</v>
      </c>
      <c r="Q371" s="57" t="n">
        <v>1000</v>
      </c>
      <c r="R371" s="58" t="s">
        <v>53</v>
      </c>
      <c r="S371" s="69" t="n">
        <v>3690</v>
      </c>
      <c r="T371" s="35" t="s">
        <v>493</v>
      </c>
      <c r="U371" s="28" t="n">
        <v>2035799.99</v>
      </c>
      <c r="V371" s="60" t="n">
        <v>28.1206</v>
      </c>
      <c r="W371" s="71" t="n">
        <v>452101.38547186</v>
      </c>
      <c r="X371" s="112" t="n">
        <f aca="false">U371/V371</f>
        <v>72395.3254909212</v>
      </c>
      <c r="Y371" s="112" t="n">
        <f aca="false">32183.76/V371</f>
        <v>1144.49051584959</v>
      </c>
      <c r="Z371" s="28" t="n">
        <v>5.33</v>
      </c>
      <c r="AA371" s="62" t="s">
        <v>80</v>
      </c>
      <c r="AB371" s="38" t="n">
        <v>44146</v>
      </c>
      <c r="AC371" s="38" t="n">
        <v>44162</v>
      </c>
      <c r="AD371" s="207" t="n">
        <v>44161</v>
      </c>
      <c r="AE371" s="50" t="n">
        <v>45986</v>
      </c>
      <c r="AF371" s="70" t="n">
        <v>2025</v>
      </c>
      <c r="AG371" s="63" t="n">
        <f aca="false">X371/SUMIF($Z$2:$Z$380,Z371,$X$2:$X$380)*(VLOOKUP(Z371,'затраты по департаментам-2 '!$A$2:$C$182,2,FALSE())+VLOOKUP(Z371,'затраты по департаментам-2 '!$A$2:$C$182,3,FALSE()))</f>
        <v>41852.4158778973</v>
      </c>
      <c r="AH371" s="209" t="n">
        <f aca="false">W371/60</f>
        <v>7535.02309119767</v>
      </c>
      <c r="AI371" s="64" t="s">
        <v>81</v>
      </c>
      <c r="AJ371" s="41" t="s">
        <v>100</v>
      </c>
      <c r="AK371" s="54" t="n">
        <v>100133029</v>
      </c>
      <c r="AL371" s="43"/>
      <c r="AM371" s="177" t="s">
        <v>2793</v>
      </c>
      <c r="AN371" s="210" t="s">
        <v>2794</v>
      </c>
      <c r="AO371" s="65"/>
      <c r="AP371" s="43" t="s">
        <v>2795</v>
      </c>
      <c r="AQ371" s="66" t="s">
        <v>2796</v>
      </c>
      <c r="AR371" s="64"/>
    </row>
    <row r="372" customFormat="false" ht="14.25" hidden="false" customHeight="false" outlineLevel="0" collapsed="false">
      <c r="A372" s="26" t="n">
        <v>371</v>
      </c>
      <c r="B372" s="43" t="s">
        <v>2797</v>
      </c>
      <c r="C372" s="43" t="s">
        <v>2798</v>
      </c>
      <c r="D372" s="28" t="s">
        <v>46</v>
      </c>
      <c r="E372" s="43" t="n">
        <v>10.2</v>
      </c>
      <c r="F372" s="205" t="n">
        <v>2</v>
      </c>
      <c r="G372" s="43" t="n">
        <v>155</v>
      </c>
      <c r="H372" s="43" t="n">
        <v>2021</v>
      </c>
      <c r="I372" s="43" t="s">
        <v>1292</v>
      </c>
      <c r="J372" s="43" t="s">
        <v>74</v>
      </c>
      <c r="K372" s="30" t="s">
        <v>2799</v>
      </c>
      <c r="L372" s="35"/>
      <c r="M372" s="31" t="s">
        <v>2800</v>
      </c>
      <c r="N372" s="32" t="s">
        <v>2801</v>
      </c>
      <c r="O372" s="28" t="s">
        <v>100</v>
      </c>
      <c r="P372" s="48" t="s">
        <v>2802</v>
      </c>
      <c r="Q372" s="87" t="n">
        <v>9000</v>
      </c>
      <c r="R372" s="58" t="s">
        <v>122</v>
      </c>
      <c r="S372" s="69" t="n">
        <v>4190</v>
      </c>
      <c r="T372" s="35" t="s">
        <v>102</v>
      </c>
      <c r="U372" s="28" t="n">
        <v>1034039.83</v>
      </c>
      <c r="V372" s="60" t="n">
        <v>28.13</v>
      </c>
      <c r="W372" s="71" t="n">
        <f aca="false">750559.75/3</f>
        <v>250186.583333333</v>
      </c>
      <c r="X372" s="112" t="n">
        <f aca="false">U372/V372</f>
        <v>36759.3256309989</v>
      </c>
      <c r="Y372" s="112" t="n">
        <f aca="false">52240.5/V372/3</f>
        <v>619.036615712762</v>
      </c>
      <c r="Z372" s="28" t="n">
        <v>5.5</v>
      </c>
      <c r="AA372" s="62" t="s">
        <v>80</v>
      </c>
      <c r="AB372" s="38" t="n">
        <v>44154</v>
      </c>
      <c r="AC372" s="38" t="n">
        <v>43849</v>
      </c>
      <c r="AD372" s="38" t="n">
        <v>44221</v>
      </c>
      <c r="AE372" s="50" t="n">
        <v>46046</v>
      </c>
      <c r="AF372" s="28" t="n">
        <v>2026</v>
      </c>
      <c r="AG372" s="63" t="n">
        <f aca="false">X372/SUMIF($Z$2:$Z$380,Z372,$X$2:$X$380)*(VLOOKUP(Z372,'затраты по департаментам-2 '!$A$2:$C$182,2,FALSE())+VLOOKUP(Z372,'затраты по департаментам-2 '!$A$2:$C$182,3,FALSE()))</f>
        <v>22637.3023853537</v>
      </c>
      <c r="AH372" s="209" t="n">
        <f aca="false">W372/60</f>
        <v>4169.77638888889</v>
      </c>
      <c r="AI372" s="64" t="s">
        <v>81</v>
      </c>
      <c r="AJ372" s="41" t="s">
        <v>100</v>
      </c>
      <c r="AK372" s="211" t="s">
        <v>2803</v>
      </c>
      <c r="AL372" s="43"/>
      <c r="AM372" s="177" t="s">
        <v>2804</v>
      </c>
      <c r="AN372" s="42" t="s">
        <v>2805</v>
      </c>
      <c r="AO372" s="65" t="n">
        <v>44981</v>
      </c>
      <c r="AP372" s="212" t="s">
        <v>2806</v>
      </c>
      <c r="AQ372" s="66" t="s">
        <v>2807</v>
      </c>
      <c r="AR372" s="64"/>
    </row>
    <row r="373" customFormat="false" ht="14.25" hidden="false" customHeight="false" outlineLevel="0" collapsed="false">
      <c r="A373" s="26" t="n">
        <v>372</v>
      </c>
      <c r="B373" s="43" t="s">
        <v>2808</v>
      </c>
      <c r="C373" s="43" t="s">
        <v>2798</v>
      </c>
      <c r="D373" s="28" t="s">
        <v>46</v>
      </c>
      <c r="E373" s="43" t="n">
        <v>10.2</v>
      </c>
      <c r="F373" s="205" t="n">
        <v>2</v>
      </c>
      <c r="G373" s="43" t="n">
        <v>155</v>
      </c>
      <c r="H373" s="43" t="n">
        <v>2021</v>
      </c>
      <c r="I373" s="43" t="s">
        <v>1292</v>
      </c>
      <c r="J373" s="43" t="s">
        <v>74</v>
      </c>
      <c r="K373" s="30" t="s">
        <v>2809</v>
      </c>
      <c r="L373" s="35"/>
      <c r="M373" s="31" t="s">
        <v>2810</v>
      </c>
      <c r="N373" s="32" t="s">
        <v>99</v>
      </c>
      <c r="O373" s="213" t="s">
        <v>52</v>
      </c>
      <c r="P373" s="48" t="s">
        <v>430</v>
      </c>
      <c r="Q373" s="87" t="n">
        <v>1000</v>
      </c>
      <c r="R373" s="115" t="s">
        <v>53</v>
      </c>
      <c r="S373" s="69" t="n">
        <v>3699</v>
      </c>
      <c r="T373" s="35" t="s">
        <v>102</v>
      </c>
      <c r="U373" s="28" t="n">
        <v>1034039.83</v>
      </c>
      <c r="V373" s="60" t="n">
        <v>28.13</v>
      </c>
      <c r="W373" s="71" t="n">
        <f aca="false">750559.75/3</f>
        <v>250186.583333333</v>
      </c>
      <c r="X373" s="112" t="n">
        <f aca="false">U373/V373</f>
        <v>36759.3256309989</v>
      </c>
      <c r="Y373" s="112" t="n">
        <f aca="false">52240.5/V373/3</f>
        <v>619.036615712762</v>
      </c>
      <c r="Z373" s="28" t="n">
        <v>5.5</v>
      </c>
      <c r="AA373" s="62" t="s">
        <v>80</v>
      </c>
      <c r="AB373" s="38" t="n">
        <v>44154</v>
      </c>
      <c r="AC373" s="38" t="n">
        <v>43849</v>
      </c>
      <c r="AD373" s="38" t="n">
        <v>44221</v>
      </c>
      <c r="AE373" s="50" t="n">
        <v>46046</v>
      </c>
      <c r="AF373" s="28" t="n">
        <v>2026</v>
      </c>
      <c r="AG373" s="63" t="n">
        <f aca="false">X373/SUMIF($Z$2:$Z$380,Z373,$X$2:$X$380)*(VLOOKUP(Z373,'затраты по департаментам-2 '!$A$2:$C$182,2,FALSE())+VLOOKUP(Z373,'затраты по департаментам-2 '!$A$2:$C$182,3,FALSE()))</f>
        <v>22637.3023853537</v>
      </c>
      <c r="AH373" s="209" t="n">
        <f aca="false">W373/60</f>
        <v>4169.77638888889</v>
      </c>
      <c r="AI373" s="64" t="s">
        <v>422</v>
      </c>
      <c r="AJ373" s="63" t="s">
        <v>52</v>
      </c>
      <c r="AK373" s="214" t="n">
        <v>354017118004353</v>
      </c>
      <c r="AL373" s="43"/>
      <c r="AM373" s="177" t="s">
        <v>2811</v>
      </c>
      <c r="AN373" s="42" t="s">
        <v>2812</v>
      </c>
      <c r="AO373" s="65" t="n">
        <v>44580</v>
      </c>
      <c r="AP373" s="43" t="s">
        <v>2813</v>
      </c>
      <c r="AQ373" s="66" t="s">
        <v>2814</v>
      </c>
      <c r="AR373" s="64"/>
    </row>
    <row r="374" customFormat="false" ht="14.25" hidden="false" customHeight="false" outlineLevel="0" collapsed="false">
      <c r="A374" s="26" t="n">
        <v>373</v>
      </c>
      <c r="B374" s="43" t="s">
        <v>2815</v>
      </c>
      <c r="C374" s="43" t="s">
        <v>2798</v>
      </c>
      <c r="D374" s="28" t="s">
        <v>46</v>
      </c>
      <c r="E374" s="43" t="n">
        <v>10.2</v>
      </c>
      <c r="F374" s="205" t="n">
        <v>2</v>
      </c>
      <c r="G374" s="43" t="n">
        <v>155</v>
      </c>
      <c r="H374" s="43" t="n">
        <v>2021</v>
      </c>
      <c r="I374" s="43" t="s">
        <v>1292</v>
      </c>
      <c r="J374" s="43" t="s">
        <v>74</v>
      </c>
      <c r="K374" s="30" t="s">
        <v>2816</v>
      </c>
      <c r="L374" s="35"/>
      <c r="M374" s="31" t="s">
        <v>2817</v>
      </c>
      <c r="N374" s="32" t="s">
        <v>2818</v>
      </c>
      <c r="O374" s="57" t="s">
        <v>100</v>
      </c>
      <c r="P374" s="56" t="s">
        <v>2819</v>
      </c>
      <c r="Q374" s="57" t="n">
        <v>1000</v>
      </c>
      <c r="R374" s="58" t="s">
        <v>2820</v>
      </c>
      <c r="S374" s="69" t="n">
        <v>5280</v>
      </c>
      <c r="T374" s="59" t="s">
        <v>493</v>
      </c>
      <c r="U374" s="28" t="n">
        <v>1034039.83</v>
      </c>
      <c r="V374" s="60" t="n">
        <v>28.13</v>
      </c>
      <c r="W374" s="71" t="n">
        <f aca="false">750559.75/3</f>
        <v>250186.583333333</v>
      </c>
      <c r="X374" s="112" t="n">
        <f aca="false">U374/V374</f>
        <v>36759.3256309989</v>
      </c>
      <c r="Y374" s="112" t="n">
        <f aca="false">52240.5/V374/3</f>
        <v>619.036615712762</v>
      </c>
      <c r="Z374" s="28" t="n">
        <v>5.5</v>
      </c>
      <c r="AA374" s="62" t="s">
        <v>80</v>
      </c>
      <c r="AB374" s="38" t="n">
        <v>44154</v>
      </c>
      <c r="AC374" s="38" t="n">
        <v>43849</v>
      </c>
      <c r="AD374" s="38" t="n">
        <v>44221</v>
      </c>
      <c r="AE374" s="50" t="n">
        <v>46046</v>
      </c>
      <c r="AF374" s="28" t="n">
        <v>2026</v>
      </c>
      <c r="AG374" s="63" t="n">
        <f aca="false">X374/SUMIF($Z$2:$Z$380,Z374,$X$2:$X$380)*(VLOOKUP(Z374,'затраты по департаментам-2 '!$A$2:$C$182,2,FALSE())+VLOOKUP(Z374,'затраты по департаментам-2 '!$A$2:$C$182,3,FALSE()))</f>
        <v>22637.3023853537</v>
      </c>
      <c r="AH374" s="209" t="n">
        <f aca="false">W374/60</f>
        <v>4169.77638888889</v>
      </c>
      <c r="AI374" s="64" t="s">
        <v>81</v>
      </c>
      <c r="AJ374" s="63" t="s">
        <v>100</v>
      </c>
      <c r="AK374" s="211" t="s">
        <v>2821</v>
      </c>
      <c r="AL374" s="43"/>
      <c r="AM374" s="177" t="s">
        <v>2822</v>
      </c>
      <c r="AN374" s="210" t="s">
        <v>2823</v>
      </c>
      <c r="AO374" s="65" t="n">
        <v>44945</v>
      </c>
      <c r="AP374" s="212" t="s">
        <v>2824</v>
      </c>
      <c r="AQ374" s="66" t="s">
        <v>2825</v>
      </c>
      <c r="AR374" s="76" t="n">
        <v>44693</v>
      </c>
    </row>
    <row r="375" customFormat="false" ht="14.25" hidden="false" customHeight="false" outlineLevel="0" collapsed="false">
      <c r="A375" s="26" t="n">
        <v>374</v>
      </c>
      <c r="B375" s="43" t="s">
        <v>2826</v>
      </c>
      <c r="C375" s="43" t="s">
        <v>2827</v>
      </c>
      <c r="D375" s="28" t="s">
        <v>46</v>
      </c>
      <c r="E375" s="43" t="n">
        <v>10.2</v>
      </c>
      <c r="F375" s="205" t="n">
        <v>2</v>
      </c>
      <c r="G375" s="43" t="n">
        <v>155</v>
      </c>
      <c r="H375" s="43" t="n">
        <v>2021</v>
      </c>
      <c r="I375" s="43" t="s">
        <v>1292</v>
      </c>
      <c r="J375" s="43" t="s">
        <v>74</v>
      </c>
      <c r="K375" s="30" t="s">
        <v>2828</v>
      </c>
      <c r="L375" s="35"/>
      <c r="M375" s="31" t="s">
        <v>2829</v>
      </c>
      <c r="N375" s="32" t="s">
        <v>141</v>
      </c>
      <c r="O375" s="28" t="s">
        <v>52</v>
      </c>
      <c r="P375" s="56" t="s">
        <v>327</v>
      </c>
      <c r="Q375" s="57" t="n">
        <v>1000</v>
      </c>
      <c r="R375" s="58" t="s">
        <v>144</v>
      </c>
      <c r="S375" s="69" t="n">
        <v>4191</v>
      </c>
      <c r="T375" s="35" t="s">
        <v>145</v>
      </c>
      <c r="U375" s="28" t="n">
        <v>913530.91</v>
      </c>
      <c r="V375" s="60" t="n">
        <v>28.13</v>
      </c>
      <c r="W375" s="71" t="n">
        <f aca="false">678664.37/3</f>
        <v>226221.456666667</v>
      </c>
      <c r="X375" s="112" t="n">
        <f aca="false">U375/V375</f>
        <v>32475.3256309989</v>
      </c>
      <c r="Y375" s="112" t="n">
        <f aca="false">45479.7/V375/3</f>
        <v>538.92285815855</v>
      </c>
      <c r="Z375" s="28" t="n">
        <v>5.15</v>
      </c>
      <c r="AA375" s="62" t="s">
        <v>80</v>
      </c>
      <c r="AB375" s="38" t="n">
        <v>44154</v>
      </c>
      <c r="AC375" s="38" t="n">
        <v>43849</v>
      </c>
      <c r="AD375" s="38" t="n">
        <v>44221</v>
      </c>
      <c r="AE375" s="50" t="n">
        <v>46046</v>
      </c>
      <c r="AF375" s="28" t="n">
        <v>2026</v>
      </c>
      <c r="AG375" s="63" t="n">
        <f aca="false">X375/SUMIF($Z$2:$Z$380,Z375,$X$2:$X$380)*(VLOOKUP(Z375,'затраты по департаментам-2 '!$A$2:$C$182,2,FALSE())+VLOOKUP(Z375,'затраты по департаментам-2 '!$A$2:$C$182,3,FALSE()))</f>
        <v>19707.6544308567</v>
      </c>
      <c r="AH375" s="209" t="n">
        <f aca="false">W375/60</f>
        <v>3770.35761111111</v>
      </c>
      <c r="AI375" s="64" t="s">
        <v>81</v>
      </c>
      <c r="AJ375" s="63" t="s">
        <v>52</v>
      </c>
      <c r="AK375" s="202" t="s">
        <v>2830</v>
      </c>
      <c r="AL375" s="43"/>
      <c r="AM375" s="177" t="s">
        <v>2831</v>
      </c>
      <c r="AN375" s="42" t="s">
        <v>2832</v>
      </c>
      <c r="AO375" s="65" t="n">
        <v>44580</v>
      </c>
      <c r="AP375" s="212" t="s">
        <v>2833</v>
      </c>
      <c r="AQ375" s="66" t="s">
        <v>2834</v>
      </c>
      <c r="AR375" s="64"/>
    </row>
    <row r="376" customFormat="false" ht="14.25" hidden="false" customHeight="false" outlineLevel="0" collapsed="false">
      <c r="A376" s="26" t="n">
        <v>375</v>
      </c>
      <c r="B376" s="26" t="s">
        <v>2835</v>
      </c>
      <c r="C376" s="43" t="s">
        <v>2827</v>
      </c>
      <c r="D376" s="28" t="s">
        <v>46</v>
      </c>
      <c r="E376" s="43" t="n">
        <v>10.2</v>
      </c>
      <c r="F376" s="205" t="n">
        <v>2</v>
      </c>
      <c r="G376" s="43" t="n">
        <v>155</v>
      </c>
      <c r="H376" s="43" t="n">
        <v>2021</v>
      </c>
      <c r="I376" s="43" t="s">
        <v>1292</v>
      </c>
      <c r="J376" s="43" t="s">
        <v>74</v>
      </c>
      <c r="K376" s="30" t="s">
        <v>2836</v>
      </c>
      <c r="L376" s="35"/>
      <c r="M376" s="31" t="s">
        <v>2837</v>
      </c>
      <c r="N376" s="32" t="s">
        <v>141</v>
      </c>
      <c r="O376" s="28" t="s">
        <v>197</v>
      </c>
      <c r="P376" s="48" t="s">
        <v>198</v>
      </c>
      <c r="Q376" s="57" t="n">
        <v>1000</v>
      </c>
      <c r="R376" s="58" t="s">
        <v>144</v>
      </c>
      <c r="S376" s="69" t="n">
        <v>4194</v>
      </c>
      <c r="T376" s="35" t="s">
        <v>145</v>
      </c>
      <c r="U376" s="28" t="n">
        <v>913530.91</v>
      </c>
      <c r="V376" s="60" t="n">
        <v>28.13</v>
      </c>
      <c r="W376" s="71" t="n">
        <f aca="false">678664.37/3</f>
        <v>226221.456666667</v>
      </c>
      <c r="X376" s="112" t="n">
        <f aca="false">U376/V376</f>
        <v>32475.3256309989</v>
      </c>
      <c r="Y376" s="112" t="n">
        <f aca="false">45479.7/V376/3</f>
        <v>538.92285815855</v>
      </c>
      <c r="Z376" s="28" t="n">
        <v>5.15</v>
      </c>
      <c r="AA376" s="62" t="s">
        <v>80</v>
      </c>
      <c r="AB376" s="38" t="n">
        <v>44154</v>
      </c>
      <c r="AC376" s="38" t="n">
        <v>43849</v>
      </c>
      <c r="AD376" s="38" t="n">
        <v>44221</v>
      </c>
      <c r="AE376" s="50" t="n">
        <v>46046</v>
      </c>
      <c r="AF376" s="28" t="n">
        <v>2026</v>
      </c>
      <c r="AG376" s="63" t="n">
        <f aca="false">X376/SUMIF($Z$2:$Z$380,Z376,$X$2:$X$380)*(VLOOKUP(Z376,'затраты по департаментам-2 '!$A$2:$C$182,2,FALSE())+VLOOKUP(Z376,'затраты по департаментам-2 '!$A$2:$C$182,3,FALSE()))</f>
        <v>19707.6544308567</v>
      </c>
      <c r="AH376" s="209" t="n">
        <f aca="false">W376/60</f>
        <v>3770.35761111111</v>
      </c>
      <c r="AI376" s="64" t="s">
        <v>81</v>
      </c>
      <c r="AJ376" s="63" t="s">
        <v>197</v>
      </c>
      <c r="AK376" s="202" t="s">
        <v>2838</v>
      </c>
      <c r="AL376" s="43"/>
      <c r="AM376" s="177" t="s">
        <v>2839</v>
      </c>
      <c r="AN376" s="43" t="s">
        <v>2840</v>
      </c>
      <c r="AO376" s="65" t="n">
        <v>44981</v>
      </c>
      <c r="AP376" s="34" t="s">
        <v>2841</v>
      </c>
      <c r="AQ376" s="66" t="s">
        <v>2842</v>
      </c>
      <c r="AR376" s="64"/>
    </row>
    <row r="377" customFormat="false" ht="14.25" hidden="false" customHeight="false" outlineLevel="0" collapsed="false">
      <c r="A377" s="26" t="n">
        <v>376</v>
      </c>
      <c r="B377" s="43" t="s">
        <v>2843</v>
      </c>
      <c r="C377" s="43" t="s">
        <v>2827</v>
      </c>
      <c r="D377" s="28" t="s">
        <v>46</v>
      </c>
      <c r="E377" s="43" t="n">
        <v>10.2</v>
      </c>
      <c r="F377" s="205" t="n">
        <v>2</v>
      </c>
      <c r="G377" s="43" t="n">
        <v>155</v>
      </c>
      <c r="H377" s="43" t="n">
        <v>2021</v>
      </c>
      <c r="I377" s="43" t="s">
        <v>1292</v>
      </c>
      <c r="J377" s="43" t="s">
        <v>74</v>
      </c>
      <c r="K377" s="30" t="s">
        <v>2844</v>
      </c>
      <c r="L377" s="28"/>
      <c r="M377" s="31" t="s">
        <v>2845</v>
      </c>
      <c r="N377" s="32" t="s">
        <v>141</v>
      </c>
      <c r="O377" s="28" t="s">
        <v>100</v>
      </c>
      <c r="P377" s="56" t="s">
        <v>181</v>
      </c>
      <c r="Q377" s="57" t="n">
        <v>1000</v>
      </c>
      <c r="R377" s="89" t="s">
        <v>144</v>
      </c>
      <c r="S377" s="69" t="n">
        <v>4193</v>
      </c>
      <c r="T377" s="35" t="s">
        <v>145</v>
      </c>
      <c r="U377" s="28" t="n">
        <v>913530.91</v>
      </c>
      <c r="V377" s="60" t="n">
        <v>28.13</v>
      </c>
      <c r="W377" s="71" t="n">
        <f aca="false">678664.37/3</f>
        <v>226221.456666667</v>
      </c>
      <c r="X377" s="112" t="n">
        <f aca="false">U377/V377</f>
        <v>32475.3256309989</v>
      </c>
      <c r="Y377" s="112" t="n">
        <f aca="false">45479.7/V377/3</f>
        <v>538.92285815855</v>
      </c>
      <c r="Z377" s="28" t="n">
        <v>5.15</v>
      </c>
      <c r="AA377" s="62" t="s">
        <v>80</v>
      </c>
      <c r="AB377" s="38" t="n">
        <v>44154</v>
      </c>
      <c r="AC377" s="38" t="n">
        <v>43849</v>
      </c>
      <c r="AD377" s="38" t="n">
        <v>44221</v>
      </c>
      <c r="AE377" s="50" t="n">
        <v>46046</v>
      </c>
      <c r="AF377" s="28" t="n">
        <v>2026</v>
      </c>
      <c r="AG377" s="63" t="n">
        <f aca="false">X377/SUMIF($Z$2:$Z$380,Z377,$X$2:$X$380)*(VLOOKUP(Z377,'затраты по департаментам-2 '!$A$2:$C$182,2,FALSE())+VLOOKUP(Z377,'затраты по департаментам-2 '!$A$2:$C$182,3,FALSE()))</f>
        <v>19707.6544308567</v>
      </c>
      <c r="AH377" s="209" t="n">
        <f aca="false">W377/60</f>
        <v>3770.35761111111</v>
      </c>
      <c r="AI377" s="64" t="s">
        <v>81</v>
      </c>
      <c r="AJ377" s="63" t="s">
        <v>82</v>
      </c>
      <c r="AK377" s="215" t="n">
        <v>354017118103874</v>
      </c>
      <c r="AL377" s="43"/>
      <c r="AM377" s="43" t="s">
        <v>2846</v>
      </c>
      <c r="AN377" s="43" t="s">
        <v>2847</v>
      </c>
      <c r="AO377" s="65" t="n">
        <v>44580</v>
      </c>
      <c r="AP377" s="212" t="s">
        <v>2848</v>
      </c>
      <c r="AQ377" s="66" t="s">
        <v>2849</v>
      </c>
      <c r="AR377" s="64"/>
    </row>
    <row r="378" customFormat="false" ht="15" hidden="false" customHeight="false" outlineLevel="0" collapsed="false">
      <c r="A378" s="26" t="n">
        <v>377</v>
      </c>
      <c r="B378" s="43" t="s">
        <v>2850</v>
      </c>
      <c r="C378" s="43" t="s">
        <v>2798</v>
      </c>
      <c r="D378" s="28" t="s">
        <v>46</v>
      </c>
      <c r="E378" s="43" t="n">
        <v>10.2</v>
      </c>
      <c r="F378" s="205" t="n">
        <v>2</v>
      </c>
      <c r="G378" s="43" t="n">
        <v>155</v>
      </c>
      <c r="H378" s="43" t="n">
        <v>2021</v>
      </c>
      <c r="I378" s="43" t="s">
        <v>1292</v>
      </c>
      <c r="J378" s="43" t="s">
        <v>74</v>
      </c>
      <c r="K378" s="30" t="s">
        <v>2851</v>
      </c>
      <c r="L378" s="59"/>
      <c r="M378" s="31" t="s">
        <v>2852</v>
      </c>
      <c r="N378" s="32" t="s">
        <v>2853</v>
      </c>
      <c r="O378" s="28" t="s">
        <v>100</v>
      </c>
      <c r="P378" s="56" t="s">
        <v>420</v>
      </c>
      <c r="Q378" s="87" t="n">
        <v>1000</v>
      </c>
      <c r="R378" s="58" t="s">
        <v>405</v>
      </c>
      <c r="S378" s="69" t="n">
        <v>4290</v>
      </c>
      <c r="T378" s="35" t="s">
        <v>102</v>
      </c>
      <c r="U378" s="28" t="n">
        <v>1034039.83</v>
      </c>
      <c r="V378" s="60" t="n">
        <v>28.13</v>
      </c>
      <c r="W378" s="71" t="n">
        <f aca="false">504541.37/2</f>
        <v>252270.685</v>
      </c>
      <c r="X378" s="112" t="n">
        <f aca="false">U378/V378</f>
        <v>36759.3256309989</v>
      </c>
      <c r="Y378" s="112" t="n">
        <f aca="false">34824.54/V378/2</f>
        <v>618.992890152862</v>
      </c>
      <c r="Z378" s="28" t="n">
        <v>5.17</v>
      </c>
      <c r="AA378" s="62" t="s">
        <v>80</v>
      </c>
      <c r="AB378" s="38" t="n">
        <v>44154</v>
      </c>
      <c r="AC378" s="38" t="n">
        <v>43849</v>
      </c>
      <c r="AD378" s="38" t="n">
        <v>44224</v>
      </c>
      <c r="AE378" s="50" t="n">
        <v>46049</v>
      </c>
      <c r="AF378" s="28" t="n">
        <v>2026</v>
      </c>
      <c r="AG378" s="63" t="n">
        <f aca="false">X378/SUMIF($Z$2:$Z$380,Z378,$X$2:$X$380)*(VLOOKUP(Z378,'затраты по департаментам-2 '!$A$2:$C$182,2,FALSE())+VLOOKUP(Z378,'затраты по департаментам-2 '!$A$2:$C$182,3,FALSE()))</f>
        <v>22635.7</v>
      </c>
      <c r="AH378" s="209" t="n">
        <f aca="false">W378/60</f>
        <v>4204.51141666667</v>
      </c>
      <c r="AI378" s="64" t="s">
        <v>81</v>
      </c>
      <c r="AJ378" s="63" t="s">
        <v>100</v>
      </c>
      <c r="AK378" s="215" t="n">
        <v>354018110387481</v>
      </c>
      <c r="AL378" s="43"/>
      <c r="AM378" s="43" t="s">
        <v>2854</v>
      </c>
      <c r="AN378" s="74" t="s">
        <v>2855</v>
      </c>
      <c r="AO378" s="65" t="n">
        <v>44945</v>
      </c>
      <c r="AP378" s="216" t="s">
        <v>2856</v>
      </c>
      <c r="AQ378" s="64" t="s">
        <v>2857</v>
      </c>
      <c r="AR378" s="64"/>
    </row>
    <row r="379" customFormat="false" ht="13.5" hidden="false" customHeight="true" outlineLevel="0" collapsed="false">
      <c r="A379" s="26" t="n">
        <v>378</v>
      </c>
      <c r="B379" s="43" t="s">
        <v>2858</v>
      </c>
      <c r="C379" s="43" t="s">
        <v>2859</v>
      </c>
      <c r="D379" s="28" t="s">
        <v>46</v>
      </c>
      <c r="E379" s="43" t="n">
        <v>10</v>
      </c>
      <c r="F379" s="205" t="n">
        <v>2</v>
      </c>
      <c r="G379" s="43" t="n">
        <v>155</v>
      </c>
      <c r="H379" s="43" t="n">
        <v>2021</v>
      </c>
      <c r="I379" s="43" t="s">
        <v>1292</v>
      </c>
      <c r="J379" s="43" t="s">
        <v>74</v>
      </c>
      <c r="K379" s="30" t="s">
        <v>2860</v>
      </c>
      <c r="L379" s="35"/>
      <c r="M379" s="31" t="s">
        <v>2861</v>
      </c>
      <c r="N379" s="32" t="s">
        <v>2862</v>
      </c>
      <c r="O379" s="28" t="s">
        <v>100</v>
      </c>
      <c r="P379" s="56" t="s">
        <v>2863</v>
      </c>
      <c r="Q379" s="57" t="n">
        <v>1000</v>
      </c>
      <c r="R379" s="58" t="s">
        <v>2864</v>
      </c>
      <c r="S379" s="69" t="n">
        <v>5111</v>
      </c>
      <c r="T379" s="35" t="s">
        <v>2865</v>
      </c>
      <c r="U379" s="28" t="n">
        <v>2197439.82</v>
      </c>
      <c r="V379" s="60" t="n">
        <v>26.3356</v>
      </c>
      <c r="W379" s="28" t="n">
        <v>501458.28</v>
      </c>
      <c r="X379" s="112" t="n">
        <f aca="false">U379/V379</f>
        <v>83439.8996035784</v>
      </c>
      <c r="Y379" s="112" t="n">
        <f aca="false">37278.36/V379</f>
        <v>1415.51208250429</v>
      </c>
      <c r="Z379" s="28" t="n">
        <v>5.34</v>
      </c>
      <c r="AA379" s="62" t="s">
        <v>80</v>
      </c>
      <c r="AB379" s="38" t="n">
        <v>44525</v>
      </c>
      <c r="AC379" s="50" t="n">
        <v>44494</v>
      </c>
      <c r="AD379" s="50" t="n">
        <v>44497</v>
      </c>
      <c r="AE379" s="50" t="n">
        <v>46323</v>
      </c>
      <c r="AF379" s="28" t="n">
        <v>2026</v>
      </c>
      <c r="AG379" s="63" t="n">
        <f aca="false">X379/SUMIF($Z$2:$Z$380,Z379,$X$2:$X$380)*(VLOOKUP(Z379,'затраты по департаментам-2 '!$A$2:$C$182,2,FALSE())+VLOOKUP(Z379,'затраты по департаментам-2 '!$A$2:$C$182,3,FALSE()))</f>
        <v>51763.2951402664</v>
      </c>
      <c r="AH379" s="153" t="n">
        <f aca="false">W379/60</f>
        <v>8357.638</v>
      </c>
      <c r="AI379" s="64" t="s">
        <v>81</v>
      </c>
      <c r="AJ379" s="63" t="s">
        <v>100</v>
      </c>
      <c r="AK379" s="43"/>
      <c r="AL379" s="43"/>
      <c r="AM379" s="43"/>
      <c r="AN379" s="43"/>
      <c r="AO379" s="65"/>
      <c r="AP379" s="43" t="s">
        <v>2866</v>
      </c>
      <c r="AQ379" s="43"/>
      <c r="AR379" s="50" t="n">
        <v>44197</v>
      </c>
    </row>
    <row r="380" customFormat="false" ht="15" hidden="false" customHeight="false" outlineLevel="0" collapsed="false">
      <c r="A380" s="26" t="n">
        <v>379</v>
      </c>
      <c r="B380" s="43" t="s">
        <v>2867</v>
      </c>
      <c r="C380" s="43" t="s">
        <v>2798</v>
      </c>
      <c r="D380" s="28" t="s">
        <v>46</v>
      </c>
      <c r="E380" s="43" t="n">
        <v>10.2</v>
      </c>
      <c r="F380" s="205" t="n">
        <v>2</v>
      </c>
      <c r="G380" s="43" t="n">
        <v>155</v>
      </c>
      <c r="H380" s="43" t="n">
        <v>2021</v>
      </c>
      <c r="I380" s="43" t="s">
        <v>1292</v>
      </c>
      <c r="J380" s="43" t="s">
        <v>74</v>
      </c>
      <c r="K380" s="30" t="s">
        <v>2868</v>
      </c>
      <c r="L380" s="59"/>
      <c r="M380" s="31" t="s">
        <v>2869</v>
      </c>
      <c r="N380" s="32" t="s">
        <v>2870</v>
      </c>
      <c r="O380" s="57" t="s">
        <v>100</v>
      </c>
      <c r="P380" s="130" t="s">
        <v>1310</v>
      </c>
      <c r="Q380" s="87" t="n">
        <v>1000</v>
      </c>
      <c r="R380" s="58" t="s">
        <v>171</v>
      </c>
      <c r="S380" s="69" t="n">
        <v>4130</v>
      </c>
      <c r="T380" s="35" t="s">
        <v>102</v>
      </c>
      <c r="U380" s="28" t="n">
        <v>1034039.83</v>
      </c>
      <c r="V380" s="60" t="n">
        <v>28.13</v>
      </c>
      <c r="W380" s="71" t="n">
        <f aca="false">504541.37/2</f>
        <v>252270.685</v>
      </c>
      <c r="X380" s="112" t="n">
        <f aca="false">U380/V380</f>
        <v>36759.3256309989</v>
      </c>
      <c r="Y380" s="112" t="n">
        <f aca="false">34824.54/V380/2</f>
        <v>618.992890152862</v>
      </c>
      <c r="Z380" s="28" t="n">
        <v>5.17</v>
      </c>
      <c r="AA380" s="62" t="s">
        <v>80</v>
      </c>
      <c r="AB380" s="38" t="n">
        <v>44154</v>
      </c>
      <c r="AC380" s="38" t="n">
        <v>43849</v>
      </c>
      <c r="AD380" s="38" t="n">
        <v>44224</v>
      </c>
      <c r="AE380" s="50" t="n">
        <v>46049</v>
      </c>
      <c r="AF380" s="28" t="n">
        <v>2026</v>
      </c>
      <c r="AG380" s="63" t="n">
        <f aca="false">X380/SUMIF($Z$2:$Z$380,Z380,$X$2:$X$380)*(VLOOKUP(Z380,'затраты по департаментам-2 '!$A$2:$C$182,2,FALSE())+VLOOKUP(Z380,'затраты по департаментам-2 '!$A$2:$C$182,3,FALSE()))</f>
        <v>22635.7</v>
      </c>
      <c r="AH380" s="153" t="n">
        <f aca="false">W380/60</f>
        <v>4204.51141666667</v>
      </c>
      <c r="AI380" s="64" t="s">
        <v>81</v>
      </c>
      <c r="AJ380" s="63" t="s">
        <v>100</v>
      </c>
      <c r="AK380" s="215" t="n">
        <v>354018110341009</v>
      </c>
      <c r="AL380" s="43"/>
      <c r="AM380" s="43" t="s">
        <v>2871</v>
      </c>
      <c r="AN380" s="74" t="s">
        <v>2872</v>
      </c>
      <c r="AO380" s="65" t="n">
        <v>44958</v>
      </c>
      <c r="AP380" s="216" t="s">
        <v>2873</v>
      </c>
      <c r="AQ380" s="66" t="s">
        <v>2874</v>
      </c>
      <c r="AR380" s="64"/>
    </row>
    <row r="382" customFormat="false" ht="12.75" hidden="false" customHeight="false" outlineLevel="0" collapsed="false">
      <c r="T382" s="217"/>
    </row>
    <row r="383" customFormat="false" ht="12.75" hidden="false" customHeight="false" outlineLevel="0" collapsed="false">
      <c r="AM383" s="44"/>
    </row>
    <row r="384" customFormat="false" ht="12.75" hidden="false" customHeight="false" outlineLevel="0" collapsed="false">
      <c r="AM384" s="44"/>
    </row>
    <row r="385" customFormat="false" ht="12.75" hidden="false" customHeight="false" outlineLevel="0" collapsed="false">
      <c r="AM385" s="44"/>
    </row>
    <row r="386" customFormat="false" ht="12.75" hidden="false" customHeight="false" outlineLevel="0" collapsed="false">
      <c r="AM386" s="44"/>
    </row>
    <row r="387" customFormat="false" ht="12.75" hidden="false" customHeight="false" outlineLevel="0" collapsed="false">
      <c r="AM387" s="44"/>
    </row>
    <row r="388" customFormat="false" ht="12.75" hidden="false" customHeight="false" outlineLevel="0" collapsed="false">
      <c r="AM388" s="44"/>
    </row>
    <row r="389" customFormat="false" ht="12.75" hidden="false" customHeight="false" outlineLevel="0" collapsed="false">
      <c r="AM389" s="44"/>
    </row>
    <row r="390" customFormat="false" ht="12.75" hidden="false" customHeight="false" outlineLevel="0" collapsed="false">
      <c r="AM390" s="44"/>
    </row>
    <row r="391" customFormat="false" ht="12.75" hidden="false" customHeight="false" outlineLevel="0" collapsed="false">
      <c r="AM391" s="44"/>
    </row>
    <row r="392" customFormat="false" ht="12.75" hidden="false" customHeight="false" outlineLevel="0" collapsed="false">
      <c r="AM392" s="44"/>
    </row>
    <row r="393" customFormat="false" ht="12.75" hidden="false" customHeight="false" outlineLevel="0" collapsed="false">
      <c r="AM393" s="44"/>
    </row>
    <row r="394" customFormat="false" ht="12.75" hidden="false" customHeight="false" outlineLevel="0" collapsed="false">
      <c r="AM394" s="44"/>
    </row>
    <row r="395" customFormat="false" ht="12.75" hidden="false" customHeight="false" outlineLevel="0" collapsed="false">
      <c r="AM395" s="44"/>
    </row>
    <row r="396" customFormat="false" ht="12.75" hidden="false" customHeight="false" outlineLevel="0" collapsed="false">
      <c r="AM396" s="44"/>
    </row>
    <row r="397" customFormat="false" ht="12.75" hidden="false" customHeight="false" outlineLevel="0" collapsed="false">
      <c r="AM397" s="44"/>
    </row>
    <row r="398" customFormat="false" ht="12.75" hidden="false" customHeight="false" outlineLevel="0" collapsed="false">
      <c r="AM398" s="44"/>
    </row>
    <row r="399" customFormat="false" ht="12.75" hidden="false" customHeight="false" outlineLevel="0" collapsed="false">
      <c r="AM399" s="44"/>
    </row>
    <row r="400" customFormat="false" ht="12.75" hidden="false" customHeight="false" outlineLevel="0" collapsed="false">
      <c r="AM400" s="44"/>
    </row>
    <row r="401" customFormat="false" ht="12.75" hidden="false" customHeight="false" outlineLevel="0" collapsed="false">
      <c r="AM401" s="44"/>
    </row>
    <row r="402" customFormat="false" ht="12.75" hidden="false" customHeight="false" outlineLevel="0" collapsed="false">
      <c r="AM402" s="44"/>
    </row>
  </sheetData>
  <sheetProtection sheet="true" autoFilter="false"/>
  <conditionalFormatting sqref="K41:K42 K360 K355 K51 K37:K39 K27:K33">
    <cfRule type="expression" priority="2" aboveAverage="0" equalAverage="0" bottom="0" percent="0" rank="0" text="" dxfId="0">
      <formula>#REF!=1</formula>
    </cfRule>
    <cfRule type="expression" priority="3" aboveAverage="0" equalAverage="0" bottom="0" percent="0" rank="0" text="" dxfId="1">
      <formula>#REF!=2</formula>
    </cfRule>
    <cfRule type="expression" priority="4" aboveAverage="0" equalAverage="0" bottom="0" percent="0" rank="0" text="" dxfId="2">
      <formula>#REF!=3</formula>
    </cfRule>
  </conditionalFormatting>
  <conditionalFormatting sqref="M92 M112 K103 M80:M81 K59 M70 K2 K105 M44:M45 K44:K49 K12 M75 M12 M176 K283 K249 M206 M208 K210:K211 K292 M297:M298 M305:M308 M232 K228:K232 M318:M319 M311:M312 M331 M16 M213 K296:K301 M343 K277:K281 M276:M279 K264:K265 M348:M349 M265 M196 K71 K73:K76 K96:K100 K112:K113 K164 K215:K216 M181 K176 M100:M102 K89 M346 K336 K358 M360 K303:K312 K235:K238 K194 K261 M351:M352 K354 K356 K142:K143 M200:M201 M143 K338:K341 K330:K331 M314 K285:K286 K371:K373 K178 K328 M354:M356 K366 K107 K180 K135:K137 K213 K131:K133 K91:K94 K80:K87 K183:K192 K147:K161 K7:K8 K314:K326 K115:K123 K125:K127 K351:K352 K196:K207 K220:K224 K258:K259">
    <cfRule type="expression" priority="5" aboveAverage="0" equalAverage="0" bottom="0" percent="0" rank="0" text="" dxfId="3">
      <formula>#REF!=1</formula>
    </cfRule>
    <cfRule type="expression" priority="6" aboveAverage="0" equalAverage="0" bottom="0" percent="0" rank="0" text="" dxfId="4">
      <formula>#REF!=2</formula>
    </cfRule>
    <cfRule type="expression" priority="7" aboveAverage="0" equalAverage="0" bottom="0" percent="0" rank="0" text="" dxfId="5">
      <formula>#REF!=3</formula>
    </cfRule>
  </conditionalFormatting>
  <conditionalFormatting sqref="M9:M10">
    <cfRule type="expression" priority="8" aboveAverage="0" equalAverage="0" bottom="0" percent="0" rank="0" text="" dxfId="6">
      <formula>#REF!=1</formula>
    </cfRule>
    <cfRule type="expression" priority="9" aboveAverage="0" equalAverage="0" bottom="0" percent="0" rank="0" text="" dxfId="7">
      <formula>#REF!=2</formula>
    </cfRule>
    <cfRule type="expression" priority="10" aboveAverage="0" equalAverage="0" bottom="0" percent="0" rank="0" text="" dxfId="8">
      <formula>#REF!=3</formula>
    </cfRule>
  </conditionalFormatting>
  <conditionalFormatting sqref="M259">
    <cfRule type="expression" priority="11" aboveAverage="0" equalAverage="0" bottom="0" percent="0" rank="0" text="" dxfId="9">
      <formula>#REF!=1</formula>
    </cfRule>
    <cfRule type="expression" priority="12" aboveAverage="0" equalAverage="0" bottom="0" percent="0" rank="0" text="" dxfId="10">
      <formula>#REF!=2</formula>
    </cfRule>
    <cfRule type="expression" priority="13" aboveAverage="0" equalAverage="0" bottom="0" percent="0" rank="0" text="" dxfId="11">
      <formula>#REF!=3</formula>
    </cfRule>
  </conditionalFormatting>
  <conditionalFormatting sqref="M172">
    <cfRule type="expression" priority="14" aboveAverage="0" equalAverage="0" bottom="0" percent="0" rank="0" text="" dxfId="12">
      <formula>#REF!=1</formula>
    </cfRule>
    <cfRule type="expression" priority="15" aboveAverage="0" equalAverage="0" bottom="0" percent="0" rank="0" text="" dxfId="13">
      <formula>#REF!=2</formula>
    </cfRule>
    <cfRule type="expression" priority="16" aboveAverage="0" equalAverage="0" bottom="0" percent="0" rank="0" text="" dxfId="14">
      <formula>#REF!=3</formula>
    </cfRule>
  </conditionalFormatting>
  <conditionalFormatting sqref="M222">
    <cfRule type="expression" priority="17" aboveAverage="0" equalAverage="0" bottom="0" percent="0" rank="0" text="" dxfId="15">
      <formula>#REF!=1</formula>
    </cfRule>
    <cfRule type="expression" priority="18" aboveAverage="0" equalAverage="0" bottom="0" percent="0" rank="0" text="" dxfId="16">
      <formula>#REF!=2</formula>
    </cfRule>
    <cfRule type="expression" priority="19" aboveAverage="0" equalAverage="0" bottom="0" percent="0" rank="0" text="" dxfId="17">
      <formula>#REF!=3</formula>
    </cfRule>
  </conditionalFormatting>
  <conditionalFormatting sqref="M146 M372">
    <cfRule type="expression" priority="20" aboveAverage="0" equalAverage="0" bottom="0" percent="0" rank="0" text="" dxfId="18">
      <formula>#REF!=1</formula>
    </cfRule>
    <cfRule type="expression" priority="21" aboveAverage="0" equalAverage="0" bottom="0" percent="0" rank="0" text="" dxfId="19">
      <formula>#REF!=2</formula>
    </cfRule>
    <cfRule type="expression" priority="22" aboveAverage="0" equalAverage="0" bottom="0" percent="0" rank="0" text="" dxfId="20">
      <formula>#REF!=3</formula>
    </cfRule>
  </conditionalFormatting>
  <conditionalFormatting sqref="M11">
    <cfRule type="expression" priority="23" aboveAverage="0" equalAverage="0" bottom="0" percent="0" rank="0" text="" dxfId="21">
      <formula>#REF!=1</formula>
    </cfRule>
    <cfRule type="expression" priority="24" aboveAverage="0" equalAverage="0" bottom="0" percent="0" rank="0" text="" dxfId="22">
      <formula>#REF!=2</formula>
    </cfRule>
    <cfRule type="expression" priority="25" aboveAverage="0" equalAverage="0" bottom="0" percent="0" rank="0" text="" dxfId="23">
      <formula>#REF!=3</formula>
    </cfRule>
  </conditionalFormatting>
  <conditionalFormatting sqref="M373">
    <cfRule type="expression" priority="26" aboveAverage="0" equalAverage="0" bottom="0" percent="0" rank="0" text="" dxfId="24">
      <formula>#REF!=1</formula>
    </cfRule>
    <cfRule type="expression" priority="27" aboveAverage="0" equalAverage="0" bottom="0" percent="0" rank="0" text="" dxfId="25">
      <formula>#REF!=2</formula>
    </cfRule>
    <cfRule type="expression" priority="28" aboveAverage="0" equalAverage="0" bottom="0" percent="0" rank="0" text="" dxfId="26">
      <formula>#REF!=3</formula>
    </cfRule>
  </conditionalFormatting>
  <conditionalFormatting sqref="M7">
    <cfRule type="expression" priority="29" aboveAverage="0" equalAverage="0" bottom="0" percent="0" rank="0" text="" dxfId="27">
      <formula>#REF!=1</formula>
    </cfRule>
    <cfRule type="expression" priority="30" aboveAverage="0" equalAverage="0" bottom="0" percent="0" rank="0" text="" dxfId="28">
      <formula>#REF!=2</formula>
    </cfRule>
    <cfRule type="expression" priority="31" aboveAverage="0" equalAverage="0" bottom="0" percent="0" rank="0" text="" dxfId="29">
      <formula>#REF!=3</formula>
    </cfRule>
  </conditionalFormatting>
  <conditionalFormatting sqref="M358 M2 M53 M162 M59 M164 M302 M333 M363 M6 M368 M194 M338">
    <cfRule type="expression" priority="32" aboveAverage="0" equalAverage="0" bottom="0" percent="0" rank="0" text="" dxfId="30">
      <formula>#REF!=1</formula>
    </cfRule>
    <cfRule type="expression" priority="33" aboveAverage="0" equalAverage="0" bottom="0" percent="0" rank="0" text="" dxfId="31">
      <formula>#REF!=2</formula>
    </cfRule>
    <cfRule type="expression" priority="34" aboveAverage="0" equalAverage="0" bottom="0" percent="0" rank="0" text="" dxfId="32">
      <formula>#REF!=3</formula>
    </cfRule>
  </conditionalFormatting>
  <conditionalFormatting sqref="M8">
    <cfRule type="expression" priority="35" aboveAverage="0" equalAverage="0" bottom="0" percent="0" rank="0" text="" dxfId="33">
      <formula>#REF!=1</formula>
    </cfRule>
    <cfRule type="expression" priority="36" aboveAverage="0" equalAverage="0" bottom="0" percent="0" rank="0" text="" dxfId="34">
      <formula>#REF!=2</formula>
    </cfRule>
    <cfRule type="expression" priority="37" aboveAverage="0" equalAverage="0" bottom="0" percent="0" rank="0" text="" dxfId="35">
      <formula>#REF!=3</formula>
    </cfRule>
  </conditionalFormatting>
  <conditionalFormatting sqref="M371">
    <cfRule type="expression" priority="38" aboveAverage="0" equalAverage="0" bottom="0" percent="0" rank="0" text="" dxfId="36">
      <formula>#REF!=1</formula>
    </cfRule>
    <cfRule type="expression" priority="39" aboveAverage="0" equalAverage="0" bottom="0" percent="0" rank="0" text="" dxfId="37">
      <formula>#REF!=2</formula>
    </cfRule>
    <cfRule type="expression" priority="40" aboveAverage="0" equalAverage="0" bottom="0" percent="0" rank="0" text="" dxfId="38">
      <formula>#REF!=3</formula>
    </cfRule>
  </conditionalFormatting>
  <conditionalFormatting sqref="N83 N87 N61:N70 N72 N2:N4 N45 N47:N48 N302 N229 N312 N368 N326 N298:N299 N196 N198 N176 N16:N17 N235:N236 N296 N145 N200:N201 N203 N321:N323 N28 N372 N328 N354 N351 N123 N333 N137:N139 N254 N341 N259:N260 N249:N252 N205 N316 N25 N241:N244 N357 N31 N148:N149 N238 N94 N151 N38:N40 N215 N154:N155 N209:N210 N287 N305:N307 N6 N246:N247 N178:N179 N348:N349 N378:N379">
    <cfRule type="expression" priority="41" aboveAverage="0" equalAverage="0" bottom="0" percent="0" rank="0" text="" dxfId="39">
      <formula>$A2=1</formula>
    </cfRule>
    <cfRule type="expression" priority="42" aboveAverage="0" equalAverage="0" bottom="0" percent="0" rank="0" text="" dxfId="40">
      <formula>$A2=2</formula>
    </cfRule>
    <cfRule type="expression" priority="43" aboveAverage="0" equalAverage="0" bottom="0" percent="0" rank="0" text="" dxfId="41">
      <formula>$A2=3</formula>
    </cfRule>
  </conditionalFormatting>
  <conditionalFormatting sqref="N146 N172 N11:N12 N7:N8">
    <cfRule type="expression" priority="44" aboveAverage="0" equalAverage="0" bottom="0" percent="0" rank="0" text="" dxfId="42">
      <formula>$A7=1</formula>
    </cfRule>
    <cfRule type="expression" priority="45" aboveAverage="0" equalAverage="0" bottom="0" percent="0" rank="0" text="" dxfId="43">
      <formula>$A7=2</formula>
    </cfRule>
    <cfRule type="expression" priority="46" aboveAverage="0" equalAverage="0" bottom="0" percent="0" rank="0" text="" dxfId="44">
      <formula>$A7=3</formula>
    </cfRule>
  </conditionalFormatting>
  <conditionalFormatting sqref="N2:N4">
    <cfRule type="containsText" priority="47" operator="containsText" aboveAverage="0" equalAverage="0" bottom="0" percent="0" rank="0" text="Водій автотранспортних засобів" dxfId="45">
      <formula>NOT(ISERROR(SEARCH("Водій автотранспортних засобів",N2)))</formula>
    </cfRule>
  </conditionalFormatting>
  <conditionalFormatting sqref="K10:K11">
    <cfRule type="expression" priority="48" aboveAverage="0" equalAverage="0" bottom="0" percent="0" rank="0" text="" dxfId="46">
      <formula>#REF!=1</formula>
    </cfRule>
    <cfRule type="expression" priority="49" aboveAverage="0" equalAverage="0" bottom="0" percent="0" rank="0" text="" dxfId="47">
      <formula>#REF!=2</formula>
    </cfRule>
    <cfRule type="expression" priority="50" aboveAverage="0" equalAverage="0" bottom="0" percent="0" rank="0" text="" dxfId="48">
      <formula>#REF!=3</formula>
    </cfRule>
  </conditionalFormatting>
  <conditionalFormatting sqref="K13:K15">
    <cfRule type="expression" priority="51" aboveAverage="0" equalAverage="0" bottom="0" percent="0" rank="0" text="" dxfId="49">
      <formula>#REF!=1</formula>
    </cfRule>
    <cfRule type="expression" priority="52" aboveAverage="0" equalAverage="0" bottom="0" percent="0" rank="0" text="" dxfId="50">
      <formula>#REF!=2</formula>
    </cfRule>
    <cfRule type="expression" priority="53" aboveAverage="0" equalAverage="0" bottom="0" percent="0" rank="0" text="" dxfId="51">
      <formula>#REF!=3</formula>
    </cfRule>
  </conditionalFormatting>
  <conditionalFormatting sqref="M13">
    <cfRule type="expression" priority="54" aboveAverage="0" equalAverage="0" bottom="0" percent="0" rank="0" text="" dxfId="52">
      <formula>#REF!=1</formula>
    </cfRule>
    <cfRule type="expression" priority="55" aboveAverage="0" equalAverage="0" bottom="0" percent="0" rank="0" text="" dxfId="53">
      <formula>#REF!=2</formula>
    </cfRule>
    <cfRule type="expression" priority="56" aboveAverage="0" equalAverage="0" bottom="0" percent="0" rank="0" text="" dxfId="54">
      <formula>#REF!=3</formula>
    </cfRule>
  </conditionalFormatting>
  <conditionalFormatting sqref="N13">
    <cfRule type="expression" priority="57" aboveAverage="0" equalAverage="0" bottom="0" percent="0" rank="0" text="" dxfId="55">
      <formula>$A13=1</formula>
    </cfRule>
    <cfRule type="expression" priority="58" aboveAverage="0" equalAverage="0" bottom="0" percent="0" rank="0" text="" dxfId="56">
      <formula>$A13=2</formula>
    </cfRule>
    <cfRule type="expression" priority="59" aboveAverage="0" equalAverage="0" bottom="0" percent="0" rank="0" text="" dxfId="57">
      <formula>$A13=3</formula>
    </cfRule>
  </conditionalFormatting>
  <conditionalFormatting sqref="M14">
    <cfRule type="expression" priority="60" aboveAverage="0" equalAverage="0" bottom="0" percent="0" rank="0" text="" dxfId="58">
      <formula>#REF!=1</formula>
    </cfRule>
    <cfRule type="expression" priority="61" aboveAverage="0" equalAverage="0" bottom="0" percent="0" rank="0" text="" dxfId="59">
      <formula>#REF!=2</formula>
    </cfRule>
    <cfRule type="expression" priority="62" aboveAverage="0" equalAverage="0" bottom="0" percent="0" rank="0" text="" dxfId="60">
      <formula>#REF!=3</formula>
    </cfRule>
  </conditionalFormatting>
  <conditionalFormatting sqref="N14">
    <cfRule type="expression" priority="63" aboveAverage="0" equalAverage="0" bottom="0" percent="0" rank="0" text="" dxfId="61">
      <formula>$A14=1</formula>
    </cfRule>
    <cfRule type="expression" priority="64" aboveAverage="0" equalAverage="0" bottom="0" percent="0" rank="0" text="" dxfId="62">
      <formula>$A14=2</formula>
    </cfRule>
    <cfRule type="expression" priority="65" aboveAverage="0" equalAverage="0" bottom="0" percent="0" rank="0" text="" dxfId="63">
      <formula>$A14=3</formula>
    </cfRule>
  </conditionalFormatting>
  <conditionalFormatting sqref="M15">
    <cfRule type="expression" priority="66" aboveAverage="0" equalAverage="0" bottom="0" percent="0" rank="0" text="" dxfId="64">
      <formula>#REF!=1</formula>
    </cfRule>
    <cfRule type="expression" priority="67" aboveAverage="0" equalAverage="0" bottom="0" percent="0" rank="0" text="" dxfId="65">
      <formula>#REF!=2</formula>
    </cfRule>
    <cfRule type="expression" priority="68" aboveAverage="0" equalAverage="0" bottom="0" percent="0" rank="0" text="" dxfId="66">
      <formula>#REF!=3</formula>
    </cfRule>
  </conditionalFormatting>
  <conditionalFormatting sqref="N15">
    <cfRule type="expression" priority="69" aboveAverage="0" equalAverage="0" bottom="0" percent="0" rank="0" text="" dxfId="67">
      <formula>$A15=1</formula>
    </cfRule>
    <cfRule type="expression" priority="70" aboveAverage="0" equalAverage="0" bottom="0" percent="0" rank="0" text="" dxfId="68">
      <formula>$A15=2</formula>
    </cfRule>
    <cfRule type="expression" priority="71" aboveAverage="0" equalAverage="0" bottom="0" percent="0" rank="0" text="" dxfId="69">
      <formula>$A15=3</formula>
    </cfRule>
  </conditionalFormatting>
  <conditionalFormatting sqref="K16 K18:K19">
    <cfRule type="expression" priority="72" aboveAverage="0" equalAverage="0" bottom="0" percent="0" rank="0" text="" dxfId="70">
      <formula>#REF!=1</formula>
    </cfRule>
    <cfRule type="expression" priority="73" aboveAverage="0" equalAverage="0" bottom="0" percent="0" rank="0" text="" dxfId="71">
      <formula>#REF!=2</formula>
    </cfRule>
    <cfRule type="expression" priority="74" aboveAverage="0" equalAverage="0" bottom="0" percent="0" rank="0" text="" dxfId="72">
      <formula>#REF!=3</formula>
    </cfRule>
  </conditionalFormatting>
  <conditionalFormatting sqref="M22">
    <cfRule type="expression" priority="75" aboveAverage="0" equalAverage="0" bottom="0" percent="0" rank="0" text="" dxfId="73">
      <formula>#REF!=1</formula>
    </cfRule>
    <cfRule type="expression" priority="76" aboveAverage="0" equalAverage="0" bottom="0" percent="0" rank="0" text="" dxfId="74">
      <formula>#REF!=2</formula>
    </cfRule>
    <cfRule type="expression" priority="77" aboveAverage="0" equalAverage="0" bottom="0" percent="0" rank="0" text="" dxfId="75">
      <formula>#REF!=3</formula>
    </cfRule>
  </conditionalFormatting>
  <conditionalFormatting sqref="M17">
    <cfRule type="expression" priority="78" aboveAverage="0" equalAverage="0" bottom="0" percent="0" rank="0" text="" dxfId="76">
      <formula>#REF!=1</formula>
    </cfRule>
    <cfRule type="expression" priority="79" aboveAverage="0" equalAverage="0" bottom="0" percent="0" rank="0" text="" dxfId="77">
      <formula>#REF!=2</formula>
    </cfRule>
    <cfRule type="expression" priority="80" aboveAverage="0" equalAverage="0" bottom="0" percent="0" rank="0" text="" dxfId="78">
      <formula>#REF!=3</formula>
    </cfRule>
  </conditionalFormatting>
  <conditionalFormatting sqref="M336 M19 M21">
    <cfRule type="expression" priority="81" aboveAverage="0" equalAverage="0" bottom="0" percent="0" rank="0" text="" dxfId="79">
      <formula>#REF!=1</formula>
    </cfRule>
    <cfRule type="expression" priority="82" aboveAverage="0" equalAverage="0" bottom="0" percent="0" rank="0" text="" dxfId="80">
      <formula>#REF!=2</formula>
    </cfRule>
    <cfRule type="expression" priority="83" aboveAverage="0" equalAverage="0" bottom="0" percent="0" rank="0" text="" dxfId="81">
      <formula>#REF!=3</formula>
    </cfRule>
  </conditionalFormatting>
  <conditionalFormatting sqref="M18">
    <cfRule type="expression" priority="84" aboveAverage="0" equalAverage="0" bottom="0" percent="0" rank="0" text="" dxfId="82">
      <formula>#REF!=1</formula>
    </cfRule>
    <cfRule type="expression" priority="85" aboveAverage="0" equalAverage="0" bottom="0" percent="0" rank="0" text="" dxfId="83">
      <formula>#REF!=2</formula>
    </cfRule>
    <cfRule type="expression" priority="86" aboveAverage="0" equalAverage="0" bottom="0" percent="0" rank="0" text="" dxfId="84">
      <formula>#REF!=3</formula>
    </cfRule>
  </conditionalFormatting>
  <conditionalFormatting sqref="N18 N22">
    <cfRule type="expression" priority="87" aboveAverage="0" equalAverage="0" bottom="0" percent="0" rank="0" text="" dxfId="85">
      <formula>$A18=1</formula>
    </cfRule>
    <cfRule type="expression" priority="88" aboveAverage="0" equalAverage="0" bottom="0" percent="0" rank="0" text="" dxfId="86">
      <formula>$A18=2</formula>
    </cfRule>
    <cfRule type="expression" priority="89" aboveAverage="0" equalAverage="0" bottom="0" percent="0" rank="0" text="" dxfId="87">
      <formula>$A18=3</formula>
    </cfRule>
  </conditionalFormatting>
  <conditionalFormatting sqref="K23:K25">
    <cfRule type="expression" priority="90" aboveAverage="0" equalAverage="0" bottom="0" percent="0" rank="0" text="" dxfId="88">
      <formula>#REF!=1</formula>
    </cfRule>
    <cfRule type="expression" priority="91" aboveAverage="0" equalAverage="0" bottom="0" percent="0" rank="0" text="" dxfId="89">
      <formula>#REF!=2</formula>
    </cfRule>
    <cfRule type="expression" priority="92" aboveAverage="0" equalAverage="0" bottom="0" percent="0" rank="0" text="" dxfId="90">
      <formula>#REF!=3</formula>
    </cfRule>
  </conditionalFormatting>
  <conditionalFormatting sqref="M38">
    <cfRule type="expression" priority="93" aboveAverage="0" equalAverage="0" bottom="0" percent="0" rank="0" text="" dxfId="91">
      <formula>#REF!=1</formula>
    </cfRule>
    <cfRule type="expression" priority="94" aboveAverage="0" equalAverage="0" bottom="0" percent="0" rank="0" text="" dxfId="92">
      <formula>#REF!=2</formula>
    </cfRule>
    <cfRule type="expression" priority="95" aboveAverage="0" equalAverage="0" bottom="0" percent="0" rank="0" text="" dxfId="93">
      <formula>#REF!=3</formula>
    </cfRule>
  </conditionalFormatting>
  <conditionalFormatting sqref="M32 M27:M28">
    <cfRule type="expression" priority="96" aboveAverage="0" equalAverage="0" bottom="0" percent="0" rank="0" text="" dxfId="94">
      <formula>#REF!=1</formula>
    </cfRule>
    <cfRule type="expression" priority="97" aboveAverage="0" equalAverage="0" bottom="0" percent="0" rank="0" text="" dxfId="95">
      <formula>#REF!=2</formula>
    </cfRule>
    <cfRule type="expression" priority="98" aboveAverage="0" equalAverage="0" bottom="0" percent="0" rank="0" text="" dxfId="96">
      <formula>#REF!=3</formula>
    </cfRule>
  </conditionalFormatting>
  <conditionalFormatting sqref="M29 M23">
    <cfRule type="expression" priority="99" aboveAverage="0" equalAverage="0" bottom="0" percent="0" rank="0" text="" dxfId="97">
      <formula>#REF!=1</formula>
    </cfRule>
    <cfRule type="expression" priority="100" aboveAverage="0" equalAverage="0" bottom="0" percent="0" rank="0" text="" dxfId="98">
      <formula>#REF!=2</formula>
    </cfRule>
    <cfRule type="expression" priority="101" aboveAverage="0" equalAverage="0" bottom="0" percent="0" rank="0" text="" dxfId="99">
      <formula>#REF!=3</formula>
    </cfRule>
  </conditionalFormatting>
  <conditionalFormatting sqref="M24 M31">
    <cfRule type="expression" priority="102" aboveAverage="0" equalAverage="0" bottom="0" percent="0" rank="0" text="" dxfId="100">
      <formula>#REF!=1</formula>
    </cfRule>
    <cfRule type="expression" priority="103" aboveAverage="0" equalAverage="0" bottom="0" percent="0" rank="0" text="" dxfId="101">
      <formula>#REF!=2</formula>
    </cfRule>
    <cfRule type="expression" priority="104" aboveAverage="0" equalAverage="0" bottom="0" percent="0" rank="0" text="" dxfId="102">
      <formula>#REF!=3</formula>
    </cfRule>
  </conditionalFormatting>
  <conditionalFormatting sqref="M33 M42 M37 M339 M30 M25 M39:M40">
    <cfRule type="expression" priority="105" aboveAverage="0" equalAverage="0" bottom="0" percent="0" rank="0" text="" dxfId="103">
      <formula>#REF!=1</formula>
    </cfRule>
    <cfRule type="expression" priority="106" aboveAverage="0" equalAverage="0" bottom="0" percent="0" rank="0" text="" dxfId="104">
      <formula>#REF!=2</formula>
    </cfRule>
    <cfRule type="expression" priority="107" aboveAverage="0" equalAverage="0" bottom="0" percent="0" rank="0" text="" dxfId="105">
      <formula>#REF!=3</formula>
    </cfRule>
  </conditionalFormatting>
  <conditionalFormatting sqref="M35 M41">
    <cfRule type="expression" priority="108" aboveAverage="0" equalAverage="0" bottom="0" percent="0" rank="0" text="" dxfId="106">
      <formula>#REF!=1</formula>
    </cfRule>
    <cfRule type="expression" priority="109" aboveAverage="0" equalAverage="0" bottom="0" percent="0" rank="0" text="" dxfId="107">
      <formula>#REF!=2</formula>
    </cfRule>
    <cfRule type="expression" priority="110" aboveAverage="0" equalAverage="0" bottom="0" percent="0" rank="0" text="" dxfId="108">
      <formula>#REF!=3</formula>
    </cfRule>
  </conditionalFormatting>
  <conditionalFormatting sqref="M36">
    <cfRule type="expression" priority="111" aboveAverage="0" equalAverage="0" bottom="0" percent="0" rank="0" text="" dxfId="109">
      <formula>#REF!=1</formula>
    </cfRule>
    <cfRule type="expression" priority="112" aboveAverage="0" equalAverage="0" bottom="0" percent="0" rank="0" text="" dxfId="110">
      <formula>#REF!=2</formula>
    </cfRule>
    <cfRule type="expression" priority="113" aboveAverage="0" equalAverage="0" bottom="0" percent="0" rank="0" text="" dxfId="111">
      <formula>#REF!=3</formula>
    </cfRule>
  </conditionalFormatting>
  <conditionalFormatting sqref="M47">
    <cfRule type="expression" priority="114" aboveAverage="0" equalAverage="0" bottom="0" percent="0" rank="0" text="" dxfId="112">
      <formula>#REF!=1</formula>
    </cfRule>
    <cfRule type="expression" priority="115" aboveAverage="0" equalAverage="0" bottom="0" percent="0" rank="0" text="" dxfId="113">
      <formula>#REF!=2</formula>
    </cfRule>
    <cfRule type="expression" priority="116" aboveAverage="0" equalAverage="0" bottom="0" percent="0" rank="0" text="" dxfId="114">
      <formula>#REF!=3</formula>
    </cfRule>
  </conditionalFormatting>
  <conditionalFormatting sqref="M48">
    <cfRule type="expression" priority="117" aboveAverage="0" equalAverage="0" bottom="0" percent="0" rank="0" text="" dxfId="115">
      <formula>#REF!=1</formula>
    </cfRule>
    <cfRule type="expression" priority="118" aboveAverage="0" equalAverage="0" bottom="0" percent="0" rank="0" text="" dxfId="116">
      <formula>#REF!=2</formula>
    </cfRule>
    <cfRule type="expression" priority="119" aboveAverage="0" equalAverage="0" bottom="0" percent="0" rank="0" text="" dxfId="117">
      <formula>#REF!=3</formula>
    </cfRule>
  </conditionalFormatting>
  <conditionalFormatting sqref="M51">
    <cfRule type="expression" priority="120" aboveAverage="0" equalAverage="0" bottom="0" percent="0" rank="0" text="" dxfId="118">
      <formula>#REF!=1</formula>
    </cfRule>
    <cfRule type="expression" priority="121" aboveAverage="0" equalAverage="0" bottom="0" percent="0" rank="0" text="" dxfId="119">
      <formula>#REF!=2</formula>
    </cfRule>
    <cfRule type="expression" priority="122" aboveAverage="0" equalAverage="0" bottom="0" percent="0" rank="0" text="" dxfId="120">
      <formula>#REF!=3</formula>
    </cfRule>
  </conditionalFormatting>
  <conditionalFormatting sqref="N51">
    <cfRule type="expression" priority="123" aboveAverage="0" equalAverage="0" bottom="0" percent="0" rank="0" text="" dxfId="121">
      <formula>$A51=1</formula>
    </cfRule>
    <cfRule type="expression" priority="124" aboveAverage="0" equalAverage="0" bottom="0" percent="0" rank="0" text="" dxfId="122">
      <formula>$A51=2</formula>
    </cfRule>
    <cfRule type="expression" priority="125" aboveAverage="0" equalAverage="0" bottom="0" percent="0" rank="0" text="" dxfId="123">
      <formula>$A51=3</formula>
    </cfRule>
  </conditionalFormatting>
  <conditionalFormatting sqref="K52 K54">
    <cfRule type="expression" priority="126" aboveAverage="0" equalAverage="0" bottom="0" percent="0" rank="0" text="" dxfId="124">
      <formula>#REF!=1</formula>
    </cfRule>
    <cfRule type="expression" priority="127" aboveAverage="0" equalAverage="0" bottom="0" percent="0" rank="0" text="" dxfId="125">
      <formula>#REF!=2</formula>
    </cfRule>
    <cfRule type="expression" priority="128" aboveAverage="0" equalAverage="0" bottom="0" percent="0" rank="0" text="" dxfId="126">
      <formula>#REF!=3</formula>
    </cfRule>
  </conditionalFormatting>
  <conditionalFormatting sqref="M54">
    <cfRule type="expression" priority="129" aboveAverage="0" equalAverage="0" bottom="0" percent="0" rank="0" text="" dxfId="127">
      <formula>#REF!=1</formula>
    </cfRule>
    <cfRule type="expression" priority="130" aboveAverage="0" equalAverage="0" bottom="0" percent="0" rank="0" text="" dxfId="128">
      <formula>#REF!=2</formula>
    </cfRule>
    <cfRule type="expression" priority="131" aboveAverage="0" equalAverage="0" bottom="0" percent="0" rank="0" text="" dxfId="129">
      <formula>#REF!=3</formula>
    </cfRule>
  </conditionalFormatting>
  <conditionalFormatting sqref="M52">
    <cfRule type="expression" priority="132" aboveAverage="0" equalAverage="0" bottom="0" percent="0" rank="0" text="" dxfId="130">
      <formula>#REF!=1</formula>
    </cfRule>
    <cfRule type="expression" priority="133" aboveAverage="0" equalAverage="0" bottom="0" percent="0" rank="0" text="" dxfId="131">
      <formula>#REF!=2</formula>
    </cfRule>
    <cfRule type="expression" priority="134" aboveAverage="0" equalAverage="0" bottom="0" percent="0" rank="0" text="" dxfId="132">
      <formula>#REF!=3</formula>
    </cfRule>
  </conditionalFormatting>
  <conditionalFormatting sqref="N52 N54">
    <cfRule type="expression" priority="135" aboveAverage="0" equalAverage="0" bottom="0" percent="0" rank="0" text="" dxfId="133">
      <formula>$A52=1</formula>
    </cfRule>
    <cfRule type="expression" priority="136" aboveAverage="0" equalAverage="0" bottom="0" percent="0" rank="0" text="" dxfId="134">
      <formula>$A52=2</formula>
    </cfRule>
    <cfRule type="expression" priority="137" aboveAverage="0" equalAverage="0" bottom="0" percent="0" rank="0" text="" dxfId="135">
      <formula>$A52=3</formula>
    </cfRule>
  </conditionalFormatting>
  <conditionalFormatting sqref="K55">
    <cfRule type="expression" priority="138" aboveAverage="0" equalAverage="0" bottom="0" percent="0" rank="0" text="" dxfId="136">
      <formula>#REF!=1</formula>
    </cfRule>
    <cfRule type="expression" priority="139" aboveAverage="0" equalAverage="0" bottom="0" percent="0" rank="0" text="" dxfId="137">
      <formula>#REF!=2</formula>
    </cfRule>
    <cfRule type="expression" priority="140" aboveAverage="0" equalAverage="0" bottom="0" percent="0" rank="0" text="" dxfId="138">
      <formula>#REF!=3</formula>
    </cfRule>
  </conditionalFormatting>
  <conditionalFormatting sqref="M55">
    <cfRule type="expression" priority="141" aboveAverage="0" equalAverage="0" bottom="0" percent="0" rank="0" text="" dxfId="139">
      <formula>#REF!=1</formula>
    </cfRule>
    <cfRule type="expression" priority="142" aboveAverage="0" equalAverage="0" bottom="0" percent="0" rank="0" text="" dxfId="140">
      <formula>#REF!=2</formula>
    </cfRule>
    <cfRule type="expression" priority="143" aboveAverage="0" equalAverage="0" bottom="0" percent="0" rank="0" text="" dxfId="141">
      <formula>#REF!=3</formula>
    </cfRule>
  </conditionalFormatting>
  <conditionalFormatting sqref="N55">
    <cfRule type="expression" priority="144" aboveAverage="0" equalAverage="0" bottom="0" percent="0" rank="0" text="" dxfId="142">
      <formula>$A55=1</formula>
    </cfRule>
    <cfRule type="expression" priority="145" aboveAverage="0" equalAverage="0" bottom="0" percent="0" rank="0" text="" dxfId="143">
      <formula>$A55=2</formula>
    </cfRule>
    <cfRule type="expression" priority="146" aboveAverage="0" equalAverage="0" bottom="0" percent="0" rank="0" text="" dxfId="144">
      <formula>$A55=3</formula>
    </cfRule>
  </conditionalFormatting>
  <conditionalFormatting sqref="M57">
    <cfRule type="expression" priority="147" aboveAverage="0" equalAverage="0" bottom="0" percent="0" rank="0" text="" dxfId="145">
      <formula>#REF!=1</formula>
    </cfRule>
    <cfRule type="expression" priority="148" aboveAverage="0" equalAverage="0" bottom="0" percent="0" rank="0" text="" dxfId="146">
      <formula>#REF!=2</formula>
    </cfRule>
    <cfRule type="expression" priority="149" aboveAverage="0" equalAverage="0" bottom="0" percent="0" rank="0" text="" dxfId="147">
      <formula>#REF!=3</formula>
    </cfRule>
  </conditionalFormatting>
  <conditionalFormatting sqref="N57">
    <cfRule type="expression" priority="150" aboveAverage="0" equalAverage="0" bottom="0" percent="0" rank="0" text="" dxfId="148">
      <formula>$A57=1</formula>
    </cfRule>
    <cfRule type="expression" priority="151" aboveAverage="0" equalAverage="0" bottom="0" percent="0" rank="0" text="" dxfId="149">
      <formula>$A57=2</formula>
    </cfRule>
    <cfRule type="expression" priority="152" aboveAverage="0" equalAverage="0" bottom="0" percent="0" rank="0" text="" dxfId="150">
      <formula>$A57=3</formula>
    </cfRule>
  </conditionalFormatting>
  <conditionalFormatting sqref="K60">
    <cfRule type="expression" priority="153" aboveAverage="0" equalAverage="0" bottom="0" percent="0" rank="0" text="" dxfId="151">
      <formula>#REF!=1</formula>
    </cfRule>
    <cfRule type="expression" priority="154" aboveAverage="0" equalAverage="0" bottom="0" percent="0" rank="0" text="" dxfId="152">
      <formula>#REF!=2</formula>
    </cfRule>
    <cfRule type="expression" priority="155" aboveAverage="0" equalAverage="0" bottom="0" percent="0" rank="0" text="" dxfId="153">
      <formula>#REF!=3</formula>
    </cfRule>
  </conditionalFormatting>
  <conditionalFormatting sqref="M60">
    <cfRule type="expression" priority="156" aboveAverage="0" equalAverage="0" bottom="0" percent="0" rank="0" text="" dxfId="154">
      <formula>#REF!=1</formula>
    </cfRule>
    <cfRule type="expression" priority="157" aboveAverage="0" equalAverage="0" bottom="0" percent="0" rank="0" text="" dxfId="155">
      <formula>#REF!=2</formula>
    </cfRule>
    <cfRule type="expression" priority="158" aboveAverage="0" equalAverage="0" bottom="0" percent="0" rank="0" text="" dxfId="156">
      <formula>#REF!=3</formula>
    </cfRule>
  </conditionalFormatting>
  <conditionalFormatting sqref="N162">
    <cfRule type="expression" priority="159" aboveAverage="0" equalAverage="0" bottom="0" percent="0" rank="0" text="" dxfId="157">
      <formula>$A78=1</formula>
    </cfRule>
    <cfRule type="expression" priority="160" aboveAverage="0" equalAverage="0" bottom="0" percent="0" rank="0" text="" dxfId="158">
      <formula>$A78=2</formula>
    </cfRule>
    <cfRule type="expression" priority="161" aboveAverage="0" equalAverage="0" bottom="0" percent="0" rank="0" text="" dxfId="159">
      <formula>$A78=3</formula>
    </cfRule>
  </conditionalFormatting>
  <conditionalFormatting sqref="K162">
    <cfRule type="expression" priority="162" aboveAverage="0" equalAverage="0" bottom="0" percent="0" rank="0" text="" dxfId="160">
      <formula>#REF!=1</formula>
    </cfRule>
    <cfRule type="expression" priority="163" aboveAverage="0" equalAverage="0" bottom="0" percent="0" rank="0" text="" dxfId="161">
      <formula>#REF!=2</formula>
    </cfRule>
    <cfRule type="expression" priority="164" aboveAverage="0" equalAverage="0" bottom="0" percent="0" rank="0" text="" dxfId="162">
      <formula>#REF!=3</formula>
    </cfRule>
  </conditionalFormatting>
  <conditionalFormatting sqref="M58">
    <cfRule type="expression" priority="165" aboveAverage="0" equalAverage="0" bottom="0" percent="0" rank="0" text="" dxfId="163">
      <formula>#REF!=1</formula>
    </cfRule>
    <cfRule type="expression" priority="166" aboveAverage="0" equalAverage="0" bottom="0" percent="0" rank="0" text="" dxfId="164">
      <formula>#REF!=2</formula>
    </cfRule>
    <cfRule type="expression" priority="167" aboveAverage="0" equalAverage="0" bottom="0" percent="0" rank="0" text="" dxfId="165">
      <formula>#REF!=3</formula>
    </cfRule>
  </conditionalFormatting>
  <conditionalFormatting sqref="N58">
    <cfRule type="expression" priority="168" aboveAverage="0" equalAverage="0" bottom="0" percent="0" rank="0" text="" dxfId="166">
      <formula>$A58=1</formula>
    </cfRule>
    <cfRule type="expression" priority="169" aboveAverage="0" equalAverage="0" bottom="0" percent="0" rank="0" text="" dxfId="167">
      <formula>$A58=2</formula>
    </cfRule>
    <cfRule type="expression" priority="170" aboveAverage="0" equalAverage="0" bottom="0" percent="0" rank="0" text="" dxfId="168">
      <formula>$A58=3</formula>
    </cfRule>
  </conditionalFormatting>
  <conditionalFormatting sqref="N59">
    <cfRule type="expression" priority="171" aboveAverage="0" equalAverage="0" bottom="0" percent="0" rank="0" text="" dxfId="169">
      <formula>$A59=1</formula>
    </cfRule>
    <cfRule type="expression" priority="172" aboveAverage="0" equalAverage="0" bottom="0" percent="0" rank="0" text="" dxfId="170">
      <formula>$A59=2</formula>
    </cfRule>
    <cfRule type="expression" priority="173" aboveAverage="0" equalAverage="0" bottom="0" percent="0" rank="0" text="" dxfId="171">
      <formula>$A59=3</formula>
    </cfRule>
  </conditionalFormatting>
  <conditionalFormatting sqref="K57:K58">
    <cfRule type="expression" priority="174" aboveAverage="0" equalAverage="0" bottom="0" percent="0" rank="0" text="" dxfId="172">
      <formula>#REF!=1</formula>
    </cfRule>
    <cfRule type="expression" priority="175" aboveAverage="0" equalAverage="0" bottom="0" percent="0" rank="0" text="" dxfId="173">
      <formula>#REF!=2</formula>
    </cfRule>
    <cfRule type="expression" priority="176" aboveAverage="0" equalAverage="0" bottom="0" percent="0" rank="0" text="" dxfId="174">
      <formula>#REF!=3</formula>
    </cfRule>
  </conditionalFormatting>
  <conditionalFormatting sqref="M84 M103 M94">
    <cfRule type="expression" priority="177" aboveAverage="0" equalAverage="0" bottom="0" percent="0" rank="0" text="" dxfId="175">
      <formula>#REF!=1</formula>
    </cfRule>
    <cfRule type="expression" priority="178" aboveAverage="0" equalAverage="0" bottom="0" percent="0" rank="0" text="" dxfId="176">
      <formula>#REF!=2</formula>
    </cfRule>
    <cfRule type="expression" priority="179" aboveAverage="0" equalAverage="0" bottom="0" percent="0" rank="0" text="" dxfId="177">
      <formula>#REF!=3</formula>
    </cfRule>
  </conditionalFormatting>
  <conditionalFormatting sqref="M82 M87">
    <cfRule type="expression" priority="180" aboveAverage="0" equalAverage="0" bottom="0" percent="0" rank="0" text="" dxfId="178">
      <formula>#REF!=1</formula>
    </cfRule>
    <cfRule type="expression" priority="181" aboveAverage="0" equalAverage="0" bottom="0" percent="0" rank="0" text="" dxfId="179">
      <formula>#REF!=2</formula>
    </cfRule>
    <cfRule type="expression" priority="182" aboveAverage="0" equalAverage="0" bottom="0" percent="0" rank="0" text="" dxfId="180">
      <formula>#REF!=3</formula>
    </cfRule>
  </conditionalFormatting>
  <conditionalFormatting sqref="M93">
    <cfRule type="expression" priority="183" aboveAverage="0" equalAverage="0" bottom="0" percent="0" rank="0" text="" dxfId="181">
      <formula>#REF!=1</formula>
    </cfRule>
    <cfRule type="expression" priority="184" aboveAverage="0" equalAverage="0" bottom="0" percent="0" rank="0" text="" dxfId="182">
      <formula>#REF!=2</formula>
    </cfRule>
    <cfRule type="expression" priority="185" aboveAverage="0" equalAverage="0" bottom="0" percent="0" rank="0" text="" dxfId="183">
      <formula>#REF!=3</formula>
    </cfRule>
  </conditionalFormatting>
  <conditionalFormatting sqref="M96 M83">
    <cfRule type="expression" priority="186" aboveAverage="0" equalAverage="0" bottom="0" percent="0" rank="0" text="" dxfId="184">
      <formula>#REF!=1</formula>
    </cfRule>
    <cfRule type="expression" priority="187" aboveAverage="0" equalAverage="0" bottom="0" percent="0" rank="0" text="" dxfId="185">
      <formula>#REF!=2</formula>
    </cfRule>
    <cfRule type="expression" priority="188" aboveAverage="0" equalAverage="0" bottom="0" percent="0" rank="0" text="" dxfId="186">
      <formula>#REF!=3</formula>
    </cfRule>
  </conditionalFormatting>
  <conditionalFormatting sqref="M249">
    <cfRule type="expression" priority="189" aboveAverage="0" equalAverage="0" bottom="0" percent="0" rank="0" text="" dxfId="187">
      <formula>#REF!=1</formula>
    </cfRule>
    <cfRule type="expression" priority="190" aboveAverage="0" equalAverage="0" bottom="0" percent="0" rank="0" text="" dxfId="188">
      <formula>#REF!=2</formula>
    </cfRule>
    <cfRule type="expression" priority="191" aboveAverage="0" equalAverage="0" bottom="0" percent="0" rank="0" text="" dxfId="189">
      <formula>#REF!=3</formula>
    </cfRule>
  </conditionalFormatting>
  <conditionalFormatting sqref="M107 M89 M97:M98 M85:M86">
    <cfRule type="expression" priority="192" aboveAverage="0" equalAverage="0" bottom="0" percent="0" rank="0" text="" dxfId="190">
      <formula>#REF!=1</formula>
    </cfRule>
    <cfRule type="expression" priority="193" aboveAverage="0" equalAverage="0" bottom="0" percent="0" rank="0" text="" dxfId="191">
      <formula>#REF!=2</formula>
    </cfRule>
    <cfRule type="expression" priority="194" aboveAverage="0" equalAverage="0" bottom="0" percent="0" rank="0" text="" dxfId="192">
      <formula>#REF!=3</formula>
    </cfRule>
  </conditionalFormatting>
  <conditionalFormatting sqref="M99">
    <cfRule type="expression" priority="195" aboveAverage="0" equalAverage="0" bottom="0" percent="0" rank="0" text="" dxfId="193">
      <formula>#REF!=1</formula>
    </cfRule>
    <cfRule type="expression" priority="196" aboveAverage="0" equalAverage="0" bottom="0" percent="0" rank="0" text="" dxfId="194">
      <formula>#REF!=2</formula>
    </cfRule>
    <cfRule type="expression" priority="197" aboveAverage="0" equalAverage="0" bottom="0" percent="0" rank="0" text="" dxfId="195">
      <formula>#REF!=3</formula>
    </cfRule>
  </conditionalFormatting>
  <conditionalFormatting sqref="M91">
    <cfRule type="expression" priority="198" aboveAverage="0" equalAverage="0" bottom="0" percent="0" rank="0" text="" dxfId="196">
      <formula>#REF!=1</formula>
    </cfRule>
    <cfRule type="expression" priority="199" aboveAverage="0" equalAverage="0" bottom="0" percent="0" rank="0" text="" dxfId="197">
      <formula>#REF!=2</formula>
    </cfRule>
    <cfRule type="expression" priority="200" aboveAverage="0" equalAverage="0" bottom="0" percent="0" rank="0" text="" dxfId="198">
      <formula>#REF!=3</formula>
    </cfRule>
  </conditionalFormatting>
  <conditionalFormatting sqref="M106 M104">
    <cfRule type="expression" priority="201" aboveAverage="0" equalAverage="0" bottom="0" percent="0" rank="0" text="" dxfId="199">
      <formula>#REF!=1</formula>
    </cfRule>
    <cfRule type="expression" priority="202" aboveAverage="0" equalAverage="0" bottom="0" percent="0" rank="0" text="" dxfId="200">
      <formula>#REF!=2</formula>
    </cfRule>
    <cfRule type="expression" priority="203" aboveAverage="0" equalAverage="0" bottom="0" percent="0" rank="0" text="" dxfId="201">
      <formula>#REF!=3</formula>
    </cfRule>
  </conditionalFormatting>
  <conditionalFormatting sqref="M105">
    <cfRule type="expression" priority="204" aboveAverage="0" equalAverage="0" bottom="0" percent="0" rank="0" text="" dxfId="202">
      <formula>#REF!=1</formula>
    </cfRule>
    <cfRule type="expression" priority="205" aboveAverage="0" equalAverage="0" bottom="0" percent="0" rank="0" text="" dxfId="203">
      <formula>#REF!=2</formula>
    </cfRule>
    <cfRule type="expression" priority="206" aboveAverage="0" equalAverage="0" bottom="0" percent="0" rank="0" text="" dxfId="204">
      <formula>#REF!=3</formula>
    </cfRule>
  </conditionalFormatting>
  <conditionalFormatting sqref="K110:K111">
    <cfRule type="expression" priority="207" aboveAverage="0" equalAverage="0" bottom="0" percent="0" rank="0" text="" dxfId="205">
      <formula>#REF!=1</formula>
    </cfRule>
    <cfRule type="expression" priority="208" aboveAverage="0" equalAverage="0" bottom="0" percent="0" rank="0" text="" dxfId="206">
      <formula>#REF!=2</formula>
    </cfRule>
    <cfRule type="expression" priority="209" aboveAverage="0" equalAverage="0" bottom="0" percent="0" rank="0" text="" dxfId="207">
      <formula>#REF!=3</formula>
    </cfRule>
  </conditionalFormatting>
  <conditionalFormatting sqref="M122">
    <cfRule type="expression" priority="210" aboveAverage="0" equalAverage="0" bottom="0" percent="0" rank="0" text="" dxfId="208">
      <formula>#REF!=1</formula>
    </cfRule>
    <cfRule type="expression" priority="211" aboveAverage="0" equalAverage="0" bottom="0" percent="0" rank="0" text="" dxfId="209">
      <formula>#REF!=2</formula>
    </cfRule>
    <cfRule type="expression" priority="212" aboveAverage="0" equalAverage="0" bottom="0" percent="0" rank="0" text="" dxfId="210">
      <formula>#REF!=3</formula>
    </cfRule>
  </conditionalFormatting>
  <conditionalFormatting sqref="M119 M125:M126">
    <cfRule type="expression" priority="213" aboveAverage="0" equalAverage="0" bottom="0" percent="0" rank="0" text="" dxfId="211">
      <formula>#REF!=1</formula>
    </cfRule>
    <cfRule type="expression" priority="214" aboveAverage="0" equalAverage="0" bottom="0" percent="0" rank="0" text="" dxfId="212">
      <formula>#REF!=2</formula>
    </cfRule>
    <cfRule type="expression" priority="215" aboveAverage="0" equalAverage="0" bottom="0" percent="0" rank="0" text="" dxfId="213">
      <formula>#REF!=3</formula>
    </cfRule>
  </conditionalFormatting>
  <conditionalFormatting sqref="M113">
    <cfRule type="expression" priority="216" aboveAverage="0" equalAverage="0" bottom="0" percent="0" rank="0" text="" dxfId="214">
      <formula>#REF!=1</formula>
    </cfRule>
    <cfRule type="expression" priority="217" aboveAverage="0" equalAverage="0" bottom="0" percent="0" rank="0" text="" dxfId="215">
      <formula>#REF!=2</formula>
    </cfRule>
    <cfRule type="expression" priority="218" aboveAverage="0" equalAverage="0" bottom="0" percent="0" rank="0" text="" dxfId="216">
      <formula>#REF!=3</formula>
    </cfRule>
  </conditionalFormatting>
  <conditionalFormatting sqref="M127 M123:M124 M121 M115:M118">
    <cfRule type="expression" priority="219" aboveAverage="0" equalAverage="0" bottom="0" percent="0" rank="0" text="" dxfId="217">
      <formula>#REF!=1</formula>
    </cfRule>
    <cfRule type="expression" priority="220" aboveAverage="0" equalAverage="0" bottom="0" percent="0" rank="0" text="" dxfId="218">
      <formula>#REF!=2</formula>
    </cfRule>
    <cfRule type="expression" priority="221" aboveAverage="0" equalAverage="0" bottom="0" percent="0" rank="0" text="" dxfId="219">
      <formula>#REF!=3</formula>
    </cfRule>
  </conditionalFormatting>
  <conditionalFormatting sqref="K166">
    <cfRule type="expression" priority="222" aboveAverage="0" equalAverage="0" bottom="0" percent="0" rank="0" text="" dxfId="220">
      <formula>#REF!=1</formula>
    </cfRule>
    <cfRule type="expression" priority="223" aboveAverage="0" equalAverage="0" bottom="0" percent="0" rank="0" text="" dxfId="221">
      <formula>#REF!=2</formula>
    </cfRule>
    <cfRule type="expression" priority="224" aboveAverage="0" equalAverage="0" bottom="0" percent="0" rank="0" text="" dxfId="222">
      <formula>#REF!=3</formula>
    </cfRule>
  </conditionalFormatting>
  <conditionalFormatting sqref="M166">
    <cfRule type="expression" priority="225" aboveAverage="0" equalAverage="0" bottom="0" percent="0" rank="0" text="" dxfId="223">
      <formula>#REF!=1</formula>
    </cfRule>
    <cfRule type="expression" priority="226" aboveAverage="0" equalAverage="0" bottom="0" percent="0" rank="0" text="" dxfId="224">
      <formula>#REF!=2</formula>
    </cfRule>
    <cfRule type="expression" priority="227" aboveAverage="0" equalAverage="0" bottom="0" percent="0" rank="0" text="" dxfId="225">
      <formula>#REF!=3</formula>
    </cfRule>
  </conditionalFormatting>
  <conditionalFormatting sqref="N166">
    <cfRule type="expression" priority="228" aboveAverage="0" equalAverage="0" bottom="0" percent="0" rank="0" text="" dxfId="226">
      <formula>$A166=1</formula>
    </cfRule>
    <cfRule type="expression" priority="229" aboveAverage="0" equalAverage="0" bottom="0" percent="0" rank="0" text="" dxfId="227">
      <formula>$A166=2</formula>
    </cfRule>
    <cfRule type="expression" priority="230" aboveAverage="0" equalAverage="0" bottom="0" percent="0" rank="0" text="" dxfId="228">
      <formula>$A166=3</formula>
    </cfRule>
  </conditionalFormatting>
  <conditionalFormatting sqref="M167">
    <cfRule type="expression" priority="231" aboveAverage="0" equalAverage="0" bottom="0" percent="0" rank="0" text="" dxfId="229">
      <formula>#REF!=1</formula>
    </cfRule>
    <cfRule type="expression" priority="232" aboveAverage="0" equalAverage="0" bottom="0" percent="0" rank="0" text="" dxfId="230">
      <formula>#REF!=2</formula>
    </cfRule>
    <cfRule type="expression" priority="233" aboveAverage="0" equalAverage="0" bottom="0" percent="0" rank="0" text="" dxfId="231">
      <formula>#REF!=3</formula>
    </cfRule>
  </conditionalFormatting>
  <conditionalFormatting sqref="N167">
    <cfRule type="expression" priority="234" aboveAverage="0" equalAverage="0" bottom="0" percent="0" rank="0" text="" dxfId="232">
      <formula>$A167=1</formula>
    </cfRule>
    <cfRule type="expression" priority="235" aboveAverage="0" equalAverage="0" bottom="0" percent="0" rank="0" text="" dxfId="233">
      <formula>$A167=2</formula>
    </cfRule>
    <cfRule type="expression" priority="236" aboveAverage="0" equalAverage="0" bottom="0" percent="0" rank="0" text="" dxfId="234">
      <formula>$A167=3</formula>
    </cfRule>
  </conditionalFormatting>
  <conditionalFormatting sqref="K79">
    <cfRule type="expression" priority="237" aboveAverage="0" equalAverage="0" bottom="0" percent="0" rank="0" text="" dxfId="235">
      <formula>#REF!=1</formula>
    </cfRule>
    <cfRule type="expression" priority="238" aboveAverage="0" equalAverage="0" bottom="0" percent="0" rank="0" text="" dxfId="236">
      <formula>#REF!=2</formula>
    </cfRule>
    <cfRule type="expression" priority="239" aboveAverage="0" equalAverage="0" bottom="0" percent="0" rank="0" text="" dxfId="237">
      <formula>#REF!=3</formula>
    </cfRule>
  </conditionalFormatting>
  <conditionalFormatting sqref="M79">
    <cfRule type="expression" priority="240" aboveAverage="0" equalAverage="0" bottom="0" percent="0" rank="0" text="" dxfId="238">
      <formula>#REF!=1</formula>
    </cfRule>
    <cfRule type="expression" priority="241" aboveAverage="0" equalAverage="0" bottom="0" percent="0" rank="0" text="" dxfId="239">
      <formula>#REF!=2</formula>
    </cfRule>
    <cfRule type="expression" priority="242" aboveAverage="0" equalAverage="0" bottom="0" percent="0" rank="0" text="" dxfId="240">
      <formula>#REF!=3</formula>
    </cfRule>
  </conditionalFormatting>
  <conditionalFormatting sqref="N78">
    <cfRule type="expression" priority="243" aboveAverage="0" equalAverage="0" bottom="0" percent="0" rank="0" text="" dxfId="241">
      <formula>$A78=1</formula>
    </cfRule>
    <cfRule type="expression" priority="244" aboveAverage="0" equalAverage="0" bottom="0" percent="0" rank="0" text="" dxfId="242">
      <formula>$A78=2</formula>
    </cfRule>
    <cfRule type="expression" priority="245" aboveAverage="0" equalAverage="0" bottom="0" percent="0" rank="0" text="" dxfId="243">
      <formula>$A78=3</formula>
    </cfRule>
  </conditionalFormatting>
  <conditionalFormatting sqref="K72 K62:K70">
    <cfRule type="expression" priority="246" aboveAverage="0" equalAverage="0" bottom="0" percent="0" rank="0" text="" dxfId="244">
      <formula>#REF!=1</formula>
    </cfRule>
    <cfRule type="expression" priority="247" aboveAverage="0" equalAverage="0" bottom="0" percent="0" rank="0" text="" dxfId="245">
      <formula>#REF!=2</formula>
    </cfRule>
    <cfRule type="expression" priority="248" aboveAverage="0" equalAverage="0" bottom="0" percent="0" rank="0" text="" dxfId="246">
      <formula>#REF!=3</formula>
    </cfRule>
  </conditionalFormatting>
  <conditionalFormatting sqref="M64">
    <cfRule type="expression" priority="249" aboveAverage="0" equalAverage="0" bottom="0" percent="0" rank="0" text="" dxfId="247">
      <formula>#REF!=1</formula>
    </cfRule>
    <cfRule type="expression" priority="250" aboveAverage="0" equalAverage="0" bottom="0" percent="0" rank="0" text="" dxfId="248">
      <formula>#REF!=2</formula>
    </cfRule>
    <cfRule type="expression" priority="251" aboveAverage="0" equalAverage="0" bottom="0" percent="0" rank="0" text="" dxfId="249">
      <formula>#REF!=3</formula>
    </cfRule>
  </conditionalFormatting>
  <conditionalFormatting sqref="M63 M65">
    <cfRule type="expression" priority="252" aboveAverage="0" equalAverage="0" bottom="0" percent="0" rank="0" text="" dxfId="250">
      <formula>#REF!=1</formula>
    </cfRule>
    <cfRule type="expression" priority="253" aboveAverage="0" equalAverage="0" bottom="0" percent="0" rank="0" text="" dxfId="251">
      <formula>#REF!=2</formula>
    </cfRule>
    <cfRule type="expression" priority="254" aboveAverage="0" equalAverage="0" bottom="0" percent="0" rank="0" text="" dxfId="252">
      <formula>#REF!=3</formula>
    </cfRule>
  </conditionalFormatting>
  <conditionalFormatting sqref="M62 M66:M67">
    <cfRule type="expression" priority="255" aboveAverage="0" equalAverage="0" bottom="0" percent="0" rank="0" text="" dxfId="253">
      <formula>#REF!=1</formula>
    </cfRule>
    <cfRule type="expression" priority="256" aboveAverage="0" equalAverage="0" bottom="0" percent="0" rank="0" text="" dxfId="254">
      <formula>#REF!=2</formula>
    </cfRule>
    <cfRule type="expression" priority="257" aboveAverage="0" equalAverage="0" bottom="0" percent="0" rank="0" text="" dxfId="255">
      <formula>#REF!=3</formula>
    </cfRule>
  </conditionalFormatting>
  <conditionalFormatting sqref="M68">
    <cfRule type="expression" priority="258" aboveAverage="0" equalAverage="0" bottom="0" percent="0" rank="0" text="" dxfId="256">
      <formula>#REF!=1</formula>
    </cfRule>
    <cfRule type="expression" priority="259" aboveAverage="0" equalAverage="0" bottom="0" percent="0" rank="0" text="" dxfId="257">
      <formula>#REF!=2</formula>
    </cfRule>
    <cfRule type="expression" priority="260" aboveAverage="0" equalAverage="0" bottom="0" percent="0" rank="0" text="" dxfId="258">
      <formula>#REF!=3</formula>
    </cfRule>
  </conditionalFormatting>
  <conditionalFormatting sqref="M69">
    <cfRule type="expression" priority="261" aboveAverage="0" equalAverage="0" bottom="0" percent="0" rank="0" text="" dxfId="259">
      <formula>#REF!=1</formula>
    </cfRule>
    <cfRule type="expression" priority="262" aboveAverage="0" equalAverage="0" bottom="0" percent="0" rank="0" text="" dxfId="260">
      <formula>#REF!=2</formula>
    </cfRule>
    <cfRule type="expression" priority="263" aboveAverage="0" equalAverage="0" bottom="0" percent="0" rank="0" text="" dxfId="261">
      <formula>#REF!=3</formula>
    </cfRule>
  </conditionalFormatting>
  <conditionalFormatting sqref="M72">
    <cfRule type="expression" priority="264" aboveAverage="0" equalAverage="0" bottom="0" percent="0" rank="0" text="" dxfId="262">
      <formula>#REF!=1</formula>
    </cfRule>
    <cfRule type="expression" priority="265" aboveAverage="0" equalAverage="0" bottom="0" percent="0" rank="0" text="" dxfId="263">
      <formula>#REF!=2</formula>
    </cfRule>
    <cfRule type="expression" priority="266" aboveAverage="0" equalAverage="0" bottom="0" percent="0" rank="0" text="" dxfId="264">
      <formula>#REF!=3</formula>
    </cfRule>
  </conditionalFormatting>
  <conditionalFormatting sqref="M73">
    <cfRule type="expression" priority="267" aboveAverage="0" equalAverage="0" bottom="0" percent="0" rank="0" text="" dxfId="265">
      <formula>#REF!=1</formula>
    </cfRule>
    <cfRule type="expression" priority="268" aboveAverage="0" equalAverage="0" bottom="0" percent="0" rank="0" text="" dxfId="266">
      <formula>#REF!=2</formula>
    </cfRule>
    <cfRule type="expression" priority="269" aboveAverage="0" equalAverage="0" bottom="0" percent="0" rank="0" text="" dxfId="267">
      <formula>#REF!=3</formula>
    </cfRule>
  </conditionalFormatting>
  <conditionalFormatting sqref="M74">
    <cfRule type="expression" priority="270" aboveAverage="0" equalAverage="0" bottom="0" percent="0" rank="0" text="" dxfId="268">
      <formula>#REF!=1</formula>
    </cfRule>
    <cfRule type="expression" priority="271" aboveAverage="0" equalAverage="0" bottom="0" percent="0" rank="0" text="" dxfId="269">
      <formula>#REF!=2</formula>
    </cfRule>
    <cfRule type="expression" priority="272" aboveAverage="0" equalAverage="0" bottom="0" percent="0" rank="0" text="" dxfId="270">
      <formula>#REF!=3</formula>
    </cfRule>
  </conditionalFormatting>
  <conditionalFormatting sqref="N73:N75 N77">
    <cfRule type="expression" priority="273" aboveAverage="0" equalAverage="0" bottom="0" percent="0" rank="0" text="" dxfId="271">
      <formula>$A73=1</formula>
    </cfRule>
    <cfRule type="expression" priority="274" aboveAverage="0" equalAverage="0" bottom="0" percent="0" rank="0" text="" dxfId="272">
      <formula>$A73=2</formula>
    </cfRule>
    <cfRule type="expression" priority="275" aboveAverage="0" equalAverage="0" bottom="0" percent="0" rank="0" text="" dxfId="273">
      <formula>$A73=3</formula>
    </cfRule>
  </conditionalFormatting>
  <conditionalFormatting sqref="M77">
    <cfRule type="expression" priority="276" aboveAverage="0" equalAverage="0" bottom="0" percent="0" rank="0" text="" dxfId="274">
      <formula>#REF!=1</formula>
    </cfRule>
    <cfRule type="expression" priority="277" aboveAverage="0" equalAverage="0" bottom="0" percent="0" rank="0" text="" dxfId="275">
      <formula>#REF!=2</formula>
    </cfRule>
    <cfRule type="expression" priority="278" aboveAverage="0" equalAverage="0" bottom="0" percent="0" rank="0" text="" dxfId="276">
      <formula>#REF!=3</formula>
    </cfRule>
  </conditionalFormatting>
  <conditionalFormatting sqref="M61">
    <cfRule type="expression" priority="279" aboveAverage="0" equalAverage="0" bottom="0" percent="0" rank="0" text="" dxfId="277">
      <formula>#REF!=1</formula>
    </cfRule>
    <cfRule type="expression" priority="280" aboveAverage="0" equalAverage="0" bottom="0" percent="0" rank="0" text="" dxfId="278">
      <formula>#REF!=2</formula>
    </cfRule>
    <cfRule type="expression" priority="281" aboveAverage="0" equalAverage="0" bottom="0" percent="0" rank="0" text="" dxfId="279">
      <formula>#REF!=3</formula>
    </cfRule>
  </conditionalFormatting>
  <conditionalFormatting sqref="N103">
    <cfRule type="expression" priority="282" aboveAverage="0" equalAverage="0" bottom="0" percent="0" rank="0" text="" dxfId="280">
      <formula>$A92=1</formula>
    </cfRule>
    <cfRule type="expression" priority="283" aboveAverage="0" equalAverage="0" bottom="0" percent="0" rank="0" text="" dxfId="281">
      <formula>$A92=2</formula>
    </cfRule>
    <cfRule type="expression" priority="284" aboveAverage="0" equalAverage="0" bottom="0" percent="0" rank="0" text="" dxfId="282">
      <formula>$A92=3</formula>
    </cfRule>
  </conditionalFormatting>
  <conditionalFormatting sqref="L91">
    <cfRule type="expression" priority="285" aboveAverage="0" equalAverage="0" bottom="0" percent="0" rank="0" text="" dxfId="283">
      <formula>#REF!=1</formula>
    </cfRule>
    <cfRule type="expression" priority="286" aboveAverage="0" equalAverage="0" bottom="0" percent="0" rank="0" text="" dxfId="284">
      <formula>#REF!=2</formula>
    </cfRule>
    <cfRule type="expression" priority="287" aboveAverage="0" equalAverage="0" bottom="0" percent="0" rank="0" text="" dxfId="285">
      <formula>#REF!=3</formula>
    </cfRule>
  </conditionalFormatting>
  <conditionalFormatting sqref="N301">
    <cfRule type="expression" priority="288" aboveAverage="0" equalAverage="0" bottom="0" percent="0" rank="0" text="" dxfId="286">
      <formula>$A331=1</formula>
    </cfRule>
    <cfRule type="expression" priority="289" aboveAverage="0" equalAverage="0" bottom="0" percent="0" rank="0" text="" dxfId="287">
      <formula>$A331=2</formula>
    </cfRule>
    <cfRule type="expression" priority="290" aboveAverage="0" equalAverage="0" bottom="0" percent="0" rank="0" text="" dxfId="288">
      <formula>$A331=3</formula>
    </cfRule>
  </conditionalFormatting>
  <conditionalFormatting sqref="K34">
    <cfRule type="expression" priority="291" aboveAverage="0" equalAverage="0" bottom="0" percent="0" rank="0" text="" dxfId="289">
      <formula>#REF!=1</formula>
    </cfRule>
    <cfRule type="expression" priority="292" aboveAverage="0" equalAverage="0" bottom="0" percent="0" rank="0" text="" dxfId="290">
      <formula>#REF!=2</formula>
    </cfRule>
    <cfRule type="expression" priority="293" aboveAverage="0" equalAverage="0" bottom="0" percent="0" rank="0" text="" dxfId="291">
      <formula>#REF!=3</formula>
    </cfRule>
  </conditionalFormatting>
  <conditionalFormatting sqref="N34">
    <cfRule type="expression" priority="294" aboveAverage="0" equalAverage="0" bottom="0" percent="0" rank="0" text="" dxfId="292">
      <formula>$A34=1</formula>
    </cfRule>
    <cfRule type="expression" priority="295" aboveAverage="0" equalAverage="0" bottom="0" percent="0" rank="0" text="" dxfId="293">
      <formula>$A34=2</formula>
    </cfRule>
    <cfRule type="expression" priority="296" aboveAverage="0" equalAverage="0" bottom="0" percent="0" rank="0" text="" dxfId="294">
      <formula>$A34=3</formula>
    </cfRule>
  </conditionalFormatting>
  <conditionalFormatting sqref="M34">
    <cfRule type="expression" priority="297" aboveAverage="0" equalAverage="0" bottom="0" percent="0" rank="0" text="" dxfId="295">
      <formula>#REF!=1</formula>
    </cfRule>
    <cfRule type="expression" priority="298" aboveAverage="0" equalAverage="0" bottom="0" percent="0" rank="0" text="" dxfId="296">
      <formula>#REF!=2</formula>
    </cfRule>
    <cfRule type="expression" priority="299" aboveAverage="0" equalAverage="0" bottom="0" percent="0" rank="0" text="" dxfId="297">
      <formula>#REF!=3</formula>
    </cfRule>
  </conditionalFormatting>
  <conditionalFormatting sqref="K102">
    <cfRule type="expression" priority="300" aboveAverage="0" equalAverage="0" bottom="0" percent="0" rank="0" text="" dxfId="298">
      <formula>#REF!=1</formula>
    </cfRule>
    <cfRule type="expression" priority="301" aboveAverage="0" equalAverage="0" bottom="0" percent="0" rank="0" text="" dxfId="299">
      <formula>#REF!=2</formula>
    </cfRule>
    <cfRule type="expression" priority="302" aboveAverage="0" equalAverage="0" bottom="0" percent="0" rank="0" text="" dxfId="300">
      <formula>#REF!=3</formula>
    </cfRule>
  </conditionalFormatting>
  <conditionalFormatting sqref="M111">
    <cfRule type="expression" priority="303" aboveAverage="0" equalAverage="0" bottom="0" percent="0" rank="0" text="" dxfId="301">
      <formula>#REF!=1</formula>
    </cfRule>
    <cfRule type="expression" priority="304" aboveAverage="0" equalAverage="0" bottom="0" percent="0" rank="0" text="" dxfId="302">
      <formula>#REF!=2</formula>
    </cfRule>
    <cfRule type="expression" priority="305" aboveAverage="0" equalAverage="0" bottom="0" percent="0" rank="0" text="" dxfId="303">
      <formula>#REF!=3</formula>
    </cfRule>
  </conditionalFormatting>
  <conditionalFormatting sqref="K109">
    <cfRule type="expression" priority="306" aboveAverage="0" equalAverage="0" bottom="0" percent="0" rank="0" text="" dxfId="304">
      <formula>#REF!=1</formula>
    </cfRule>
    <cfRule type="expression" priority="307" aboveAverage="0" equalAverage="0" bottom="0" percent="0" rank="0" text="" dxfId="305">
      <formula>#REF!=2</formula>
    </cfRule>
    <cfRule type="expression" priority="308" aboveAverage="0" equalAverage="0" bottom="0" percent="0" rank="0" text="" dxfId="306">
      <formula>#REF!=3</formula>
    </cfRule>
  </conditionalFormatting>
  <conditionalFormatting sqref="M129">
    <cfRule type="expression" priority="309" aboveAverage="0" equalAverage="0" bottom="0" percent="0" rank="0" text="" dxfId="307">
      <formula>#REF!=1</formula>
    </cfRule>
    <cfRule type="expression" priority="310" aboveAverage="0" equalAverage="0" bottom="0" percent="0" rank="0" text="" dxfId="308">
      <formula>#REF!=2</formula>
    </cfRule>
    <cfRule type="expression" priority="311" aboveAverage="0" equalAverage="0" bottom="0" percent="0" rank="0" text="" dxfId="309">
      <formula>#REF!=3</formula>
    </cfRule>
  </conditionalFormatting>
  <conditionalFormatting sqref="M132">
    <cfRule type="expression" priority="312" aboveAverage="0" equalAverage="0" bottom="0" percent="0" rank="0" text="" dxfId="310">
      <formula>#REF!=1</formula>
    </cfRule>
    <cfRule type="expression" priority="313" aboveAverage="0" equalAverage="0" bottom="0" percent="0" rank="0" text="" dxfId="311">
      <formula>#REF!=2</formula>
    </cfRule>
    <cfRule type="expression" priority="314" aboveAverage="0" equalAverage="0" bottom="0" percent="0" rank="0" text="" dxfId="312">
      <formula>#REF!=3</formula>
    </cfRule>
  </conditionalFormatting>
  <conditionalFormatting sqref="M133">
    <cfRule type="expression" priority="315" aboveAverage="0" equalAverage="0" bottom="0" percent="0" rank="0" text="" dxfId="313">
      <formula>#REF!=1</formula>
    </cfRule>
    <cfRule type="expression" priority="316" aboveAverage="0" equalAverage="0" bottom="0" percent="0" rank="0" text="" dxfId="314">
      <formula>#REF!=2</formula>
    </cfRule>
    <cfRule type="expression" priority="317" aboveAverage="0" equalAverage="0" bottom="0" percent="0" rank="0" text="" dxfId="315">
      <formula>#REF!=3</formula>
    </cfRule>
  </conditionalFormatting>
  <conditionalFormatting sqref="L152">
    <cfRule type="expression" priority="318" aboveAverage="0" equalAverage="0" bottom="0" percent="0" rank="0" text="" dxfId="316">
      <formula>$B152=1</formula>
    </cfRule>
    <cfRule type="expression" priority="319" aboveAverage="0" equalAverage="0" bottom="0" percent="0" rank="0" text="" dxfId="317">
      <formula>$B152=2</formula>
    </cfRule>
    <cfRule type="expression" priority="320" aboveAverage="0" equalAverage="0" bottom="0" percent="0" rank="0" text="" dxfId="318">
      <formula>$B152=3</formula>
    </cfRule>
  </conditionalFormatting>
  <conditionalFormatting sqref="K145 K134">
    <cfRule type="expression" priority="321" aboveAverage="0" equalAverage="0" bottom="0" percent="0" rank="0" text="" dxfId="319">
      <formula>#REF!=1</formula>
    </cfRule>
    <cfRule type="expression" priority="322" aboveAverage="0" equalAverage="0" bottom="0" percent="0" rank="0" text="" dxfId="320">
      <formula>#REF!=2</formula>
    </cfRule>
    <cfRule type="expression" priority="323" aboveAverage="0" equalAverage="0" bottom="0" percent="0" rank="0" text="" dxfId="321">
      <formula>#REF!=3</formula>
    </cfRule>
  </conditionalFormatting>
  <conditionalFormatting sqref="M134 M159">
    <cfRule type="expression" priority="324" aboveAverage="0" equalAverage="0" bottom="0" percent="0" rank="0" text="" dxfId="322">
      <formula>#REF!=1</formula>
    </cfRule>
    <cfRule type="expression" priority="325" aboveAverage="0" equalAverage="0" bottom="0" percent="0" rank="0" text="" dxfId="323">
      <formula>#REF!=2</formula>
    </cfRule>
    <cfRule type="expression" priority="326" aboveAverage="0" equalAverage="0" bottom="0" percent="0" rank="0" text="" dxfId="324">
      <formula>#REF!=3</formula>
    </cfRule>
  </conditionalFormatting>
  <conditionalFormatting sqref="M154">
    <cfRule type="expression" priority="327" aboveAverage="0" equalAverage="0" bottom="0" percent="0" rank="0" text="" dxfId="325">
      <formula>#REF!=1</formula>
    </cfRule>
    <cfRule type="expression" priority="328" aboveAverage="0" equalAverage="0" bottom="0" percent="0" rank="0" text="" dxfId="326">
      <formula>#REF!=2</formula>
    </cfRule>
    <cfRule type="expression" priority="329" aboveAverage="0" equalAverage="0" bottom="0" percent="0" rank="0" text="" dxfId="327">
      <formula>#REF!=3</formula>
    </cfRule>
  </conditionalFormatting>
  <conditionalFormatting sqref="M140">
    <cfRule type="expression" priority="330" aboveAverage="0" equalAverage="0" bottom="0" percent="0" rank="0" text="" dxfId="328">
      <formula>#REF!=1</formula>
    </cfRule>
    <cfRule type="expression" priority="331" aboveAverage="0" equalAverage="0" bottom="0" percent="0" rank="0" text="" dxfId="329">
      <formula>#REF!=2</formula>
    </cfRule>
    <cfRule type="expression" priority="332" aboveAverage="0" equalAverage="0" bottom="0" percent="0" rank="0" text="" dxfId="330">
      <formula>#REF!=3</formula>
    </cfRule>
  </conditionalFormatting>
  <conditionalFormatting sqref="M135 M142 M144 M160">
    <cfRule type="expression" priority="333" aboveAverage="0" equalAverage="0" bottom="0" percent="0" rank="0" text="" dxfId="331">
      <formula>#REF!=1</formula>
    </cfRule>
    <cfRule type="expression" priority="334" aboveAverage="0" equalAverage="0" bottom="0" percent="0" rank="0" text="" dxfId="332">
      <formula>#REF!=2</formula>
    </cfRule>
    <cfRule type="expression" priority="335" aboveAverage="0" equalAverage="0" bottom="0" percent="0" rank="0" text="" dxfId="333">
      <formula>#REF!=3</formula>
    </cfRule>
  </conditionalFormatting>
  <conditionalFormatting sqref="M153 M138:M139 M148">
    <cfRule type="expression" priority="336" aboveAverage="0" equalAverage="0" bottom="0" percent="0" rank="0" text="" dxfId="334">
      <formula>#REF!=1</formula>
    </cfRule>
    <cfRule type="expression" priority="337" aboveAverage="0" equalAverage="0" bottom="0" percent="0" rank="0" text="" dxfId="335">
      <formula>#REF!=2</formula>
    </cfRule>
    <cfRule type="expression" priority="338" aboveAverage="0" equalAverage="0" bottom="0" percent="0" rank="0" text="" dxfId="336">
      <formula>#REF!=3</formula>
    </cfRule>
  </conditionalFormatting>
  <conditionalFormatting sqref="M145 M136:M137 M149:M151 M147 M158 M161 M155:M156">
    <cfRule type="expression" priority="339" aboveAverage="0" equalAverage="0" bottom="0" percent="0" rank="0" text="" dxfId="337">
      <formula>#REF!=1</formula>
    </cfRule>
    <cfRule type="expression" priority="340" aboveAverage="0" equalAverage="0" bottom="0" percent="0" rank="0" text="" dxfId="338">
      <formula>#REF!=2</formula>
    </cfRule>
    <cfRule type="expression" priority="341" aboveAverage="0" equalAverage="0" bottom="0" percent="0" rank="0" text="" dxfId="339">
      <formula>#REF!=3</formula>
    </cfRule>
  </conditionalFormatting>
  <conditionalFormatting sqref="K26">
    <cfRule type="expression" priority="342" aboveAverage="0" equalAverage="0" bottom="0" percent="0" rank="0" text="" dxfId="340">
      <formula>#REF!=1</formula>
    </cfRule>
    <cfRule type="expression" priority="343" aboveAverage="0" equalAverage="0" bottom="0" percent="0" rank="0" text="" dxfId="341">
      <formula>#REF!=2</formula>
    </cfRule>
    <cfRule type="expression" priority="344" aboveAverage="0" equalAverage="0" bottom="0" percent="0" rank="0" text="" dxfId="342">
      <formula>#REF!=3</formula>
    </cfRule>
  </conditionalFormatting>
  <conditionalFormatting sqref="M26">
    <cfRule type="expression" priority="345" aboveAverage="0" equalAverage="0" bottom="0" percent="0" rank="0" text="" dxfId="343">
      <formula>#REF!=1</formula>
    </cfRule>
    <cfRule type="expression" priority="346" aboveAverage="0" equalAverage="0" bottom="0" percent="0" rank="0" text="" dxfId="344">
      <formula>#REF!=2</formula>
    </cfRule>
    <cfRule type="expression" priority="347" aboveAverage="0" equalAverage="0" bottom="0" percent="0" rank="0" text="" dxfId="345">
      <formula>#REF!=3</formula>
    </cfRule>
  </conditionalFormatting>
  <conditionalFormatting sqref="N113">
    <cfRule type="expression" priority="348" aboveAverage="0" equalAverage="0" bottom="0" percent="0" rank="0" text="" dxfId="346">
      <formula>$A113=1</formula>
    </cfRule>
    <cfRule type="expression" priority="349" aboveAverage="0" equalAverage="0" bottom="0" percent="0" rank="0" text="" dxfId="347">
      <formula>$A113=2</formula>
    </cfRule>
    <cfRule type="expression" priority="350" aboveAverage="0" equalAverage="0" bottom="0" percent="0" rank="0" text="" dxfId="348">
      <formula>$A113=3</formula>
    </cfRule>
  </conditionalFormatting>
  <conditionalFormatting sqref="M141">
    <cfRule type="expression" priority="351" aboveAverage="0" equalAverage="0" bottom="0" percent="0" rank="0" text="" dxfId="349">
      <formula>#REF!=1</formula>
    </cfRule>
    <cfRule type="expression" priority="352" aboveAverage="0" equalAverage="0" bottom="0" percent="0" rank="0" text="" dxfId="350">
      <formula>#REF!=2</formula>
    </cfRule>
    <cfRule type="expression" priority="353" aboveAverage="0" equalAverage="0" bottom="0" percent="0" rank="0" text="" dxfId="351">
      <formula>#REF!=3</formula>
    </cfRule>
  </conditionalFormatting>
  <conditionalFormatting sqref="K141">
    <cfRule type="expression" priority="354" aboveAverage="0" equalAverage="0" bottom="0" percent="0" rank="0" text="" dxfId="352">
      <formula>#REF!=1</formula>
    </cfRule>
    <cfRule type="expression" priority="355" aboveAverage="0" equalAverage="0" bottom="0" percent="0" rank="0" text="" dxfId="353">
      <formula>#REF!=2</formula>
    </cfRule>
    <cfRule type="expression" priority="356" aboveAverage="0" equalAverage="0" bottom="0" percent="0" rank="0" text="" dxfId="354">
      <formula>#REF!=3</formula>
    </cfRule>
  </conditionalFormatting>
  <conditionalFormatting sqref="K163">
    <cfRule type="expression" priority="357" aboveAverage="0" equalAverage="0" bottom="0" percent="0" rank="0" text="" dxfId="355">
      <formula>#REF!=1</formula>
    </cfRule>
    <cfRule type="expression" priority="358" aboveAverage="0" equalAverage="0" bottom="0" percent="0" rank="0" text="" dxfId="356">
      <formula>#REF!=2</formula>
    </cfRule>
    <cfRule type="expression" priority="359" aboveAverage="0" equalAverage="0" bottom="0" percent="0" rank="0" text="" dxfId="357">
      <formula>#REF!=3</formula>
    </cfRule>
  </conditionalFormatting>
  <conditionalFormatting sqref="M163">
    <cfRule type="expression" priority="360" aboveAverage="0" equalAverage="0" bottom="0" percent="0" rank="0" text="" dxfId="358">
      <formula>#REF!=1</formula>
    </cfRule>
    <cfRule type="expression" priority="361" aboveAverage="0" equalAverage="0" bottom="0" percent="0" rank="0" text="" dxfId="359">
      <formula>#REF!=2</formula>
    </cfRule>
    <cfRule type="expression" priority="362" aboveAverage="0" equalAverage="0" bottom="0" percent="0" rank="0" text="" dxfId="360">
      <formula>#REF!=3</formula>
    </cfRule>
  </conditionalFormatting>
  <conditionalFormatting sqref="N163">
    <cfRule type="expression" priority="363" aboveAverage="0" equalAverage="0" bottom="0" percent="0" rank="0" text="" dxfId="361">
      <formula>$A163=1</formula>
    </cfRule>
    <cfRule type="expression" priority="364" aboveAverage="0" equalAverage="0" bottom="0" percent="0" rank="0" text="" dxfId="362">
      <formula>$A163=2</formula>
    </cfRule>
    <cfRule type="expression" priority="365" aboveAverage="0" equalAverage="0" bottom="0" percent="0" rank="0" text="" dxfId="363">
      <formula>$A163=3</formula>
    </cfRule>
  </conditionalFormatting>
  <conditionalFormatting sqref="K104">
    <cfRule type="expression" priority="366" aboveAverage="0" equalAverage="0" bottom="0" percent="0" rank="0" text="" dxfId="364">
      <formula>#REF!=1</formula>
    </cfRule>
    <cfRule type="expression" priority="367" aboveAverage="0" equalAverage="0" bottom="0" percent="0" rank="0" text="" dxfId="365">
      <formula>#REF!=2</formula>
    </cfRule>
    <cfRule type="expression" priority="368" aboveAverage="0" equalAverage="0" bottom="0" percent="0" rank="0" text="" dxfId="366">
      <formula>#REF!=3</formula>
    </cfRule>
  </conditionalFormatting>
  <conditionalFormatting sqref="K40">
    <cfRule type="expression" priority="369" aboveAverage="0" equalAverage="0" bottom="0" percent="0" rank="0" text="" dxfId="367">
      <formula>#REF!=1</formula>
    </cfRule>
    <cfRule type="expression" priority="370" aboveAverage="0" equalAverage="0" bottom="0" percent="0" rank="0" text="" dxfId="368">
      <formula>#REF!=2</formula>
    </cfRule>
    <cfRule type="expression" priority="371" aboveAverage="0" equalAverage="0" bottom="0" percent="0" rank="0" text="" dxfId="369">
      <formula>#REF!=3</formula>
    </cfRule>
  </conditionalFormatting>
  <conditionalFormatting sqref="K35">
    <cfRule type="expression" priority="372" aboveAverage="0" equalAverage="0" bottom="0" percent="0" rank="0" text="" dxfId="370">
      <formula>#REF!=1</formula>
    </cfRule>
    <cfRule type="expression" priority="373" aboveAverage="0" equalAverage="0" bottom="0" percent="0" rank="0" text="" dxfId="371">
      <formula>#REF!=2</formula>
    </cfRule>
    <cfRule type="expression" priority="374" aboveAverage="0" equalAverage="0" bottom="0" percent="0" rank="0" text="" dxfId="372">
      <formula>#REF!=3</formula>
    </cfRule>
  </conditionalFormatting>
  <conditionalFormatting sqref="M49">
    <cfRule type="expression" priority="375" aboveAverage="0" equalAverage="0" bottom="0" percent="0" rank="0" text="" dxfId="373">
      <formula>#REF!=1</formula>
    </cfRule>
    <cfRule type="expression" priority="376" aboveAverage="0" equalAverage="0" bottom="0" percent="0" rank="0" text="" dxfId="374">
      <formula>#REF!=2</formula>
    </cfRule>
    <cfRule type="expression" priority="377" aboveAverage="0" equalAverage="0" bottom="0" percent="0" rank="0" text="" dxfId="375">
      <formula>#REF!=3</formula>
    </cfRule>
  </conditionalFormatting>
  <conditionalFormatting sqref="M109">
    <cfRule type="expression" priority="378" aboveAverage="0" equalAverage="0" bottom="0" percent="0" rank="0" text="" dxfId="376">
      <formula>#REF!=1</formula>
    </cfRule>
    <cfRule type="expression" priority="379" aboveAverage="0" equalAverage="0" bottom="0" percent="0" rank="0" text="" dxfId="377">
      <formula>#REF!=2</formula>
    </cfRule>
    <cfRule type="expression" priority="380" aboveAverage="0" equalAverage="0" bottom="0" percent="0" rank="0" text="" dxfId="378">
      <formula>#REF!=3</formula>
    </cfRule>
  </conditionalFormatting>
  <conditionalFormatting sqref="N46">
    <cfRule type="expression" priority="381" aboveAverage="0" equalAverage="0" bottom="0" percent="0" rank="0" text="" dxfId="379">
      <formula>$A46=1</formula>
    </cfRule>
    <cfRule type="expression" priority="382" aboveAverage="0" equalAverage="0" bottom="0" percent="0" rank="0" text="" dxfId="380">
      <formula>$A46=2</formula>
    </cfRule>
    <cfRule type="expression" priority="383" aboveAverage="0" equalAverage="0" bottom="0" percent="0" rank="0" text="" dxfId="381">
      <formula>$A46=3</formula>
    </cfRule>
  </conditionalFormatting>
  <conditionalFormatting sqref="K106">
    <cfRule type="expression" priority="384" aboveAverage="0" equalAverage="0" bottom="0" percent="0" rank="0" text="" dxfId="382">
      <formula>#REF!=1</formula>
    </cfRule>
    <cfRule type="expression" priority="385" aboveAverage="0" equalAverage="0" bottom="0" percent="0" rank="0" text="" dxfId="383">
      <formula>#REF!=2</formula>
    </cfRule>
    <cfRule type="expression" priority="386" aboveAverage="0" equalAverage="0" bottom="0" percent="0" rank="0" text="" dxfId="384">
      <formula>#REF!=3</formula>
    </cfRule>
  </conditionalFormatting>
  <conditionalFormatting sqref="K3">
    <cfRule type="expression" priority="387" aboveAverage="0" equalAverage="0" bottom="0" percent="0" rank="0" text="" dxfId="385">
      <formula>#REF!=1</formula>
    </cfRule>
    <cfRule type="expression" priority="388" aboveAverage="0" equalAverage="0" bottom="0" percent="0" rank="0" text="" dxfId="386">
      <formula>#REF!=2</formula>
    </cfRule>
    <cfRule type="expression" priority="389" aboveAverage="0" equalAverage="0" bottom="0" percent="0" rank="0" text="" dxfId="387">
      <formula>#REF!=3</formula>
    </cfRule>
  </conditionalFormatting>
  <conditionalFormatting sqref="N5">
    <cfRule type="expression" priority="390" aboveAverage="0" equalAverage="0" bottom="0" percent="0" rank="0" text="" dxfId="388">
      <formula>$A5=1</formula>
    </cfRule>
    <cfRule type="expression" priority="391" aboveAverage="0" equalAverage="0" bottom="0" percent="0" rank="0" text="" dxfId="389">
      <formula>$A5=2</formula>
    </cfRule>
    <cfRule type="expression" priority="392" aboveAverage="0" equalAverage="0" bottom="0" percent="0" rank="0" text="" dxfId="390">
      <formula>$A5=3</formula>
    </cfRule>
  </conditionalFormatting>
  <conditionalFormatting sqref="N5">
    <cfRule type="containsText" priority="393" operator="containsText" aboveAverage="0" equalAverage="0" bottom="0" percent="0" rank="0" text="Водій автотранспортних засобів" dxfId="391">
      <formula>NOT(ISERROR(SEARCH("Водій автотранспортних засобів",N5)))</formula>
    </cfRule>
  </conditionalFormatting>
  <conditionalFormatting sqref="K4:K6">
    <cfRule type="expression" priority="394" aboveAverage="0" equalAverage="0" bottom="0" percent="0" rank="0" text="" dxfId="392">
      <formula>#REF!=1</formula>
    </cfRule>
    <cfRule type="expression" priority="395" aboveAverage="0" equalAverage="0" bottom="0" percent="0" rank="0" text="" dxfId="393">
      <formula>#REF!=2</formula>
    </cfRule>
    <cfRule type="expression" priority="396" aboveAverage="0" equalAverage="0" bottom="0" percent="0" rank="0" text="" dxfId="394">
      <formula>#REF!=3</formula>
    </cfRule>
  </conditionalFormatting>
  <conditionalFormatting sqref="M3:M5">
    <cfRule type="expression" priority="397" aboveAverage="0" equalAverage="0" bottom="0" percent="0" rank="0" text="" dxfId="395">
      <formula>#REF!=1</formula>
    </cfRule>
    <cfRule type="expression" priority="398" aboveAverage="0" equalAverage="0" bottom="0" percent="0" rank="0" text="" dxfId="396">
      <formula>#REF!=2</formula>
    </cfRule>
    <cfRule type="expression" priority="399" aboveAverage="0" equalAverage="0" bottom="0" percent="0" rank="0" text="" dxfId="397">
      <formula>#REF!=3</formula>
    </cfRule>
  </conditionalFormatting>
  <conditionalFormatting sqref="M168">
    <cfRule type="expression" priority="400" aboveAverage="0" equalAverage="0" bottom="0" percent="0" rank="0" text="" dxfId="398">
      <formula>#REF!=1</formula>
    </cfRule>
    <cfRule type="expression" priority="401" aboveAverage="0" equalAverage="0" bottom="0" percent="0" rank="0" text="" dxfId="399">
      <formula>#REF!=2</formula>
    </cfRule>
    <cfRule type="expression" priority="402" aboveAverage="0" equalAverage="0" bottom="0" percent="0" rank="0" text="" dxfId="400">
      <formula>#REF!=3</formula>
    </cfRule>
  </conditionalFormatting>
  <conditionalFormatting sqref="K170">
    <cfRule type="expression" priority="403" aboveAverage="0" equalAverage="0" bottom="0" percent="0" rank="0" text="" dxfId="401">
      <formula>#REF!=1</formula>
    </cfRule>
    <cfRule type="expression" priority="404" aboveAverage="0" equalAverage="0" bottom="0" percent="0" rank="0" text="" dxfId="402">
      <formula>#REF!=2</formula>
    </cfRule>
    <cfRule type="expression" priority="405" aboveAverage="0" equalAverage="0" bottom="0" percent="0" rank="0" text="" dxfId="403">
      <formula>#REF!=3</formula>
    </cfRule>
  </conditionalFormatting>
  <conditionalFormatting sqref="M170">
    <cfRule type="expression" priority="406" aboveAverage="0" equalAverage="0" bottom="0" percent="0" rank="0" text="" dxfId="404">
      <formula>#REF!=1</formula>
    </cfRule>
    <cfRule type="expression" priority="407" aboveAverage="0" equalAverage="0" bottom="0" percent="0" rank="0" text="" dxfId="405">
      <formula>#REF!=2</formula>
    </cfRule>
    <cfRule type="expression" priority="408" aboveAverage="0" equalAverage="0" bottom="0" percent="0" rank="0" text="" dxfId="406">
      <formula>#REF!=3</formula>
    </cfRule>
  </conditionalFormatting>
  <conditionalFormatting sqref="K168">
    <cfRule type="expression" priority="409" aboveAverage="0" equalAverage="0" bottom="0" percent="0" rank="0" text="" dxfId="407">
      <formula>#REF!=1</formula>
    </cfRule>
    <cfRule type="expression" priority="410" aboveAverage="0" equalAverage="0" bottom="0" percent="0" rank="0" text="" dxfId="408">
      <formula>#REF!=2</formula>
    </cfRule>
    <cfRule type="expression" priority="411" aboveAverage="0" equalAverage="0" bottom="0" percent="0" rank="0" text="" dxfId="409">
      <formula>#REF!=3</formula>
    </cfRule>
  </conditionalFormatting>
  <conditionalFormatting sqref="K171">
    <cfRule type="expression" priority="412" aboveAverage="0" equalAverage="0" bottom="0" percent="0" rank="0" text="" dxfId="410">
      <formula>#REF!=1</formula>
    </cfRule>
    <cfRule type="expression" priority="413" aboveAverage="0" equalAverage="0" bottom="0" percent="0" rank="0" text="" dxfId="411">
      <formula>#REF!=2</formula>
    </cfRule>
    <cfRule type="expression" priority="414" aboveAverage="0" equalAverage="0" bottom="0" percent="0" rank="0" text="" dxfId="412">
      <formula>#REF!=3</formula>
    </cfRule>
  </conditionalFormatting>
  <conditionalFormatting sqref="M171">
    <cfRule type="expression" priority="415" aboveAverage="0" equalAverage="0" bottom="0" percent="0" rank="0" text="" dxfId="413">
      <formula>#REF!=1</formula>
    </cfRule>
    <cfRule type="expression" priority="416" aboveAverage="0" equalAverage="0" bottom="0" percent="0" rank="0" text="" dxfId="414">
      <formula>#REF!=2</formula>
    </cfRule>
    <cfRule type="expression" priority="417" aboveAverage="0" equalAverage="0" bottom="0" percent="0" rank="0" text="" dxfId="415">
      <formula>#REF!=3</formula>
    </cfRule>
  </conditionalFormatting>
  <conditionalFormatting sqref="K173">
    <cfRule type="expression" priority="418" aboveAverage="0" equalAverage="0" bottom="0" percent="0" rank="0" text="" dxfId="416">
      <formula>#REF!=1</formula>
    </cfRule>
    <cfRule type="expression" priority="419" aboveAverage="0" equalAverage="0" bottom="0" percent="0" rank="0" text="" dxfId="417">
      <formula>#REF!=2</formula>
    </cfRule>
    <cfRule type="expression" priority="420" aboveAverage="0" equalAverage="0" bottom="0" percent="0" rank="0" text="" dxfId="418">
      <formula>#REF!=3</formula>
    </cfRule>
  </conditionalFormatting>
  <conditionalFormatting sqref="M183 M190 M173">
    <cfRule type="expression" priority="421" aboveAverage="0" equalAverage="0" bottom="0" percent="0" rank="0" text="" dxfId="419">
      <formula>#REF!=1</formula>
    </cfRule>
    <cfRule type="expression" priority="422" aboveAverage="0" equalAverage="0" bottom="0" percent="0" rank="0" text="" dxfId="420">
      <formula>#REF!=2</formula>
    </cfRule>
    <cfRule type="expression" priority="423" aboveAverage="0" equalAverage="0" bottom="0" percent="0" rank="0" text="" dxfId="421">
      <formula>#REF!=3</formula>
    </cfRule>
  </conditionalFormatting>
  <conditionalFormatting sqref="M187">
    <cfRule type="expression" priority="424" aboveAverage="0" equalAverage="0" bottom="0" percent="0" rank="0" text="" dxfId="422">
      <formula>#REF!=1</formula>
    </cfRule>
    <cfRule type="expression" priority="425" aboveAverage="0" equalAverage="0" bottom="0" percent="0" rank="0" text="" dxfId="423">
      <formula>#REF!=2</formula>
    </cfRule>
    <cfRule type="expression" priority="426" aboveAverage="0" equalAverage="0" bottom="0" percent="0" rank="0" text="" dxfId="424">
      <formula>#REF!=3</formula>
    </cfRule>
  </conditionalFormatting>
  <conditionalFormatting sqref="M180 M192">
    <cfRule type="expression" priority="427" aboveAverage="0" equalAverage="0" bottom="0" percent="0" rank="0" text="" dxfId="425">
      <formula>#REF!=1</formula>
    </cfRule>
    <cfRule type="expression" priority="428" aboveAverage="0" equalAverage="0" bottom="0" percent="0" rank="0" text="" dxfId="426">
      <formula>#REF!=2</formula>
    </cfRule>
    <cfRule type="expression" priority="429" aboveAverage="0" equalAverage="0" bottom="0" percent="0" rank="0" text="" dxfId="427">
      <formula>#REF!=3</formula>
    </cfRule>
  </conditionalFormatting>
  <conditionalFormatting sqref="M191 M184 M71 M178 M157">
    <cfRule type="expression" priority="430" aboveAverage="0" equalAverage="0" bottom="0" percent="0" rank="0" text="" dxfId="428">
      <formula>#REF!=1</formula>
    </cfRule>
    <cfRule type="expression" priority="431" aboveAverage="0" equalAverage="0" bottom="0" percent="0" rank="0" text="" dxfId="429">
      <formula>#REF!=2</formula>
    </cfRule>
    <cfRule type="expression" priority="432" aboveAverage="0" equalAverage="0" bottom="0" percent="0" rank="0" text="" dxfId="430">
      <formula>#REF!=3</formula>
    </cfRule>
  </conditionalFormatting>
  <conditionalFormatting sqref="N187">
    <cfRule type="expression" priority="433" aboveAverage="0" equalAverage="0" bottom="0" percent="0" rank="0" text="" dxfId="431">
      <formula>$A187=1</formula>
    </cfRule>
    <cfRule type="expression" priority="434" aboveAverage="0" equalAverage="0" bottom="0" percent="0" rank="0" text="" dxfId="432">
      <formula>$A187=2</formula>
    </cfRule>
    <cfRule type="expression" priority="435" aboveAverage="0" equalAverage="0" bottom="0" percent="0" rank="0" text="" dxfId="433">
      <formula>$A187=3</formula>
    </cfRule>
  </conditionalFormatting>
  <conditionalFormatting sqref="M188">
    <cfRule type="expression" priority="436" aboveAverage="0" equalAverage="0" bottom="0" percent="0" rank="0" text="" dxfId="434">
      <formula>#REF!=1</formula>
    </cfRule>
    <cfRule type="expression" priority="437" aboveAverage="0" equalAverage="0" bottom="0" percent="0" rank="0" text="" dxfId="435">
      <formula>#REF!=2</formula>
    </cfRule>
    <cfRule type="expression" priority="438" aboveAverage="0" equalAverage="0" bottom="0" percent="0" rank="0" text="" dxfId="436">
      <formula>#REF!=3</formula>
    </cfRule>
  </conditionalFormatting>
  <conditionalFormatting sqref="M189 M182">
    <cfRule type="expression" priority="439" aboveAverage="0" equalAverage="0" bottom="0" percent="0" rank="0" text="" dxfId="437">
      <formula>#REF!=1</formula>
    </cfRule>
    <cfRule type="expression" priority="440" aboveAverage="0" equalAverage="0" bottom="0" percent="0" rank="0" text="" dxfId="438">
      <formula>#REF!=2</formula>
    </cfRule>
    <cfRule type="expression" priority="441" aboveAverage="0" equalAverage="0" bottom="0" percent="0" rank="0" text="" dxfId="439">
      <formula>#REF!=3</formula>
    </cfRule>
  </conditionalFormatting>
  <conditionalFormatting sqref="M185">
    <cfRule type="expression" priority="442" aboveAverage="0" equalAverage="0" bottom="0" percent="0" rank="0" text="" dxfId="440">
      <formula>#REF!=1</formula>
    </cfRule>
    <cfRule type="expression" priority="443" aboveAverage="0" equalAverage="0" bottom="0" percent="0" rank="0" text="" dxfId="441">
      <formula>#REF!=2</formula>
    </cfRule>
    <cfRule type="expression" priority="444" aboveAverage="0" equalAverage="0" bottom="0" percent="0" rank="0" text="" dxfId="442">
      <formula>#REF!=3</formula>
    </cfRule>
  </conditionalFormatting>
  <conditionalFormatting sqref="M186">
    <cfRule type="expression" priority="445" aboveAverage="0" equalAverage="0" bottom="0" percent="0" rank="0" text="" dxfId="443">
      <formula>#REF!=1</formula>
    </cfRule>
    <cfRule type="expression" priority="446" aboveAverage="0" equalAverage="0" bottom="0" percent="0" rank="0" text="" dxfId="444">
      <formula>#REF!=2</formula>
    </cfRule>
    <cfRule type="expression" priority="447" aboveAverage="0" equalAverage="0" bottom="0" percent="0" rank="0" text="" dxfId="445">
      <formula>#REF!=3</formula>
    </cfRule>
  </conditionalFormatting>
  <conditionalFormatting sqref="N182">
    <cfRule type="expression" priority="448" aboveAverage="0" equalAverage="0" bottom="0" percent="0" rank="0" text="" dxfId="446">
      <formula>$A150=1</formula>
    </cfRule>
    <cfRule type="expression" priority="449" aboveAverage="0" equalAverage="0" bottom="0" percent="0" rank="0" text="" dxfId="447">
      <formula>$A150=2</formula>
    </cfRule>
    <cfRule type="expression" priority="450" aboveAverage="0" equalAverage="0" bottom="0" percent="0" rank="0" text="" dxfId="448">
      <formula>$A150=3</formula>
    </cfRule>
  </conditionalFormatting>
  <conditionalFormatting sqref="K218:K219">
    <cfRule type="expression" priority="451" aboveAverage="0" equalAverage="0" bottom="0" percent="0" rank="0" text="" dxfId="449">
      <formula>#REF!=1</formula>
    </cfRule>
    <cfRule type="expression" priority="452" aboveAverage="0" equalAverage="0" bottom="0" percent="0" rank="0" text="" dxfId="450">
      <formula>#REF!=2</formula>
    </cfRule>
    <cfRule type="expression" priority="453" aboveAverage="0" equalAverage="0" bottom="0" percent="0" rank="0" text="" dxfId="451">
      <formula>#REF!=3</formula>
    </cfRule>
  </conditionalFormatting>
  <conditionalFormatting sqref="K209">
    <cfRule type="expression" priority="454" aboveAverage="0" equalAverage="0" bottom="0" percent="0" rank="0" text="" dxfId="452">
      <formula>#REF!=1</formula>
    </cfRule>
    <cfRule type="expression" priority="455" aboveAverage="0" equalAverage="0" bottom="0" percent="0" rank="0" text="" dxfId="453">
      <formula>#REF!=2</formula>
    </cfRule>
    <cfRule type="expression" priority="456" aboveAverage="0" equalAverage="0" bottom="0" percent="0" rank="0" text="" dxfId="454">
      <formula>#REF!=3</formula>
    </cfRule>
  </conditionalFormatting>
  <conditionalFormatting sqref="M199">
    <cfRule type="expression" priority="457" aboveAverage="0" equalAverage="0" bottom="0" percent="0" rank="0" text="" dxfId="455">
      <formula>#REF!=1</formula>
    </cfRule>
    <cfRule type="expression" priority="458" aboveAverage="0" equalAverage="0" bottom="0" percent="0" rank="0" text="" dxfId="456">
      <formula>#REF!=2</formula>
    </cfRule>
    <cfRule type="expression" priority="459" aboveAverage="0" equalAverage="0" bottom="0" percent="0" rank="0" text="" dxfId="457">
      <formula>#REF!=3</formula>
    </cfRule>
  </conditionalFormatting>
  <conditionalFormatting sqref="M198 M212 M205 M209">
    <cfRule type="expression" priority="460" aboveAverage="0" equalAverage="0" bottom="0" percent="0" rank="0" text="" dxfId="458">
      <formula>#REF!=1</formula>
    </cfRule>
    <cfRule type="expression" priority="461" aboveAverage="0" equalAverage="0" bottom="0" percent="0" rank="0" text="" dxfId="459">
      <formula>#REF!=2</formula>
    </cfRule>
    <cfRule type="expression" priority="462" aboveAverage="0" equalAverage="0" bottom="0" percent="0" rank="0" text="" dxfId="460">
      <formula>#REF!=3</formula>
    </cfRule>
  </conditionalFormatting>
  <conditionalFormatting sqref="M207 M210">
    <cfRule type="expression" priority="463" aboveAverage="0" equalAverage="0" bottom="0" percent="0" rank="0" text="" dxfId="461">
      <formula>#REF!=1</formula>
    </cfRule>
    <cfRule type="expression" priority="464" aboveAverage="0" equalAverage="0" bottom="0" percent="0" rank="0" text="" dxfId="462">
      <formula>#REF!=2</formula>
    </cfRule>
    <cfRule type="expression" priority="465" aboveAverage="0" equalAverage="0" bottom="0" percent="0" rank="0" text="" dxfId="463">
      <formula>#REF!=3</formula>
    </cfRule>
  </conditionalFormatting>
  <conditionalFormatting sqref="M224 M203 M211 M219">
    <cfRule type="expression" priority="466" aboveAverage="0" equalAverage="0" bottom="0" percent="0" rank="0" text="" dxfId="464">
      <formula>#REF!=1</formula>
    </cfRule>
    <cfRule type="expression" priority="467" aboveAverage="0" equalAverage="0" bottom="0" percent="0" rank="0" text="" dxfId="465">
      <formula>#REF!=2</formula>
    </cfRule>
    <cfRule type="expression" priority="468" aboveAverage="0" equalAverage="0" bottom="0" percent="0" rank="0" text="" dxfId="466">
      <formula>#REF!=3</formula>
    </cfRule>
  </conditionalFormatting>
  <conditionalFormatting sqref="M221 M223 M218 M215">
    <cfRule type="expression" priority="469" aboveAverage="0" equalAverage="0" bottom="0" percent="0" rank="0" text="" dxfId="467">
      <formula>#REF!=1</formula>
    </cfRule>
    <cfRule type="expression" priority="470" aboveAverage="0" equalAverage="0" bottom="0" percent="0" rank="0" text="" dxfId="468">
      <formula>#REF!=2</formula>
    </cfRule>
    <cfRule type="expression" priority="471" aboveAverage="0" equalAverage="0" bottom="0" percent="0" rank="0" text="" dxfId="469">
      <formula>#REF!=3</formula>
    </cfRule>
  </conditionalFormatting>
  <conditionalFormatting sqref="M217">
    <cfRule type="expression" priority="472" aboveAverage="0" equalAverage="0" bottom="0" percent="0" rank="0" text="" dxfId="470">
      <formula>#REF!=1</formula>
    </cfRule>
    <cfRule type="expression" priority="473" aboveAverage="0" equalAverage="0" bottom="0" percent="0" rank="0" text="" dxfId="471">
      <formula>#REF!=2</formula>
    </cfRule>
    <cfRule type="expression" priority="474" aboveAverage="0" equalAverage="0" bottom="0" percent="0" rank="0" text="" dxfId="472">
      <formula>#REF!=3</formula>
    </cfRule>
  </conditionalFormatting>
  <conditionalFormatting sqref="M292">
    <cfRule type="expression" priority="475" aboveAverage="0" equalAverage="0" bottom="0" percent="0" rank="0" text="" dxfId="473">
      <formula>#REF!=1</formula>
    </cfRule>
    <cfRule type="expression" priority="476" aboveAverage="0" equalAverage="0" bottom="0" percent="0" rank="0" text="" dxfId="474">
      <formula>#REF!=2</formula>
    </cfRule>
    <cfRule type="expression" priority="477" aboveAverage="0" equalAverage="0" bottom="0" percent="0" rank="0" text="" dxfId="475">
      <formula>#REF!=3</formula>
    </cfRule>
  </conditionalFormatting>
  <conditionalFormatting sqref="M204">
    <cfRule type="expression" priority="478" aboveAverage="0" equalAverage="0" bottom="0" percent="0" rank="0" text="" dxfId="476">
      <formula>#REF!=1</formula>
    </cfRule>
    <cfRule type="expression" priority="479" aboveAverage="0" equalAverage="0" bottom="0" percent="0" rank="0" text="" dxfId="477">
      <formula>#REF!=2</formula>
    </cfRule>
    <cfRule type="expression" priority="480" aboveAverage="0" equalAverage="0" bottom="0" percent="0" rank="0" text="" dxfId="478">
      <formula>#REF!=3</formula>
    </cfRule>
  </conditionalFormatting>
  <conditionalFormatting sqref="M195">
    <cfRule type="expression" priority="481" aboveAverage="0" equalAverage="0" bottom="0" percent="0" rank="0" text="" dxfId="479">
      <formula>#REF!=1</formula>
    </cfRule>
    <cfRule type="expression" priority="482" aboveAverage="0" equalAverage="0" bottom="0" percent="0" rank="0" text="" dxfId="480">
      <formula>#REF!=2</formula>
    </cfRule>
    <cfRule type="expression" priority="483" aboveAverage="0" equalAverage="0" bottom="0" percent="0" rank="0" text="" dxfId="481">
      <formula>#REF!=3</formula>
    </cfRule>
  </conditionalFormatting>
  <conditionalFormatting sqref="K241:K244 K225:K226 K251:K255 K246:K249">
    <cfRule type="expression" priority="484" aboveAverage="0" equalAverage="0" bottom="0" percent="0" rank="0" text="" dxfId="482">
      <formula>#REF!=1</formula>
    </cfRule>
    <cfRule type="expression" priority="485" aboveAverage="0" equalAverage="0" bottom="0" percent="0" rank="0" text="" dxfId="483">
      <formula>#REF!=2</formula>
    </cfRule>
    <cfRule type="expression" priority="486" aboveAverage="0" equalAverage="0" bottom="0" percent="0" rank="0" text="" dxfId="484">
      <formula>#REF!=3</formula>
    </cfRule>
  </conditionalFormatting>
  <conditionalFormatting sqref="M228 M235">
    <cfRule type="expression" priority="487" aboveAverage="0" equalAverage="0" bottom="0" percent="0" rank="0" text="" dxfId="485">
      <formula>#REF!=1</formula>
    </cfRule>
    <cfRule type="expression" priority="488" aboveAverage="0" equalAverage="0" bottom="0" percent="0" rank="0" text="" dxfId="486">
      <formula>#REF!=2</formula>
    </cfRule>
    <cfRule type="expression" priority="489" aboveAverage="0" equalAverage="0" bottom="0" percent="0" rank="0" text="" dxfId="487">
      <formula>#REF!=3</formula>
    </cfRule>
  </conditionalFormatting>
  <conditionalFormatting sqref="M248">
    <cfRule type="expression" priority="490" aboveAverage="0" equalAverage="0" bottom="0" percent="0" rank="0" text="" dxfId="488">
      <formula>#REF!=1</formula>
    </cfRule>
    <cfRule type="expression" priority="491" aboveAverage="0" equalAverage="0" bottom="0" percent="0" rank="0" text="" dxfId="489">
      <formula>#REF!=2</formula>
    </cfRule>
    <cfRule type="expression" priority="492" aboveAverage="0" equalAverage="0" bottom="0" percent="0" rank="0" text="" dxfId="490">
      <formula>#REF!=3</formula>
    </cfRule>
  </conditionalFormatting>
  <conditionalFormatting sqref="M226">
    <cfRule type="expression" priority="493" aboveAverage="0" equalAverage="0" bottom="0" percent="0" rank="0" text="" dxfId="491">
      <formula>#REF!=1</formula>
    </cfRule>
    <cfRule type="expression" priority="494" aboveAverage="0" equalAverage="0" bottom="0" percent="0" rank="0" text="" dxfId="492">
      <formula>#REF!=2</formula>
    </cfRule>
    <cfRule type="expression" priority="495" aboveAverage="0" equalAverage="0" bottom="0" percent="0" rank="0" text="" dxfId="493">
      <formula>#REF!=3</formula>
    </cfRule>
  </conditionalFormatting>
  <conditionalFormatting sqref="M231 M253">
    <cfRule type="expression" priority="496" aboveAverage="0" equalAverage="0" bottom="0" percent="0" rank="0" text="" dxfId="494">
      <formula>#REF!=1</formula>
    </cfRule>
    <cfRule type="expression" priority="497" aboveAverage="0" equalAverage="0" bottom="0" percent="0" rank="0" text="" dxfId="495">
      <formula>#REF!=2</formula>
    </cfRule>
    <cfRule type="expression" priority="498" aboveAverage="0" equalAverage="0" bottom="0" percent="0" rank="0" text="" dxfId="496">
      <formula>#REF!=3</formula>
    </cfRule>
  </conditionalFormatting>
  <conditionalFormatting sqref="M229 M251">
    <cfRule type="expression" priority="499" aboveAverage="0" equalAverage="0" bottom="0" percent="0" rank="0" text="" dxfId="497">
      <formula>#REF!=1</formula>
    </cfRule>
    <cfRule type="expression" priority="500" aboveAverage="0" equalAverage="0" bottom="0" percent="0" rank="0" text="" dxfId="498">
      <formula>#REF!=2</formula>
    </cfRule>
    <cfRule type="expression" priority="501" aboveAverage="0" equalAverage="0" bottom="0" percent="0" rank="0" text="" dxfId="499">
      <formula>#REF!=3</formula>
    </cfRule>
  </conditionalFormatting>
  <conditionalFormatting sqref="M227 M236 M243:M244">
    <cfRule type="expression" priority="502" aboveAverage="0" equalAverage="0" bottom="0" percent="0" rank="0" text="" dxfId="500">
      <formula>#REF!=1</formula>
    </cfRule>
    <cfRule type="expression" priority="503" aboveAverage="0" equalAverage="0" bottom="0" percent="0" rank="0" text="" dxfId="501">
      <formula>#REF!=2</formula>
    </cfRule>
    <cfRule type="expression" priority="504" aboveAverage="0" equalAverage="0" bottom="0" percent="0" rank="0" text="" dxfId="502">
      <formula>#REF!=3</formula>
    </cfRule>
  </conditionalFormatting>
  <conditionalFormatting sqref="M238 M254">
    <cfRule type="expression" priority="505" aboveAverage="0" equalAverage="0" bottom="0" percent="0" rank="0" text="" dxfId="503">
      <formula>#REF!=1</formula>
    </cfRule>
    <cfRule type="expression" priority="506" aboveAverage="0" equalAverage="0" bottom="0" percent="0" rank="0" text="" dxfId="504">
      <formula>#REF!=2</formula>
    </cfRule>
    <cfRule type="expression" priority="507" aboveAverage="0" equalAverage="0" bottom="0" percent="0" rank="0" text="" dxfId="505">
      <formula>#REF!=3</formula>
    </cfRule>
  </conditionalFormatting>
  <conditionalFormatting sqref="M237 M225">
    <cfRule type="expression" priority="508" aboveAverage="0" equalAverage="0" bottom="0" percent="0" rank="0" text="" dxfId="506">
      <formula>#REF!=1</formula>
    </cfRule>
    <cfRule type="expression" priority="509" aboveAverage="0" equalAverage="0" bottom="0" percent="0" rank="0" text="" dxfId="507">
      <formula>#REF!=2</formula>
    </cfRule>
    <cfRule type="expression" priority="510" aboveAverage="0" equalAverage="0" bottom="0" percent="0" rank="0" text="" dxfId="508">
      <formula>#REF!=3</formula>
    </cfRule>
  </conditionalFormatting>
  <conditionalFormatting sqref="M230 M252 M246:M247 M241:M242 M239 M255:M256">
    <cfRule type="expression" priority="511" aboveAverage="0" equalAverage="0" bottom="0" percent="0" rank="0" text="" dxfId="509">
      <formula>#REF!=1</formula>
    </cfRule>
    <cfRule type="expression" priority="512" aboveAverage="0" equalAverage="0" bottom="0" percent="0" rank="0" text="" dxfId="510">
      <formula>#REF!=2</formula>
    </cfRule>
    <cfRule type="expression" priority="513" aboveAverage="0" equalAverage="0" bottom="0" percent="0" rank="0" text="" dxfId="511">
      <formula>#REF!=3</formula>
    </cfRule>
  </conditionalFormatting>
  <conditionalFormatting sqref="K239">
    <cfRule type="expression" priority="514" aboveAverage="0" equalAverage="0" bottom="0" percent="0" rank="0" text="" dxfId="512">
      <formula>#REF!=1</formula>
    </cfRule>
    <cfRule type="expression" priority="515" aboveAverage="0" equalAverage="0" bottom="0" percent="0" rank="0" text="" dxfId="513">
      <formula>#REF!=2</formula>
    </cfRule>
    <cfRule type="expression" priority="516" aboveAverage="0" equalAverage="0" bottom="0" percent="0" rank="0" text="" dxfId="514">
      <formula>#REF!=3</formula>
    </cfRule>
  </conditionalFormatting>
  <conditionalFormatting sqref="K250">
    <cfRule type="expression" priority="517" aboveAverage="0" equalAverage="0" bottom="0" percent="0" rank="0" text="" dxfId="515">
      <formula>#REF!=1</formula>
    </cfRule>
    <cfRule type="expression" priority="518" aboveAverage="0" equalAverage="0" bottom="0" percent="0" rank="0" text="" dxfId="516">
      <formula>#REF!=2</formula>
    </cfRule>
    <cfRule type="expression" priority="519" aboveAverage="0" equalAverage="0" bottom="0" percent="0" rank="0" text="" dxfId="517">
      <formula>#REF!=3</formula>
    </cfRule>
  </conditionalFormatting>
  <conditionalFormatting sqref="M250">
    <cfRule type="expression" priority="520" aboveAverage="0" equalAverage="0" bottom="0" percent="0" rank="0" text="" dxfId="518">
      <formula>#REF!=1</formula>
    </cfRule>
    <cfRule type="expression" priority="521" aboveAverage="0" equalAverage="0" bottom="0" percent="0" rank="0" text="" dxfId="519">
      <formula>#REF!=2</formula>
    </cfRule>
    <cfRule type="expression" priority="522" aboveAverage="0" equalAverage="0" bottom="0" percent="0" rank="0" text="" dxfId="520">
      <formula>#REF!=3</formula>
    </cfRule>
  </conditionalFormatting>
  <conditionalFormatting sqref="K240">
    <cfRule type="expression" priority="523" aboveAverage="0" equalAverage="0" bottom="0" percent="0" rank="0" text="" dxfId="521">
      <formula>#REF!=1</formula>
    </cfRule>
    <cfRule type="expression" priority="524" aboveAverage="0" equalAverage="0" bottom="0" percent="0" rank="0" text="" dxfId="522">
      <formula>#REF!=2</formula>
    </cfRule>
    <cfRule type="expression" priority="525" aboveAverage="0" equalAverage="0" bottom="0" percent="0" rank="0" text="" dxfId="523">
      <formula>#REF!=3</formula>
    </cfRule>
  </conditionalFormatting>
  <conditionalFormatting sqref="M240">
    <cfRule type="expression" priority="526" aboveAverage="0" equalAverage="0" bottom="0" percent="0" rank="0" text="" dxfId="524">
      <formula>#REF!=1</formula>
    </cfRule>
    <cfRule type="expression" priority="527" aboveAverage="0" equalAverage="0" bottom="0" percent="0" rank="0" text="" dxfId="525">
      <formula>#REF!=2</formula>
    </cfRule>
    <cfRule type="expression" priority="528" aboveAverage="0" equalAverage="0" bottom="0" percent="0" rank="0" text="" dxfId="526">
      <formula>#REF!=3</formula>
    </cfRule>
  </conditionalFormatting>
  <conditionalFormatting sqref="K227">
    <cfRule type="expression" priority="529" aboveAverage="0" equalAverage="0" bottom="0" percent="0" rank="0" text="" dxfId="527">
      <formula>#REF!=1</formula>
    </cfRule>
    <cfRule type="expression" priority="530" aboveAverage="0" equalAverage="0" bottom="0" percent="0" rank="0" text="" dxfId="528">
      <formula>#REF!=2</formula>
    </cfRule>
    <cfRule type="expression" priority="531" aboveAverage="0" equalAverage="0" bottom="0" percent="0" rank="0" text="" dxfId="529">
      <formula>#REF!=3</formula>
    </cfRule>
  </conditionalFormatting>
  <conditionalFormatting sqref="N227">
    <cfRule type="expression" priority="532" aboveAverage="0" equalAverage="0" bottom="0" percent="0" rank="0" text="" dxfId="530">
      <formula>$A227=1</formula>
    </cfRule>
    <cfRule type="expression" priority="533" aboveAverage="0" equalAverage="0" bottom="0" percent="0" rank="0" text="" dxfId="531">
      <formula>$A227=2</formula>
    </cfRule>
    <cfRule type="expression" priority="534" aboveAverage="0" equalAverage="0" bottom="0" percent="0" rank="0" text="" dxfId="532">
      <formula>$A227=3</formula>
    </cfRule>
  </conditionalFormatting>
  <conditionalFormatting sqref="K302">
    <cfRule type="expression" priority="535" aboveAverage="0" equalAverage="0" bottom="0" percent="0" rank="0" text="" dxfId="533">
      <formula>#REF!=1</formula>
    </cfRule>
    <cfRule type="expression" priority="536" aboveAverage="0" equalAverage="0" bottom="0" percent="0" rank="0" text="" dxfId="534">
      <formula>#REF!=2</formula>
    </cfRule>
    <cfRule type="expression" priority="537" aboveAverage="0" equalAverage="0" bottom="0" percent="0" rank="0" text="" dxfId="535">
      <formula>#REF!=3</formula>
    </cfRule>
  </conditionalFormatting>
  <conditionalFormatting sqref="M365">
    <cfRule type="expression" priority="538" aboveAverage="0" equalAverage="0" bottom="0" percent="0" rank="0" text="" dxfId="536">
      <formula>#REF!=1</formula>
    </cfRule>
    <cfRule type="expression" priority="539" aboveAverage="0" equalAverage="0" bottom="0" percent="0" rank="0" text="" dxfId="537">
      <formula>#REF!=2</formula>
    </cfRule>
    <cfRule type="expression" priority="540" aboveAverage="0" equalAverage="0" bottom="0" percent="0" rank="0" text="" dxfId="538">
      <formula>#REF!=3</formula>
    </cfRule>
  </conditionalFormatting>
  <conditionalFormatting sqref="M366">
    <cfRule type="expression" priority="541" aboveAverage="0" equalAverage="0" bottom="0" percent="0" rank="0" text="" dxfId="539">
      <formula>#REF!=1</formula>
    </cfRule>
    <cfRule type="expression" priority="542" aboveAverage="0" equalAverage="0" bottom="0" percent="0" rank="0" text="" dxfId="540">
      <formula>#REF!=2</formula>
    </cfRule>
    <cfRule type="expression" priority="543" aboveAverage="0" equalAverage="0" bottom="0" percent="0" rank="0" text="" dxfId="541">
      <formula>#REF!=3</formula>
    </cfRule>
  </conditionalFormatting>
  <conditionalFormatting sqref="M367">
    <cfRule type="expression" priority="544" aboveAverage="0" equalAverage="0" bottom="0" percent="0" rank="0" text="" dxfId="542">
      <formula>#REF!=1</formula>
    </cfRule>
    <cfRule type="expression" priority="545" aboveAverage="0" equalAverage="0" bottom="0" percent="0" rank="0" text="" dxfId="543">
      <formula>#REF!=2</formula>
    </cfRule>
    <cfRule type="expression" priority="546" aboveAverage="0" equalAverage="0" bottom="0" percent="0" rank="0" text="" dxfId="544">
      <formula>#REF!=3</formula>
    </cfRule>
  </conditionalFormatting>
  <conditionalFormatting sqref="K333">
    <cfRule type="expression" priority="547" aboveAverage="0" equalAverage="0" bottom="0" percent="0" rank="0" text="" dxfId="545">
      <formula>#REF!=1</formula>
    </cfRule>
    <cfRule type="expression" priority="548" aboveAverage="0" equalAverage="0" bottom="0" percent="0" rank="0" text="" dxfId="546">
      <formula>#REF!=2</formula>
    </cfRule>
    <cfRule type="expression" priority="549" aboveAverage="0" equalAverage="0" bottom="0" percent="0" rank="0" text="" dxfId="547">
      <formula>#REF!=3</formula>
    </cfRule>
  </conditionalFormatting>
  <conditionalFormatting sqref="K293">
    <cfRule type="expression" priority="550" aboveAverage="0" equalAverage="0" bottom="0" percent="0" rank="0" text="" dxfId="548">
      <formula>#REF!=1</formula>
    </cfRule>
    <cfRule type="expression" priority="551" aboveAverage="0" equalAverage="0" bottom="0" percent="0" rank="0" text="" dxfId="549">
      <formula>#REF!=2</formula>
    </cfRule>
    <cfRule type="expression" priority="552" aboveAverage="0" equalAverage="0" bottom="0" percent="0" rank="0" text="" dxfId="550">
      <formula>#REF!=3</formula>
    </cfRule>
  </conditionalFormatting>
  <conditionalFormatting sqref="M294">
    <cfRule type="expression" priority="553" aboveAverage="0" equalAverage="0" bottom="0" percent="0" rank="0" text="" dxfId="551">
      <formula>#REF!=1</formula>
    </cfRule>
    <cfRule type="expression" priority="554" aboveAverage="0" equalAverage="0" bottom="0" percent="0" rank="0" text="" dxfId="552">
      <formula>#REF!=2</formula>
    </cfRule>
    <cfRule type="expression" priority="555" aboveAverage="0" equalAverage="0" bottom="0" percent="0" rank="0" text="" dxfId="553">
      <formula>#REF!=3</formula>
    </cfRule>
  </conditionalFormatting>
  <conditionalFormatting sqref="M293">
    <cfRule type="expression" priority="556" aboveAverage="0" equalAverage="0" bottom="0" percent="0" rank="0" text="" dxfId="554">
      <formula>#REF!=1</formula>
    </cfRule>
    <cfRule type="expression" priority="557" aboveAverage="0" equalAverage="0" bottom="0" percent="0" rank="0" text="" dxfId="555">
      <formula>#REF!=2</formula>
    </cfRule>
    <cfRule type="expression" priority="558" aboveAverage="0" equalAverage="0" bottom="0" percent="0" rank="0" text="" dxfId="556">
      <formula>#REF!=3</formula>
    </cfRule>
  </conditionalFormatting>
  <conditionalFormatting sqref="N293:N294">
    <cfRule type="expression" priority="559" aboveAverage="0" equalAverage="0" bottom="0" percent="0" rank="0" text="" dxfId="557">
      <formula>$A293=1</formula>
    </cfRule>
    <cfRule type="expression" priority="560" aboveAverage="0" equalAverage="0" bottom="0" percent="0" rank="0" text="" dxfId="558">
      <formula>$A293=2</formula>
    </cfRule>
    <cfRule type="expression" priority="561" aboveAverage="0" equalAverage="0" bottom="0" percent="0" rank="0" text="" dxfId="559">
      <formula>$A293=3</formula>
    </cfRule>
  </conditionalFormatting>
  <conditionalFormatting sqref="K272:K275 K267:K268">
    <cfRule type="expression" priority="562" aboveAverage="0" equalAverage="0" bottom="0" percent="0" rank="0" text="" dxfId="560">
      <formula>#REF!=1</formula>
    </cfRule>
    <cfRule type="expression" priority="563" aboveAverage="0" equalAverage="0" bottom="0" percent="0" rank="0" text="" dxfId="561">
      <formula>#REF!=2</formula>
    </cfRule>
    <cfRule type="expression" priority="564" aboveAverage="0" equalAverage="0" bottom="0" percent="0" rank="0" text="" dxfId="562">
      <formula>#REF!=3</formula>
    </cfRule>
  </conditionalFormatting>
  <conditionalFormatting sqref="M271">
    <cfRule type="expression" priority="565" aboveAverage="0" equalAverage="0" bottom="0" percent="0" rank="0" text="" dxfId="563">
      <formula>#REF!=1</formula>
    </cfRule>
    <cfRule type="expression" priority="566" aboveAverage="0" equalAverage="0" bottom="0" percent="0" rank="0" text="" dxfId="564">
      <formula>#REF!=2</formula>
    </cfRule>
    <cfRule type="expression" priority="567" aboveAverage="0" equalAverage="0" bottom="0" percent="0" rank="0" text="" dxfId="565">
      <formula>#REF!=3</formula>
    </cfRule>
  </conditionalFormatting>
  <conditionalFormatting sqref="M266 M273">
    <cfRule type="expression" priority="568" aboveAverage="0" equalAverage="0" bottom="0" percent="0" rank="0" text="" dxfId="566">
      <formula>#REF!=1</formula>
    </cfRule>
    <cfRule type="expression" priority="569" aboveAverage="0" equalAverage="0" bottom="0" percent="0" rank="0" text="" dxfId="567">
      <formula>#REF!=2</formula>
    </cfRule>
    <cfRule type="expression" priority="570" aboveAverage="0" equalAverage="0" bottom="0" percent="0" rank="0" text="" dxfId="568">
      <formula>#REF!=3</formula>
    </cfRule>
  </conditionalFormatting>
  <conditionalFormatting sqref="M264">
    <cfRule type="expression" priority="571" aboveAverage="0" equalAverage="0" bottom="0" percent="0" rank="0" text="" dxfId="569">
      <formula>#REF!=1</formula>
    </cfRule>
    <cfRule type="expression" priority="572" aboveAverage="0" equalAverage="0" bottom="0" percent="0" rank="0" text="" dxfId="570">
      <formula>#REF!=2</formula>
    </cfRule>
    <cfRule type="expression" priority="573" aboveAverage="0" equalAverage="0" bottom="0" percent="0" rank="0" text="" dxfId="571">
      <formula>#REF!=3</formula>
    </cfRule>
  </conditionalFormatting>
  <conditionalFormatting sqref="M261">
    <cfRule type="expression" priority="574" aboveAverage="0" equalAverage="0" bottom="0" percent="0" rank="0" text="" dxfId="572">
      <formula>#REF!=1</formula>
    </cfRule>
    <cfRule type="expression" priority="575" aboveAverage="0" equalAverage="0" bottom="0" percent="0" rank="0" text="" dxfId="573">
      <formula>#REF!=2</formula>
    </cfRule>
    <cfRule type="expression" priority="576" aboveAverage="0" equalAverage="0" bottom="0" percent="0" rank="0" text="" dxfId="574">
      <formula>#REF!=3</formula>
    </cfRule>
  </conditionalFormatting>
  <conditionalFormatting sqref="M267 M272 M258 M269 M275">
    <cfRule type="expression" priority="577" aboveAverage="0" equalAverage="0" bottom="0" percent="0" rank="0" text="" dxfId="575">
      <formula>#REF!=1</formula>
    </cfRule>
    <cfRule type="expression" priority="578" aboveAverage="0" equalAverage="0" bottom="0" percent="0" rank="0" text="" dxfId="576">
      <formula>#REF!=2</formula>
    </cfRule>
    <cfRule type="expression" priority="579" aboveAverage="0" equalAverage="0" bottom="0" percent="0" rank="0" text="" dxfId="577">
      <formula>#REF!=3</formula>
    </cfRule>
  </conditionalFormatting>
  <conditionalFormatting sqref="M262">
    <cfRule type="expression" priority="580" aboveAverage="0" equalAverage="0" bottom="0" percent="0" rank="0" text="" dxfId="578">
      <formula>#REF!=1</formula>
    </cfRule>
    <cfRule type="expression" priority="581" aboveAverage="0" equalAverage="0" bottom="0" percent="0" rank="0" text="" dxfId="579">
      <formula>#REF!=2</formula>
    </cfRule>
    <cfRule type="expression" priority="582" aboveAverage="0" equalAverage="0" bottom="0" percent="0" rank="0" text="" dxfId="580">
      <formula>#REF!=3</formula>
    </cfRule>
  </conditionalFormatting>
  <conditionalFormatting sqref="M274">
    <cfRule type="expression" priority="583" aboveAverage="0" equalAverage="0" bottom="0" percent="0" rank="0" text="" dxfId="581">
      <formula>#REF!=1</formula>
    </cfRule>
    <cfRule type="expression" priority="584" aboveAverage="0" equalAverage="0" bottom="0" percent="0" rank="0" text="" dxfId="582">
      <formula>#REF!=2</formula>
    </cfRule>
    <cfRule type="expression" priority="585" aboveAverage="0" equalAverage="0" bottom="0" percent="0" rank="0" text="" dxfId="583">
      <formula>#REF!=3</formula>
    </cfRule>
  </conditionalFormatting>
  <conditionalFormatting sqref="M175">
    <cfRule type="expression" priority="586" aboveAverage="0" equalAverage="0" bottom="0" percent="0" rank="0" text="" dxfId="584">
      <formula>#REF!=1</formula>
    </cfRule>
    <cfRule type="expression" priority="587" aboveAverage="0" equalAverage="0" bottom="0" percent="0" rank="0" text="" dxfId="585">
      <formula>#REF!=2</formula>
    </cfRule>
    <cfRule type="expression" priority="588" aboveAverage="0" equalAverage="0" bottom="0" percent="0" rank="0" text="" dxfId="586">
      <formula>#REF!=3</formula>
    </cfRule>
  </conditionalFormatting>
  <conditionalFormatting sqref="K263">
    <cfRule type="expression" priority="589" aboveAverage="0" equalAverage="0" bottom="0" percent="0" rank="0" text="" dxfId="587">
      <formula>#REF!=1</formula>
    </cfRule>
    <cfRule type="expression" priority="590" aboveAverage="0" equalAverage="0" bottom="0" percent="0" rank="0" text="" dxfId="588">
      <formula>#REF!=2</formula>
    </cfRule>
    <cfRule type="expression" priority="591" aboveAverage="0" equalAverage="0" bottom="0" percent="0" rank="0" text="" dxfId="589">
      <formula>#REF!=3</formula>
    </cfRule>
  </conditionalFormatting>
  <conditionalFormatting sqref="M263">
    <cfRule type="expression" priority="592" aboveAverage="0" equalAverage="0" bottom="0" percent="0" rank="0" text="" dxfId="590">
      <formula>#REF!=1</formula>
    </cfRule>
    <cfRule type="expression" priority="593" aboveAverage="0" equalAverage="0" bottom="0" percent="0" rank="0" text="" dxfId="591">
      <formula>#REF!=2</formula>
    </cfRule>
    <cfRule type="expression" priority="594" aboveAverage="0" equalAverage="0" bottom="0" percent="0" rank="0" text="" dxfId="592">
      <formula>#REF!=3</formula>
    </cfRule>
  </conditionalFormatting>
  <conditionalFormatting sqref="K270">
    <cfRule type="expression" priority="595" aboveAverage="0" equalAverage="0" bottom="0" percent="0" rank="0" text="" dxfId="593">
      <formula>#REF!=1</formula>
    </cfRule>
    <cfRule type="expression" priority="596" aboveAverage="0" equalAverage="0" bottom="0" percent="0" rank="0" text="" dxfId="594">
      <formula>#REF!=2</formula>
    </cfRule>
    <cfRule type="expression" priority="597" aboveAverage="0" equalAverage="0" bottom="0" percent="0" rank="0" text="" dxfId="595">
      <formula>#REF!=3</formula>
    </cfRule>
  </conditionalFormatting>
  <conditionalFormatting sqref="M270">
    <cfRule type="expression" priority="598" aboveAverage="0" equalAverage="0" bottom="0" percent="0" rank="0" text="" dxfId="596">
      <formula>#REF!=1</formula>
    </cfRule>
    <cfRule type="expression" priority="599" aboveAverage="0" equalAverage="0" bottom="0" percent="0" rank="0" text="" dxfId="597">
      <formula>#REF!=2</formula>
    </cfRule>
    <cfRule type="expression" priority="600" aboveAverage="0" equalAverage="0" bottom="0" percent="0" rank="0" text="" dxfId="598">
      <formula>#REF!=3</formula>
    </cfRule>
  </conditionalFormatting>
  <conditionalFormatting sqref="K95">
    <cfRule type="expression" priority="601" aboveAverage="0" equalAverage="0" bottom="0" percent="0" rank="0" text="" dxfId="599">
      <formula>#REF!=1</formula>
    </cfRule>
    <cfRule type="expression" priority="602" aboveAverage="0" equalAverage="0" bottom="0" percent="0" rank="0" text="" dxfId="600">
      <formula>#REF!=2</formula>
    </cfRule>
    <cfRule type="expression" priority="603" aboveAverage="0" equalAverage="0" bottom="0" percent="0" rank="0" text="" dxfId="601">
      <formula>#REF!=3</formula>
    </cfRule>
  </conditionalFormatting>
  <conditionalFormatting sqref="M95">
    <cfRule type="expression" priority="604" aboveAverage="0" equalAverage="0" bottom="0" percent="0" rank="0" text="" dxfId="602">
      <formula>#REF!=1</formula>
    </cfRule>
    <cfRule type="expression" priority="605" aboveAverage="0" equalAverage="0" bottom="0" percent="0" rank="0" text="" dxfId="603">
      <formula>#REF!=2</formula>
    </cfRule>
    <cfRule type="expression" priority="606" aboveAverage="0" equalAverage="0" bottom="0" percent="0" rank="0" text="" dxfId="604">
      <formula>#REF!=3</formula>
    </cfRule>
  </conditionalFormatting>
  <conditionalFormatting sqref="K165">
    <cfRule type="expression" priority="607" aboveAverage="0" equalAverage="0" bottom="0" percent="0" rank="0" text="" dxfId="605">
      <formula>#REF!=1</formula>
    </cfRule>
    <cfRule type="expression" priority="608" aboveAverage="0" equalAverage="0" bottom="0" percent="0" rank="0" text="" dxfId="606">
      <formula>#REF!=2</formula>
    </cfRule>
    <cfRule type="expression" priority="609" aboveAverage="0" equalAverage="0" bottom="0" percent="0" rank="0" text="" dxfId="607">
      <formula>#REF!=3</formula>
    </cfRule>
  </conditionalFormatting>
  <conditionalFormatting sqref="M165">
    <cfRule type="expression" priority="610" aboveAverage="0" equalAverage="0" bottom="0" percent="0" rank="0" text="" dxfId="608">
      <formula>#REF!=1</formula>
    </cfRule>
    <cfRule type="expression" priority="611" aboveAverage="0" equalAverage="0" bottom="0" percent="0" rank="0" text="" dxfId="609">
      <formula>#REF!=2</formula>
    </cfRule>
    <cfRule type="expression" priority="612" aboveAverage="0" equalAverage="0" bottom="0" percent="0" rank="0" text="" dxfId="610">
      <formula>#REF!=3</formula>
    </cfRule>
  </conditionalFormatting>
  <conditionalFormatting sqref="K233">
    <cfRule type="expression" priority="613" aboveAverage="0" equalAverage="0" bottom="0" percent="0" rank="0" text="" dxfId="611">
      <formula>#REF!=1</formula>
    </cfRule>
    <cfRule type="expression" priority="614" aboveAverage="0" equalAverage="0" bottom="0" percent="0" rank="0" text="" dxfId="612">
      <formula>#REF!=2</formula>
    </cfRule>
    <cfRule type="expression" priority="615" aboveAverage="0" equalAverage="0" bottom="0" percent="0" rank="0" text="" dxfId="613">
      <formula>#REF!=3</formula>
    </cfRule>
  </conditionalFormatting>
  <conditionalFormatting sqref="M233">
    <cfRule type="expression" priority="616" aboveAverage="0" equalAverage="0" bottom="0" percent="0" rank="0" text="" dxfId="614">
      <formula>#REF!=1</formula>
    </cfRule>
    <cfRule type="expression" priority="617" aboveAverage="0" equalAverage="0" bottom="0" percent="0" rank="0" text="" dxfId="615">
      <formula>#REF!=2</formula>
    </cfRule>
    <cfRule type="expression" priority="618" aboveAverage="0" equalAverage="0" bottom="0" percent="0" rank="0" text="" dxfId="616">
      <formula>#REF!=3</formula>
    </cfRule>
  </conditionalFormatting>
  <conditionalFormatting sqref="N266">
    <cfRule type="expression" priority="619" aboveAverage="0" equalAverage="0" bottom="0" percent="0" rank="0" text="" dxfId="617">
      <formula>$A260=1</formula>
    </cfRule>
    <cfRule type="expression" priority="620" aboveAverage="0" equalAverage="0" bottom="0" percent="0" rank="0" text="" dxfId="618">
      <formula>$A260=2</formula>
    </cfRule>
    <cfRule type="expression" priority="621" aboveAverage="0" equalAverage="0" bottom="0" percent="0" rank="0" text="" dxfId="619">
      <formula>$A260=3</formula>
    </cfRule>
  </conditionalFormatting>
  <conditionalFormatting sqref="N175">
    <cfRule type="expression" priority="622" aboveAverage="0" equalAverage="0" bottom="0" percent="0" rank="0" text="" dxfId="620">
      <formula>$A266=1</formula>
    </cfRule>
    <cfRule type="expression" priority="623" aboveAverage="0" equalAverage="0" bottom="0" percent="0" rank="0" text="" dxfId="621">
      <formula>$A266=2</formula>
    </cfRule>
    <cfRule type="expression" priority="624" aboveAverage="0" equalAverage="0" bottom="0" percent="0" rank="0" text="" dxfId="622">
      <formula>$A266=3</formula>
    </cfRule>
  </conditionalFormatting>
  <conditionalFormatting sqref="K288:K290 K214 K276">
    <cfRule type="expression" priority="625" aboveAverage="0" equalAverage="0" bottom="0" percent="0" rank="0" text="" dxfId="623">
      <formula>#REF!=1</formula>
    </cfRule>
    <cfRule type="expression" priority="626" aboveAverage="0" equalAverage="0" bottom="0" percent="0" rank="0" text="" dxfId="624">
      <formula>#REF!=2</formula>
    </cfRule>
    <cfRule type="expression" priority="627" aboveAverage="0" equalAverage="0" bottom="0" percent="0" rank="0" text="" dxfId="625">
      <formula>#REF!=3</formula>
    </cfRule>
  </conditionalFormatting>
  <conditionalFormatting sqref="M283 M214">
    <cfRule type="expression" priority="628" aboveAverage="0" equalAverage="0" bottom="0" percent="0" rank="0" text="" dxfId="626">
      <formula>#REF!=1</formula>
    </cfRule>
    <cfRule type="expression" priority="629" aboveAverage="0" equalAverage="0" bottom="0" percent="0" rank="0" text="" dxfId="627">
      <formula>#REF!=2</formula>
    </cfRule>
    <cfRule type="expression" priority="630" aboveAverage="0" equalAverage="0" bottom="0" percent="0" rank="0" text="" dxfId="628">
      <formula>#REF!=3</formula>
    </cfRule>
  </conditionalFormatting>
  <conditionalFormatting sqref="M290">
    <cfRule type="expression" priority="631" aboveAverage="0" equalAverage="0" bottom="0" percent="0" rank="0" text="" dxfId="629">
      <formula>#REF!=1</formula>
    </cfRule>
    <cfRule type="expression" priority="632" aboveAverage="0" equalAverage="0" bottom="0" percent="0" rank="0" text="" dxfId="630">
      <formula>#REF!=2</formula>
    </cfRule>
    <cfRule type="expression" priority="633" aboveAverage="0" equalAverage="0" bottom="0" percent="0" rank="0" text="" dxfId="631">
      <formula>#REF!=3</formula>
    </cfRule>
  </conditionalFormatting>
  <conditionalFormatting sqref="M281 M289">
    <cfRule type="expression" priority="634" aboveAverage="0" equalAverage="0" bottom="0" percent="0" rank="0" text="" dxfId="632">
      <formula>#REF!=1</formula>
    </cfRule>
    <cfRule type="expression" priority="635" aboveAverage="0" equalAverage="0" bottom="0" percent="0" rank="0" text="" dxfId="633">
      <formula>#REF!=2</formula>
    </cfRule>
    <cfRule type="expression" priority="636" aboveAverage="0" equalAverage="0" bottom="0" percent="0" rank="0" text="" dxfId="634">
      <formula>#REF!=3</formula>
    </cfRule>
  </conditionalFormatting>
  <conditionalFormatting sqref="M280 M291 M285:M287">
    <cfRule type="expression" priority="637" aboveAverage="0" equalAverage="0" bottom="0" percent="0" rank="0" text="" dxfId="635">
      <formula>#REF!=1</formula>
    </cfRule>
    <cfRule type="expression" priority="638" aboveAverage="0" equalAverage="0" bottom="0" percent="0" rank="0" text="" dxfId="636">
      <formula>#REF!=2</formula>
    </cfRule>
    <cfRule type="expression" priority="639" aboveAverage="0" equalAverage="0" bottom="0" percent="0" rank="0" text="" dxfId="637">
      <formula>#REF!=3</formula>
    </cfRule>
  </conditionalFormatting>
  <conditionalFormatting sqref="M288">
    <cfRule type="expression" priority="640" aboveAverage="0" equalAverage="0" bottom="0" percent="0" rank="0" text="" dxfId="638">
      <formula>#REF!=1</formula>
    </cfRule>
    <cfRule type="expression" priority="641" aboveAverage="0" equalAverage="0" bottom="0" percent="0" rank="0" text="" dxfId="639">
      <formula>#REF!=2</formula>
    </cfRule>
    <cfRule type="expression" priority="642" aboveAverage="0" equalAverage="0" bottom="0" percent="0" rank="0" text="" dxfId="640">
      <formula>#REF!=3</formula>
    </cfRule>
  </conditionalFormatting>
  <conditionalFormatting sqref="M282">
    <cfRule type="expression" priority="643" aboveAverage="0" equalAverage="0" bottom="0" percent="0" rank="0" text="" dxfId="641">
      <formula>#REF!=1</formula>
    </cfRule>
    <cfRule type="expression" priority="644" aboveAverage="0" equalAverage="0" bottom="0" percent="0" rank="0" text="" dxfId="642">
      <formula>#REF!=2</formula>
    </cfRule>
    <cfRule type="expression" priority="645" aboveAverage="0" equalAverage="0" bottom="0" percent="0" rank="0" text="" dxfId="643">
      <formula>#REF!=3</formula>
    </cfRule>
  </conditionalFormatting>
  <conditionalFormatting sqref="M296">
    <cfRule type="expression" priority="646" aboveAverage="0" equalAverage="0" bottom="0" percent="0" rank="0" text="" dxfId="644">
      <formula>#REF!=1</formula>
    </cfRule>
    <cfRule type="expression" priority="647" aboveAverage="0" equalAverage="0" bottom="0" percent="0" rank="0" text="" dxfId="645">
      <formula>#REF!=2</formula>
    </cfRule>
    <cfRule type="expression" priority="648" aboveAverage="0" equalAverage="0" bottom="0" percent="0" rank="0" text="" dxfId="646">
      <formula>#REF!=3</formula>
    </cfRule>
  </conditionalFormatting>
  <conditionalFormatting sqref="M299">
    <cfRule type="expression" priority="649" aboveAverage="0" equalAverage="0" bottom="0" percent="0" rank="0" text="" dxfId="647">
      <formula>#REF!=1</formula>
    </cfRule>
    <cfRule type="expression" priority="650" aboveAverage="0" equalAverage="0" bottom="0" percent="0" rank="0" text="" dxfId="648">
      <formula>#REF!=2</formula>
    </cfRule>
    <cfRule type="expression" priority="651" aboveAverage="0" equalAverage="0" bottom="0" percent="0" rank="0" text="" dxfId="649">
      <formula>#REF!=3</formula>
    </cfRule>
  </conditionalFormatting>
  <conditionalFormatting sqref="M268">
    <cfRule type="expression" priority="652" aboveAverage="0" equalAverage="0" bottom="0" percent="0" rank="0" text="" dxfId="650">
      <formula>#REF!=1</formula>
    </cfRule>
    <cfRule type="expression" priority="653" aboveAverage="0" equalAverage="0" bottom="0" percent="0" rank="0" text="" dxfId="651">
      <formula>#REF!=2</formula>
    </cfRule>
    <cfRule type="expression" priority="654" aboveAverage="0" equalAverage="0" bottom="0" percent="0" rank="0" text="" dxfId="652">
      <formula>#REF!=3</formula>
    </cfRule>
  </conditionalFormatting>
  <conditionalFormatting sqref="K334:K335">
    <cfRule type="expression" priority="655" aboveAverage="0" equalAverage="0" bottom="0" percent="0" rank="0" text="" dxfId="653">
      <formula>#REF!=1</formula>
    </cfRule>
    <cfRule type="expression" priority="656" aboveAverage="0" equalAverage="0" bottom="0" percent="0" rank="0" text="" dxfId="654">
      <formula>#REF!=2</formula>
    </cfRule>
    <cfRule type="expression" priority="657" aboveAverage="0" equalAverage="0" bottom="0" percent="0" rank="0" text="" dxfId="655">
      <formula>#REF!=3</formula>
    </cfRule>
  </conditionalFormatting>
  <conditionalFormatting sqref="M334">
    <cfRule type="expression" priority="658" aboveAverage="0" equalAverage="0" bottom="0" percent="0" rank="0" text="" dxfId="656">
      <formula>#REF!=1</formula>
    </cfRule>
    <cfRule type="expression" priority="659" aboveAverage="0" equalAverage="0" bottom="0" percent="0" rank="0" text="" dxfId="657">
      <formula>#REF!=2</formula>
    </cfRule>
    <cfRule type="expression" priority="660" aboveAverage="0" equalAverage="0" bottom="0" percent="0" rank="0" text="" dxfId="658">
      <formula>#REF!=3</formula>
    </cfRule>
  </conditionalFormatting>
  <conditionalFormatting sqref="M335">
    <cfRule type="expression" priority="661" aboveAverage="0" equalAverage="0" bottom="0" percent="0" rank="0" text="" dxfId="659">
      <formula>#REF!=1</formula>
    </cfRule>
    <cfRule type="expression" priority="662" aboveAverage="0" equalAverage="0" bottom="0" percent="0" rank="0" text="" dxfId="660">
      <formula>#REF!=2</formula>
    </cfRule>
    <cfRule type="expression" priority="663" aboveAverage="0" equalAverage="0" bottom="0" percent="0" rank="0" text="" dxfId="661">
      <formula>#REF!=3</formula>
    </cfRule>
  </conditionalFormatting>
  <conditionalFormatting sqref="N335">
    <cfRule type="expression" priority="664" aboveAverage="0" equalAverage="0" bottom="0" percent="0" rank="0" text="" dxfId="662">
      <formula>$A335=1</formula>
    </cfRule>
    <cfRule type="expression" priority="665" aboveAverage="0" equalAverage="0" bottom="0" percent="0" rank="0" text="" dxfId="663">
      <formula>$A335=2</formula>
    </cfRule>
    <cfRule type="expression" priority="666" aboveAverage="0" equalAverage="0" bottom="0" percent="0" rank="0" text="" dxfId="664">
      <formula>$A335=3</formula>
    </cfRule>
  </conditionalFormatting>
  <conditionalFormatting sqref="K124">
    <cfRule type="expression" priority="667" aboveAverage="0" equalAverage="0" bottom="0" percent="0" rank="0" text="" dxfId="665">
      <formula>#REF!=1</formula>
    </cfRule>
    <cfRule type="expression" priority="668" aboveAverage="0" equalAverage="0" bottom="0" percent="0" rank="0" text="" dxfId="666">
      <formula>#REF!=2</formula>
    </cfRule>
    <cfRule type="expression" priority="669" aboveAverage="0" equalAverage="0" bottom="0" percent="0" rank="0" text="" dxfId="667">
      <formula>#REF!=3</formula>
    </cfRule>
  </conditionalFormatting>
  <conditionalFormatting sqref="M220">
    <cfRule type="expression" priority="670" aboveAverage="0" equalAverage="0" bottom="0" percent="0" rank="0" text="" dxfId="668">
      <formula>#REF!=1</formula>
    </cfRule>
    <cfRule type="expression" priority="671" aboveAverage="0" equalAverage="0" bottom="0" percent="0" rank="0" text="" dxfId="669">
      <formula>#REF!=2</formula>
    </cfRule>
    <cfRule type="expression" priority="672" aboveAverage="0" equalAverage="0" bottom="0" percent="0" rank="0" text="" dxfId="670">
      <formula>#REF!=3</formula>
    </cfRule>
  </conditionalFormatting>
  <conditionalFormatting sqref="N213">
    <cfRule type="expression" priority="673" aboveAverage="0" equalAverage="0" bottom="0" percent="0" rank="0" text="" dxfId="671">
      <formula>$A228=1</formula>
    </cfRule>
    <cfRule type="expression" priority="674" aboveAverage="0" equalAverage="0" bottom="0" percent="0" rank="0" text="" dxfId="672">
      <formula>$A228=2</formula>
    </cfRule>
    <cfRule type="expression" priority="675" aboveAverage="0" equalAverage="0" bottom="0" percent="0" rank="0" text="" dxfId="673">
      <formula>$A228=3</formula>
    </cfRule>
  </conditionalFormatting>
  <conditionalFormatting sqref="K262">
    <cfRule type="expression" priority="676" aboveAverage="0" equalAverage="0" bottom="0" percent="0" rank="0" text="" dxfId="674">
      <formula>#REF!=1</formula>
    </cfRule>
    <cfRule type="expression" priority="677" aboveAverage="0" equalAverage="0" bottom="0" percent="0" rank="0" text="" dxfId="675">
      <formula>#REF!=2</formula>
    </cfRule>
    <cfRule type="expression" priority="678" aboveAverage="0" equalAverage="0" bottom="0" percent="0" rank="0" text="" dxfId="676">
      <formula>#REF!=3</formula>
    </cfRule>
  </conditionalFormatting>
  <conditionalFormatting sqref="M330 M322:M323 M303">
    <cfRule type="expression" priority="679" aboveAverage="0" equalAverage="0" bottom="0" percent="0" rank="0" text="" dxfId="677">
      <formula>#REF!=1</formula>
    </cfRule>
    <cfRule type="expression" priority="680" aboveAverage="0" equalAverage="0" bottom="0" percent="0" rank="0" text="" dxfId="678">
      <formula>#REF!=2</formula>
    </cfRule>
    <cfRule type="expression" priority="681" aboveAverage="0" equalAverage="0" bottom="0" percent="0" rank="0" text="" dxfId="679">
      <formula>#REF!=3</formula>
    </cfRule>
  </conditionalFormatting>
  <conditionalFormatting sqref="M304">
    <cfRule type="expression" priority="682" aboveAverage="0" equalAverage="0" bottom="0" percent="0" rank="0" text="" dxfId="680">
      <formula>#REF!=1</formula>
    </cfRule>
    <cfRule type="expression" priority="683" aboveAverage="0" equalAverage="0" bottom="0" percent="0" rank="0" text="" dxfId="681">
      <formula>#REF!=2</formula>
    </cfRule>
    <cfRule type="expression" priority="684" aboveAverage="0" equalAverage="0" bottom="0" percent="0" rank="0" text="" dxfId="682">
      <formula>#REF!=3</formula>
    </cfRule>
  </conditionalFormatting>
  <conditionalFormatting sqref="L305">
    <cfRule type="expression" priority="685" aboveAverage="0" equalAverage="0" bottom="0" percent="0" rank="0" text="" dxfId="683">
      <formula>#REF!=1</formula>
    </cfRule>
    <cfRule type="expression" priority="686" aboveAverage="0" equalAverage="0" bottom="0" percent="0" rank="0" text="" dxfId="684">
      <formula>#REF!=2</formula>
    </cfRule>
    <cfRule type="expression" priority="687" aboveAverage="0" equalAverage="0" bottom="0" percent="0" rank="0" text="" dxfId="685">
      <formula>#REF!=3</formula>
    </cfRule>
  </conditionalFormatting>
  <conditionalFormatting sqref="M325 M309:M310">
    <cfRule type="expression" priority="688" aboveAverage="0" equalAverage="0" bottom="0" percent="0" rank="0" text="" dxfId="686">
      <formula>#REF!=1</formula>
    </cfRule>
    <cfRule type="expression" priority="689" aboveAverage="0" equalAverage="0" bottom="0" percent="0" rank="0" text="" dxfId="687">
      <formula>#REF!=2</formula>
    </cfRule>
    <cfRule type="expression" priority="690" aboveAverage="0" equalAverage="0" bottom="0" percent="0" rank="0" text="" dxfId="688">
      <formula>#REF!=3</formula>
    </cfRule>
  </conditionalFormatting>
  <conditionalFormatting sqref="N310">
    <cfRule type="expression" priority="691" aboveAverage="0" equalAverage="0" bottom="0" percent="0" rank="0" text="" dxfId="689">
      <formula>$A310=1</formula>
    </cfRule>
    <cfRule type="expression" priority="692" aboveAverage="0" equalAverage="0" bottom="0" percent="0" rank="0" text="" dxfId="690">
      <formula>$A310=2</formula>
    </cfRule>
    <cfRule type="expression" priority="693" aboveAverage="0" equalAverage="0" bottom="0" percent="0" rank="0" text="" dxfId="691">
      <formula>$A310=3</formula>
    </cfRule>
  </conditionalFormatting>
  <conditionalFormatting sqref="M328 M316">
    <cfRule type="expression" priority="694" aboveAverage="0" equalAverage="0" bottom="0" percent="0" rank="0" text="" dxfId="692">
      <formula>#REF!=1</formula>
    </cfRule>
    <cfRule type="expression" priority="695" aboveAverage="0" equalAverage="0" bottom="0" percent="0" rank="0" text="" dxfId="693">
      <formula>#REF!=2</formula>
    </cfRule>
    <cfRule type="expression" priority="696" aboveAverage="0" equalAverage="0" bottom="0" percent="0" rank="0" text="" dxfId="694">
      <formula>#REF!=3</formula>
    </cfRule>
  </conditionalFormatting>
  <conditionalFormatting sqref="M300">
    <cfRule type="expression" priority="697" aboveAverage="0" equalAverage="0" bottom="0" percent="0" rank="0" text="" dxfId="695">
      <formula>#REF!=1</formula>
    </cfRule>
    <cfRule type="expression" priority="698" aboveAverage="0" equalAverage="0" bottom="0" percent="0" rank="0" text="" dxfId="696">
      <formula>#REF!=2</formula>
    </cfRule>
    <cfRule type="expression" priority="699" aboveAverage="0" equalAverage="0" bottom="0" percent="0" rank="0" text="" dxfId="697">
      <formula>#REF!=3</formula>
    </cfRule>
  </conditionalFormatting>
  <conditionalFormatting sqref="M326 M317 M315">
    <cfRule type="expression" priority="700" aboveAverage="0" equalAverage="0" bottom="0" percent="0" rank="0" text="" dxfId="698">
      <formula>#REF!=1</formula>
    </cfRule>
    <cfRule type="expression" priority="701" aboveAverage="0" equalAverage="0" bottom="0" percent="0" rank="0" text="" dxfId="699">
      <formula>#REF!=2</formula>
    </cfRule>
    <cfRule type="expression" priority="702" aboveAverage="0" equalAverage="0" bottom="0" percent="0" rank="0" text="" dxfId="700">
      <formula>#REF!=3</formula>
    </cfRule>
  </conditionalFormatting>
  <conditionalFormatting sqref="M321">
    <cfRule type="expression" priority="703" aboveAverage="0" equalAverage="0" bottom="0" percent="0" rank="0" text="" dxfId="701">
      <formula>#REF!=1</formula>
    </cfRule>
    <cfRule type="expression" priority="704" aboveAverage="0" equalAverage="0" bottom="0" percent="0" rank="0" text="" dxfId="702">
      <formula>#REF!=2</formula>
    </cfRule>
    <cfRule type="expression" priority="705" aboveAverage="0" equalAverage="0" bottom="0" percent="0" rank="0" text="" dxfId="703">
      <formula>#REF!=3</formula>
    </cfRule>
  </conditionalFormatting>
  <conditionalFormatting sqref="M301">
    <cfRule type="expression" priority="706" aboveAverage="0" equalAverage="0" bottom="0" percent="0" rank="0" text="" dxfId="704">
      <formula>#REF!=1</formula>
    </cfRule>
    <cfRule type="expression" priority="707" aboveAverage="0" equalAverage="0" bottom="0" percent="0" rank="0" text="" dxfId="705">
      <formula>#REF!=2</formula>
    </cfRule>
    <cfRule type="expression" priority="708" aboveAverage="0" equalAverage="0" bottom="0" percent="0" rank="0" text="" dxfId="706">
      <formula>#REF!=3</formula>
    </cfRule>
  </conditionalFormatting>
  <conditionalFormatting sqref="M76">
    <cfRule type="expression" priority="709" aboveAverage="0" equalAverage="0" bottom="0" percent="0" rank="0" text="" dxfId="707">
      <formula>#REF!=1</formula>
    </cfRule>
    <cfRule type="expression" priority="710" aboveAverage="0" equalAverage="0" bottom="0" percent="0" rank="0" text="" dxfId="708">
      <formula>#REF!=2</formula>
    </cfRule>
    <cfRule type="expression" priority="711" aboveAverage="0" equalAverage="0" bottom="0" percent="0" rank="0" text="" dxfId="709">
      <formula>#REF!=3</formula>
    </cfRule>
  </conditionalFormatting>
  <conditionalFormatting sqref="N296">
    <cfRule type="expression" priority="712" aboveAverage="0" equalAverage="0" bottom="0" percent="0" rank="0" text="" dxfId="710">
      <formula>$A301=1</formula>
    </cfRule>
    <cfRule type="expression" priority="713" aboveAverage="0" equalAverage="0" bottom="0" percent="0" rank="0" text="" dxfId="711">
      <formula>$A301=2</formula>
    </cfRule>
    <cfRule type="expression" priority="714" aboveAverage="0" equalAverage="0" bottom="0" percent="0" rank="0" text="" dxfId="712">
      <formula>$A301=3</formula>
    </cfRule>
  </conditionalFormatting>
  <conditionalFormatting sqref="N232">
    <cfRule type="expression" priority="715" aboveAverage="0" equalAverage="0" bottom="0" percent="0" rank="0" text="" dxfId="713">
      <formula>$A297=1</formula>
    </cfRule>
    <cfRule type="expression" priority="716" aboveAverage="0" equalAverage="0" bottom="0" percent="0" rank="0" text="" dxfId="714">
      <formula>$A297=2</formula>
    </cfRule>
    <cfRule type="expression" priority="717" aboveAverage="0" equalAverage="0" bottom="0" percent="0" rank="0" text="" dxfId="715">
      <formula>$A297=3</formula>
    </cfRule>
  </conditionalFormatting>
  <conditionalFormatting sqref="K266">
    <cfRule type="expression" priority="718" aboveAverage="0" equalAverage="0" bottom="0" percent="0" rank="0" text="" dxfId="716">
      <formula>#REF!=1</formula>
    </cfRule>
    <cfRule type="expression" priority="719" aboveAverage="0" equalAverage="0" bottom="0" percent="0" rank="0" text="" dxfId="717">
      <formula>#REF!=2</formula>
    </cfRule>
    <cfRule type="expression" priority="720" aboveAverage="0" equalAverage="0" bottom="0" percent="0" rank="0" text="" dxfId="718">
      <formula>#REF!=3</formula>
    </cfRule>
  </conditionalFormatting>
  <conditionalFormatting sqref="N234">
    <cfRule type="expression" priority="721" aboveAverage="0" equalAverage="0" bottom="0" percent="0" rank="0" text="" dxfId="719">
      <formula>$A232=1</formula>
    </cfRule>
    <cfRule type="expression" priority="722" aboveAverage="0" equalAverage="0" bottom="0" percent="0" rank="0" text="" dxfId="720">
      <formula>$A232=2</formula>
    </cfRule>
    <cfRule type="expression" priority="723" aboveAverage="0" equalAverage="0" bottom="0" percent="0" rank="0" text="" dxfId="721">
      <formula>$A232=3</formula>
    </cfRule>
  </conditionalFormatting>
  <conditionalFormatting sqref="N318">
    <cfRule type="expression" priority="724" aboveAverage="0" equalAverage="0" bottom="0" percent="0" rank="0" text="" dxfId="722">
      <formula>$A313=1</formula>
    </cfRule>
    <cfRule type="expression" priority="725" aboveAverage="0" equalAverage="0" bottom="0" percent="0" rank="0" text="" dxfId="723">
      <formula>$A313=2</formula>
    </cfRule>
    <cfRule type="expression" priority="726" aboveAverage="0" equalAverage="0" bottom="0" percent="0" rank="0" text="" dxfId="724">
      <formula>$A313=3</formula>
    </cfRule>
  </conditionalFormatting>
  <conditionalFormatting sqref="N331">
    <cfRule type="expression" priority="727" aboveAverage="0" equalAverage="0" bottom="0" percent="0" rank="0" text="" dxfId="725">
      <formula>$A318=1</formula>
    </cfRule>
    <cfRule type="expression" priority="728" aboveAverage="0" equalAverage="0" bottom="0" percent="0" rank="0" text="" dxfId="726">
      <formula>$A318=2</formula>
    </cfRule>
    <cfRule type="expression" priority="729" aboveAverage="0" equalAverage="0" bottom="0" percent="0" rank="0" text="" dxfId="727">
      <formula>$A318=3</formula>
    </cfRule>
  </conditionalFormatting>
  <conditionalFormatting sqref="K368">
    <cfRule type="expression" priority="730" aboveAverage="0" equalAverage="0" bottom="0" percent="0" rank="0" text="" dxfId="728">
      <formula>#REF!=1</formula>
    </cfRule>
    <cfRule type="expression" priority="731" aboveAverage="0" equalAverage="0" bottom="0" percent="0" rank="0" text="" dxfId="729">
      <formula>#REF!=2</formula>
    </cfRule>
    <cfRule type="expression" priority="732" aboveAverage="0" equalAverage="0" bottom="0" percent="0" rank="0" text="" dxfId="730">
      <formula>#REF!=3</formula>
    </cfRule>
  </conditionalFormatting>
  <conditionalFormatting sqref="K294">
    <cfRule type="expression" priority="733" aboveAverage="0" equalAverage="0" bottom="0" percent="0" rank="0" text="" dxfId="731">
      <formula>#REF!=1</formula>
    </cfRule>
    <cfRule type="expression" priority="734" aboveAverage="0" equalAverage="0" bottom="0" percent="0" rank="0" text="" dxfId="732">
      <formula>#REF!=2</formula>
    </cfRule>
    <cfRule type="expression" priority="735" aboveAverage="0" equalAverage="0" bottom="0" percent="0" rank="0" text="" dxfId="733">
      <formula>#REF!=3</formula>
    </cfRule>
  </conditionalFormatting>
  <conditionalFormatting sqref="K369:K370">
    <cfRule type="expression" priority="736" aboveAverage="0" equalAverage="0" bottom="0" percent="0" rank="0" text="" dxfId="734">
      <formula>#REF!=1</formula>
    </cfRule>
    <cfRule type="expression" priority="737" aboveAverage="0" equalAverage="0" bottom="0" percent="0" rank="0" text="" dxfId="735">
      <formula>#REF!=2</formula>
    </cfRule>
    <cfRule type="expression" priority="738" aboveAverage="0" equalAverage="0" bottom="0" percent="0" rank="0" text="" dxfId="736">
      <formula>#REF!=3</formula>
    </cfRule>
  </conditionalFormatting>
  <conditionalFormatting sqref="M370">
    <cfRule type="expression" priority="739" aboveAverage="0" equalAverage="0" bottom="0" percent="0" rank="0" text="" dxfId="737">
      <formula>#REF!=1</formula>
    </cfRule>
    <cfRule type="expression" priority="740" aboveAverage="0" equalAverage="0" bottom="0" percent="0" rank="0" text="" dxfId="738">
      <formula>#REF!=2</formula>
    </cfRule>
    <cfRule type="expression" priority="741" aboveAverage="0" equalAverage="0" bottom="0" percent="0" rank="0" text="" dxfId="739">
      <formula>#REF!=3</formula>
    </cfRule>
  </conditionalFormatting>
  <conditionalFormatting sqref="N370">
    <cfRule type="expression" priority="742" aboveAverage="0" equalAverage="0" bottom="0" percent="0" rank="0" text="" dxfId="740">
      <formula>$A370=1</formula>
    </cfRule>
    <cfRule type="expression" priority="743" aboveAverage="0" equalAverage="0" bottom="0" percent="0" rank="0" text="" dxfId="741">
      <formula>$A370=2</formula>
    </cfRule>
    <cfRule type="expression" priority="744" aboveAverage="0" equalAverage="0" bottom="0" percent="0" rank="0" text="" dxfId="742">
      <formula>$A370=3</formula>
    </cfRule>
  </conditionalFormatting>
  <conditionalFormatting sqref="M369">
    <cfRule type="expression" priority="745" aboveAverage="0" equalAverage="0" bottom="0" percent="0" rank="0" text="" dxfId="743">
      <formula>#REF!=1</formula>
    </cfRule>
    <cfRule type="expression" priority="746" aboveAverage="0" equalAverage="0" bottom="0" percent="0" rank="0" text="" dxfId="744">
      <formula>#REF!=2</formula>
    </cfRule>
    <cfRule type="expression" priority="747" aboveAverage="0" equalAverage="0" bottom="0" percent="0" rank="0" text="" dxfId="745">
      <formula>#REF!=3</formula>
    </cfRule>
  </conditionalFormatting>
  <conditionalFormatting sqref="L339">
    <cfRule type="expression" priority="748" aboveAverage="0" equalAverage="0" bottom="0" percent="0" rank="0" text="" dxfId="746">
      <formula>#REF!=1</formula>
    </cfRule>
    <cfRule type="expression" priority="749" aboveAverage="0" equalAverage="0" bottom="0" percent="0" rank="0" text="" dxfId="747">
      <formula>#REF!=2</formula>
    </cfRule>
    <cfRule type="expression" priority="750" aboveAverage="0" equalAverage="0" bottom="0" percent="0" rank="0" text="" dxfId="748">
      <formula>#REF!=3</formula>
    </cfRule>
  </conditionalFormatting>
  <conditionalFormatting sqref="M357 K345:K346">
    <cfRule type="expression" priority="751" aboveAverage="0" equalAverage="0" bottom="0" percent="0" rank="0" text="" dxfId="749">
      <formula>#REF!=1</formula>
    </cfRule>
    <cfRule type="expression" priority="752" aboveAverage="0" equalAverage="0" bottom="0" percent="0" rank="0" text="" dxfId="750">
      <formula>#REF!=2</formula>
    </cfRule>
    <cfRule type="expression" priority="753" aboveAverage="0" equalAverage="0" bottom="0" percent="0" rank="0" text="" dxfId="751">
      <formula>#REF!=3</formula>
    </cfRule>
  </conditionalFormatting>
  <conditionalFormatting sqref="M345">
    <cfRule type="expression" priority="754" aboveAverage="0" equalAverage="0" bottom="0" percent="0" rank="0" text="" dxfId="752">
      <formula>#REF!=1</formula>
    </cfRule>
    <cfRule type="expression" priority="755" aboveAverage="0" equalAverage="0" bottom="0" percent="0" rank="0" text="" dxfId="753">
      <formula>#REF!=2</formula>
    </cfRule>
    <cfRule type="expression" priority="756" aboveAverage="0" equalAverage="0" bottom="0" percent="0" rank="0" text="" dxfId="754">
      <formula>#REF!=3</formula>
    </cfRule>
  </conditionalFormatting>
  <conditionalFormatting sqref="M340:M341 M343">
    <cfRule type="expression" priority="757" aboveAverage="0" equalAverage="0" bottom="0" percent="0" rank="0" text="" dxfId="755">
      <formula>#REF!=1</formula>
    </cfRule>
    <cfRule type="expression" priority="758" aboveAverage="0" equalAverage="0" bottom="0" percent="0" rank="0" text="" dxfId="756">
      <formula>#REF!=2</formula>
    </cfRule>
    <cfRule type="expression" priority="759" aboveAverage="0" equalAverage="0" bottom="0" percent="0" rank="0" text="" dxfId="757">
      <formula>#REF!=3</formula>
    </cfRule>
  </conditionalFormatting>
  <conditionalFormatting sqref="M197">
    <cfRule type="expression" priority="760" aboveAverage="0" equalAverage="0" bottom="0" percent="0" rank="0" text="" dxfId="758">
      <formula>#REF!=1</formula>
    </cfRule>
    <cfRule type="expression" priority="761" aboveAverage="0" equalAverage="0" bottom="0" percent="0" rank="0" text="" dxfId="759">
      <formula>#REF!=2</formula>
    </cfRule>
    <cfRule type="expression" priority="762" aboveAverage="0" equalAverage="0" bottom="0" percent="0" rank="0" text="" dxfId="760">
      <formula>#REF!=3</formula>
    </cfRule>
  </conditionalFormatting>
  <conditionalFormatting sqref="K357">
    <cfRule type="expression" priority="763" aboveAverage="0" equalAverage="0" bottom="0" percent="0" rank="0" text="" dxfId="761">
      <formula>#REF!=1</formula>
    </cfRule>
    <cfRule type="expression" priority="764" aboveAverage="0" equalAverage="0" bottom="0" percent="0" rank="0" text="" dxfId="762">
      <formula>#REF!=2</formula>
    </cfRule>
    <cfRule type="expression" priority="765" aboveAverage="0" equalAverage="0" bottom="0" percent="0" rank="0" text="" dxfId="763">
      <formula>#REF!=3</formula>
    </cfRule>
  </conditionalFormatting>
  <conditionalFormatting sqref="M344">
    <cfRule type="expression" priority="766" aboveAverage="0" equalAverage="0" bottom="0" percent="0" rank="0" text="" dxfId="764">
      <formula>#REF!=1</formula>
    </cfRule>
    <cfRule type="expression" priority="767" aboveAverage="0" equalAverage="0" bottom="0" percent="0" rank="0" text="" dxfId="765">
      <formula>#REF!=2</formula>
    </cfRule>
    <cfRule type="expression" priority="768" aboveAverage="0" equalAverage="0" bottom="0" percent="0" rank="0" text="" dxfId="766">
      <formula>#REF!=3</formula>
    </cfRule>
  </conditionalFormatting>
  <conditionalFormatting sqref="N356">
    <cfRule type="expression" priority="769" aboveAverage="0" equalAverage="0" bottom="0" percent="0" rank="0" text="" dxfId="767">
      <formula>$A197=1</formula>
    </cfRule>
    <cfRule type="expression" priority="770" aboveAverage="0" equalAverage="0" bottom="0" percent="0" rank="0" text="" dxfId="768">
      <formula>$A197=2</formula>
    </cfRule>
    <cfRule type="expression" priority="771" aboveAverage="0" equalAverage="0" bottom="0" percent="0" rank="0" text="" dxfId="769">
      <formula>$A197=3</formula>
    </cfRule>
  </conditionalFormatting>
  <conditionalFormatting sqref="N71">
    <cfRule type="expression" priority="772" aboveAverage="0" equalAverage="0" bottom="0" percent="0" rank="0" text="" dxfId="770">
      <formula>$A181=1</formula>
    </cfRule>
    <cfRule type="expression" priority="773" aboveAverage="0" equalAverage="0" bottom="0" percent="0" rank="0" text="" dxfId="771">
      <formula>$A181=2</formula>
    </cfRule>
    <cfRule type="expression" priority="774" aboveAverage="0" equalAverage="0" bottom="0" percent="0" rank="0" text="" dxfId="772">
      <formula>$A181=3</formula>
    </cfRule>
  </conditionalFormatting>
  <conditionalFormatting sqref="N181">
    <cfRule type="expression" priority="775" aboveAverage="0" equalAverage="0" bottom="0" percent="0" rank="0" text="" dxfId="773">
      <formula>$A358=1</formula>
    </cfRule>
    <cfRule type="expression" priority="776" aboveAverage="0" equalAverage="0" bottom="0" percent="0" rank="0" text="" dxfId="774">
      <formula>$A358=2</formula>
    </cfRule>
    <cfRule type="expression" priority="777" aboveAverage="0" equalAverage="0" bottom="0" percent="0" rank="0" text="" dxfId="775">
      <formula>$A358=3</formula>
    </cfRule>
  </conditionalFormatting>
  <conditionalFormatting sqref="K367">
    <cfRule type="expression" priority="778" aboveAverage="0" equalAverage="0" bottom="0" percent="0" rank="0" text="" dxfId="776">
      <formula>#REF!=1</formula>
    </cfRule>
    <cfRule type="expression" priority="779" aboveAverage="0" equalAverage="0" bottom="0" percent="0" rank="0" text="" dxfId="777">
      <formula>#REF!=2</formula>
    </cfRule>
    <cfRule type="expression" priority="780" aboveAverage="0" equalAverage="0" bottom="0" percent="0" rank="0" text="" dxfId="778">
      <formula>#REF!=3</formula>
    </cfRule>
  </conditionalFormatting>
  <conditionalFormatting sqref="K101">
    <cfRule type="expression" priority="781" aboveAverage="0" equalAverage="0" bottom="0" percent="0" rank="0" text="" dxfId="779">
      <formula>#REF!=1</formula>
    </cfRule>
    <cfRule type="expression" priority="782" aboveAverage="0" equalAverage="0" bottom="0" percent="0" rank="0" text="" dxfId="780">
      <formula>#REF!=2</formula>
    </cfRule>
    <cfRule type="expression" priority="783" aboveAverage="0" equalAverage="0" bottom="0" percent="0" rank="0" text="" dxfId="781">
      <formula>#REF!=3</formula>
    </cfRule>
  </conditionalFormatting>
  <conditionalFormatting sqref="K88">
    <cfRule type="expression" priority="784" aboveAverage="0" equalAverage="0" bottom="0" percent="0" rank="0" text="" dxfId="782">
      <formula>#REF!=1</formula>
    </cfRule>
    <cfRule type="expression" priority="785" aboveAverage="0" equalAverage="0" bottom="0" percent="0" rank="0" text="" dxfId="783">
      <formula>#REF!=2</formula>
    </cfRule>
    <cfRule type="expression" priority="786" aboveAverage="0" equalAverage="0" bottom="0" percent="0" rank="0" text="" dxfId="784">
      <formula>#REF!=3</formula>
    </cfRule>
  </conditionalFormatting>
  <conditionalFormatting sqref="M88">
    <cfRule type="expression" priority="787" aboveAverage="0" equalAverage="0" bottom="0" percent="0" rank="0" text="" dxfId="785">
      <formula>#REF!=1</formula>
    </cfRule>
    <cfRule type="expression" priority="788" aboveAverage="0" equalAverage="0" bottom="0" percent="0" rank="0" text="" dxfId="786">
      <formula>#REF!=2</formula>
    </cfRule>
    <cfRule type="expression" priority="789" aboveAverage="0" equalAverage="0" bottom="0" percent="0" rank="0" text="" dxfId="787">
      <formula>#REF!=3</formula>
    </cfRule>
  </conditionalFormatting>
  <conditionalFormatting sqref="K108">
    <cfRule type="expression" priority="790" aboveAverage="0" equalAverage="0" bottom="0" percent="0" rank="0" text="" dxfId="788">
      <formula>#REF!=1</formula>
    </cfRule>
    <cfRule type="expression" priority="791" aboveAverage="0" equalAverage="0" bottom="0" percent="0" rank="0" text="" dxfId="789">
      <formula>#REF!=2</formula>
    </cfRule>
    <cfRule type="expression" priority="792" aboveAverage="0" equalAverage="0" bottom="0" percent="0" rank="0" text="" dxfId="790">
      <formula>#REF!=3</formula>
    </cfRule>
  </conditionalFormatting>
  <conditionalFormatting sqref="M108">
    <cfRule type="expression" priority="793" aboveAverage="0" equalAverage="0" bottom="0" percent="0" rank="0" text="" dxfId="791">
      <formula>#REF!=1</formula>
    </cfRule>
    <cfRule type="expression" priority="794" aboveAverage="0" equalAverage="0" bottom="0" percent="0" rank="0" text="" dxfId="792">
      <formula>#REF!=2</formula>
    </cfRule>
    <cfRule type="expression" priority="795" aboveAverage="0" equalAverage="0" bottom="0" percent="0" rank="0" text="" dxfId="793">
      <formula>#REF!=3</formula>
    </cfRule>
  </conditionalFormatting>
  <conditionalFormatting sqref="N108">
    <cfRule type="expression" priority="796" aboveAverage="0" equalAverage="0" bottom="0" percent="0" rank="0" text="" dxfId="794">
      <formula>$A108=1</formula>
    </cfRule>
    <cfRule type="expression" priority="797" aboveAverage="0" equalAverage="0" bottom="0" percent="0" rank="0" text="" dxfId="795">
      <formula>$A108=2</formula>
    </cfRule>
    <cfRule type="expression" priority="798" aboveAverage="0" equalAverage="0" bottom="0" percent="0" rank="0" text="" dxfId="796">
      <formula>$A108=3</formula>
    </cfRule>
  </conditionalFormatting>
  <conditionalFormatting sqref="K144 K167">
    <cfRule type="expression" priority="799" aboveAverage="0" equalAverage="0" bottom="0" percent="0" rank="0" text="" dxfId="797">
      <formula>#REF!=1</formula>
    </cfRule>
    <cfRule type="expression" priority="800" aboveAverage="0" equalAverage="0" bottom="0" percent="0" rank="0" text="" dxfId="798">
      <formula>#REF!=2</formula>
    </cfRule>
    <cfRule type="expression" priority="801" aboveAverage="0" equalAverage="0" bottom="0" percent="0" rank="0" text="" dxfId="799">
      <formula>#REF!=3</formula>
    </cfRule>
  </conditionalFormatting>
  <conditionalFormatting sqref="K36">
    <cfRule type="expression" priority="802" aboveAverage="0" equalAverage="0" bottom="0" percent="0" rank="0" text="" dxfId="800">
      <formula>#REF!=1</formula>
    </cfRule>
    <cfRule type="expression" priority="803" aboveAverage="0" equalAverage="0" bottom="0" percent="0" rank="0" text="" dxfId="801">
      <formula>#REF!=2</formula>
    </cfRule>
    <cfRule type="expression" priority="804" aboveAverage="0" equalAverage="0" bottom="0" percent="0" rank="0" text="" dxfId="802">
      <formula>#REF!=3</formula>
    </cfRule>
  </conditionalFormatting>
  <conditionalFormatting sqref="M324">
    <cfRule type="expression" priority="805" aboveAverage="0" equalAverage="0" bottom="0" percent="0" rank="0" text="" dxfId="803">
      <formula>#REF!=1</formula>
    </cfRule>
    <cfRule type="expression" priority="806" aboveAverage="0" equalAverage="0" bottom="0" percent="0" rank="0" text="" dxfId="804">
      <formula>#REF!=2</formula>
    </cfRule>
    <cfRule type="expression" priority="807" aboveAverage="0" equalAverage="0" bottom="0" percent="0" rank="0" text="" dxfId="805">
      <formula>#REF!=3</formula>
    </cfRule>
  </conditionalFormatting>
  <conditionalFormatting sqref="K234">
    <cfRule type="expression" priority="808" aboveAverage="0" equalAverage="0" bottom="0" percent="0" rank="0" text="" dxfId="806">
      <formula>#REF!=1</formula>
    </cfRule>
    <cfRule type="expression" priority="809" aboveAverage="0" equalAverage="0" bottom="0" percent="0" rank="0" text="" dxfId="807">
      <formula>#REF!=2</formula>
    </cfRule>
    <cfRule type="expression" priority="810" aboveAverage="0" equalAverage="0" bottom="0" percent="0" rank="0" text="" dxfId="808">
      <formula>#REF!=3</formula>
    </cfRule>
  </conditionalFormatting>
  <conditionalFormatting sqref="M234">
    <cfRule type="expression" priority="811" aboveAverage="0" equalAverage="0" bottom="0" percent="0" rank="0" text="" dxfId="809">
      <formula>#REF!=1</formula>
    </cfRule>
    <cfRule type="expression" priority="812" aboveAverage="0" equalAverage="0" bottom="0" percent="0" rank="0" text="" dxfId="810">
      <formula>#REF!=2</formula>
    </cfRule>
    <cfRule type="expression" priority="813" aboveAverage="0" equalAverage="0" bottom="0" percent="0" rank="0" text="" dxfId="811">
      <formula>#REF!=3</formula>
    </cfRule>
  </conditionalFormatting>
  <conditionalFormatting sqref="K193">
    <cfRule type="expression" priority="814" aboveAverage="0" equalAverage="0" bottom="0" percent="0" rank="0" text="" dxfId="812">
      <formula>#REF!=1</formula>
    </cfRule>
    <cfRule type="expression" priority="815" aboveAverage="0" equalAverage="0" bottom="0" percent="0" rank="0" text="" dxfId="813">
      <formula>#REF!=2</formula>
    </cfRule>
    <cfRule type="expression" priority="816" aboveAverage="0" equalAverage="0" bottom="0" percent="0" rank="0" text="" dxfId="814">
      <formula>#REF!=3</formula>
    </cfRule>
  </conditionalFormatting>
  <conditionalFormatting sqref="M193">
    <cfRule type="expression" priority="817" aboveAverage="0" equalAverage="0" bottom="0" percent="0" rank="0" text="" dxfId="815">
      <formula>#REF!=1</formula>
    </cfRule>
    <cfRule type="expression" priority="818" aboveAverage="0" equalAverage="0" bottom="0" percent="0" rank="0" text="" dxfId="816">
      <formula>#REF!=2</formula>
    </cfRule>
    <cfRule type="expression" priority="819" aboveAverage="0" equalAverage="0" bottom="0" percent="0" rank="0" text="" dxfId="817">
      <formula>#REF!=3</formula>
    </cfRule>
  </conditionalFormatting>
  <conditionalFormatting sqref="K90">
    <cfRule type="expression" priority="820" aboveAverage="0" equalAverage="0" bottom="0" percent="0" rank="0" text="" dxfId="818">
      <formula>#REF!=1</formula>
    </cfRule>
    <cfRule type="expression" priority="821" aboveAverage="0" equalAverage="0" bottom="0" percent="0" rank="0" text="" dxfId="819">
      <formula>#REF!=2</formula>
    </cfRule>
    <cfRule type="expression" priority="822" aboveAverage="0" equalAverage="0" bottom="0" percent="0" rank="0" text="" dxfId="820">
      <formula>#REF!=3</formula>
    </cfRule>
  </conditionalFormatting>
  <conditionalFormatting sqref="M90">
    <cfRule type="expression" priority="823" aboveAverage="0" equalAverage="0" bottom="0" percent="0" rank="0" text="" dxfId="821">
      <formula>#REF!=1</formula>
    </cfRule>
    <cfRule type="expression" priority="824" aboveAverage="0" equalAverage="0" bottom="0" percent="0" rank="0" text="" dxfId="822">
      <formula>#REF!=2</formula>
    </cfRule>
    <cfRule type="expression" priority="825" aboveAverage="0" equalAverage="0" bottom="0" percent="0" rank="0" text="" dxfId="823">
      <formula>#REF!=3</formula>
    </cfRule>
  </conditionalFormatting>
  <conditionalFormatting sqref="M260">
    <cfRule type="expression" priority="826" aboveAverage="0" equalAverage="0" bottom="0" percent="0" rank="0" text="" dxfId="824">
      <formula>#REF!=1</formula>
    </cfRule>
    <cfRule type="expression" priority="827" aboveAverage="0" equalAverage="0" bottom="0" percent="0" rank="0" text="" dxfId="825">
      <formula>#REF!=2</formula>
    </cfRule>
    <cfRule type="expression" priority="828" aboveAverage="0" equalAverage="0" bottom="0" percent="0" rank="0" text="" dxfId="826">
      <formula>#REF!=3</formula>
    </cfRule>
  </conditionalFormatting>
  <conditionalFormatting sqref="N268">
    <cfRule type="expression" priority="829" aboveAverage="0" equalAverage="0" bottom="0" percent="0" rank="0" text="" dxfId="827">
      <formula>$A295=1</formula>
    </cfRule>
    <cfRule type="expression" priority="830" aboveAverage="0" equalAverage="0" bottom="0" percent="0" rank="0" text="" dxfId="828">
      <formula>$A295=2</formula>
    </cfRule>
    <cfRule type="expression" priority="831" aboveAverage="0" equalAverage="0" bottom="0" percent="0" rank="0" text="" dxfId="829">
      <formula>$A295=3</formula>
    </cfRule>
  </conditionalFormatting>
  <conditionalFormatting sqref="K195">
    <cfRule type="expression" priority="832" aboveAverage="0" equalAverage="0" bottom="0" percent="0" rank="0" text="" dxfId="830">
      <formula>#REF!=1</formula>
    </cfRule>
    <cfRule type="expression" priority="833" aboveAverage="0" equalAverage="0" bottom="0" percent="0" rank="0" text="" dxfId="831">
      <formula>#REF!=2</formula>
    </cfRule>
    <cfRule type="expression" priority="834" aboveAverage="0" equalAverage="0" bottom="0" percent="0" rank="0" text="" dxfId="832">
      <formula>#REF!=3</formula>
    </cfRule>
  </conditionalFormatting>
  <conditionalFormatting sqref="K362">
    <cfRule type="expression" priority="835" aboveAverage="0" equalAverage="0" bottom="0" percent="0" rank="0" text="" dxfId="833">
      <formula>#REF!=1</formula>
    </cfRule>
    <cfRule type="expression" priority="836" aboveAverage="0" equalAverage="0" bottom="0" percent="0" rank="0" text="" dxfId="834">
      <formula>#REF!=2</formula>
    </cfRule>
    <cfRule type="expression" priority="837" aboveAverage="0" equalAverage="0" bottom="0" percent="0" rank="0" text="" dxfId="835">
      <formula>#REF!=3</formula>
    </cfRule>
  </conditionalFormatting>
  <conditionalFormatting sqref="M362">
    <cfRule type="expression" priority="838" aboveAverage="0" equalAverage="0" bottom="0" percent="0" rank="0" text="" dxfId="836">
      <formula>#REF!=1</formula>
    </cfRule>
    <cfRule type="expression" priority="839" aboveAverage="0" equalAverage="0" bottom="0" percent="0" rank="0" text="" dxfId="837">
      <formula>#REF!=2</formula>
    </cfRule>
    <cfRule type="expression" priority="840" aboveAverage="0" equalAverage="0" bottom="0" percent="0" rank="0" text="" dxfId="838">
      <formula>#REF!=3</formula>
    </cfRule>
  </conditionalFormatting>
  <conditionalFormatting sqref="K337">
    <cfRule type="expression" priority="841" aboveAverage="0" equalAverage="0" bottom="0" percent="0" rank="0" text="" dxfId="839">
      <formula>#REF!=1</formula>
    </cfRule>
    <cfRule type="expression" priority="842" aboveAverage="0" equalAverage="0" bottom="0" percent="0" rank="0" text="" dxfId="840">
      <formula>#REF!=2</formula>
    </cfRule>
    <cfRule type="expression" priority="843" aboveAverage="0" equalAverage="0" bottom="0" percent="0" rank="0" text="" dxfId="841">
      <formula>#REF!=3</formula>
    </cfRule>
  </conditionalFormatting>
  <conditionalFormatting sqref="N337">
    <cfRule type="expression" priority="844" aboveAverage="0" equalAverage="0" bottom="0" percent="0" rank="0" text="" dxfId="842">
      <formula>$A337=1</formula>
    </cfRule>
    <cfRule type="expression" priority="845" aboveAverage="0" equalAverage="0" bottom="0" percent="0" rank="0" text="" dxfId="843">
      <formula>$A337=2</formula>
    </cfRule>
    <cfRule type="expression" priority="846" aboveAverage="0" equalAverage="0" bottom="0" percent="0" rank="0" text="" dxfId="844">
      <formula>$A337=3</formula>
    </cfRule>
  </conditionalFormatting>
  <conditionalFormatting sqref="M337">
    <cfRule type="expression" priority="847" aboveAverage="0" equalAverage="0" bottom="0" percent="0" rank="0" text="" dxfId="845">
      <formula>#REF!=1</formula>
    </cfRule>
    <cfRule type="expression" priority="848" aboveAverage="0" equalAverage="0" bottom="0" percent="0" rank="0" text="" dxfId="846">
      <formula>#REF!=2</formula>
    </cfRule>
    <cfRule type="expression" priority="849" aboveAverage="0" equalAverage="0" bottom="0" percent="0" rank="0" text="" dxfId="847">
      <formula>#REF!=3</formula>
    </cfRule>
  </conditionalFormatting>
  <conditionalFormatting sqref="K342">
    <cfRule type="expression" priority="850" aboveAverage="0" equalAverage="0" bottom="0" percent="0" rank="0" text="" dxfId="848">
      <formula>#REF!=1</formula>
    </cfRule>
    <cfRule type="expression" priority="851" aboveAverage="0" equalAverage="0" bottom="0" percent="0" rank="0" text="" dxfId="849">
      <formula>#REF!=2</formula>
    </cfRule>
    <cfRule type="expression" priority="852" aboveAverage="0" equalAverage="0" bottom="0" percent="0" rank="0" text="" dxfId="850">
      <formula>#REF!=3</formula>
    </cfRule>
  </conditionalFormatting>
  <conditionalFormatting sqref="M342">
    <cfRule type="expression" priority="853" aboveAverage="0" equalAverage="0" bottom="0" percent="0" rank="0" text="" dxfId="851">
      <formula>#REF!=1</formula>
    </cfRule>
    <cfRule type="expression" priority="854" aboveAverage="0" equalAverage="0" bottom="0" percent="0" rank="0" text="" dxfId="852">
      <formula>#REF!=2</formula>
    </cfRule>
    <cfRule type="expression" priority="855" aboveAverage="0" equalAverage="0" bottom="0" percent="0" rank="0" text="" dxfId="853">
      <formula>#REF!=3</formula>
    </cfRule>
  </conditionalFormatting>
  <conditionalFormatting sqref="N329">
    <cfRule type="expression" priority="856" aboveAverage="0" equalAverage="0" bottom="0" percent="0" rank="0" text="" dxfId="854">
      <formula>$A329=1</formula>
    </cfRule>
    <cfRule type="expression" priority="857" aboveAverage="0" equalAverage="0" bottom="0" percent="0" rank="0" text="" dxfId="855">
      <formula>$A329=2</formula>
    </cfRule>
    <cfRule type="expression" priority="858" aboveAverage="0" equalAverage="0" bottom="0" percent="0" rank="0" text="" dxfId="856">
      <formula>$A329=3</formula>
    </cfRule>
  </conditionalFormatting>
  <conditionalFormatting sqref="K313">
    <cfRule type="expression" priority="859" aboveAverage="0" equalAverage="0" bottom="0" percent="0" rank="0" text="" dxfId="857">
      <formula>#REF!=1</formula>
    </cfRule>
    <cfRule type="expression" priority="860" aboveAverage="0" equalAverage="0" bottom="0" percent="0" rank="0" text="" dxfId="858">
      <formula>#REF!=2</formula>
    </cfRule>
    <cfRule type="expression" priority="861" aboveAverage="0" equalAverage="0" bottom="0" percent="0" rank="0" text="" dxfId="859">
      <formula>#REF!=3</formula>
    </cfRule>
  </conditionalFormatting>
  <conditionalFormatting sqref="M313">
    <cfRule type="expression" priority="862" aboveAverage="0" equalAverage="0" bottom="0" percent="0" rank="0" text="" dxfId="860">
      <formula>#REF!=1</formula>
    </cfRule>
    <cfRule type="expression" priority="863" aboveAverage="0" equalAverage="0" bottom="0" percent="0" rank="0" text="" dxfId="861">
      <formula>#REF!=2</formula>
    </cfRule>
    <cfRule type="expression" priority="864" aboveAverage="0" equalAverage="0" bottom="0" percent="0" rank="0" text="" dxfId="862">
      <formula>#REF!=3</formula>
    </cfRule>
  </conditionalFormatting>
  <conditionalFormatting sqref="N313">
    <cfRule type="expression" priority="865" aboveAverage="0" equalAverage="0" bottom="0" percent="0" rank="0" text="" dxfId="863">
      <formula>$A313=1</formula>
    </cfRule>
    <cfRule type="expression" priority="866" aboveAverage="0" equalAverage="0" bottom="0" percent="0" rank="0" text="" dxfId="864">
      <formula>$A313=2</formula>
    </cfRule>
    <cfRule type="expression" priority="867" aboveAverage="0" equalAverage="0" bottom="0" percent="0" rank="0" text="" dxfId="865">
      <formula>$A313=3</formula>
    </cfRule>
  </conditionalFormatting>
  <conditionalFormatting sqref="K295">
    <cfRule type="expression" priority="868" aboveAverage="0" equalAverage="0" bottom="0" percent="0" rank="0" text="" dxfId="866">
      <formula>#REF!=1</formula>
    </cfRule>
    <cfRule type="expression" priority="869" aboveAverage="0" equalAverage="0" bottom="0" percent="0" rank="0" text="" dxfId="867">
      <formula>#REF!=2</formula>
    </cfRule>
    <cfRule type="expression" priority="870" aboveAverage="0" equalAverage="0" bottom="0" percent="0" rank="0" text="" dxfId="868">
      <formula>#REF!=3</formula>
    </cfRule>
  </conditionalFormatting>
  <conditionalFormatting sqref="M295">
    <cfRule type="expression" priority="871" aboveAverage="0" equalAverage="0" bottom="0" percent="0" rank="0" text="" dxfId="869">
      <formula>#REF!=1</formula>
    </cfRule>
    <cfRule type="expression" priority="872" aboveAverage="0" equalAverage="0" bottom="0" percent="0" rank="0" text="" dxfId="870">
      <formula>#REF!=2</formula>
    </cfRule>
    <cfRule type="expression" priority="873" aboveAverage="0" equalAverage="0" bottom="0" percent="0" rank="0" text="" dxfId="871">
      <formula>#REF!=3</formula>
    </cfRule>
  </conditionalFormatting>
  <conditionalFormatting sqref="M202">
    <cfRule type="expression" priority="874" aboveAverage="0" equalAverage="0" bottom="0" percent="0" rank="0" text="" dxfId="872">
      <formula>#REF!=1</formula>
    </cfRule>
    <cfRule type="expression" priority="875" aboveAverage="0" equalAverage="0" bottom="0" percent="0" rank="0" text="" dxfId="873">
      <formula>#REF!=2</formula>
    </cfRule>
    <cfRule type="expression" priority="876" aboveAverage="0" equalAverage="0" bottom="0" percent="0" rank="0" text="" dxfId="874">
      <formula>#REF!=3</formula>
    </cfRule>
  </conditionalFormatting>
  <conditionalFormatting sqref="M284 K284">
    <cfRule type="expression" priority="877" aboveAverage="0" equalAverage="0" bottom="0" percent="0" rank="0" text="" dxfId="875">
      <formula>#REF!=1</formula>
    </cfRule>
    <cfRule type="expression" priority="878" aboveAverage="0" equalAverage="0" bottom="0" percent="0" rank="0" text="" dxfId="876">
      <formula>#REF!=2</formula>
    </cfRule>
    <cfRule type="expression" priority="879" aboveAverage="0" equalAverage="0" bottom="0" percent="0" rank="0" text="" dxfId="877">
      <formula>#REF!=3</formula>
    </cfRule>
  </conditionalFormatting>
  <conditionalFormatting sqref="N284">
    <cfRule type="expression" priority="880" aboveAverage="0" equalAverage="0" bottom="0" percent="0" rank="0" text="" dxfId="878">
      <formula>$A284=1</formula>
    </cfRule>
    <cfRule type="expression" priority="881" aboveAverage="0" equalAverage="0" bottom="0" percent="0" rank="0" text="" dxfId="879">
      <formula>$A284=2</formula>
    </cfRule>
    <cfRule type="expression" priority="882" aboveAverage="0" equalAverage="0" bottom="0" percent="0" rank="0" text="" dxfId="880">
      <formula>$A284=3</formula>
    </cfRule>
  </conditionalFormatting>
  <conditionalFormatting sqref="M216">
    <cfRule type="expression" priority="883" aboveAverage="0" equalAverage="0" bottom="0" percent="0" rank="0" text="" dxfId="881">
      <formula>#REF!=1</formula>
    </cfRule>
    <cfRule type="expression" priority="884" aboveAverage="0" equalAverage="0" bottom="0" percent="0" rank="0" text="" dxfId="882">
      <formula>#REF!=2</formula>
    </cfRule>
    <cfRule type="expression" priority="885" aboveAverage="0" equalAverage="0" bottom="0" percent="0" rank="0" text="" dxfId="883">
      <formula>#REF!=3</formula>
    </cfRule>
  </conditionalFormatting>
  <conditionalFormatting sqref="K375:K377">
    <cfRule type="expression" priority="886" aboveAverage="0" equalAverage="0" bottom="0" percent="0" rank="0" text="" dxfId="884">
      <formula>#REF!=1</formula>
    </cfRule>
    <cfRule type="expression" priority="887" aboveAverage="0" equalAverage="0" bottom="0" percent="0" rank="0" text="" dxfId="885">
      <formula>#REF!=2</formula>
    </cfRule>
    <cfRule type="expression" priority="888" aboveAverage="0" equalAverage="0" bottom="0" percent="0" rank="0" text="" dxfId="886">
      <formula>#REF!=3</formula>
    </cfRule>
  </conditionalFormatting>
  <conditionalFormatting sqref="M376">
    <cfRule type="expression" priority="889" aboveAverage="0" equalAverage="0" bottom="0" percent="0" rank="0" text="" dxfId="887">
      <formula>#REF!=1</formula>
    </cfRule>
    <cfRule type="expression" priority="890" aboveAverage="0" equalAverage="0" bottom="0" percent="0" rank="0" text="" dxfId="888">
      <formula>#REF!=2</formula>
    </cfRule>
    <cfRule type="expression" priority="891" aboveAverage="0" equalAverage="0" bottom="0" percent="0" rank="0" text="" dxfId="889">
      <formula>#REF!=3</formula>
    </cfRule>
  </conditionalFormatting>
  <conditionalFormatting sqref="M377">
    <cfRule type="expression" priority="892" aboveAverage="0" equalAverage="0" bottom="0" percent="0" rank="0" text="" dxfId="890">
      <formula>#REF!=1</formula>
    </cfRule>
    <cfRule type="expression" priority="893" aboveAverage="0" equalAverage="0" bottom="0" percent="0" rank="0" text="" dxfId="891">
      <formula>#REF!=2</formula>
    </cfRule>
    <cfRule type="expression" priority="894" aboveAverage="0" equalAverage="0" bottom="0" percent="0" rank="0" text="" dxfId="892">
      <formula>#REF!=3</formula>
    </cfRule>
  </conditionalFormatting>
  <conditionalFormatting sqref="M375">
    <cfRule type="expression" priority="895" aboveAverage="0" equalAverage="0" bottom="0" percent="0" rank="0" text="" dxfId="893">
      <formula>#REF!=1</formula>
    </cfRule>
    <cfRule type="expression" priority="896" aboveAverage="0" equalAverage="0" bottom="0" percent="0" rank="0" text="" dxfId="894">
      <formula>#REF!=2</formula>
    </cfRule>
    <cfRule type="expression" priority="897" aboveAverage="0" equalAverage="0" bottom="0" percent="0" rank="0" text="" dxfId="895">
      <formula>#REF!=3</formula>
    </cfRule>
  </conditionalFormatting>
  <conditionalFormatting sqref="N375:N377">
    <cfRule type="expression" priority="898" aboveAverage="0" equalAverage="0" bottom="0" percent="0" rank="0" text="" dxfId="896">
      <formula>$A375=1</formula>
    </cfRule>
    <cfRule type="expression" priority="899" aboveAverage="0" equalAverage="0" bottom="0" percent="0" rank="0" text="" dxfId="897">
      <formula>$A375=2</formula>
    </cfRule>
    <cfRule type="expression" priority="900" aboveAverage="0" equalAverage="0" bottom="0" percent="0" rank="0" text="" dxfId="898">
      <formula>$A375=3</formula>
    </cfRule>
  </conditionalFormatting>
  <conditionalFormatting sqref="K378:K379">
    <cfRule type="expression" priority="901" aboveAverage="0" equalAverage="0" bottom="0" percent="0" rank="0" text="" dxfId="899">
      <formula>#REF!=1</formula>
    </cfRule>
    <cfRule type="expression" priority="902" aboveAverage="0" equalAverage="0" bottom="0" percent="0" rank="0" text="" dxfId="900">
      <formula>#REF!=2</formula>
    </cfRule>
    <cfRule type="expression" priority="903" aboveAverage="0" equalAverage="0" bottom="0" percent="0" rank="0" text="" dxfId="901">
      <formula>#REF!=3</formula>
    </cfRule>
  </conditionalFormatting>
  <conditionalFormatting sqref="M378:M379">
    <cfRule type="expression" priority="904" aboveAverage="0" equalAverage="0" bottom="0" percent="0" rank="0" text="" dxfId="902">
      <formula>#REF!=1</formula>
    </cfRule>
    <cfRule type="expression" priority="905" aboveAverage="0" equalAverage="0" bottom="0" percent="0" rank="0" text="" dxfId="903">
      <formula>#REF!=2</formula>
    </cfRule>
    <cfRule type="expression" priority="906" aboveAverage="0" equalAverage="0" bottom="0" percent="0" rank="0" text="" dxfId="904">
      <formula>#REF!=3</formula>
    </cfRule>
  </conditionalFormatting>
  <conditionalFormatting sqref="K380">
    <cfRule type="expression" priority="907" aboveAverage="0" equalAverage="0" bottom="0" percent="0" rank="0" text="" dxfId="905">
      <formula>#REF!=1</formula>
    </cfRule>
    <cfRule type="expression" priority="908" aboveAverage="0" equalAverage="0" bottom="0" percent="0" rank="0" text="" dxfId="906">
      <formula>#REF!=2</formula>
    </cfRule>
    <cfRule type="expression" priority="909" aboveAverage="0" equalAverage="0" bottom="0" percent="0" rank="0" text="" dxfId="907">
      <formula>#REF!=3</formula>
    </cfRule>
  </conditionalFormatting>
  <conditionalFormatting sqref="M380">
    <cfRule type="expression" priority="910" aboveAverage="0" equalAverage="0" bottom="0" percent="0" rank="0" text="" dxfId="908">
      <formula>#REF!=1</formula>
    </cfRule>
    <cfRule type="expression" priority="911" aboveAverage="0" equalAverage="0" bottom="0" percent="0" rank="0" text="" dxfId="909">
      <formula>#REF!=2</formula>
    </cfRule>
    <cfRule type="expression" priority="912" aboveAverage="0" equalAverage="0" bottom="0" percent="0" rank="0" text="" dxfId="910">
      <formula>#REF!=3</formula>
    </cfRule>
  </conditionalFormatting>
  <conditionalFormatting sqref="L177">
    <cfRule type="expression" priority="913" aboveAverage="0" equalAverage="0" bottom="0" percent="0" rank="0" text="" dxfId="911">
      <formula>$B175=1</formula>
    </cfRule>
    <cfRule type="expression" priority="914" aboveAverage="0" equalAverage="0" bottom="0" percent="0" rank="0" text="" dxfId="912">
      <formula>$B175=2</formula>
    </cfRule>
    <cfRule type="expression" priority="915" aboveAverage="0" equalAverage="0" bottom="0" percent="0" rank="0" text="" dxfId="913">
      <formula>$B175=3</formula>
    </cfRule>
  </conditionalFormatting>
  <conditionalFormatting sqref="K177">
    <cfRule type="expression" priority="916" aboveAverage="0" equalAverage="0" bottom="0" percent="0" rank="0" text="" dxfId="914">
      <formula>#REF!=1</formula>
    </cfRule>
    <cfRule type="expression" priority="917" aboveAverage="0" equalAverage="0" bottom="0" percent="0" rank="0" text="" dxfId="915">
      <formula>#REF!=2</formula>
    </cfRule>
    <cfRule type="expression" priority="918" aboveAverage="0" equalAverage="0" bottom="0" percent="0" rank="0" text="" dxfId="916">
      <formula>#REF!=3</formula>
    </cfRule>
  </conditionalFormatting>
  <conditionalFormatting sqref="M177">
    <cfRule type="expression" priority="919" aboveAverage="0" equalAverage="0" bottom="0" percent="0" rank="0" text="" dxfId="917">
      <formula>#REF!=1</formula>
    </cfRule>
    <cfRule type="expression" priority="920" aboveAverage="0" equalAverage="0" bottom="0" percent="0" rank="0" text="" dxfId="918">
      <formula>#REF!=2</formula>
    </cfRule>
    <cfRule type="expression" priority="921" aboveAverage="0" equalAverage="0" bottom="0" percent="0" rank="0" text="" dxfId="919">
      <formula>#REF!=3</formula>
    </cfRule>
  </conditionalFormatting>
  <conditionalFormatting sqref="L359">
    <cfRule type="expression" priority="922" aboveAverage="0" equalAverage="0" bottom="0" percent="0" rank="0" text="" dxfId="920">
      <formula>$B359=1</formula>
    </cfRule>
    <cfRule type="expression" priority="923" aboveAverage="0" equalAverage="0" bottom="0" percent="0" rank="0" text="" dxfId="921">
      <formula>$B359=2</formula>
    </cfRule>
    <cfRule type="expression" priority="924" aboveAverage="0" equalAverage="0" bottom="0" percent="0" rank="0" text="" dxfId="922">
      <formula>$B359=3</formula>
    </cfRule>
  </conditionalFormatting>
  <conditionalFormatting sqref="K359">
    <cfRule type="expression" priority="925" aboveAverage="0" equalAverage="0" bottom="0" percent="0" rank="0" text="" dxfId="923">
      <formula>#REF!=1</formula>
    </cfRule>
    <cfRule type="expression" priority="926" aboveAverage="0" equalAverage="0" bottom="0" percent="0" rank="0" text="" dxfId="924">
      <formula>#REF!=2</formula>
    </cfRule>
    <cfRule type="expression" priority="927" aboveAverage="0" equalAverage="0" bottom="0" percent="0" rank="0" text="" dxfId="925">
      <formula>#REF!=3</formula>
    </cfRule>
  </conditionalFormatting>
  <conditionalFormatting sqref="M359">
    <cfRule type="expression" priority="928" aboveAverage="0" equalAverage="0" bottom="0" percent="0" rank="0" text="" dxfId="926">
      <formula>#REF!=1</formula>
    </cfRule>
    <cfRule type="expression" priority="929" aboveAverage="0" equalAverage="0" bottom="0" percent="0" rank="0" text="" dxfId="927">
      <formula>#REF!=2</formula>
    </cfRule>
    <cfRule type="expression" priority="930" aboveAverage="0" equalAverage="0" bottom="0" percent="0" rank="0" text="" dxfId="928">
      <formula>#REF!=3</formula>
    </cfRule>
  </conditionalFormatting>
  <conditionalFormatting sqref="K347">
    <cfRule type="expression" priority="931" aboveAverage="0" equalAverage="0" bottom="0" percent="0" rank="0" text="" dxfId="929">
      <formula>#REF!=1</formula>
    </cfRule>
    <cfRule type="expression" priority="932" aboveAverage="0" equalAverage="0" bottom="0" percent="0" rank="0" text="" dxfId="930">
      <formula>#REF!=2</formula>
    </cfRule>
    <cfRule type="expression" priority="933" aboveAverage="0" equalAverage="0" bottom="0" percent="0" rank="0" text="" dxfId="931">
      <formula>#REF!=3</formula>
    </cfRule>
  </conditionalFormatting>
  <conditionalFormatting sqref="M347">
    <cfRule type="expression" priority="934" aboveAverage="0" equalAverage="0" bottom="0" percent="0" rank="0" text="" dxfId="932">
      <formula>#REF!=1</formula>
    </cfRule>
    <cfRule type="expression" priority="935" aboveAverage="0" equalAverage="0" bottom="0" percent="0" rank="0" text="" dxfId="933">
      <formula>#REF!=2</formula>
    </cfRule>
    <cfRule type="expression" priority="936" aboveAverage="0" equalAverage="0" bottom="0" percent="0" rank="0" text="" dxfId="934">
      <formula>#REF!=3</formula>
    </cfRule>
  </conditionalFormatting>
  <conditionalFormatting sqref="N347">
    <cfRule type="expression" priority="937" aboveAverage="0" equalAverage="0" bottom="0" percent="0" rank="0" text="" dxfId="935">
      <formula>$A347=1</formula>
    </cfRule>
    <cfRule type="expression" priority="938" aboveAverage="0" equalAverage="0" bottom="0" percent="0" rank="0" text="" dxfId="936">
      <formula>$A347=2</formula>
    </cfRule>
    <cfRule type="expression" priority="939" aboveAverage="0" equalAverage="0" bottom="0" percent="0" rank="0" text="" dxfId="937">
      <formula>$A347=3</formula>
    </cfRule>
  </conditionalFormatting>
  <conditionalFormatting sqref="L114">
    <cfRule type="expression" priority="940" aboveAverage="0" equalAverage="0" bottom="0" percent="0" rank="0" text="" dxfId="938">
      <formula>$B116=1</formula>
    </cfRule>
    <cfRule type="expression" priority="941" aboveAverage="0" equalAverage="0" bottom="0" percent="0" rank="0" text="" dxfId="939">
      <formula>$B116=2</formula>
    </cfRule>
    <cfRule type="expression" priority="942" aboveAverage="0" equalAverage="0" bottom="0" percent="0" rank="0" text="" dxfId="940">
      <formula>$B116=3</formula>
    </cfRule>
  </conditionalFormatting>
  <conditionalFormatting sqref="K114">
    <cfRule type="expression" priority="943" aboveAverage="0" equalAverage="0" bottom="0" percent="0" rank="0" text="" dxfId="941">
      <formula>#REF!=1</formula>
    </cfRule>
    <cfRule type="expression" priority="944" aboveAverage="0" equalAverage="0" bottom="0" percent="0" rank="0" text="" dxfId="942">
      <formula>#REF!=2</formula>
    </cfRule>
    <cfRule type="expression" priority="945" aboveAverage="0" equalAverage="0" bottom="0" percent="0" rank="0" text="" dxfId="943">
      <formula>#REF!=3</formula>
    </cfRule>
  </conditionalFormatting>
  <conditionalFormatting sqref="M114">
    <cfRule type="expression" priority="946" aboveAverage="0" equalAverage="0" bottom="0" percent="0" rank="0" text="" dxfId="944">
      <formula>#REF!=1</formula>
    </cfRule>
    <cfRule type="expression" priority="947" aboveAverage="0" equalAverage="0" bottom="0" percent="0" rank="0" text="" dxfId="945">
      <formula>#REF!=2</formula>
    </cfRule>
    <cfRule type="expression" priority="948" aboveAverage="0" equalAverage="0" bottom="0" percent="0" rank="0" text="" dxfId="946">
      <formula>#REF!=3</formula>
    </cfRule>
  </conditionalFormatting>
  <conditionalFormatting sqref="K327">
    <cfRule type="expression" priority="949" aboveAverage="0" equalAverage="0" bottom="0" percent="0" rank="0" text="" dxfId="947">
      <formula>#REF!=1</formula>
    </cfRule>
    <cfRule type="expression" priority="950" aboveAverage="0" equalAverage="0" bottom="0" percent="0" rank="0" text="" dxfId="948">
      <formula>#REF!=2</formula>
    </cfRule>
    <cfRule type="expression" priority="951" aboveAverage="0" equalAverage="0" bottom="0" percent="0" rank="0" text="" dxfId="949">
      <formula>#REF!=3</formula>
    </cfRule>
  </conditionalFormatting>
  <conditionalFormatting sqref="M327">
    <cfRule type="expression" priority="952" aboveAverage="0" equalAverage="0" bottom="0" percent="0" rank="0" text="" dxfId="950">
      <formula>#REF!=1</formula>
    </cfRule>
    <cfRule type="expression" priority="953" aboveAverage="0" equalAverage="0" bottom="0" percent="0" rank="0" text="" dxfId="951">
      <formula>#REF!=2</formula>
    </cfRule>
    <cfRule type="expression" priority="954" aboveAverage="0" equalAverage="0" bottom="0" percent="0" rank="0" text="" dxfId="952">
      <formula>#REF!=3</formula>
    </cfRule>
  </conditionalFormatting>
  <conditionalFormatting sqref="N327">
    <cfRule type="expression" priority="955" aboveAverage="0" equalAverage="0" bottom="0" percent="0" rank="0" text="" dxfId="953">
      <formula>$A327=1</formula>
    </cfRule>
    <cfRule type="expression" priority="956" aboveAverage="0" equalAverage="0" bottom="0" percent="0" rank="0" text="" dxfId="954">
      <formula>$A327=2</formula>
    </cfRule>
    <cfRule type="expression" priority="957" aboveAverage="0" equalAverage="0" bottom="0" percent="0" rank="0" text="" dxfId="955">
      <formula>$A327=3</formula>
    </cfRule>
  </conditionalFormatting>
  <conditionalFormatting sqref="K361">
    <cfRule type="expression" priority="958" aboveAverage="0" equalAverage="0" bottom="0" percent="0" rank="0" text="" dxfId="956">
      <formula>#REF!=1</formula>
    </cfRule>
    <cfRule type="expression" priority="959" aboveAverage="0" equalAverage="0" bottom="0" percent="0" rank="0" text="" dxfId="957">
      <formula>#REF!=2</formula>
    </cfRule>
    <cfRule type="expression" priority="960" aboveAverage="0" equalAverage="0" bottom="0" percent="0" rank="0" text="" dxfId="958">
      <formula>#REF!=3</formula>
    </cfRule>
  </conditionalFormatting>
  <conditionalFormatting sqref="M361">
    <cfRule type="expression" priority="961" aboveAverage="0" equalAverage="0" bottom="0" percent="0" rank="0" text="" dxfId="959">
      <formula>#REF!=1</formula>
    </cfRule>
    <cfRule type="expression" priority="962" aboveAverage="0" equalAverage="0" bottom="0" percent="0" rank="0" text="" dxfId="960">
      <formula>#REF!=2</formula>
    </cfRule>
    <cfRule type="expression" priority="963" aboveAverage="0" equalAverage="0" bottom="0" percent="0" rank="0" text="" dxfId="961">
      <formula>#REF!=3</formula>
    </cfRule>
  </conditionalFormatting>
  <conditionalFormatting sqref="M20">
    <cfRule type="expression" priority="964" aboveAverage="0" equalAverage="0" bottom="0" percent="0" rank="0" text="" dxfId="962">
      <formula>#REF!=1</formula>
    </cfRule>
    <cfRule type="expression" priority="965" aboveAverage="0" equalAverage="0" bottom="0" percent="0" rank="0" text="" dxfId="963">
      <formula>#REF!=2</formula>
    </cfRule>
    <cfRule type="expression" priority="966" aboveAverage="0" equalAverage="0" bottom="0" percent="0" rank="0" text="" dxfId="964">
      <formula>#REF!=3</formula>
    </cfRule>
  </conditionalFormatting>
  <conditionalFormatting sqref="K20">
    <cfRule type="expression" priority="967" aboveAverage="0" equalAverage="0" bottom="0" percent="0" rank="0" text="" dxfId="965">
      <formula>#REF!=1</formula>
    </cfRule>
    <cfRule type="expression" priority="968" aboveAverage="0" equalAverage="0" bottom="0" percent="0" rank="0" text="" dxfId="966">
      <formula>#REF!=2</formula>
    </cfRule>
    <cfRule type="expression" priority="969" aboveAverage="0" equalAverage="0" bottom="0" percent="0" rank="0" text="" dxfId="967">
      <formula>#REF!=3</formula>
    </cfRule>
  </conditionalFormatting>
  <conditionalFormatting sqref="K353">
    <cfRule type="expression" priority="970" aboveAverage="0" equalAverage="0" bottom="0" percent="0" rank="0" text="" dxfId="968">
      <formula>#REF!=1</formula>
    </cfRule>
    <cfRule type="expression" priority="971" aboveAverage="0" equalAverage="0" bottom="0" percent="0" rank="0" text="" dxfId="969">
      <formula>#REF!=2</formula>
    </cfRule>
    <cfRule type="expression" priority="972" aboveAverage="0" equalAverage="0" bottom="0" percent="0" rank="0" text="" dxfId="970">
      <formula>#REF!=3</formula>
    </cfRule>
  </conditionalFormatting>
  <conditionalFormatting sqref="M353">
    <cfRule type="expression" priority="973" aboveAverage="0" equalAverage="0" bottom="0" percent="0" rank="0" text="" dxfId="971">
      <formula>#REF!=1</formula>
    </cfRule>
    <cfRule type="expression" priority="974" aboveAverage="0" equalAverage="0" bottom="0" percent="0" rank="0" text="" dxfId="972">
      <formula>#REF!=2</formula>
    </cfRule>
    <cfRule type="expression" priority="975" aboveAverage="0" equalAverage="0" bottom="0" percent="0" rank="0" text="" dxfId="973">
      <formula>#REF!=3</formula>
    </cfRule>
  </conditionalFormatting>
  <conditionalFormatting sqref="L350">
    <cfRule type="expression" priority="976" aboveAverage="0" equalAverage="0" bottom="0" percent="0" rank="0" text="" dxfId="974">
      <formula>$B350=1</formula>
    </cfRule>
    <cfRule type="expression" priority="977" aboveAverage="0" equalAverage="0" bottom="0" percent="0" rank="0" text="" dxfId="975">
      <formula>$B350=2</formula>
    </cfRule>
    <cfRule type="expression" priority="978" aboveAverage="0" equalAverage="0" bottom="0" percent="0" rank="0" text="" dxfId="976">
      <formula>$B350=3</formula>
    </cfRule>
  </conditionalFormatting>
  <conditionalFormatting sqref="K350">
    <cfRule type="expression" priority="979" aboveAverage="0" equalAverage="0" bottom="0" percent="0" rank="0" text="" dxfId="977">
      <formula>#REF!=1</formula>
    </cfRule>
    <cfRule type="expression" priority="980" aboveAverage="0" equalAverage="0" bottom="0" percent="0" rank="0" text="" dxfId="978">
      <formula>#REF!=2</formula>
    </cfRule>
    <cfRule type="expression" priority="981" aboveAverage="0" equalAverage="0" bottom="0" percent="0" rank="0" text="" dxfId="979">
      <formula>#REF!=3</formula>
    </cfRule>
  </conditionalFormatting>
  <conditionalFormatting sqref="M350">
    <cfRule type="expression" priority="982" aboveAverage="0" equalAverage="0" bottom="0" percent="0" rank="0" text="" dxfId="980">
      <formula>#REF!=1</formula>
    </cfRule>
    <cfRule type="expression" priority="983" aboveAverage="0" equalAverage="0" bottom="0" percent="0" rank="0" text="" dxfId="981">
      <formula>#REF!=2</formula>
    </cfRule>
    <cfRule type="expression" priority="984" aboveAverage="0" equalAverage="0" bottom="0" percent="0" rank="0" text="" dxfId="982">
      <formula>#REF!=3</formula>
    </cfRule>
  </conditionalFormatting>
  <conditionalFormatting sqref="N147">
    <cfRule type="expression" priority="985" aboveAverage="0" equalAverage="0" bottom="0" percent="0" rank="0" text="" dxfId="983">
      <formula>$A135=1</formula>
    </cfRule>
    <cfRule type="expression" priority="986" aboveAverage="0" equalAverage="0" bottom="0" percent="0" rank="0" text="" dxfId="984">
      <formula>$A135=2</formula>
    </cfRule>
    <cfRule type="expression" priority="987" aboveAverage="0" equalAverage="0" bottom="0" percent="0" rank="0" text="" dxfId="985">
      <formula>$A135=3</formula>
    </cfRule>
  </conditionalFormatting>
  <conditionalFormatting sqref="K169">
    <cfRule type="expression" priority="988" aboveAverage="0" equalAverage="0" bottom="0" percent="0" rank="0" text="" dxfId="986">
      <formula>#REF!=1</formula>
    </cfRule>
    <cfRule type="expression" priority="989" aboveAverage="0" equalAverage="0" bottom="0" percent="0" rank="0" text="" dxfId="987">
      <formula>#REF!=2</formula>
    </cfRule>
    <cfRule type="expression" priority="990" aboveAverage="0" equalAverage="0" bottom="0" percent="0" rank="0" text="" dxfId="988">
      <formula>#REF!=3</formula>
    </cfRule>
  </conditionalFormatting>
  <conditionalFormatting sqref="M169">
    <cfRule type="expression" priority="991" aboveAverage="0" equalAverage="0" bottom="0" percent="0" rank="0" text="" dxfId="989">
      <formula>#REF!=1</formula>
    </cfRule>
    <cfRule type="expression" priority="992" aboveAverage="0" equalAverage="0" bottom="0" percent="0" rank="0" text="" dxfId="990">
      <formula>#REF!=2</formula>
    </cfRule>
    <cfRule type="expression" priority="993" aboveAverage="0" equalAverage="0" bottom="0" percent="0" rank="0" text="" dxfId="991">
      <formula>#REF!=3</formula>
    </cfRule>
  </conditionalFormatting>
  <conditionalFormatting sqref="M46">
    <cfRule type="expression" priority="994" aboveAverage="0" equalAverage="0" bottom="0" percent="0" rank="0" text="" dxfId="992">
      <formula>#REF!=1</formula>
    </cfRule>
    <cfRule type="expression" priority="995" aboveAverage="0" equalAverage="0" bottom="0" percent="0" rank="0" text="" dxfId="993">
      <formula>#REF!=2</formula>
    </cfRule>
    <cfRule type="expression" priority="996" aboveAverage="0" equalAverage="0" bottom="0" percent="0" rank="0" text="" dxfId="994">
      <formula>#REF!=3</formula>
    </cfRule>
  </conditionalFormatting>
  <conditionalFormatting sqref="M50">
    <cfRule type="expression" priority="997" aboveAverage="0" equalAverage="0" bottom="0" percent="0" rank="0" text="" dxfId="995">
      <formula>#REF!=1</formula>
    </cfRule>
    <cfRule type="expression" priority="998" aboveAverage="0" equalAverage="0" bottom="0" percent="0" rank="0" text="" dxfId="996">
      <formula>#REF!=2</formula>
    </cfRule>
    <cfRule type="expression" priority="999" aboveAverage="0" equalAverage="0" bottom="0" percent="0" rank="0" text="" dxfId="997">
      <formula>#REF!=3</formula>
    </cfRule>
  </conditionalFormatting>
  <conditionalFormatting sqref="N50">
    <cfRule type="expression" priority="1000" aboveAverage="0" equalAverage="0" bottom="0" percent="0" rank="0" text="" dxfId="998">
      <formula>$A332=1</formula>
    </cfRule>
    <cfRule type="expression" priority="1001" aboveAverage="0" equalAverage="0" bottom="0" percent="0" rank="0" text="" dxfId="999">
      <formula>$A332=2</formula>
    </cfRule>
    <cfRule type="expression" priority="1002" aboveAverage="0" equalAverage="0" bottom="0" percent="0" rank="0" text="" dxfId="1000">
      <formula>$A332=3</formula>
    </cfRule>
  </conditionalFormatting>
  <conditionalFormatting sqref="K344">
    <cfRule type="expression" priority="1003" aboveAverage="0" equalAverage="0" bottom="0" percent="0" rank="0" text="" dxfId="1001">
      <formula>#REF!=1</formula>
    </cfRule>
    <cfRule type="expression" priority="1004" aboveAverage="0" equalAverage="0" bottom="0" percent="0" rank="0" text="" dxfId="1002">
      <formula>#REF!=2</formula>
    </cfRule>
    <cfRule type="expression" priority="1005" aboveAverage="0" equalAverage="0" bottom="0" percent="0" rank="0" text="" dxfId="1003">
      <formula>#REF!=3</formula>
    </cfRule>
  </conditionalFormatting>
  <conditionalFormatting sqref="K50">
    <cfRule type="expression" priority="1006" aboveAverage="0" equalAverage="0" bottom="0" percent="0" rank="0" text="" dxfId="1004">
      <formula>#REF!=1</formula>
    </cfRule>
    <cfRule type="expression" priority="1007" aboveAverage="0" equalAverage="0" bottom="0" percent="0" rank="0" text="" dxfId="1005">
      <formula>#REF!=2</formula>
    </cfRule>
    <cfRule type="expression" priority="1008" aboveAverage="0" equalAverage="0" bottom="0" percent="0" rank="0" text="" dxfId="1006">
      <formula>#REF!=3</formula>
    </cfRule>
  </conditionalFormatting>
  <conditionalFormatting sqref="N136">
    <cfRule type="expression" priority="1009" aboveAverage="0" equalAverage="0" bottom="0" percent="0" rank="0" text="" dxfId="1007">
      <formula>#REF!=1</formula>
    </cfRule>
    <cfRule type="expression" priority="1010" aboveAverage="0" equalAverage="0" bottom="0" percent="0" rank="0" text="" dxfId="1008">
      <formula>#REF!=2</formula>
    </cfRule>
    <cfRule type="expression" priority="1011" aboveAverage="0" equalAverage="0" bottom="0" percent="0" rank="0" text="" dxfId="1009">
      <formula>#REF!=3</formula>
    </cfRule>
  </conditionalFormatting>
  <conditionalFormatting sqref="N380">
    <cfRule type="expression" priority="1012" aboveAverage="0" equalAverage="0" bottom="0" percent="0" rank="0" text="" dxfId="1010">
      <formula>$A380=1</formula>
    </cfRule>
    <cfRule type="expression" priority="1013" aboveAverage="0" equalAverage="0" bottom="0" percent="0" rank="0" text="" dxfId="1011">
      <formula>$A380=2</formula>
    </cfRule>
    <cfRule type="expression" priority="1014" aboveAverage="0" equalAverage="0" bottom="0" percent="0" rank="0" text="" dxfId="1012">
      <formula>$A380=3</formula>
    </cfRule>
  </conditionalFormatting>
  <conditionalFormatting sqref="N49">
    <cfRule type="expression" priority="1015" aboveAverage="0" equalAverage="0" bottom="0" percent="0" rank="0" text="" dxfId="1013">
      <formula>#REF!=1</formula>
    </cfRule>
    <cfRule type="expression" priority="1016" aboveAverage="0" equalAverage="0" bottom="0" percent="0" rank="0" text="" dxfId="1014">
      <formula>#REF!=2</formula>
    </cfRule>
    <cfRule type="expression" priority="1017" aboveAverage="0" equalAverage="0" bottom="0" percent="0" rank="0" text="" dxfId="1015">
      <formula>#REF!=3</formula>
    </cfRule>
  </conditionalFormatting>
  <conditionalFormatting sqref="N309">
    <cfRule type="expression" priority="1018" aboveAverage="0" equalAverage="0" bottom="0" percent="0" rank="0" text="" dxfId="1016">
      <formula>#REF!=1</formula>
    </cfRule>
    <cfRule type="expression" priority="1019" aboveAverage="0" equalAverage="0" bottom="0" percent="0" rank="0" text="" dxfId="1017">
      <formula>#REF!=2</formula>
    </cfRule>
    <cfRule type="expression" priority="1020" aboveAverage="0" equalAverage="0" bottom="0" percent="0" rank="0" text="" dxfId="1018">
      <formula>#REF!=3</formula>
    </cfRule>
  </conditionalFormatting>
  <conditionalFormatting sqref="N253">
    <cfRule type="expression" priority="1021" aboveAverage="0" equalAverage="0" bottom="0" percent="0" rank="0" text="" dxfId="1019">
      <formula>#REF!=1</formula>
    </cfRule>
    <cfRule type="expression" priority="1022" aboveAverage="0" equalAverage="0" bottom="0" percent="0" rank="0" text="" dxfId="1020">
      <formula>#REF!=2</formula>
    </cfRule>
    <cfRule type="expression" priority="1023" aboveAverage="0" equalAverage="0" bottom="0" percent="0" rank="0" text="" dxfId="1021">
      <formula>#REF!=3</formula>
    </cfRule>
  </conditionalFormatting>
  <conditionalFormatting sqref="N157">
    <cfRule type="expression" priority="1024" aboveAverage="0" equalAverage="0" bottom="0" percent="0" rank="0" text="" dxfId="1022">
      <formula>#REF!=1</formula>
    </cfRule>
    <cfRule type="expression" priority="1025" aboveAverage="0" equalAverage="0" bottom="0" percent="0" rank="0" text="" dxfId="1023">
      <formula>#REF!=2</formula>
    </cfRule>
    <cfRule type="expression" priority="1026" aboveAverage="0" equalAverage="0" bottom="0" percent="0" rank="0" text="" dxfId="1024">
      <formula>#REF!=3</formula>
    </cfRule>
  </conditionalFormatting>
  <conditionalFormatting sqref="N373">
    <cfRule type="expression" priority="1027" aboveAverage="0" equalAverage="0" bottom="0" percent="0" rank="0" text="" dxfId="1025">
      <formula>$A373=1</formula>
    </cfRule>
    <cfRule type="expression" priority="1028" aboveAverage="0" equalAverage="0" bottom="0" percent="0" rank="0" text="" dxfId="1026">
      <formula>$A373=2</formula>
    </cfRule>
    <cfRule type="expression" priority="1029" aboveAverage="0" equalAverage="0" bottom="0" percent="0" rank="0" text="" dxfId="1027">
      <formula>$A373=3</formula>
    </cfRule>
  </conditionalFormatting>
  <conditionalFormatting sqref="N169">
    <cfRule type="expression" priority="1030" aboveAverage="0" equalAverage="0" bottom="0" percent="0" rank="0" text="" dxfId="1028">
      <formula>#REF!=1</formula>
    </cfRule>
    <cfRule type="expression" priority="1031" aboveAverage="0" equalAverage="0" bottom="0" percent="0" rank="0" text="" dxfId="1029">
      <formula>#REF!=2</formula>
    </cfRule>
    <cfRule type="expression" priority="1032" aboveAverage="0" equalAverage="0" bottom="0" percent="0" rank="0" text="" dxfId="1030">
      <formula>#REF!=3</formula>
    </cfRule>
  </conditionalFormatting>
  <conditionalFormatting sqref="N340">
    <cfRule type="expression" priority="1033" aboveAverage="0" equalAverage="0" bottom="0" percent="0" rank="0" text="" dxfId="1031">
      <formula>#REF!=1</formula>
    </cfRule>
    <cfRule type="expression" priority="1034" aboveAverage="0" equalAverage="0" bottom="0" percent="0" rank="0" text="" dxfId="1032">
      <formula>#REF!=2</formula>
    </cfRule>
    <cfRule type="expression" priority="1035" aboveAverage="0" equalAverage="0" bottom="0" percent="0" rank="0" text="" dxfId="1033">
      <formula>#REF!=3</formula>
    </cfRule>
  </conditionalFormatting>
  <conditionalFormatting sqref="N255">
    <cfRule type="expression" priority="1036" aboveAverage="0" equalAverage="0" bottom="0" percent="0" rank="0" text="" dxfId="1034">
      <formula>$A255=1</formula>
    </cfRule>
    <cfRule type="expression" priority="1037" aboveAverage="0" equalAverage="0" bottom="0" percent="0" rank="0" text="" dxfId="1035">
      <formula>$A255=2</formula>
    </cfRule>
    <cfRule type="expression" priority="1038" aboveAverage="0" equalAverage="0" bottom="0" percent="0" rank="0" text="" dxfId="1036">
      <formula>$A255=3</formula>
    </cfRule>
  </conditionalFormatting>
  <conditionalFormatting sqref="K129">
    <cfRule type="expression" priority="1039" aboveAverage="0" equalAverage="0" bottom="0" percent="0" rank="0" text="" dxfId="1037">
      <formula>#REF!=1</formula>
    </cfRule>
    <cfRule type="expression" priority="1040" aboveAverage="0" equalAverage="0" bottom="0" percent="0" rank="0" text="" dxfId="1038">
      <formula>#REF!=2</formula>
    </cfRule>
    <cfRule type="expression" priority="1041" aboveAverage="0" equalAverage="0" bottom="0" percent="0" rank="0" text="" dxfId="1039">
      <formula>#REF!=3</formula>
    </cfRule>
  </conditionalFormatting>
  <conditionalFormatting sqref="N319">
    <cfRule type="expression" priority="1042" aboveAverage="0" equalAverage="0" bottom="0" percent="0" rank="0" text="" dxfId="1040">
      <formula>$A319=1</formula>
    </cfRule>
    <cfRule type="expression" priority="1043" aboveAverage="0" equalAverage="0" bottom="0" percent="0" rank="0" text="" dxfId="1041">
      <formula>$A319=2</formula>
    </cfRule>
    <cfRule type="expression" priority="1044" aboveAverage="0" equalAverage="0" bottom="0" percent="0" rank="0" text="" dxfId="1042">
      <formula>$A319=3</formula>
    </cfRule>
  </conditionalFormatting>
  <conditionalFormatting sqref="N319">
    <cfRule type="expression" priority="1045" aboveAverage="0" equalAverage="0" bottom="0" percent="0" rank="0" text="" dxfId="1043">
      <formula>$A274=1</formula>
    </cfRule>
    <cfRule type="expression" priority="1046" aboveAverage="0" equalAverage="0" bottom="0" percent="0" rank="0" text="" dxfId="1044">
      <formula>$A274=2</formula>
    </cfRule>
    <cfRule type="expression" priority="1047" aboveAverage="0" equalAverage="0" bottom="0" percent="0" rank="0" text="" dxfId="1045">
      <formula>$A274=3</formula>
    </cfRule>
  </conditionalFormatting>
  <conditionalFormatting sqref="N129">
    <cfRule type="expression" priority="1048" aboveAverage="0" equalAverage="0" bottom="0" percent="0" rank="0" text="" dxfId="1046">
      <formula>$A129=1</formula>
    </cfRule>
    <cfRule type="expression" priority="1049" aboveAverage="0" equalAverage="0" bottom="0" percent="0" rank="0" text="" dxfId="1047">
      <formula>$A129=2</formula>
    </cfRule>
    <cfRule type="expression" priority="1050" aboveAverage="0" equalAverage="0" bottom="0" percent="0" rank="0" text="" dxfId="1048">
      <formula>$A129=3</formula>
    </cfRule>
  </conditionalFormatting>
  <conditionalFormatting sqref="N43">
    <cfRule type="expression" priority="1051" aboveAverage="0" equalAverage="0" bottom="0" percent="0" rank="0" text="" dxfId="1049">
      <formula>$A43=1</formula>
    </cfRule>
    <cfRule type="expression" priority="1052" aboveAverage="0" equalAverage="0" bottom="0" percent="0" rank="0" text="" dxfId="1050">
      <formula>$A43=2</formula>
    </cfRule>
    <cfRule type="expression" priority="1053" aboveAverage="0" equalAverage="0" bottom="0" percent="0" rank="0" text="" dxfId="1051">
      <formula>$A43=3</formula>
    </cfRule>
  </conditionalFormatting>
  <conditionalFormatting sqref="N173">
    <cfRule type="expression" priority="1054" aboveAverage="0" equalAverage="0" bottom="0" percent="0" rank="0" text="" dxfId="1052">
      <formula>$A173=1</formula>
    </cfRule>
    <cfRule type="expression" priority="1055" aboveAverage="0" equalAverage="0" bottom="0" percent="0" rank="0" text="" dxfId="1053">
      <formula>$A173=2</formula>
    </cfRule>
    <cfRule type="expression" priority="1056" aboveAverage="0" equalAverage="0" bottom="0" percent="0" rank="0" text="" dxfId="1054">
      <formula>$A173=3</formula>
    </cfRule>
  </conditionalFormatting>
  <conditionalFormatting sqref="N280">
    <cfRule type="expression" priority="1057" aboveAverage="0" equalAverage="0" bottom="0" percent="0" rank="0" text="" dxfId="1055">
      <formula>$A280=1</formula>
    </cfRule>
    <cfRule type="expression" priority="1058" aboveAverage="0" equalAverage="0" bottom="0" percent="0" rank="0" text="" dxfId="1056">
      <formula>$A280=2</formula>
    </cfRule>
    <cfRule type="expression" priority="1059" aboveAverage="0" equalAverage="0" bottom="0" percent="0" rank="0" text="" dxfId="1057">
      <formula>$A280=3</formula>
    </cfRule>
  </conditionalFormatting>
  <conditionalFormatting sqref="N143">
    <cfRule type="expression" priority="1060" aboveAverage="0" equalAverage="0" bottom="0" percent="0" rank="0" text="" dxfId="1058">
      <formula>$A258=1</formula>
    </cfRule>
    <cfRule type="expression" priority="1061" aboveAverage="0" equalAverage="0" bottom="0" percent="0" rank="0" text="" dxfId="1059">
      <formula>$A258=2</formula>
    </cfRule>
    <cfRule type="expression" priority="1062" aboveAverage="0" equalAverage="0" bottom="0" percent="0" rank="0" text="" dxfId="1060">
      <formula>$A258=3</formula>
    </cfRule>
  </conditionalFormatting>
  <conditionalFormatting sqref="N100">
    <cfRule type="expression" priority="1063" aboveAverage="0" equalAverage="0" bottom="0" percent="0" rank="0" text="" dxfId="1061">
      <formula>$A100=1</formula>
    </cfRule>
    <cfRule type="expression" priority="1064" aboveAverage="0" equalAverage="0" bottom="0" percent="0" rank="0" text="" dxfId="1062">
      <formula>$A100=2</formula>
    </cfRule>
    <cfRule type="expression" priority="1065" aboveAverage="0" equalAverage="0" bottom="0" percent="0" rank="0" text="" dxfId="1063">
      <formula>$A100=3</formula>
    </cfRule>
  </conditionalFormatting>
  <conditionalFormatting sqref="N355">
    <cfRule type="expression" priority="1066" aboveAverage="0" equalAverage="0" bottom="0" percent="0" rank="0" text="" dxfId="1064">
      <formula>$A355=1</formula>
    </cfRule>
    <cfRule type="expression" priority="1067" aboveAverage="0" equalAverage="0" bottom="0" percent="0" rank="0" text="" dxfId="1065">
      <formula>$A355=2</formula>
    </cfRule>
    <cfRule type="expression" priority="1068" aboveAverage="0" equalAverage="0" bottom="0" percent="0" rank="0" text="" dxfId="1066">
      <formula>$A355=3</formula>
    </cfRule>
  </conditionalFormatting>
  <conditionalFormatting sqref="N30">
    <cfRule type="expression" priority="1069" aboveAverage="0" equalAverage="0" bottom="0" percent="0" rank="0" text="" dxfId="1067">
      <formula>$A30=1</formula>
    </cfRule>
    <cfRule type="expression" priority="1070" aboveAverage="0" equalAverage="0" bottom="0" percent="0" rank="0" text="" dxfId="1068">
      <formula>$A30=2</formula>
    </cfRule>
    <cfRule type="expression" priority="1071" aboveAverage="0" equalAverage="0" bottom="0" percent="0" rank="0" text="" dxfId="1069">
      <formula>$A30=3</formula>
    </cfRule>
  </conditionalFormatting>
  <conditionalFormatting sqref="N37">
    <cfRule type="expression" priority="1072" aboveAverage="0" equalAverage="0" bottom="0" percent="0" rank="0" text="" dxfId="1070">
      <formula>$A37=1</formula>
    </cfRule>
    <cfRule type="expression" priority="1073" aboveAverage="0" equalAverage="0" bottom="0" percent="0" rank="0" text="" dxfId="1071">
      <formula>$A37=2</formula>
    </cfRule>
    <cfRule type="expression" priority="1074" aboveAverage="0" equalAverage="0" bottom="0" percent="0" rank="0" text="" dxfId="1072">
      <formula>$A37=3</formula>
    </cfRule>
  </conditionalFormatting>
  <conditionalFormatting sqref="N89">
    <cfRule type="expression" priority="1075" aboveAverage="0" equalAverage="0" bottom="0" percent="0" rank="0" text="" dxfId="1073">
      <formula>$A89=1</formula>
    </cfRule>
    <cfRule type="expression" priority="1076" aboveAverage="0" equalAverage="0" bottom="0" percent="0" rank="0" text="" dxfId="1074">
      <formula>$A89=2</formula>
    </cfRule>
    <cfRule type="expression" priority="1077" aboveAverage="0" equalAverage="0" bottom="0" percent="0" rank="0" text="" dxfId="1075">
      <formula>$A89=3</formula>
    </cfRule>
  </conditionalFormatting>
  <conditionalFormatting sqref="N96">
    <cfRule type="expression" priority="1078" aboveAverage="0" equalAverage="0" bottom="0" percent="0" rank="0" text="" dxfId="1076">
      <formula>$A96=1</formula>
    </cfRule>
    <cfRule type="expression" priority="1079" aboveAverage="0" equalAverage="0" bottom="0" percent="0" rank="0" text="" dxfId="1077">
      <formula>$A96=2</formula>
    </cfRule>
    <cfRule type="expression" priority="1080" aboveAverage="0" equalAverage="0" bottom="0" percent="0" rank="0" text="" dxfId="1078">
      <formula>$A96=3</formula>
    </cfRule>
  </conditionalFormatting>
  <conditionalFormatting sqref="N180">
    <cfRule type="expression" priority="1081" aboveAverage="0" equalAverage="0" bottom="0" percent="0" rank="0" text="" dxfId="1079">
      <formula>$A180=1</formula>
    </cfRule>
    <cfRule type="expression" priority="1082" aboveAverage="0" equalAverage="0" bottom="0" percent="0" rank="0" text="" dxfId="1080">
      <formula>$A180=2</formula>
    </cfRule>
    <cfRule type="expression" priority="1083" aboveAverage="0" equalAverage="0" bottom="0" percent="0" rank="0" text="" dxfId="1081">
      <formula>$A180=3</formula>
    </cfRule>
  </conditionalFormatting>
  <conditionalFormatting sqref="N204">
    <cfRule type="expression" priority="1084" aboveAverage="0" equalAverage="0" bottom="0" percent="0" rank="0" text="" dxfId="1082">
      <formula>#REF!=1</formula>
    </cfRule>
    <cfRule type="expression" priority="1085" aboveAverage="0" equalAverage="0" bottom="0" percent="0" rank="0" text="" dxfId="1083">
      <formula>#REF!=2</formula>
    </cfRule>
    <cfRule type="expression" priority="1086" aboveAverage="0" equalAverage="0" bottom="0" percent="0" rank="0" text="" dxfId="1084">
      <formula>#REF!=3</formula>
    </cfRule>
  </conditionalFormatting>
  <conditionalFormatting sqref="N216">
    <cfRule type="expression" priority="1087" aboveAverage="0" equalAverage="0" bottom="0" percent="0" rank="0" text="" dxfId="1085">
      <formula>#REF!=1</formula>
    </cfRule>
    <cfRule type="expression" priority="1088" aboveAverage="0" equalAverage="0" bottom="0" percent="0" rank="0" text="" dxfId="1086">
      <formula>#REF!=2</formula>
    </cfRule>
    <cfRule type="expression" priority="1089" aboveAverage="0" equalAverage="0" bottom="0" percent="0" rank="0" text="" dxfId="1087">
      <formula>#REF!=3</formula>
    </cfRule>
  </conditionalFormatting>
  <conditionalFormatting sqref="N222">
    <cfRule type="expression" priority="1090" aboveAverage="0" equalAverage="0" bottom="0" percent="0" rank="0" text="" dxfId="1088">
      <formula>#REF!=1</formula>
    </cfRule>
    <cfRule type="expression" priority="1091" aboveAverage="0" equalAverage="0" bottom="0" percent="0" rank="0" text="" dxfId="1089">
      <formula>#REF!=2</formula>
    </cfRule>
    <cfRule type="expression" priority="1092" aboveAverage="0" equalAverage="0" bottom="0" percent="0" rank="0" text="" dxfId="1090">
      <formula>#REF!=3</formula>
    </cfRule>
  </conditionalFormatting>
  <conditionalFormatting sqref="N264">
    <cfRule type="expression" priority="1093" aboveAverage="0" equalAverage="0" bottom="0" percent="0" rank="0" text="" dxfId="1091">
      <formula>#REF!=1</formula>
    </cfRule>
    <cfRule type="expression" priority="1094" aboveAverage="0" equalAverage="0" bottom="0" percent="0" rank="0" text="" dxfId="1092">
      <formula>#REF!=2</formula>
    </cfRule>
    <cfRule type="expression" priority="1095" aboveAverage="0" equalAverage="0" bottom="0" percent="0" rank="0" text="" dxfId="1093">
      <formula>#REF!=3</formula>
    </cfRule>
  </conditionalFormatting>
  <conditionalFormatting sqref="N26">
    <cfRule type="expression" priority="1096" aboveAverage="0" equalAverage="0" bottom="0" percent="0" rank="0" text="" dxfId="1094">
      <formula>$A26=1</formula>
    </cfRule>
    <cfRule type="expression" priority="1097" aboveAverage="0" equalAverage="0" bottom="0" percent="0" rank="0" text="" dxfId="1095">
      <formula>$A26=2</formula>
    </cfRule>
    <cfRule type="expression" priority="1098" aboveAverage="0" equalAverage="0" bottom="0" percent="0" rank="0" text="" dxfId="1096">
      <formula>$A26=3</formula>
    </cfRule>
  </conditionalFormatting>
  <conditionalFormatting sqref="N186">
    <cfRule type="expression" priority="1099" aboveAverage="0" equalAverage="0" bottom="0" percent="0" rank="0" text="" dxfId="1097">
      <formula>$A186=1</formula>
    </cfRule>
    <cfRule type="expression" priority="1100" aboveAverage="0" equalAverage="0" bottom="0" percent="0" rank="0" text="" dxfId="1098">
      <formula>$A186=2</formula>
    </cfRule>
    <cfRule type="expression" priority="1101" aboveAverage="0" equalAverage="0" bottom="0" percent="0" rank="0" text="" dxfId="1099">
      <formula>$A186=3</formula>
    </cfRule>
  </conditionalFormatting>
  <conditionalFormatting sqref="N188">
    <cfRule type="expression" priority="1102" aboveAverage="0" equalAverage="0" bottom="0" percent="0" rank="0" text="" dxfId="1100">
      <formula>$A188=1</formula>
    </cfRule>
    <cfRule type="expression" priority="1103" aboveAverage="0" equalAverage="0" bottom="0" percent="0" rank="0" text="" dxfId="1101">
      <formula>$A188=2</formula>
    </cfRule>
    <cfRule type="expression" priority="1104" aboveAverage="0" equalAverage="0" bottom="0" percent="0" rank="0" text="" dxfId="1102">
      <formula>$A188=3</formula>
    </cfRule>
  </conditionalFormatting>
  <conditionalFormatting sqref="N362">
    <cfRule type="expression" priority="1105" aboveAverage="0" equalAverage="0" bottom="0" percent="0" rank="0" text="" dxfId="1103">
      <formula>$A362=1</formula>
    </cfRule>
    <cfRule type="expression" priority="1106" aboveAverage="0" equalAverage="0" bottom="0" percent="0" rank="0" text="" dxfId="1104">
      <formula>$A362=2</formula>
    </cfRule>
    <cfRule type="expression" priority="1107" aboveAverage="0" equalAverage="0" bottom="0" percent="0" rank="0" text="" dxfId="1105">
      <formula>$A362=3</formula>
    </cfRule>
  </conditionalFormatting>
  <conditionalFormatting sqref="N24">
    <cfRule type="expression" priority="1108" aboveAverage="0" equalAverage="0" bottom="0" percent="0" rank="0" text="" dxfId="1106">
      <formula>$A24=1</formula>
    </cfRule>
    <cfRule type="expression" priority="1109" aboveAverage="0" equalAverage="0" bottom="0" percent="0" rank="0" text="" dxfId="1107">
      <formula>$A24=2</formula>
    </cfRule>
    <cfRule type="expression" priority="1110" aboveAverage="0" equalAverage="0" bottom="0" percent="0" rank="0" text="" dxfId="1108">
      <formula>$A24=3</formula>
    </cfRule>
  </conditionalFormatting>
  <conditionalFormatting sqref="N84">
    <cfRule type="expression" priority="1111" aboveAverage="0" equalAverage="0" bottom="0" percent="0" rank="0" text="" dxfId="1109">
      <formula>$A84=1</formula>
    </cfRule>
    <cfRule type="expression" priority="1112" aboveAverage="0" equalAverage="0" bottom="0" percent="0" rank="0" text="" dxfId="1110">
      <formula>$A84=2</formula>
    </cfRule>
    <cfRule type="expression" priority="1113" aboveAverage="0" equalAverage="0" bottom="0" percent="0" rank="0" text="" dxfId="1111">
      <formula>$A84=3</formula>
    </cfRule>
  </conditionalFormatting>
  <conditionalFormatting sqref="N85">
    <cfRule type="expression" priority="1114" aboveAverage="0" equalAverage="0" bottom="0" percent="0" rank="0" text="" dxfId="1112">
      <formula>$A85=1</formula>
    </cfRule>
    <cfRule type="expression" priority="1115" aboveAverage="0" equalAverage="0" bottom="0" percent="0" rank="0" text="" dxfId="1113">
      <formula>$A85=2</formula>
    </cfRule>
    <cfRule type="expression" priority="1116" aboveAverage="0" equalAverage="0" bottom="0" percent="0" rank="0" text="" dxfId="1114">
      <formula>$A85=3</formula>
    </cfRule>
  </conditionalFormatting>
  <conditionalFormatting sqref="N105 N107 N111 N117">
    <cfRule type="expression" priority="1117" aboveAverage="0" equalAverage="0" bottom="0" percent="0" rank="0" text="" dxfId="1115">
      <formula>$A105=1</formula>
    </cfRule>
    <cfRule type="expression" priority="1118" aboveAverage="0" equalAverage="0" bottom="0" percent="0" rank="0" text="" dxfId="1116">
      <formula>$A105=2</formula>
    </cfRule>
    <cfRule type="expression" priority="1119" aboveAverage="0" equalAverage="0" bottom="0" percent="0" rank="0" text="" dxfId="1117">
      <formula>$A105=3</formula>
    </cfRule>
  </conditionalFormatting>
  <conditionalFormatting sqref="N127">
    <cfRule type="expression" priority="1120" aboveAverage="0" equalAverage="0" bottom="0" percent="0" rank="0" text="" dxfId="1118">
      <formula>$A127=1</formula>
    </cfRule>
    <cfRule type="expression" priority="1121" aboveAverage="0" equalAverage="0" bottom="0" percent="0" rank="0" text="" dxfId="1119">
      <formula>$A127=2</formula>
    </cfRule>
    <cfRule type="expression" priority="1122" aboveAverage="0" equalAverage="0" bottom="0" percent="0" rank="0" text="" dxfId="1120">
      <formula>$A127=3</formula>
    </cfRule>
  </conditionalFormatting>
  <conditionalFormatting sqref="N184">
    <cfRule type="expression" priority="1123" aboveAverage="0" equalAverage="0" bottom="0" percent="0" rank="0" text="" dxfId="1121">
      <formula>$A361=1</formula>
    </cfRule>
    <cfRule type="expression" priority="1124" aboveAverage="0" equalAverage="0" bottom="0" percent="0" rank="0" text="" dxfId="1122">
      <formula>$A361=2</formula>
    </cfRule>
    <cfRule type="expression" priority="1125" aboveAverage="0" equalAverage="0" bottom="0" percent="0" rank="0" text="" dxfId="1123">
      <formula>$A361=3</formula>
    </cfRule>
  </conditionalFormatting>
  <conditionalFormatting sqref="N263">
    <cfRule type="expression" priority="1126" aboveAverage="0" equalAverage="0" bottom="0" percent="0" rank="0" text="" dxfId="1124">
      <formula>$A278=1</formula>
    </cfRule>
    <cfRule type="expression" priority="1127" aboveAverage="0" equalAverage="0" bottom="0" percent="0" rank="0" text="" dxfId="1125">
      <formula>$A278=2</formula>
    </cfRule>
    <cfRule type="expression" priority="1128" aboveAverage="0" equalAverage="0" bottom="0" percent="0" rank="0" text="" dxfId="1126">
      <formula>$A278=3</formula>
    </cfRule>
  </conditionalFormatting>
  <conditionalFormatting sqref="R52 R39">
    <cfRule type="expression" priority="1129" aboveAverage="0" equalAverage="0" bottom="0" percent="0" rank="0" text="" dxfId="1127">
      <formula>#REF!=1</formula>
    </cfRule>
    <cfRule type="expression" priority="1130" aboveAverage="0" equalAverage="0" bottom="0" percent="0" rank="0" text="" dxfId="1128">
      <formula>#REF!=2</formula>
    </cfRule>
    <cfRule type="expression" priority="1131" aboveAverage="0" equalAverage="0" bottom="0" percent="0" rank="0" text="" dxfId="1129">
      <formula>#REF!=3</formula>
    </cfRule>
  </conditionalFormatting>
  <conditionalFormatting sqref="R27">
    <cfRule type="expression" priority="1132" aboveAverage="0" equalAverage="0" bottom="0" percent="0" rank="0" text="" dxfId="1130">
      <formula>#REF!=1</formula>
    </cfRule>
    <cfRule type="expression" priority="1133" aboveAverage="0" equalAverage="0" bottom="0" percent="0" rank="0" text="" dxfId="1131">
      <formula>#REF!=2</formula>
    </cfRule>
    <cfRule type="expression" priority="1134" aboveAverage="0" equalAverage="0" bottom="0" percent="0" rank="0" text="" dxfId="1132">
      <formula>#REF!=3</formula>
    </cfRule>
  </conditionalFormatting>
  <conditionalFormatting sqref="R71">
    <cfRule type="expression" priority="1135" aboveAverage="0" equalAverage="0" bottom="0" percent="0" rank="0" text="" dxfId="1133">
      <formula>#REF!=1</formula>
    </cfRule>
    <cfRule type="expression" priority="1136" aboveAverage="0" equalAverage="0" bottom="0" percent="0" rank="0" text="" dxfId="1134">
      <formula>#REF!=2</formula>
    </cfRule>
    <cfRule type="expression" priority="1137" aboveAverage="0" equalAverage="0" bottom="0" percent="0" rank="0" text="" dxfId="1135">
      <formula>#REF!=3</formula>
    </cfRule>
  </conditionalFormatting>
  <conditionalFormatting sqref="R136">
    <cfRule type="expression" priority="1138" aboveAverage="0" equalAverage="0" bottom="0" percent="0" rank="0" text="" dxfId="1136">
      <formula>#REF!=1</formula>
    </cfRule>
    <cfRule type="expression" priority="1139" aboveAverage="0" equalAverage="0" bottom="0" percent="0" rank="0" text="" dxfId="1137">
      <formula>#REF!=2</formula>
    </cfRule>
    <cfRule type="expression" priority="1140" aboveAverage="0" equalAverage="0" bottom="0" percent="0" rank="0" text="" dxfId="1138">
      <formula>#REF!=3</formula>
    </cfRule>
  </conditionalFormatting>
  <conditionalFormatting sqref="R173">
    <cfRule type="expression" priority="1141" aboveAverage="0" equalAverage="0" bottom="0" percent="0" rank="0" text="" dxfId="1139">
      <formula>#REF!=1</formula>
    </cfRule>
    <cfRule type="expression" priority="1142" aboveAverage="0" equalAverage="0" bottom="0" percent="0" rank="0" text="" dxfId="1140">
      <formula>#REF!=2</formula>
    </cfRule>
    <cfRule type="expression" priority="1143" aboveAverage="0" equalAverage="0" bottom="0" percent="0" rank="0" text="" dxfId="1141">
      <formula>#REF!=3</formula>
    </cfRule>
  </conditionalFormatting>
  <conditionalFormatting sqref="R231">
    <cfRule type="expression" priority="1144" aboveAverage="0" equalAverage="0" bottom="0" percent="0" rank="0" text="" dxfId="1142">
      <formula>#REF!=1</formula>
    </cfRule>
    <cfRule type="expression" priority="1145" aboveAverage="0" equalAverage="0" bottom="0" percent="0" rank="0" text="" dxfId="1143">
      <formula>#REF!=2</formula>
    </cfRule>
    <cfRule type="expression" priority="1146" aboveAverage="0" equalAverage="0" bottom="0" percent="0" rank="0" text="" dxfId="1144">
      <formula>#REF!=3</formula>
    </cfRule>
  </conditionalFormatting>
  <conditionalFormatting sqref="R249">
    <cfRule type="expression" priority="1147" aboveAverage="0" equalAverage="0" bottom="0" percent="0" rank="0" text="" dxfId="1145">
      <formula>#REF!=1</formula>
    </cfRule>
    <cfRule type="expression" priority="1148" aboveAverage="0" equalAverage="0" bottom="0" percent="0" rank="0" text="" dxfId="1146">
      <formula>#REF!=2</formula>
    </cfRule>
    <cfRule type="expression" priority="1149" aboveAverage="0" equalAverage="0" bottom="0" percent="0" rank="0" text="" dxfId="1147">
      <formula>#REF!=3</formula>
    </cfRule>
  </conditionalFormatting>
  <conditionalFormatting sqref="R251">
    <cfRule type="expression" priority="1150" aboveAverage="0" equalAverage="0" bottom="0" percent="0" rank="0" text="" dxfId="1148">
      <formula>#REF!=1</formula>
    </cfRule>
    <cfRule type="expression" priority="1151" aboveAverage="0" equalAverage="0" bottom="0" percent="0" rank="0" text="" dxfId="1149">
      <formula>#REF!=2</formula>
    </cfRule>
    <cfRule type="expression" priority="1152" aboveAverage="0" equalAverage="0" bottom="0" percent="0" rank="0" text="" dxfId="1150">
      <formula>#REF!=3</formula>
    </cfRule>
  </conditionalFormatting>
  <conditionalFormatting sqref="R259">
    <cfRule type="expression" priority="1153" aboveAverage="0" equalAverage="0" bottom="0" percent="0" rank="0" text="" dxfId="1151">
      <formula>#REF!=1</formula>
    </cfRule>
    <cfRule type="expression" priority="1154" aboveAverage="0" equalAverage="0" bottom="0" percent="0" rank="0" text="" dxfId="1152">
      <formula>#REF!=2</formula>
    </cfRule>
    <cfRule type="expression" priority="1155" aboveAverage="0" equalAverage="0" bottom="0" percent="0" rank="0" text="" dxfId="1153">
      <formula>#REF!=3</formula>
    </cfRule>
  </conditionalFormatting>
  <conditionalFormatting sqref="R246">
    <cfRule type="expression" priority="1156" aboveAverage="0" equalAverage="0" bottom="0" percent="0" rank="0" text="" dxfId="1154">
      <formula>#REF!=1</formula>
    </cfRule>
    <cfRule type="expression" priority="1157" aboveAverage="0" equalAverage="0" bottom="0" percent="0" rank="0" text="" dxfId="1155">
      <formula>#REF!=2</formula>
    </cfRule>
    <cfRule type="expression" priority="1158" aboveAverage="0" equalAverage="0" bottom="0" percent="0" rank="0" text="" dxfId="1156">
      <formula>#REF!=3</formula>
    </cfRule>
  </conditionalFormatting>
  <conditionalFormatting sqref="R309">
    <cfRule type="expression" priority="1159" aboveAverage="0" equalAverage="0" bottom="0" percent="0" rank="0" text="" dxfId="1157">
      <formula>#REF!=1</formula>
    </cfRule>
    <cfRule type="expression" priority="1160" aboveAverage="0" equalAverage="0" bottom="0" percent="0" rank="0" text="" dxfId="1158">
      <formula>#REF!=2</formula>
    </cfRule>
    <cfRule type="expression" priority="1161" aboveAverage="0" equalAverage="0" bottom="0" percent="0" rank="0" text="" dxfId="1159">
      <formula>#REF!=3</formula>
    </cfRule>
  </conditionalFormatting>
  <conditionalFormatting sqref="R68">
    <cfRule type="expression" priority="1162" aboveAverage="0" equalAverage="0" bottom="0" percent="0" rank="0" text="" dxfId="1160">
      <formula>#REF!=1</formula>
    </cfRule>
    <cfRule type="expression" priority="1163" aboveAverage="0" equalAverage="0" bottom="0" percent="0" rank="0" text="" dxfId="1161">
      <formula>#REF!=2</formula>
    </cfRule>
    <cfRule type="expression" priority="1164" aboveAverage="0" equalAverage="0" bottom="0" percent="0" rank="0" text="" dxfId="1162">
      <formula>#REF!=3</formula>
    </cfRule>
  </conditionalFormatting>
  <conditionalFormatting sqref="R317">
    <cfRule type="expression" priority="1165" aboveAverage="0" equalAverage="0" bottom="0" percent="0" rank="0" text="" dxfId="1163">
      <formula>#REF!=1</formula>
    </cfRule>
    <cfRule type="expression" priority="1166" aboveAverage="0" equalAverage="0" bottom="0" percent="0" rank="0" text="" dxfId="1164">
      <formula>#REF!=2</formula>
    </cfRule>
    <cfRule type="expression" priority="1167" aboveAverage="0" equalAverage="0" bottom="0" percent="0" rank="0" text="" dxfId="1165">
      <formula>#REF!=3</formula>
    </cfRule>
  </conditionalFormatting>
  <conditionalFormatting sqref="R110">
    <cfRule type="expression" priority="1168" aboveAverage="0" equalAverage="0" bottom="0" percent="0" rank="0" text="" dxfId="1166">
      <formula>#REF!=1</formula>
    </cfRule>
    <cfRule type="expression" priority="1169" aboveAverage="0" equalAverage="0" bottom="0" percent="0" rank="0" text="" dxfId="1167">
      <formula>#REF!=2</formula>
    </cfRule>
    <cfRule type="expression" priority="1170" aboveAverage="0" equalAverage="0" bottom="0" percent="0" rank="0" text="" dxfId="1168">
      <formula>#REF!=3</formula>
    </cfRule>
  </conditionalFormatting>
  <conditionalFormatting sqref="R148">
    <cfRule type="expression" priority="1171" aboveAverage="0" equalAverage="0" bottom="0" percent="0" rank="0" text="" dxfId="1169">
      <formula>#REF!=1</formula>
    </cfRule>
    <cfRule type="expression" priority="1172" aboveAverage="0" equalAverage="0" bottom="0" percent="0" rank="0" text="" dxfId="1170">
      <formula>#REF!=2</formula>
    </cfRule>
    <cfRule type="expression" priority="1173" aboveAverage="0" equalAverage="0" bottom="0" percent="0" rank="0" text="" dxfId="1171">
      <formula>#REF!=3</formula>
    </cfRule>
  </conditionalFormatting>
  <conditionalFormatting sqref="R236">
    <cfRule type="expression" priority="1174" aboveAverage="0" equalAverage="0" bottom="0" percent="0" rank="0" text="" dxfId="1172">
      <formula>#REF!=1</formula>
    </cfRule>
    <cfRule type="expression" priority="1175" aboveAverage="0" equalAverage="0" bottom="0" percent="0" rank="0" text="" dxfId="1173">
      <formula>#REF!=2</formula>
    </cfRule>
    <cfRule type="expression" priority="1176" aboveAverage="0" equalAverage="0" bottom="0" percent="0" rank="0" text="" dxfId="1174">
      <formula>#REF!=3</formula>
    </cfRule>
  </conditionalFormatting>
  <conditionalFormatting sqref="R267">
    <cfRule type="expression" priority="1177" aboveAverage="0" equalAverage="0" bottom="0" percent="0" rank="0" text="" dxfId="1175">
      <formula>#REF!=1</formula>
    </cfRule>
    <cfRule type="expression" priority="1178" aboveAverage="0" equalAverage="0" bottom="0" percent="0" rank="0" text="" dxfId="1176">
      <formula>#REF!=2</formula>
    </cfRule>
    <cfRule type="expression" priority="1179" aboveAverage="0" equalAverage="0" bottom="0" percent="0" rank="0" text="" dxfId="1177">
      <formula>#REF!=3</formula>
    </cfRule>
  </conditionalFormatting>
  <conditionalFormatting sqref="R281">
    <cfRule type="expression" priority="1180" aboveAverage="0" equalAverage="0" bottom="0" percent="0" rank="0" text="" dxfId="1178">
      <formula>#REF!=1</formula>
    </cfRule>
    <cfRule type="expression" priority="1181" aboveAverage="0" equalAverage="0" bottom="0" percent="0" rank="0" text="" dxfId="1179">
      <formula>#REF!=2</formula>
    </cfRule>
    <cfRule type="expression" priority="1182" aboveAverage="0" equalAverage="0" bottom="0" percent="0" rank="0" text="" dxfId="1180">
      <formula>#REF!=3</formula>
    </cfRule>
  </conditionalFormatting>
  <conditionalFormatting sqref="N88">
    <cfRule type="expression" priority="1183" aboveAverage="0" equalAverage="0" bottom="0" percent="0" rank="0" text="" dxfId="1181">
      <formula>$A88=1</formula>
    </cfRule>
    <cfRule type="expression" priority="1184" aboveAverage="0" equalAverage="0" bottom="0" percent="0" rank="0" text="" dxfId="1182">
      <formula>$A88=2</formula>
    </cfRule>
    <cfRule type="expression" priority="1185" aboveAverage="0" equalAverage="0" bottom="0" percent="0" rank="0" text="" dxfId="1183">
      <formula>$A88=3</formula>
    </cfRule>
  </conditionalFormatting>
  <conditionalFormatting sqref="N150">
    <cfRule type="expression" priority="1186" aboveAverage="0" equalAverage="0" bottom="0" percent="0" rank="0" text="" dxfId="1184">
      <formula>$A150=1</formula>
    </cfRule>
    <cfRule type="expression" priority="1187" aboveAverage="0" equalAverage="0" bottom="0" percent="0" rank="0" text="" dxfId="1185">
      <formula>$A150=2</formula>
    </cfRule>
    <cfRule type="expression" priority="1188" aboveAverage="0" equalAverage="0" bottom="0" percent="0" rank="0" text="" dxfId="1186">
      <formula>$A150=3</formula>
    </cfRule>
  </conditionalFormatting>
  <conditionalFormatting sqref="N192">
    <cfRule type="expression" priority="1189" aboveAverage="0" equalAverage="0" bottom="0" percent="0" rank="0" text="" dxfId="1187">
      <formula>$A192=1</formula>
    </cfRule>
    <cfRule type="expression" priority="1190" aboveAverage="0" equalAverage="0" bottom="0" percent="0" rank="0" text="" dxfId="1188">
      <formula>$A192=2</formula>
    </cfRule>
    <cfRule type="expression" priority="1191" aboveAverage="0" equalAverage="0" bottom="0" percent="0" rank="0" text="" dxfId="1189">
      <formula>$A192=3</formula>
    </cfRule>
  </conditionalFormatting>
  <conditionalFormatting sqref="N221">
    <cfRule type="expression" priority="1192" aboveAverage="0" equalAverage="0" bottom="0" percent="0" rank="0" text="" dxfId="1190">
      <formula>$A221=1</formula>
    </cfRule>
    <cfRule type="expression" priority="1193" aboveAverage="0" equalAverage="0" bottom="0" percent="0" rank="0" text="" dxfId="1191">
      <formula>$A221=2</formula>
    </cfRule>
    <cfRule type="expression" priority="1194" aboveAverage="0" equalAverage="0" bottom="0" percent="0" rank="0" text="" dxfId="1192">
      <formula>$A221=3</formula>
    </cfRule>
  </conditionalFormatting>
  <conditionalFormatting sqref="N261">
    <cfRule type="expression" priority="1195" aboveAverage="0" equalAverage="0" bottom="0" percent="0" rank="0" text="" dxfId="1193">
      <formula>$A261=1</formula>
    </cfRule>
    <cfRule type="expression" priority="1196" aboveAverage="0" equalAverage="0" bottom="0" percent="0" rank="0" text="" dxfId="1194">
      <formula>$A261=2</formula>
    </cfRule>
    <cfRule type="expression" priority="1197" aboveAverage="0" equalAverage="0" bottom="0" percent="0" rank="0" text="" dxfId="1195">
      <formula>$A261=3</formula>
    </cfRule>
  </conditionalFormatting>
  <conditionalFormatting sqref="N240">
    <cfRule type="expression" priority="1198" aboveAverage="0" equalAverage="0" bottom="0" percent="0" rank="0" text="" dxfId="1196">
      <formula>$A240=1</formula>
    </cfRule>
    <cfRule type="expression" priority="1199" aboveAverage="0" equalAverage="0" bottom="0" percent="0" rank="0" text="" dxfId="1197">
      <formula>$A240=2</formula>
    </cfRule>
    <cfRule type="expression" priority="1200" aboveAverage="0" equalAverage="0" bottom="0" percent="0" rank="0" text="" dxfId="1198">
      <formula>$A240=3</formula>
    </cfRule>
  </conditionalFormatting>
  <conditionalFormatting sqref="N240">
    <cfRule type="expression" priority="1201" aboveAverage="0" equalAverage="0" bottom="0" percent="0" rank="0" text="" dxfId="1199">
      <formula>$A195=1</formula>
    </cfRule>
    <cfRule type="expression" priority="1202" aboveAverage="0" equalAverage="0" bottom="0" percent="0" rank="0" text="" dxfId="1200">
      <formula>$A195=2</formula>
    </cfRule>
    <cfRule type="expression" priority="1203" aboveAverage="0" equalAverage="0" bottom="0" percent="0" rank="0" text="" dxfId="1201">
      <formula>$A195=3</formula>
    </cfRule>
  </conditionalFormatting>
  <conditionalFormatting sqref="P240">
    <cfRule type="expression" priority="1204" aboveAverage="0" equalAverage="0" bottom="0" percent="0" rank="0" text="" dxfId="1202">
      <formula>#REF!=1</formula>
    </cfRule>
    <cfRule type="expression" priority="1205" aboveAverage="0" equalAverage="0" bottom="0" percent="0" rank="0" text="" dxfId="1203">
      <formula>#REF!=2</formula>
    </cfRule>
    <cfRule type="expression" priority="1206" aboveAverage="0" equalAverage="0" bottom="0" percent="0" rank="0" text="" dxfId="1204">
      <formula>#REF!=3</formula>
    </cfRule>
  </conditionalFormatting>
  <conditionalFormatting sqref="P319">
    <cfRule type="expression" priority="1207" aboveAverage="0" equalAverage="0" bottom="0" percent="0" rank="0" text="" dxfId="1205">
      <formula>#REF!=1</formula>
    </cfRule>
    <cfRule type="expression" priority="1208" aboveAverage="0" equalAverage="0" bottom="0" percent="0" rank="0" text="" dxfId="1206">
      <formula>#REF!=2</formula>
    </cfRule>
    <cfRule type="expression" priority="1209" aboveAverage="0" equalAverage="0" bottom="0" percent="0" rank="0" text="" dxfId="1207">
      <formula>#REF!=3</formula>
    </cfRule>
  </conditionalFormatting>
  <conditionalFormatting sqref="N141">
    <cfRule type="expression" priority="1210" aboveAverage="0" equalAverage="0" bottom="0" percent="0" rank="0" text="" dxfId="1208">
      <formula>$A141=1</formula>
    </cfRule>
    <cfRule type="expression" priority="1211" aboveAverage="0" equalAverage="0" bottom="0" percent="0" rank="0" text="" dxfId="1209">
      <formula>$A141=2</formula>
    </cfRule>
    <cfRule type="expression" priority="1212" aboveAverage="0" equalAverage="0" bottom="0" percent="0" rank="0" text="" dxfId="1210">
      <formula>$A141=3</formula>
    </cfRule>
  </conditionalFormatting>
  <conditionalFormatting sqref="N202">
    <cfRule type="expression" priority="1213" aboveAverage="0" equalAverage="0" bottom="0" percent="0" rank="0" text="" dxfId="1211">
      <formula>$A202=1</formula>
    </cfRule>
    <cfRule type="expression" priority="1214" aboveAverage="0" equalAverage="0" bottom="0" percent="0" rank="0" text="" dxfId="1212">
      <formula>$A202=2</formula>
    </cfRule>
    <cfRule type="expression" priority="1215" aboveAverage="0" equalAverage="0" bottom="0" percent="0" rank="0" text="" dxfId="1213">
      <formula>$A202=3</formula>
    </cfRule>
  </conditionalFormatting>
  <conditionalFormatting sqref="N217">
    <cfRule type="expression" priority="1216" aboveAverage="0" equalAverage="0" bottom="0" percent="0" rank="0" text="" dxfId="1214">
      <formula>$A217=1</formula>
    </cfRule>
    <cfRule type="expression" priority="1217" aboveAverage="0" equalAverage="0" bottom="0" percent="0" rank="0" text="" dxfId="1215">
      <formula>$A217=2</formula>
    </cfRule>
    <cfRule type="expression" priority="1218" aboveAverage="0" equalAverage="0" bottom="0" percent="0" rank="0" text="" dxfId="1216">
      <formula>$A217=3</formula>
    </cfRule>
  </conditionalFormatting>
  <conditionalFormatting sqref="N270">
    <cfRule type="expression" priority="1219" aboveAverage="0" equalAverage="0" bottom="0" percent="0" rank="0" text="" dxfId="1217">
      <formula>$A270=1</formula>
    </cfRule>
    <cfRule type="expression" priority="1220" aboveAverage="0" equalAverage="0" bottom="0" percent="0" rank="0" text="" dxfId="1218">
      <formula>$A270=2</formula>
    </cfRule>
    <cfRule type="expression" priority="1221" aboveAverage="0" equalAverage="0" bottom="0" percent="0" rank="0" text="" dxfId="1219">
      <formula>$A270=3</formula>
    </cfRule>
  </conditionalFormatting>
  <conditionalFormatting sqref="N279">
    <cfRule type="expression" priority="1222" aboveAverage="0" equalAverage="0" bottom="0" percent="0" rank="0" text="" dxfId="1220">
      <formula>$A279=1</formula>
    </cfRule>
    <cfRule type="expression" priority="1223" aboveAverage="0" equalAverage="0" bottom="0" percent="0" rank="0" text="" dxfId="1221">
      <formula>$A279=2</formula>
    </cfRule>
    <cfRule type="expression" priority="1224" aboveAverage="0" equalAverage="0" bottom="0" percent="0" rank="0" text="" dxfId="1222">
      <formula>$A279=3</formula>
    </cfRule>
  </conditionalFormatting>
  <conditionalFormatting sqref="N282">
    <cfRule type="expression" priority="1225" aboveAverage="0" equalAverage="0" bottom="0" percent="0" rank="0" text="" dxfId="1223">
      <formula>$A282=1</formula>
    </cfRule>
    <cfRule type="expression" priority="1226" aboveAverage="0" equalAverage="0" bottom="0" percent="0" rank="0" text="" dxfId="1224">
      <formula>$A282=2</formula>
    </cfRule>
    <cfRule type="expression" priority="1227" aboveAverage="0" equalAverage="0" bottom="0" percent="0" rank="0" text="" dxfId="1225">
      <formula>$A282=3</formula>
    </cfRule>
  </conditionalFormatting>
  <conditionalFormatting sqref="N290">
    <cfRule type="expression" priority="1228" aboveAverage="0" equalAverage="0" bottom="0" percent="0" rank="0" text="" dxfId="1226">
      <formula>$A290=1</formula>
    </cfRule>
    <cfRule type="expression" priority="1229" aboveAverage="0" equalAverage="0" bottom="0" percent="0" rank="0" text="" dxfId="1227">
      <formula>$A290=2</formula>
    </cfRule>
    <cfRule type="expression" priority="1230" aboveAverage="0" equalAverage="0" bottom="0" percent="0" rank="0" text="" dxfId="1228">
      <formula>$A290=3</formula>
    </cfRule>
  </conditionalFormatting>
  <conditionalFormatting sqref="N342">
    <cfRule type="expression" priority="1231" aboveAverage="0" equalAverage="0" bottom="0" percent="0" rank="0" text="" dxfId="1229">
      <formula>$A342=1</formula>
    </cfRule>
    <cfRule type="expression" priority="1232" aboveAverage="0" equalAverage="0" bottom="0" percent="0" rank="0" text="" dxfId="1230">
      <formula>$A342=2</formula>
    </cfRule>
    <cfRule type="expression" priority="1233" aboveAverage="0" equalAverage="0" bottom="0" percent="0" rank="0" text="" dxfId="1231">
      <formula>$A342=3</formula>
    </cfRule>
  </conditionalFormatting>
  <conditionalFormatting sqref="N345">
    <cfRule type="expression" priority="1234" aboveAverage="0" equalAverage="0" bottom="0" percent="0" rank="0" text="" dxfId="1232">
      <formula>$A345=1</formula>
    </cfRule>
    <cfRule type="expression" priority="1235" aboveAverage="0" equalAverage="0" bottom="0" percent="0" rank="0" text="" dxfId="1233">
      <formula>$A345=2</formula>
    </cfRule>
    <cfRule type="expression" priority="1236" aboveAverage="0" equalAverage="0" bottom="0" percent="0" rank="0" text="" dxfId="1234">
      <formula>$A345=3</formula>
    </cfRule>
  </conditionalFormatting>
  <conditionalFormatting sqref="N353">
    <cfRule type="expression" priority="1237" aboveAverage="0" equalAverage="0" bottom="0" percent="0" rank="0" text="" dxfId="1235">
      <formula>$A353=1</formula>
    </cfRule>
    <cfRule type="expression" priority="1238" aboveAverage="0" equalAverage="0" bottom="0" percent="0" rank="0" text="" dxfId="1236">
      <formula>$A353=2</formula>
    </cfRule>
    <cfRule type="expression" priority="1239" aboveAverage="0" equalAverage="0" bottom="0" percent="0" rank="0" text="" dxfId="1237">
      <formula>$A353=3</formula>
    </cfRule>
  </conditionalFormatting>
  <conditionalFormatting sqref="R268">
    <cfRule type="expression" priority="1240" aboveAverage="0" equalAverage="0" bottom="0" percent="0" rank="0" text="" dxfId="1238">
      <formula>#REF!=1</formula>
    </cfRule>
    <cfRule type="expression" priority="1241" aboveAverage="0" equalAverage="0" bottom="0" percent="0" rank="0" text="" dxfId="1239">
      <formula>#REF!=2</formula>
    </cfRule>
    <cfRule type="expression" priority="1242" aboveAverage="0" equalAverage="0" bottom="0" percent="0" rank="0" text="" dxfId="1240">
      <formula>#REF!=3</formula>
    </cfRule>
  </conditionalFormatting>
  <conditionalFormatting sqref="N366">
    <cfRule type="expression" priority="1243" aboveAverage="0" equalAverage="0" bottom="0" percent="0" rank="0" text="" dxfId="1241">
      <formula>$A366=1</formula>
    </cfRule>
    <cfRule type="expression" priority="1244" aboveAverage="0" equalAverage="0" bottom="0" percent="0" rank="0" text="" dxfId="1242">
      <formula>$A366=2</formula>
    </cfRule>
    <cfRule type="expression" priority="1245" aboveAverage="0" equalAverage="0" bottom="0" percent="0" rank="0" text="" dxfId="1243">
      <formula>$A366=3</formula>
    </cfRule>
  </conditionalFormatting>
  <conditionalFormatting sqref="M131">
    <cfRule type="expression" priority="1246" aboveAverage="0" equalAverage="0" bottom="0" percent="0" rank="0" text="" dxfId="1244">
      <formula>#REF!=1</formula>
    </cfRule>
    <cfRule type="expression" priority="1247" aboveAverage="0" equalAverage="0" bottom="0" percent="0" rank="0" text="" dxfId="1245">
      <formula>#REF!=2</formula>
    </cfRule>
    <cfRule type="expression" priority="1248" aboveAverage="0" equalAverage="0" bottom="0" percent="0" rank="0" text="" dxfId="1246">
      <formula>#REF!=3</formula>
    </cfRule>
  </conditionalFormatting>
  <conditionalFormatting sqref="K364">
    <cfRule type="expression" priority="1249" aboveAverage="0" equalAverage="0" bottom="0" percent="0" rank="0" text="" dxfId="1247">
      <formula>#REF!=1</formula>
    </cfRule>
    <cfRule type="expression" priority="1250" aboveAverage="0" equalAverage="0" bottom="0" percent="0" rank="0" text="" dxfId="1248">
      <formula>#REF!=2</formula>
    </cfRule>
    <cfRule type="expression" priority="1251" aboveAverage="0" equalAverage="0" bottom="0" percent="0" rank="0" text="" dxfId="1249">
      <formula>#REF!=3</formula>
    </cfRule>
  </conditionalFormatting>
  <conditionalFormatting sqref="M364">
    <cfRule type="expression" priority="1252" aboveAverage="0" equalAverage="0" bottom="0" percent="0" rank="0" text="" dxfId="1250">
      <formula>#REF!=1</formula>
    </cfRule>
    <cfRule type="expression" priority="1253" aboveAverage="0" equalAverage="0" bottom="0" percent="0" rank="0" text="" dxfId="1251">
      <formula>#REF!=2</formula>
    </cfRule>
    <cfRule type="expression" priority="1254" aboveAverage="0" equalAverage="0" bottom="0" percent="0" rank="0" text="" dxfId="1252">
      <formula>#REF!=3</formula>
    </cfRule>
  </conditionalFormatting>
  <conditionalFormatting sqref="K245">
    <cfRule type="expression" priority="1255" aboveAverage="0" equalAverage="0" bottom="0" percent="0" rank="0" text="" dxfId="1253">
      <formula>#REF!=1</formula>
    </cfRule>
    <cfRule type="expression" priority="1256" aboveAverage="0" equalAverage="0" bottom="0" percent="0" rank="0" text="" dxfId="1254">
      <formula>#REF!=2</formula>
    </cfRule>
    <cfRule type="expression" priority="1257" aboveAverage="0" equalAverage="0" bottom="0" percent="0" rank="0" text="" dxfId="1255">
      <formula>#REF!=3</formula>
    </cfRule>
  </conditionalFormatting>
  <conditionalFormatting sqref="M245">
    <cfRule type="expression" priority="1258" aboveAverage="0" equalAverage="0" bottom="0" percent="0" rank="0" text="" dxfId="1256">
      <formula>#REF!=1</formula>
    </cfRule>
    <cfRule type="expression" priority="1259" aboveAverage="0" equalAverage="0" bottom="0" percent="0" rank="0" text="" dxfId="1257">
      <formula>#REF!=2</formula>
    </cfRule>
    <cfRule type="expression" priority="1260" aboveAverage="0" equalAverage="0" bottom="0" percent="0" rank="0" text="" dxfId="1258">
      <formula>#REF!=3</formula>
    </cfRule>
  </conditionalFormatting>
  <conditionalFormatting sqref="M179">
    <cfRule type="expression" priority="1261" aboveAverage="0" equalAverage="0" bottom="0" percent="0" rank="0" text="" dxfId="1259">
      <formula>#REF!=1</formula>
    </cfRule>
    <cfRule type="expression" priority="1262" aboveAverage="0" equalAverage="0" bottom="0" percent="0" rank="0" text="" dxfId="1260">
      <formula>#REF!=2</formula>
    </cfRule>
    <cfRule type="expression" priority="1263" aboveAverage="0" equalAverage="0" bottom="0" percent="0" rank="0" text="" dxfId="1261">
      <formula>#REF!=3</formula>
    </cfRule>
  </conditionalFormatting>
  <conditionalFormatting sqref="K138">
    <cfRule type="expression" priority="1264" aboveAverage="0" equalAverage="0" bottom="0" percent="0" rank="0" text="" dxfId="1262">
      <formula>#REF!=1</formula>
    </cfRule>
    <cfRule type="expression" priority="1265" aboveAverage="0" equalAverage="0" bottom="0" percent="0" rank="0" text="" dxfId="1263">
      <formula>#REF!=2</formula>
    </cfRule>
    <cfRule type="expression" priority="1266" aboveAverage="0" equalAverage="0" bottom="0" percent="0" rank="0" text="" dxfId="1264">
      <formula>#REF!=3</formula>
    </cfRule>
  </conditionalFormatting>
  <conditionalFormatting sqref="K146">
    <cfRule type="expression" priority="1267" aboveAverage="0" equalAverage="0" bottom="0" percent="0" rank="0" text="" dxfId="1265">
      <formula>#REF!=1</formula>
    </cfRule>
    <cfRule type="expression" priority="1268" aboveAverage="0" equalAverage="0" bottom="0" percent="0" rank="0" text="" dxfId="1266">
      <formula>#REF!=2</formula>
    </cfRule>
    <cfRule type="expression" priority="1269" aboveAverage="0" equalAverage="0" bottom="0" percent="0" rank="0" text="" dxfId="1267">
      <formula>#REF!=3</formula>
    </cfRule>
  </conditionalFormatting>
  <conditionalFormatting sqref="K212">
    <cfRule type="expression" priority="1270" aboveAverage="0" equalAverage="0" bottom="0" percent="0" rank="0" text="" dxfId="1268">
      <formula>#REF!=1</formula>
    </cfRule>
    <cfRule type="expression" priority="1271" aboveAverage="0" equalAverage="0" bottom="0" percent="0" rank="0" text="" dxfId="1269">
      <formula>#REF!=2</formula>
    </cfRule>
    <cfRule type="expression" priority="1272" aboveAverage="0" equalAverage="0" bottom="0" percent="0" rank="0" text="" dxfId="1270">
      <formula>#REF!=3</formula>
    </cfRule>
  </conditionalFormatting>
  <conditionalFormatting sqref="K139">
    <cfRule type="expression" priority="1273" aboveAverage="0" equalAverage="0" bottom="0" percent="0" rank="0" text="" dxfId="1271">
      <formula>#REF!=1</formula>
    </cfRule>
    <cfRule type="expression" priority="1274" aboveAverage="0" equalAverage="0" bottom="0" percent="0" rank="0" text="" dxfId="1272">
      <formula>#REF!=2</formula>
    </cfRule>
    <cfRule type="expression" priority="1275" aboveAverage="0" equalAverage="0" bottom="0" percent="0" rank="0" text="" dxfId="1273">
      <formula>#REF!=3</formula>
    </cfRule>
  </conditionalFormatting>
  <conditionalFormatting sqref="M120">
    <cfRule type="expression" priority="1276" aboveAverage="0" equalAverage="0" bottom="0" percent="0" rank="0" text="" dxfId="1274">
      <formula>#REF!=1</formula>
    </cfRule>
    <cfRule type="expression" priority="1277" aboveAverage="0" equalAverage="0" bottom="0" percent="0" rank="0" text="" dxfId="1275">
      <formula>#REF!=2</formula>
    </cfRule>
    <cfRule type="expression" priority="1278" aboveAverage="0" equalAverage="0" bottom="0" percent="0" rank="0" text="" dxfId="1276">
      <formula>#REF!=3</formula>
    </cfRule>
  </conditionalFormatting>
  <conditionalFormatting sqref="N120">
    <cfRule type="expression" priority="1279" aboveAverage="0" equalAverage="0" bottom="0" percent="0" rank="0" text="" dxfId="1277">
      <formula>$A334=1</formula>
    </cfRule>
    <cfRule type="expression" priority="1280" aboveAverage="0" equalAverage="0" bottom="0" percent="0" rank="0" text="" dxfId="1278">
      <formula>$A334=2</formula>
    </cfRule>
    <cfRule type="expression" priority="1281" aboveAverage="0" equalAverage="0" bottom="0" percent="0" rank="0" text="" dxfId="1279">
      <formula>$A334=3</formula>
    </cfRule>
  </conditionalFormatting>
  <conditionalFormatting sqref="N115">
    <cfRule type="expression" priority="1282" aboveAverage="0" equalAverage="0" bottom="0" percent="0" rank="0" text="" dxfId="1280">
      <formula>$A104=1</formula>
    </cfRule>
    <cfRule type="expression" priority="1283" aboveAverage="0" equalAverage="0" bottom="0" percent="0" rank="0" text="" dxfId="1281">
      <formula>$A104=2</formula>
    </cfRule>
    <cfRule type="expression" priority="1284" aboveAverage="0" equalAverage="0" bottom="0" percent="0" rank="0" text="" dxfId="1282">
      <formula>$A104=3</formula>
    </cfRule>
  </conditionalFormatting>
  <conditionalFormatting sqref="M257">
    <cfRule type="expression" priority="1285" aboveAverage="0" equalAverage="0" bottom="0" percent="0" rank="0" text="" dxfId="1283">
      <formula>#REF!=1</formula>
    </cfRule>
    <cfRule type="expression" priority="1286" aboveAverage="0" equalAverage="0" bottom="0" percent="0" rank="0" text="" dxfId="1284">
      <formula>#REF!=2</formula>
    </cfRule>
    <cfRule type="expression" priority="1287" aboveAverage="0" equalAverage="0" bottom="0" percent="0" rank="0" text="" dxfId="1285">
      <formula>#REF!=3</formula>
    </cfRule>
  </conditionalFormatting>
  <conditionalFormatting sqref="M174">
    <cfRule type="expression" priority="1288" aboveAverage="0" equalAverage="0" bottom="0" percent="0" rank="0" text="" dxfId="1286">
      <formula>#REF!=1</formula>
    </cfRule>
    <cfRule type="expression" priority="1289" aboveAverage="0" equalAverage="0" bottom="0" percent="0" rank="0" text="" dxfId="1287">
      <formula>#REF!=2</formula>
    </cfRule>
    <cfRule type="expression" priority="1290" aboveAverage="0" equalAverage="0" bottom="0" percent="0" rank="0" text="" dxfId="1288">
      <formula>#REF!=3</formula>
    </cfRule>
  </conditionalFormatting>
  <conditionalFormatting sqref="N174">
    <cfRule type="expression" priority="1291" aboveAverage="0" equalAverage="0" bottom="0" percent="0" rank="0" text="" dxfId="1289">
      <formula>$A174=1</formula>
    </cfRule>
    <cfRule type="expression" priority="1292" aboveAverage="0" equalAverage="0" bottom="0" percent="0" rank="0" text="" dxfId="1290">
      <formula>$A174=2</formula>
    </cfRule>
    <cfRule type="expression" priority="1293" aboveAverage="0" equalAverage="0" bottom="0" percent="0" rank="0" text="" dxfId="1291">
      <formula>$A174=3</formula>
    </cfRule>
  </conditionalFormatting>
  <conditionalFormatting sqref="K260">
    <cfRule type="expression" priority="1294" aboveAverage="0" equalAverage="0" bottom="0" percent="0" rank="0" text="" dxfId="1292">
      <formula>#REF!=1</formula>
    </cfRule>
    <cfRule type="expression" priority="1295" aboveAverage="0" equalAverage="0" bottom="0" percent="0" rank="0" text="" dxfId="1293">
      <formula>#REF!=2</formula>
    </cfRule>
    <cfRule type="expression" priority="1296" aboveAverage="0" equalAverage="0" bottom="0" percent="0" rank="0" text="" dxfId="1294">
      <formula>#REF!=3</formula>
    </cfRule>
  </conditionalFormatting>
  <conditionalFormatting sqref="K291">
    <cfRule type="expression" priority="1297" aboveAverage="0" equalAverage="0" bottom="0" percent="0" rank="0" text="" dxfId="1295">
      <formula>#REF!=1</formula>
    </cfRule>
    <cfRule type="expression" priority="1298" aboveAverage="0" equalAverage="0" bottom="0" percent="0" rank="0" text="" dxfId="1296">
      <formula>#REF!=2</formula>
    </cfRule>
    <cfRule type="expression" priority="1299" aboveAverage="0" equalAverage="0" bottom="0" percent="0" rank="0" text="" dxfId="1297">
      <formula>#REF!=3</formula>
    </cfRule>
  </conditionalFormatting>
  <conditionalFormatting sqref="K182">
    <cfRule type="expression" priority="1300" aboveAverage="0" equalAverage="0" bottom="0" percent="0" rank="0" text="" dxfId="1298">
      <formula>#REF!=1</formula>
    </cfRule>
    <cfRule type="expression" priority="1301" aboveAverage="0" equalAverage="0" bottom="0" percent="0" rank="0" text="" dxfId="1299">
      <formula>#REF!=2</formula>
    </cfRule>
    <cfRule type="expression" priority="1302" aboveAverage="0" equalAverage="0" bottom="0" percent="0" rank="0" text="" dxfId="1300">
      <formula>#REF!=3</formula>
    </cfRule>
  </conditionalFormatting>
  <conditionalFormatting sqref="K208">
    <cfRule type="expression" priority="1303" aboveAverage="0" equalAverage="0" bottom="0" percent="0" rank="0" text="" dxfId="1301">
      <formula>#REF!=1</formula>
    </cfRule>
    <cfRule type="expression" priority="1304" aboveAverage="0" equalAverage="0" bottom="0" percent="0" rank="0" text="" dxfId="1302">
      <formula>#REF!=2</formula>
    </cfRule>
    <cfRule type="expression" priority="1305" aboveAverage="0" equalAverage="0" bottom="0" percent="0" rank="0" text="" dxfId="1303">
      <formula>#REF!=3</formula>
    </cfRule>
  </conditionalFormatting>
  <conditionalFormatting sqref="K271">
    <cfRule type="expression" priority="1306" aboveAverage="0" equalAverage="0" bottom="0" percent="0" rank="0" text="" dxfId="1304">
      <formula>#REF!=1</formula>
    </cfRule>
    <cfRule type="expression" priority="1307" aboveAverage="0" equalAverage="0" bottom="0" percent="0" rank="0" text="" dxfId="1305">
      <formula>#REF!=2</formula>
    </cfRule>
    <cfRule type="expression" priority="1308" aboveAverage="0" equalAverage="0" bottom="0" percent="0" rank="0" text="" dxfId="1306">
      <formula>#REF!=3</formula>
    </cfRule>
  </conditionalFormatting>
  <conditionalFormatting sqref="K349">
    <cfRule type="expression" priority="1309" aboveAverage="0" equalAverage="0" bottom="0" percent="0" rank="0" text="" dxfId="1307">
      <formula>#REF!=1</formula>
    </cfRule>
    <cfRule type="expression" priority="1310" aboveAverage="0" equalAverage="0" bottom="0" percent="0" rank="0" text="" dxfId="1308">
      <formula>#REF!=2</formula>
    </cfRule>
    <cfRule type="expression" priority="1311" aboveAverage="0" equalAverage="0" bottom="0" percent="0" rank="0" text="" dxfId="1309">
      <formula>#REF!=3</formula>
    </cfRule>
  </conditionalFormatting>
  <conditionalFormatting sqref="K217">
    <cfRule type="expression" priority="1312" aboveAverage="0" equalAverage="0" bottom="0" percent="0" rank="0" text="" dxfId="1310">
      <formula>#REF!=1</formula>
    </cfRule>
    <cfRule type="expression" priority="1313" aboveAverage="0" equalAverage="0" bottom="0" percent="0" rank="0" text="" dxfId="1311">
      <formula>#REF!=2</formula>
    </cfRule>
    <cfRule type="expression" priority="1314" aboveAverage="0" equalAverage="0" bottom="0" percent="0" rank="0" text="" dxfId="1312">
      <formula>#REF!=3</formula>
    </cfRule>
  </conditionalFormatting>
  <conditionalFormatting sqref="K22">
    <cfRule type="expression" priority="1315" aboveAverage="0" equalAverage="0" bottom="0" percent="0" rank="0" text="" dxfId="1313">
      <formula>#REF!=1</formula>
    </cfRule>
    <cfRule type="expression" priority="1316" aboveAverage="0" equalAverage="0" bottom="0" percent="0" rank="0" text="" dxfId="1314">
      <formula>#REF!=2</formula>
    </cfRule>
    <cfRule type="expression" priority="1317" aboveAverage="0" equalAverage="0" bottom="0" percent="0" rank="0" text="" dxfId="1315">
      <formula>#REF!=3</formula>
    </cfRule>
  </conditionalFormatting>
  <conditionalFormatting sqref="K181">
    <cfRule type="expression" priority="1318" aboveAverage="0" equalAverage="0" bottom="0" percent="0" rank="0" text="" dxfId="1316">
      <formula>#REF!=1</formula>
    </cfRule>
    <cfRule type="expression" priority="1319" aboveAverage="0" equalAverage="0" bottom="0" percent="0" rank="0" text="" dxfId="1317">
      <formula>#REF!=2</formula>
    </cfRule>
    <cfRule type="expression" priority="1320" aboveAverage="0" equalAverage="0" bottom="0" percent="0" rank="0" text="" dxfId="1318">
      <formula>#REF!=3</formula>
    </cfRule>
  </conditionalFormatting>
  <conditionalFormatting sqref="N9">
    <cfRule type="expression" priority="1321" aboveAverage="0" equalAverage="0" bottom="0" percent="0" rank="0" text="" dxfId="1319">
      <formula>$A9=1</formula>
    </cfRule>
    <cfRule type="expression" priority="1322" aboveAverage="0" equalAverage="0" bottom="0" percent="0" rank="0" text="" dxfId="1320">
      <formula>$A9=2</formula>
    </cfRule>
    <cfRule type="expression" priority="1323" aboveAverage="0" equalAverage="0" bottom="0" percent="0" rank="0" text="" dxfId="1321">
      <formula>$A9=3</formula>
    </cfRule>
  </conditionalFormatting>
  <conditionalFormatting sqref="N10">
    <cfRule type="expression" priority="1324" aboveAverage="0" equalAverage="0" bottom="0" percent="0" rank="0" text="" dxfId="1322">
      <formula>$A10=1</formula>
    </cfRule>
    <cfRule type="expression" priority="1325" aboveAverage="0" equalAverage="0" bottom="0" percent="0" rank="0" text="" dxfId="1323">
      <formula>$A10=2</formula>
    </cfRule>
    <cfRule type="expression" priority="1326" aboveAverage="0" equalAverage="0" bottom="0" percent="0" rank="0" text="" dxfId="1324">
      <formula>$A10=3</formula>
    </cfRule>
  </conditionalFormatting>
  <conditionalFormatting sqref="K257">
    <cfRule type="expression" priority="1327" aboveAverage="0" equalAverage="0" bottom="0" percent="0" rank="0" text="" dxfId="1325">
      <formula>#REF!=1</formula>
    </cfRule>
    <cfRule type="expression" priority="1328" aboveAverage="0" equalAverage="0" bottom="0" percent="0" rank="0" text="" dxfId="1326">
      <formula>#REF!=2</formula>
    </cfRule>
    <cfRule type="expression" priority="1329" aboveAverage="0" equalAverage="0" bottom="0" percent="0" rank="0" text="" dxfId="1327">
      <formula>#REF!=3</formula>
    </cfRule>
  </conditionalFormatting>
  <conditionalFormatting sqref="K343">
    <cfRule type="expression" priority="1330" aboveAverage="0" equalAverage="0" bottom="0" percent="0" rank="0" text="" dxfId="1328">
      <formula>#REF!=1</formula>
    </cfRule>
    <cfRule type="expression" priority="1331" aboveAverage="0" equalAverage="0" bottom="0" percent="0" rank="0" text="" dxfId="1329">
      <formula>#REF!=2</formula>
    </cfRule>
    <cfRule type="expression" priority="1332" aboveAverage="0" equalAverage="0" bottom="0" percent="0" rank="0" text="" dxfId="1330">
      <formula>#REF!=3</formula>
    </cfRule>
  </conditionalFormatting>
  <conditionalFormatting sqref="K374">
    <cfRule type="expression" priority="1333" aboveAverage="0" equalAverage="0" bottom="0" percent="0" rank="0" text="" dxfId="1331">
      <formula>#REF!=1</formula>
    </cfRule>
    <cfRule type="expression" priority="1334" aboveAverage="0" equalAverage="0" bottom="0" percent="0" rank="0" text="" dxfId="1332">
      <formula>#REF!=2</formula>
    </cfRule>
    <cfRule type="expression" priority="1335" aboveAverage="0" equalAverage="0" bottom="0" percent="0" rank="0" text="" dxfId="1333">
      <formula>#REF!=3</formula>
    </cfRule>
  </conditionalFormatting>
  <conditionalFormatting sqref="M374">
    <cfRule type="expression" priority="1336" aboveAverage="0" equalAverage="0" bottom="0" percent="0" rank="0" text="" dxfId="1334">
      <formula>#REF!=1</formula>
    </cfRule>
    <cfRule type="expression" priority="1337" aboveAverage="0" equalAverage="0" bottom="0" percent="0" rank="0" text="" dxfId="1335">
      <formula>#REF!=2</formula>
    </cfRule>
    <cfRule type="expression" priority="1338" aboveAverage="0" equalAverage="0" bottom="0" percent="0" rank="0" text="" dxfId="1336">
      <formula>#REF!=3</formula>
    </cfRule>
  </conditionalFormatting>
  <conditionalFormatting sqref="N374">
    <cfRule type="expression" priority="1339" aboveAverage="0" equalAverage="0" bottom="0" percent="0" rank="0" text="" dxfId="1337">
      <formula>$A374=1</formula>
    </cfRule>
    <cfRule type="expression" priority="1340" aboveAverage="0" equalAverage="0" bottom="0" percent="0" rank="0" text="" dxfId="1338">
      <formula>$A374=2</formula>
    </cfRule>
    <cfRule type="expression" priority="1341" aboveAverage="0" equalAverage="0" bottom="0" percent="0" rank="0" text="" dxfId="1339">
      <formula>$A374=3</formula>
    </cfRule>
  </conditionalFormatting>
  <conditionalFormatting sqref="M128">
    <cfRule type="expression" priority="1342" aboveAverage="0" equalAverage="0" bottom="0" percent="0" rank="0" text="" dxfId="1340">
      <formula>#REF!=1</formula>
    </cfRule>
    <cfRule type="expression" priority="1343" aboveAverage="0" equalAverage="0" bottom="0" percent="0" rank="0" text="" dxfId="1341">
      <formula>#REF!=2</formula>
    </cfRule>
    <cfRule type="expression" priority="1344" aboveAverage="0" equalAverage="0" bottom="0" percent="0" rank="0" text="" dxfId="1342">
      <formula>#REF!=3</formula>
    </cfRule>
  </conditionalFormatting>
  <conditionalFormatting sqref="K128">
    <cfRule type="expression" priority="1345" aboveAverage="0" equalAverage="0" bottom="0" percent="0" rank="0" text="" dxfId="1343">
      <formula>#REF!=1</formula>
    </cfRule>
    <cfRule type="expression" priority="1346" aboveAverage="0" equalAverage="0" bottom="0" percent="0" rank="0" text="" dxfId="1344">
      <formula>#REF!=2</formula>
    </cfRule>
    <cfRule type="expression" priority="1347" aboveAverage="0" equalAverage="0" bottom="0" percent="0" rank="0" text="" dxfId="1345">
      <formula>#REF!=3</formula>
    </cfRule>
  </conditionalFormatting>
  <conditionalFormatting sqref="K348">
    <cfRule type="expression" priority="1348" aboveAverage="0" equalAverage="0" bottom="0" percent="0" rank="0" text="" dxfId="1346">
      <formula>#REF!=1</formula>
    </cfRule>
    <cfRule type="expression" priority="1349" aboveAverage="0" equalAverage="0" bottom="0" percent="0" rank="0" text="" dxfId="1347">
      <formula>#REF!=2</formula>
    </cfRule>
    <cfRule type="expression" priority="1350" aboveAverage="0" equalAverage="0" bottom="0" percent="0" rank="0" text="" dxfId="1348">
      <formula>#REF!=3</formula>
    </cfRule>
  </conditionalFormatting>
  <conditionalFormatting sqref="K9">
    <cfRule type="expression" priority="1351" aboveAverage="0" equalAverage="0" bottom="0" percent="0" rank="0" text="" dxfId="1349">
      <formula>#REF!=1</formula>
    </cfRule>
    <cfRule type="expression" priority="1352" aboveAverage="0" equalAverage="0" bottom="0" percent="0" rank="0" text="" dxfId="1350">
      <formula>#REF!=2</formula>
    </cfRule>
    <cfRule type="expression" priority="1353" aboveAverage="0" equalAverage="0" bottom="0" percent="0" rank="0" text="" dxfId="1351">
      <formula>#REF!=3</formula>
    </cfRule>
  </conditionalFormatting>
  <conditionalFormatting sqref="K332">
    <cfRule type="expression" priority="1354" aboveAverage="0" equalAverage="0" bottom="0" percent="0" rank="0" text="" dxfId="1352">
      <formula>#REF!=1</formula>
    </cfRule>
    <cfRule type="expression" priority="1355" aboveAverage="0" equalAverage="0" bottom="0" percent="0" rank="0" text="" dxfId="1353">
      <formula>#REF!=2</formula>
    </cfRule>
    <cfRule type="expression" priority="1356" aboveAverage="0" equalAverage="0" bottom="0" percent="0" rank="0" text="" dxfId="1354">
      <formula>#REF!=3</formula>
    </cfRule>
  </conditionalFormatting>
  <conditionalFormatting sqref="M332">
    <cfRule type="expression" priority="1357" aboveAverage="0" equalAverage="0" bottom="0" percent="0" rank="0" text="" dxfId="1355">
      <formula>#REF!=1</formula>
    </cfRule>
    <cfRule type="expression" priority="1358" aboveAverage="0" equalAverage="0" bottom="0" percent="0" rank="0" text="" dxfId="1356">
      <formula>#REF!=2</formula>
    </cfRule>
    <cfRule type="expression" priority="1359" aboveAverage="0" equalAverage="0" bottom="0" percent="0" rank="0" text="" dxfId="1357">
      <formula>#REF!=3</formula>
    </cfRule>
  </conditionalFormatting>
  <conditionalFormatting sqref="N332">
    <cfRule type="expression" priority="1360" aboveAverage="0" equalAverage="0" bottom="0" percent="0" rank="0" text="" dxfId="1358">
      <formula>$A332=1</formula>
    </cfRule>
    <cfRule type="expression" priority="1361" aboveAverage="0" equalAverage="0" bottom="0" percent="0" rank="0" text="" dxfId="1359">
      <formula>$A332=2</formula>
    </cfRule>
    <cfRule type="expression" priority="1362" aboveAverage="0" equalAverage="0" bottom="0" percent="0" rank="0" text="" dxfId="1360">
      <formula>$A332=3</formula>
    </cfRule>
  </conditionalFormatting>
  <conditionalFormatting sqref="K269">
    <cfRule type="expression" priority="1363" aboveAverage="0" equalAverage="0" bottom="0" percent="0" rank="0" text="" dxfId="1361">
      <formula>#REF!=1</formula>
    </cfRule>
    <cfRule type="expression" priority="1364" aboveAverage="0" equalAverage="0" bottom="0" percent="0" rank="0" text="" dxfId="1362">
      <formula>#REF!=2</formula>
    </cfRule>
    <cfRule type="expression" priority="1365" aboveAverage="0" equalAverage="0" bottom="0" percent="0" rank="0" text="" dxfId="1363">
      <formula>#REF!=3</formula>
    </cfRule>
  </conditionalFormatting>
  <conditionalFormatting sqref="K379">
    <cfRule type="expression" priority="1366" aboveAverage="0" equalAverage="0" bottom="0" percent="0" rank="0" text="" dxfId="1364">
      <formula>#REF!=1</formula>
    </cfRule>
    <cfRule type="expression" priority="1367" aboveAverage="0" equalAverage="0" bottom="0" percent="0" rank="0" text="" dxfId="1365">
      <formula>#REF!=2</formula>
    </cfRule>
    <cfRule type="expression" priority="1368" aboveAverage="0" equalAverage="0" bottom="0" percent="0" rank="0" text="" dxfId="1366">
      <formula>#REF!=3</formula>
    </cfRule>
  </conditionalFormatting>
  <conditionalFormatting sqref="M379">
    <cfRule type="expression" priority="1369" aboveAverage="0" equalAverage="0" bottom="0" percent="0" rank="0" text="" dxfId="1367">
      <formula>#REF!=1</formula>
    </cfRule>
    <cfRule type="expression" priority="1370" aboveAverage="0" equalAverage="0" bottom="0" percent="0" rank="0" text="" dxfId="1368">
      <formula>#REF!=2</formula>
    </cfRule>
    <cfRule type="expression" priority="1371" aboveAverage="0" equalAverage="0" bottom="0" percent="0" rank="0" text="" dxfId="1369">
      <formula>#REF!=3</formula>
    </cfRule>
  </conditionalFormatting>
  <conditionalFormatting sqref="K363">
    <cfRule type="expression" priority="1372" aboveAverage="0" equalAverage="0" bottom="0" percent="0" rank="0" text="" dxfId="1370">
      <formula>#REF!=1</formula>
    </cfRule>
    <cfRule type="expression" priority="1373" aboveAverage="0" equalAverage="0" bottom="0" percent="0" rank="0" text="" dxfId="1371">
      <formula>#REF!=2</formula>
    </cfRule>
    <cfRule type="expression" priority="1374" aboveAverage="0" equalAverage="0" bottom="0" percent="0" rank="0" text="" dxfId="1372">
      <formula>#REF!=3</formula>
    </cfRule>
  </conditionalFormatting>
  <conditionalFormatting sqref="M152">
    <cfRule type="expression" priority="1375" aboveAverage="0" equalAverage="0" bottom="0" percent="0" rank="0" text="" dxfId="1373">
      <formula>#REF!=1</formula>
    </cfRule>
    <cfRule type="expression" priority="1376" aboveAverage="0" equalAverage="0" bottom="0" percent="0" rank="0" text="" dxfId="1374">
      <formula>#REF!=2</formula>
    </cfRule>
    <cfRule type="expression" priority="1377" aboveAverage="0" equalAverage="0" bottom="0" percent="0" rank="0" text="" dxfId="1375">
      <formula>#REF!=3</formula>
    </cfRule>
  </conditionalFormatting>
  <conditionalFormatting sqref="N197">
    <cfRule type="expression" priority="1378" aboveAverage="0" equalAverage="0" bottom="0" percent="0" rank="0" text="" dxfId="1376">
      <formula>$A197=1</formula>
    </cfRule>
    <cfRule type="expression" priority="1379" aboveAverage="0" equalAverage="0" bottom="0" percent="0" rank="0" text="" dxfId="1377">
      <formula>$A197=2</formula>
    </cfRule>
    <cfRule type="expression" priority="1380" aboveAverage="0" equalAverage="0" bottom="0" percent="0" rank="0" text="" dxfId="1378">
      <formula>$A197=3</formula>
    </cfRule>
  </conditionalFormatting>
  <conditionalFormatting sqref="N152">
    <cfRule type="expression" priority="1381" aboveAverage="0" equalAverage="0" bottom="0" percent="0" rank="0" text="" dxfId="1379">
      <formula>$A412=1</formula>
    </cfRule>
    <cfRule type="expression" priority="1382" aboveAverage="0" equalAverage="0" bottom="0" percent="0" rank="0" text="" dxfId="1380">
      <formula>$A412=2</formula>
    </cfRule>
    <cfRule type="expression" priority="1383" aboveAverage="0" equalAverage="0" bottom="0" percent="0" rank="0" text="" dxfId="1381">
      <formula>$A412=3</formula>
    </cfRule>
  </conditionalFormatting>
  <conditionalFormatting sqref="K21">
    <cfRule type="expression" priority="1384" aboveAverage="0" equalAverage="0" bottom="0" percent="0" rank="0" text="" dxfId="1382">
      <formula>#REF!=1</formula>
    </cfRule>
    <cfRule type="expression" priority="1385" aboveAverage="0" equalAverage="0" bottom="0" percent="0" rank="0" text="" dxfId="1383">
      <formula>#REF!=2</formula>
    </cfRule>
    <cfRule type="expression" priority="1386" aboveAverage="0" equalAverage="0" bottom="0" percent="0" rank="0" text="" dxfId="1384">
      <formula>#REF!=3</formula>
    </cfRule>
  </conditionalFormatting>
  <conditionalFormatting sqref="K53">
    <cfRule type="expression" priority="1387" aboveAverage="0" equalAverage="0" bottom="0" percent="0" rank="0" text="" dxfId="1385">
      <formula>#REF!=1</formula>
    </cfRule>
    <cfRule type="expression" priority="1388" aboveAverage="0" equalAverage="0" bottom="0" percent="0" rank="0" text="" dxfId="1386">
      <formula>#REF!=2</formula>
    </cfRule>
    <cfRule type="expression" priority="1389" aboveAverage="0" equalAverage="0" bottom="0" percent="0" rank="0" text="" dxfId="1387">
      <formula>#REF!=3</formula>
    </cfRule>
  </conditionalFormatting>
  <conditionalFormatting sqref="N53">
    <cfRule type="expression" priority="1390" aboveAverage="0" equalAverage="0" bottom="0" percent="0" rank="0" text="" dxfId="1388">
      <formula>$A53=1</formula>
    </cfRule>
    <cfRule type="expression" priority="1391" aboveAverage="0" equalAverage="0" bottom="0" percent="0" rank="0" text="" dxfId="1389">
      <formula>$A53=2</formula>
    </cfRule>
    <cfRule type="expression" priority="1392" aboveAverage="0" equalAverage="0" bottom="0" percent="0" rank="0" text="" dxfId="1390">
      <formula>$A53=3</formula>
    </cfRule>
  </conditionalFormatting>
  <conditionalFormatting sqref="N128">
    <cfRule type="expression" priority="1393" aboveAverage="0" equalAverage="0" bottom="0" percent="0" rank="0" text="" dxfId="1391">
      <formula>$A128=1</formula>
    </cfRule>
    <cfRule type="expression" priority="1394" aboveAverage="0" equalAverage="0" bottom="0" percent="0" rank="0" text="" dxfId="1392">
      <formula>$A128=2</formula>
    </cfRule>
    <cfRule type="expression" priority="1395" aboveAverage="0" equalAverage="0" bottom="0" percent="0" rank="0" text="" dxfId="1393">
      <formula>$A128=3</formula>
    </cfRule>
  </conditionalFormatting>
  <conditionalFormatting sqref="M320">
    <cfRule type="expression" priority="1396" aboveAverage="0" equalAverage="0" bottom="0" percent="0" rank="0" text="" dxfId="1394">
      <formula>#REF!=1</formula>
    </cfRule>
    <cfRule type="expression" priority="1397" aboveAverage="0" equalAverage="0" bottom="0" percent="0" rank="0" text="" dxfId="1395">
      <formula>#REF!=2</formula>
    </cfRule>
    <cfRule type="expression" priority="1398" aboveAverage="0" equalAverage="0" bottom="0" percent="0" rank="0" text="" dxfId="1396">
      <formula>#REF!=3</formula>
    </cfRule>
  </conditionalFormatting>
  <conditionalFormatting sqref="N320">
    <cfRule type="expression" priority="1399" aboveAverage="0" equalAverage="0" bottom="0" percent="0" rank="0" text="" dxfId="1397">
      <formula>$A323=1</formula>
    </cfRule>
    <cfRule type="expression" priority="1400" aboveAverage="0" equalAverage="0" bottom="0" percent="0" rank="0" text="" dxfId="1398">
      <formula>$A323=2</formula>
    </cfRule>
    <cfRule type="expression" priority="1401" aboveAverage="0" equalAverage="0" bottom="0" percent="0" rank="0" text="" dxfId="1399">
      <formula>$A323=3</formula>
    </cfRule>
  </conditionalFormatting>
  <conditionalFormatting sqref="K365">
    <cfRule type="expression" priority="1402" aboveAverage="0" equalAverage="0" bottom="0" percent="0" rank="0" text="" dxfId="1400">
      <formula>#REF!=1</formula>
    </cfRule>
    <cfRule type="expression" priority="1403" aboveAverage="0" equalAverage="0" bottom="0" percent="0" rank="0" text="" dxfId="1401">
      <formula>#REF!=2</formula>
    </cfRule>
    <cfRule type="expression" priority="1404" aboveAverage="0" equalAverage="0" bottom="0" percent="0" rank="0" text="" dxfId="1402">
      <formula>#REF!=3</formula>
    </cfRule>
  </conditionalFormatting>
  <conditionalFormatting sqref="R289">
    <cfRule type="expression" priority="1405" aboveAverage="0" equalAverage="0" bottom="0" percent="0" rank="0" text="" dxfId="1403">
      <formula>#REF!=1</formula>
    </cfRule>
    <cfRule type="expression" priority="1406" aboveAverage="0" equalAverage="0" bottom="0" percent="0" rank="0" text="" dxfId="1404">
      <formula>#REF!=2</formula>
    </cfRule>
    <cfRule type="expression" priority="1407" aboveAverage="0" equalAverage="0" bottom="0" percent="0" rank="0" text="" dxfId="1405">
      <formula>#REF!=3</formula>
    </cfRule>
  </conditionalFormatting>
  <conditionalFormatting sqref="R151">
    <cfRule type="expression" priority="1408" aboveAverage="0" equalAverage="0" bottom="0" percent="0" rank="0" text="" dxfId="1406">
      <formula>#REF!=1</formula>
    </cfRule>
    <cfRule type="expression" priority="1409" aboveAverage="0" equalAverage="0" bottom="0" percent="0" rank="0" text="" dxfId="1407">
      <formula>#REF!=2</formula>
    </cfRule>
    <cfRule type="expression" priority="1410" aboveAverage="0" equalAverage="0" bottom="0" percent="0" rank="0" text="" dxfId="1408">
      <formula>#REF!=3</formula>
    </cfRule>
  </conditionalFormatting>
  <conditionalFormatting sqref="K140">
    <cfRule type="expression" priority="1411" aboveAverage="0" equalAverage="0" bottom="0" percent="0" rank="0" text="" dxfId="1409">
      <formula>#REF!=1</formula>
    </cfRule>
    <cfRule type="expression" priority="1412" aboveAverage="0" equalAverage="0" bottom="0" percent="0" rank="0" text="" dxfId="1410">
      <formula>#REF!=2</formula>
    </cfRule>
    <cfRule type="expression" priority="1413" aboveAverage="0" equalAverage="0" bottom="0" percent="0" rank="0" text="" dxfId="1411">
      <formula>#REF!=3</formula>
    </cfRule>
  </conditionalFormatting>
  <conditionalFormatting sqref="R264">
    <cfRule type="expression" priority="1414" aboveAverage="0" equalAverage="0" bottom="0" percent="0" rank="0" text="" dxfId="1412">
      <formula>#REF!=1</formula>
    </cfRule>
    <cfRule type="expression" priority="1415" aboveAverage="0" equalAverage="0" bottom="0" percent="0" rank="0" text="" dxfId="1413">
      <formula>#REF!=2</formula>
    </cfRule>
    <cfRule type="expression" priority="1416" aboveAverage="0" equalAverage="0" bottom="0" percent="0" rank="0" text="" dxfId="1414">
      <formula>#REF!=3</formula>
    </cfRule>
  </conditionalFormatting>
  <conditionalFormatting sqref="R105">
    <cfRule type="expression" priority="1417" aboveAverage="0" equalAverage="0" bottom="0" percent="0" rank="0" text="" dxfId="1415">
      <formula>#REF!=1</formula>
    </cfRule>
    <cfRule type="expression" priority="1418" aboveAverage="0" equalAverage="0" bottom="0" percent="0" rank="0" text="" dxfId="1416">
      <formula>#REF!=2</formula>
    </cfRule>
    <cfRule type="expression" priority="1419" aboveAverage="0" equalAverage="0" bottom="0" percent="0" rank="0" text="" dxfId="1417">
      <formula>#REF!=3</formula>
    </cfRule>
  </conditionalFormatting>
  <conditionalFormatting sqref="R260">
    <cfRule type="expression" priority="1420" aboveAverage="0" equalAverage="0" bottom="0" percent="0" rank="0" text="" dxfId="1418">
      <formula>#REF!=1</formula>
    </cfRule>
    <cfRule type="expression" priority="1421" aboveAverage="0" equalAverage="0" bottom="0" percent="0" rank="0" text="" dxfId="1419">
      <formula>#REF!=2</formula>
    </cfRule>
    <cfRule type="expression" priority="1422" aboveAverage="0" equalAverage="0" bottom="0" percent="0" rank="0" text="" dxfId="1420">
      <formula>#REF!=3</formula>
    </cfRule>
  </conditionalFormatting>
  <conditionalFormatting sqref="K179">
    <cfRule type="expression" priority="1423" aboveAverage="0" equalAverage="0" bottom="0" percent="0" rank="0" text="" dxfId="1421">
      <formula>#REF!=1</formula>
    </cfRule>
    <cfRule type="expression" priority="1424" aboveAverage="0" equalAverage="0" bottom="0" percent="0" rank="0" text="" dxfId="1422">
      <formula>#REF!=2</formula>
    </cfRule>
    <cfRule type="expression" priority="1425" aboveAverage="0" equalAverage="0" bottom="0" percent="0" rank="0" text="" dxfId="1423">
      <formula>#REF!=3</formula>
    </cfRule>
  </conditionalFormatting>
  <conditionalFormatting sqref="K56">
    <cfRule type="expression" priority="1426" aboveAverage="0" equalAverage="0" bottom="0" percent="0" rank="0" text="" dxfId="1424">
      <formula>#REF!=1</formula>
    </cfRule>
    <cfRule type="expression" priority="1427" aboveAverage="0" equalAverage="0" bottom="0" percent="0" rank="0" text="" dxfId="1425">
      <formula>#REF!=2</formula>
    </cfRule>
    <cfRule type="expression" priority="1428" aboveAverage="0" equalAverage="0" bottom="0" percent="0" rank="0" text="" dxfId="1426">
      <formula>#REF!=3</formula>
    </cfRule>
  </conditionalFormatting>
  <conditionalFormatting sqref="M56">
    <cfRule type="expression" priority="1429" aboveAverage="0" equalAverage="0" bottom="0" percent="0" rank="0" text="" dxfId="1427">
      <formula>#REF!=1</formula>
    </cfRule>
    <cfRule type="expression" priority="1430" aboveAverage="0" equalAverage="0" bottom="0" percent="0" rank="0" text="" dxfId="1428">
      <formula>#REF!=2</formula>
    </cfRule>
    <cfRule type="expression" priority="1431" aboveAverage="0" equalAverage="0" bottom="0" percent="0" rank="0" text="" dxfId="1429">
      <formula>#REF!=3</formula>
    </cfRule>
  </conditionalFormatting>
  <conditionalFormatting sqref="N56">
    <cfRule type="expression" priority="1432" aboveAverage="0" equalAverage="0" bottom="0" percent="0" rank="0" text="" dxfId="1430">
      <formula>$A56=1</formula>
    </cfRule>
    <cfRule type="expression" priority="1433" aboveAverage="0" equalAverage="0" bottom="0" percent="0" rank="0" text="" dxfId="1431">
      <formula>$A56=2</formula>
    </cfRule>
    <cfRule type="expression" priority="1434" aboveAverage="0" equalAverage="0" bottom="0" percent="0" rank="0" text="" dxfId="1432">
      <formula>$A56=3</formula>
    </cfRule>
  </conditionalFormatting>
  <conditionalFormatting sqref="K329">
    <cfRule type="expression" priority="1435" aboveAverage="0" equalAverage="0" bottom="0" percent="0" rank="0" text="" dxfId="1433">
      <formula>#REF!=1</formula>
    </cfRule>
    <cfRule type="expression" priority="1436" aboveAverage="0" equalAverage="0" bottom="0" percent="0" rank="0" text="" dxfId="1434">
      <formula>#REF!=2</formula>
    </cfRule>
    <cfRule type="expression" priority="1437" aboveAverage="0" equalAverage="0" bottom="0" percent="0" rank="0" text="" dxfId="1435">
      <formula>#REF!=3</formula>
    </cfRule>
  </conditionalFormatting>
  <conditionalFormatting sqref="M329">
    <cfRule type="expression" priority="1438" aboveAverage="0" equalAverage="0" bottom="0" percent="0" rank="0" text="" dxfId="1436">
      <formula>#REF!=1</formula>
    </cfRule>
    <cfRule type="expression" priority="1439" aboveAverage="0" equalAverage="0" bottom="0" percent="0" rank="0" text="" dxfId="1437">
      <formula>#REF!=2</formula>
    </cfRule>
    <cfRule type="expression" priority="1440" aboveAverage="0" equalAverage="0" bottom="0" percent="0" rank="0" text="" dxfId="1438">
      <formula>#REF!=3</formula>
    </cfRule>
  </conditionalFormatting>
  <conditionalFormatting sqref="M130">
    <cfRule type="expression" priority="1441" aboveAverage="0" equalAverage="0" bottom="0" percent="0" rank="0" text="" dxfId="1439">
      <formula>#REF!=1</formula>
    </cfRule>
    <cfRule type="expression" priority="1442" aboveAverage="0" equalAverage="0" bottom="0" percent="0" rank="0" text="" dxfId="1440">
      <formula>#REF!=2</formula>
    </cfRule>
    <cfRule type="expression" priority="1443" aboveAverage="0" equalAverage="0" bottom="0" percent="0" rank="0" text="" dxfId="1441">
      <formula>#REF!=3</formula>
    </cfRule>
  </conditionalFormatting>
  <conditionalFormatting sqref="K130">
    <cfRule type="expression" priority="1444" aboveAverage="0" equalAverage="0" bottom="0" percent="0" rank="0" text="" dxfId="1442">
      <formula>#REF!=1</formula>
    </cfRule>
    <cfRule type="expression" priority="1445" aboveAverage="0" equalAverage="0" bottom="0" percent="0" rank="0" text="" dxfId="1443">
      <formula>#REF!=2</formula>
    </cfRule>
    <cfRule type="expression" priority="1446" aboveAverage="0" equalAverage="0" bottom="0" percent="0" rank="0" text="" dxfId="1444">
      <formula>#REF!=3</formula>
    </cfRule>
  </conditionalFormatting>
  <conditionalFormatting sqref="N130">
    <cfRule type="expression" priority="1447" aboveAverage="0" equalAverage="0" bottom="0" percent="0" rank="0" text="" dxfId="1445">
      <formula>$A130=1</formula>
    </cfRule>
    <cfRule type="expression" priority="1448" aboveAverage="0" equalAverage="0" bottom="0" percent="0" rank="0" text="" dxfId="1446">
      <formula>$A130=2</formula>
    </cfRule>
    <cfRule type="expression" priority="1449" aboveAverage="0" equalAverage="0" bottom="0" percent="0" rank="0" text="" dxfId="1447">
      <formula>$A130=3</formula>
    </cfRule>
  </conditionalFormatting>
  <conditionalFormatting sqref="K17">
    <cfRule type="expression" priority="1450" aboveAverage="0" equalAverage="0" bottom="0" percent="0" rank="0" text="" dxfId="1448">
      <formula>#REF!=1</formula>
    </cfRule>
    <cfRule type="expression" priority="1451" aboveAverage="0" equalAverage="0" bottom="0" percent="0" rank="0" text="" dxfId="1449">
      <formula>#REF!=2</formula>
    </cfRule>
    <cfRule type="expression" priority="1452" aboveAverage="0" equalAverage="0" bottom="0" percent="0" rank="0" text="" dxfId="1450">
      <formula>#REF!=3</formula>
    </cfRule>
  </conditionalFormatting>
  <conditionalFormatting sqref="K172">
    <cfRule type="expression" priority="1453" aboveAverage="0" equalAverage="0" bottom="0" percent="0" rank="0" text="" dxfId="1451">
      <formula>#REF!=1</formula>
    </cfRule>
    <cfRule type="expression" priority="1454" aboveAverage="0" equalAverage="0" bottom="0" percent="0" rank="0" text="" dxfId="1452">
      <formula>#REF!=2</formula>
    </cfRule>
    <cfRule type="expression" priority="1455" aboveAverage="0" equalAverage="0" bottom="0" percent="0" rank="0" text="" dxfId="1453">
      <formula>#REF!=3</formula>
    </cfRule>
  </conditionalFormatting>
  <conditionalFormatting sqref="K174">
    <cfRule type="expression" priority="1456" aboveAverage="0" equalAverage="0" bottom="0" percent="0" rank="0" text="" dxfId="1454">
      <formula>#REF!=1</formula>
    </cfRule>
    <cfRule type="expression" priority="1457" aboveAverage="0" equalAverage="0" bottom="0" percent="0" rank="0" text="" dxfId="1455">
      <formula>#REF!=2</formula>
    </cfRule>
    <cfRule type="expression" priority="1458" aboveAverage="0" equalAverage="0" bottom="0" percent="0" rank="0" text="" dxfId="1456">
      <formula>#REF!=3</formula>
    </cfRule>
  </conditionalFormatting>
  <hyperlinks>
    <hyperlink ref="AQ9" r:id="rId2" display="Ruslan.Melnyk@carlsberg.ua"/>
    <hyperlink ref="AQ19" r:id="rId3" display="Viacheslav.Demianenko@carlsberg.ua"/>
    <hyperlink ref="AQ86" r:id="rId4" display="Vitalii.Verkhoturov@carlsberg.ua"/>
    <hyperlink ref="AQ115" r:id="rId5" display="Kucheruk, Anna &lt;Anna.Kucheruk@carlsberg.ua&gt;"/>
    <hyperlink ref="AQ183" r:id="rId6" display="Ivan.Bukhanets@carlsberg.ua"/>
    <hyperlink ref="AQ208" r:id="rId7" display="Anatoliy.Likarenko@carlsberg.ua"/>
    <hyperlink ref="AQ286" r:id="rId8" display="roman.dobryanskiy@carlsberg.ua"/>
    <hyperlink ref="AQ302" r:id="rId9" display="Sergiy.Chumachenko@carlsberg.ua"/>
    <hyperlink ref="AQ304" r:id="rId10" display="Maxim.Chaev@carlsberg.ua"/>
    <hyperlink ref="AQ351" r:id="rId11" display="Alexander.Kostenko@carlsberg.ua"/>
    <hyperlink ref="AQ371" r:id="rId12" display="Vladislav.Gusev@carlsberg.ua"/>
  </hyperlinks>
  <printOptions headings="false" gridLines="false" gridLinesSet="true" horizontalCentered="false" verticalCentered="false"/>
  <pageMargins left="0.75" right="0.75" top="0.170138888888889" bottom="0.179861111111111" header="0.511805555555555" footer="0.511805555555555"/>
  <pageSetup paperSize="75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23512" man="true" max="16383" min="0"/>
  </rowBreaks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4.7"/>
    <col collapsed="false" customWidth="true" hidden="false" outlineLevel="0" max="3" min="3" style="0" width="30.57"/>
    <col collapsed="false" customWidth="true" hidden="false" outlineLevel="0" max="4" min="4" style="0" width="7"/>
    <col collapsed="false" customWidth="true" hidden="false" outlineLevel="0" max="5" min="5" style="0" width="6.86"/>
    <col collapsed="false" customWidth="true" hidden="false" outlineLevel="0" max="7" min="6" style="0" width="5.7"/>
    <col collapsed="false" customWidth="true" hidden="false" outlineLevel="0" max="8" min="8" style="0" width="5.14"/>
    <col collapsed="false" customWidth="true" hidden="false" outlineLevel="0" max="9" min="9" style="0" width="6.71"/>
    <col collapsed="false" customWidth="true" hidden="false" outlineLevel="0" max="11" min="11" style="0" width="21.43"/>
    <col collapsed="false" customWidth="true" hidden="false" outlineLevel="0" max="12" min="12" style="0" width="1.58"/>
    <col collapsed="false" customWidth="true" hidden="false" outlineLevel="0" max="13" min="13" style="0" width="2.29"/>
    <col collapsed="false" customWidth="true" hidden="false" outlineLevel="0" max="14" min="14" style="0" width="28.42"/>
    <col collapsed="false" customWidth="true" hidden="false" outlineLevel="0" max="15" min="15" style="0" width="13.43"/>
    <col collapsed="false" customWidth="true" hidden="false" outlineLevel="0" max="16" min="16" style="0" width="14.7"/>
    <col collapsed="false" customWidth="true" hidden="false" outlineLevel="0" max="17" min="17" style="0" width="5.86"/>
    <col collapsed="false" customWidth="true" hidden="false" outlineLevel="0" max="18" min="18" style="0" width="3.42"/>
    <col collapsed="false" customWidth="true" hidden="false" outlineLevel="0" max="19" min="19" style="0" width="7.71"/>
    <col collapsed="false" customWidth="true" hidden="false" outlineLevel="0" max="20" min="20" style="0" width="3.57"/>
    <col collapsed="false" customWidth="true" hidden="false" outlineLevel="0" max="21" min="21" style="0" width="11.99"/>
    <col collapsed="false" customWidth="true" hidden="false" outlineLevel="0" max="22" min="22" style="0" width="15.86"/>
    <col collapsed="false" customWidth="true" hidden="false" outlineLevel="0" max="23" min="23" style="0" width="16"/>
    <col collapsed="false" customWidth="true" hidden="false" outlineLevel="0" max="24" min="24" style="0" width="15.15"/>
    <col collapsed="false" customWidth="true" hidden="false" outlineLevel="0" max="25" min="25" style="0" width="6.15"/>
    <col collapsed="false" customWidth="true" hidden="false" outlineLevel="0" max="27" min="27" style="0" width="10"/>
    <col collapsed="false" customWidth="true" hidden="false" outlineLevel="0" max="29" min="28" style="0" width="7.71"/>
    <col collapsed="false" customWidth="true" hidden="false" outlineLevel="0" max="30" min="30" style="0" width="11.86"/>
    <col collapsed="false" customWidth="true" hidden="false" outlineLevel="0" max="31" min="31" style="0" width="12.71"/>
    <col collapsed="false" customWidth="true" hidden="false" outlineLevel="0" max="32" min="32" style="0" width="15.29"/>
    <col collapsed="false" customWidth="true" hidden="false" outlineLevel="0" max="33" min="33" style="0" width="15.57"/>
    <col collapsed="false" customWidth="true" hidden="false" outlineLevel="0" max="34" min="34" style="0" width="6.86"/>
    <col collapsed="false" customWidth="true" hidden="false" outlineLevel="0" max="36" min="35" style="0" width="10.99"/>
  </cols>
  <sheetData>
    <row r="1" s="2" customFormat="true" ht="50.25" hidden="false" customHeight="true" outlineLevel="0" collapsed="false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 t="s">
        <v>7</v>
      </c>
      <c r="I1" s="11" t="s">
        <v>2875</v>
      </c>
      <c r="J1" s="11" t="s">
        <v>9</v>
      </c>
      <c r="K1" s="12" t="s">
        <v>10</v>
      </c>
      <c r="L1" s="11" t="s">
        <v>11</v>
      </c>
      <c r="M1" s="11" t="s">
        <v>12</v>
      </c>
      <c r="N1" s="11" t="s">
        <v>13</v>
      </c>
      <c r="O1" s="13" t="s">
        <v>14</v>
      </c>
      <c r="P1" s="13" t="s">
        <v>15</v>
      </c>
      <c r="Q1" s="14" t="s">
        <v>16</v>
      </c>
      <c r="R1" s="15" t="s">
        <v>17</v>
      </c>
      <c r="S1" s="16" t="s">
        <v>18</v>
      </c>
      <c r="T1" s="17" t="s">
        <v>19</v>
      </c>
      <c r="U1" s="13" t="s">
        <v>2876</v>
      </c>
      <c r="V1" s="13" t="s">
        <v>2877</v>
      </c>
      <c r="W1" s="13" t="s">
        <v>2878</v>
      </c>
      <c r="X1" s="18" t="s">
        <v>2879</v>
      </c>
      <c r="Y1" s="19" t="s">
        <v>25</v>
      </c>
      <c r="Z1" s="19" t="s">
        <v>26</v>
      </c>
      <c r="AA1" s="19" t="s">
        <v>27</v>
      </c>
      <c r="AB1" s="19" t="s">
        <v>28</v>
      </c>
      <c r="AC1" s="19" t="s">
        <v>29</v>
      </c>
      <c r="AD1" s="19" t="s">
        <v>30</v>
      </c>
      <c r="AE1" s="10" t="s">
        <v>31</v>
      </c>
      <c r="AF1" s="218" t="s">
        <v>2880</v>
      </c>
      <c r="AG1" s="21" t="s">
        <v>2881</v>
      </c>
      <c r="AH1" s="20" t="s">
        <v>32</v>
      </c>
      <c r="AI1" s="219" t="s">
        <v>2882</v>
      </c>
      <c r="AJ1" s="21" t="s">
        <v>2883</v>
      </c>
      <c r="AK1" s="21" t="s">
        <v>37</v>
      </c>
    </row>
    <row r="2" s="2" customFormat="true" ht="12.75" hidden="false" customHeight="true" outlineLevel="0" collapsed="false">
      <c r="A2" s="26" t="n">
        <v>9</v>
      </c>
      <c r="B2" s="55" t="s">
        <v>2884</v>
      </c>
      <c r="C2" s="220" t="s">
        <v>2885</v>
      </c>
      <c r="D2" s="70" t="s">
        <v>73</v>
      </c>
      <c r="E2" s="55" t="n">
        <v>12.5</v>
      </c>
      <c r="F2" s="55" t="n">
        <v>3</v>
      </c>
      <c r="G2" s="55"/>
      <c r="H2" s="55" t="n">
        <v>2014</v>
      </c>
      <c r="I2" s="55" t="s">
        <v>2886</v>
      </c>
      <c r="J2" s="55" t="s">
        <v>74</v>
      </c>
      <c r="K2" s="86" t="s">
        <v>2887</v>
      </c>
      <c r="L2" s="59"/>
      <c r="M2" s="31" t="s">
        <v>2888</v>
      </c>
      <c r="N2" s="32" t="s">
        <v>2889</v>
      </c>
      <c r="O2" s="53" t="s">
        <v>100</v>
      </c>
      <c r="P2" s="53" t="s">
        <v>2890</v>
      </c>
      <c r="Q2" s="70" t="n">
        <v>1000</v>
      </c>
      <c r="R2" s="77" t="s">
        <v>457</v>
      </c>
      <c r="S2" s="35" t="n">
        <v>5220</v>
      </c>
      <c r="T2" s="59" t="s">
        <v>493</v>
      </c>
      <c r="U2" s="70" t="n">
        <v>951300.24</v>
      </c>
      <c r="V2" s="167" t="n">
        <v>12.21</v>
      </c>
      <c r="W2" s="206" t="n">
        <v>77131</v>
      </c>
      <c r="X2" s="206" t="n">
        <v>1550</v>
      </c>
      <c r="Y2" s="70" t="n">
        <v>2.2</v>
      </c>
      <c r="Z2" s="170" t="s">
        <v>80</v>
      </c>
      <c r="AA2" s="51" t="n">
        <v>41773</v>
      </c>
      <c r="AB2" s="51" t="n">
        <v>41782</v>
      </c>
      <c r="AC2" s="51" t="n">
        <v>41792</v>
      </c>
      <c r="AD2" s="221" t="n">
        <v>43521</v>
      </c>
      <c r="AE2" s="70" t="n">
        <f aca="false">YEAR(AD2)</f>
        <v>2019</v>
      </c>
      <c r="AF2" s="221" t="n">
        <v>43490</v>
      </c>
      <c r="AG2" s="55" t="n">
        <v>70038</v>
      </c>
      <c r="AH2" s="63" t="e">
        <f aca="false">W2/SUMIF($Y$2:$Y$2,Y2,$W$2:$W$2)*(VLOOKUP(Y2,'затраты по департаментам-2 '!$A$2:$C$182,2,FALSE())+VLOOKUP(Y2,'затраты по департаментам-2 '!$A$2:$C$182,3,FALSE()))</f>
        <v>#N/A</v>
      </c>
      <c r="AJ2" s="222"/>
      <c r="AK2" s="43" t="s">
        <v>2891</v>
      </c>
    </row>
    <row r="3" s="2" customFormat="true" ht="12.75" hidden="false" customHeight="true" outlineLevel="0" collapsed="false">
      <c r="A3" s="26" t="n">
        <v>26</v>
      </c>
      <c r="B3" s="152" t="s">
        <v>2892</v>
      </c>
      <c r="C3" s="43" t="s">
        <v>2893</v>
      </c>
      <c r="D3" s="28" t="s">
        <v>73</v>
      </c>
      <c r="E3" s="26" t="n">
        <v>4.84</v>
      </c>
      <c r="F3" s="125" t="n">
        <v>1.2</v>
      </c>
      <c r="G3" s="125"/>
      <c r="H3" s="55" t="n">
        <v>2014</v>
      </c>
      <c r="I3" s="55" t="n">
        <v>1451</v>
      </c>
      <c r="J3" s="43" t="s">
        <v>74</v>
      </c>
      <c r="K3" s="86" t="s">
        <v>2887</v>
      </c>
      <c r="L3" s="28"/>
      <c r="M3" s="31"/>
      <c r="N3" s="32" t="s">
        <v>1090</v>
      </c>
      <c r="O3" s="28" t="s">
        <v>100</v>
      </c>
      <c r="P3" s="28" t="s">
        <v>593</v>
      </c>
      <c r="Q3" s="33" t="n">
        <v>7021</v>
      </c>
      <c r="R3" s="34" t="s">
        <v>171</v>
      </c>
      <c r="S3" s="35" t="n">
        <v>4133</v>
      </c>
      <c r="T3" s="35" t="s">
        <v>172</v>
      </c>
      <c r="U3" s="28" t="n">
        <v>238192.76</v>
      </c>
      <c r="V3" s="60" t="n">
        <v>13.659408</v>
      </c>
      <c r="W3" s="112" t="n">
        <f aca="false">U3/V3</f>
        <v>17438.0002412989</v>
      </c>
      <c r="X3" s="112" t="n">
        <v>399.5</v>
      </c>
      <c r="Y3" s="28" t="n">
        <v>2.3</v>
      </c>
      <c r="Z3" s="62" t="s">
        <v>80</v>
      </c>
      <c r="AA3" s="38" t="n">
        <v>41877</v>
      </c>
      <c r="AB3" s="38" t="n">
        <v>41958</v>
      </c>
      <c r="AC3" s="38" t="n">
        <v>41955</v>
      </c>
      <c r="AD3" s="50" t="n">
        <v>43597</v>
      </c>
      <c r="AE3" s="70" t="n">
        <f aca="false">YEAR(AD3)</f>
        <v>2019</v>
      </c>
      <c r="AF3" s="223" t="n">
        <v>43528</v>
      </c>
      <c r="AG3" s="55" t="n">
        <v>117627</v>
      </c>
      <c r="AH3" s="43" t="s">
        <v>2894</v>
      </c>
    </row>
    <row r="4" s="2" customFormat="true" ht="12.75" hidden="false" customHeight="true" outlineLevel="0" collapsed="false">
      <c r="A4" s="26" t="n">
        <v>22</v>
      </c>
      <c r="B4" s="152" t="s">
        <v>2895</v>
      </c>
      <c r="C4" s="43" t="s">
        <v>2893</v>
      </c>
      <c r="D4" s="28" t="s">
        <v>73</v>
      </c>
      <c r="E4" s="26" t="n">
        <v>4.84</v>
      </c>
      <c r="F4" s="125" t="n">
        <v>1.2</v>
      </c>
      <c r="G4" s="125"/>
      <c r="H4" s="55" t="n">
        <v>2014</v>
      </c>
      <c r="I4" s="55" t="n">
        <v>1451</v>
      </c>
      <c r="J4" s="43" t="s">
        <v>74</v>
      </c>
      <c r="K4" s="30" t="s">
        <v>341</v>
      </c>
      <c r="L4" s="35"/>
      <c r="M4" s="31" t="s">
        <v>342</v>
      </c>
      <c r="N4" s="32" t="s">
        <v>289</v>
      </c>
      <c r="O4" s="224" t="s">
        <v>343</v>
      </c>
      <c r="P4" s="28" t="s">
        <v>2896</v>
      </c>
      <c r="Q4" s="33" t="n">
        <v>1000</v>
      </c>
      <c r="R4" s="34" t="s">
        <v>171</v>
      </c>
      <c r="S4" s="35" t="n">
        <v>4146</v>
      </c>
      <c r="T4" s="35" t="s">
        <v>172</v>
      </c>
      <c r="U4" s="28" t="n">
        <v>238192.76</v>
      </c>
      <c r="V4" s="60" t="n">
        <v>13.659408</v>
      </c>
      <c r="W4" s="112" t="n">
        <f aca="false">U4/V4</f>
        <v>17438.0002412989</v>
      </c>
      <c r="X4" s="112" t="n">
        <v>399.5</v>
      </c>
      <c r="Y4" s="28" t="n">
        <v>2.3</v>
      </c>
      <c r="Z4" s="62" t="s">
        <v>80</v>
      </c>
      <c r="AA4" s="38" t="n">
        <v>41877</v>
      </c>
      <c r="AB4" s="38" t="n">
        <v>41958</v>
      </c>
      <c r="AC4" s="38" t="n">
        <v>41955</v>
      </c>
      <c r="AD4" s="50" t="n">
        <v>43597</v>
      </c>
      <c r="AE4" s="70" t="n">
        <f aca="false">YEAR(AD4)</f>
        <v>2019</v>
      </c>
      <c r="AF4" s="223" t="n">
        <v>43535</v>
      </c>
      <c r="AG4" s="55" t="n">
        <v>109531</v>
      </c>
      <c r="AH4" s="43" t="s">
        <v>2897</v>
      </c>
    </row>
    <row r="5" s="2" customFormat="true" ht="12.75" hidden="false" customHeight="true" outlineLevel="0" collapsed="false">
      <c r="A5" s="26" t="n">
        <v>32</v>
      </c>
      <c r="B5" s="152" t="s">
        <v>2898</v>
      </c>
      <c r="C5" s="43" t="s">
        <v>2893</v>
      </c>
      <c r="D5" s="28" t="s">
        <v>73</v>
      </c>
      <c r="E5" s="26" t="n">
        <v>4.84</v>
      </c>
      <c r="F5" s="125" t="n">
        <v>1.2</v>
      </c>
      <c r="G5" s="125"/>
      <c r="H5" s="55" t="n">
        <v>2014</v>
      </c>
      <c r="I5" s="55" t="n">
        <v>1451</v>
      </c>
      <c r="J5" s="43" t="s">
        <v>74</v>
      </c>
      <c r="K5" s="30" t="s">
        <v>324</v>
      </c>
      <c r="L5" s="35"/>
      <c r="M5" s="31" t="s">
        <v>325</v>
      </c>
      <c r="N5" s="32" t="s">
        <v>1090</v>
      </c>
      <c r="O5" s="28" t="s">
        <v>326</v>
      </c>
      <c r="P5" s="28" t="s">
        <v>52</v>
      </c>
      <c r="Q5" s="33" t="n">
        <v>7050</v>
      </c>
      <c r="R5" s="34" t="s">
        <v>171</v>
      </c>
      <c r="S5" s="35" t="n">
        <v>4131</v>
      </c>
      <c r="T5" s="35" t="s">
        <v>172</v>
      </c>
      <c r="U5" s="28" t="n">
        <v>238192.76</v>
      </c>
      <c r="V5" s="60" t="n">
        <v>13.659408</v>
      </c>
      <c r="W5" s="112" t="n">
        <f aca="false">U5/V5</f>
        <v>17438.0002412989</v>
      </c>
      <c r="X5" s="112" t="n">
        <v>399.5</v>
      </c>
      <c r="Y5" s="28" t="n">
        <v>2.3</v>
      </c>
      <c r="Z5" s="62" t="s">
        <v>80</v>
      </c>
      <c r="AA5" s="38" t="n">
        <v>41877</v>
      </c>
      <c r="AB5" s="38" t="n">
        <v>41958</v>
      </c>
      <c r="AC5" s="38" t="n">
        <v>41955</v>
      </c>
      <c r="AD5" s="50" t="n">
        <v>43597</v>
      </c>
      <c r="AE5" s="70" t="n">
        <f aca="false">YEAR(AD5)</f>
        <v>2019</v>
      </c>
      <c r="AF5" s="223" t="n">
        <v>43535</v>
      </c>
      <c r="AG5" s="55" t="n">
        <v>117265</v>
      </c>
      <c r="AH5" s="43" t="s">
        <v>2899</v>
      </c>
    </row>
    <row r="6" s="2" customFormat="true" ht="12.75" hidden="false" customHeight="true" outlineLevel="0" collapsed="false">
      <c r="A6" s="26" t="n">
        <v>21</v>
      </c>
      <c r="B6" s="152" t="s">
        <v>2900</v>
      </c>
      <c r="C6" s="43" t="s">
        <v>2893</v>
      </c>
      <c r="D6" s="28" t="s">
        <v>73</v>
      </c>
      <c r="E6" s="26" t="n">
        <v>4.84</v>
      </c>
      <c r="F6" s="125" t="n">
        <v>1.2</v>
      </c>
      <c r="G6" s="125"/>
      <c r="H6" s="55" t="n">
        <v>2014</v>
      </c>
      <c r="I6" s="55" t="n">
        <v>1451</v>
      </c>
      <c r="J6" s="43" t="s">
        <v>74</v>
      </c>
      <c r="K6" s="30" t="s">
        <v>363</v>
      </c>
      <c r="L6" s="27"/>
      <c r="M6" s="31" t="s">
        <v>364</v>
      </c>
      <c r="N6" s="32" t="s">
        <v>1090</v>
      </c>
      <c r="O6" s="28" t="s">
        <v>365</v>
      </c>
      <c r="P6" s="28" t="s">
        <v>2896</v>
      </c>
      <c r="Q6" s="33" t="n">
        <v>7061</v>
      </c>
      <c r="R6" s="34" t="s">
        <v>171</v>
      </c>
      <c r="S6" s="35" t="n">
        <v>4136</v>
      </c>
      <c r="T6" s="35" t="s">
        <v>172</v>
      </c>
      <c r="U6" s="28" t="n">
        <v>238192.76</v>
      </c>
      <c r="V6" s="60" t="n">
        <v>13.659408</v>
      </c>
      <c r="W6" s="112" t="n">
        <f aca="false">U6/V6</f>
        <v>17438.0002412989</v>
      </c>
      <c r="X6" s="112" t="n">
        <v>399.5</v>
      </c>
      <c r="Y6" s="28" t="n">
        <v>2.3</v>
      </c>
      <c r="Z6" s="62" t="s">
        <v>80</v>
      </c>
      <c r="AA6" s="38" t="n">
        <v>41877</v>
      </c>
      <c r="AB6" s="38" t="n">
        <v>41958</v>
      </c>
      <c r="AC6" s="38" t="n">
        <v>41955</v>
      </c>
      <c r="AD6" s="50" t="n">
        <v>43597</v>
      </c>
      <c r="AE6" s="70" t="n">
        <f aca="false">YEAR(AD6)</f>
        <v>2019</v>
      </c>
      <c r="AF6" s="223" t="n">
        <v>43535</v>
      </c>
      <c r="AG6" s="55" t="n">
        <v>137560</v>
      </c>
      <c r="AH6" s="43" t="s">
        <v>2901</v>
      </c>
    </row>
    <row r="7" s="2" customFormat="true" ht="12.75" hidden="false" customHeight="true" outlineLevel="0" collapsed="false">
      <c r="A7" s="26" t="n">
        <v>29</v>
      </c>
      <c r="B7" s="152" t="s">
        <v>2902</v>
      </c>
      <c r="C7" s="43" t="s">
        <v>2893</v>
      </c>
      <c r="D7" s="28" t="s">
        <v>73</v>
      </c>
      <c r="E7" s="26" t="n">
        <v>4.84</v>
      </c>
      <c r="F7" s="125" t="n">
        <v>1.2</v>
      </c>
      <c r="G7" s="125"/>
      <c r="H7" s="55" t="n">
        <v>2014</v>
      </c>
      <c r="I7" s="55" t="n">
        <v>1451</v>
      </c>
      <c r="J7" s="43" t="s">
        <v>74</v>
      </c>
      <c r="K7" s="30" t="s">
        <v>2667</v>
      </c>
      <c r="L7" s="225"/>
      <c r="M7" s="31" t="s">
        <v>2668</v>
      </c>
      <c r="N7" s="32" t="s">
        <v>1090</v>
      </c>
      <c r="O7" s="83" t="s">
        <v>928</v>
      </c>
      <c r="P7" s="226" t="s">
        <v>2903</v>
      </c>
      <c r="Q7" s="33" t="n">
        <v>7072</v>
      </c>
      <c r="R7" s="68" t="s">
        <v>171</v>
      </c>
      <c r="S7" s="35" t="s">
        <v>2904</v>
      </c>
      <c r="T7" s="35" t="s">
        <v>172</v>
      </c>
      <c r="U7" s="28" t="n">
        <v>238192.76</v>
      </c>
      <c r="V7" s="60" t="n">
        <v>13.659408</v>
      </c>
      <c r="W7" s="112" t="n">
        <f aca="false">U7/V7</f>
        <v>17438.0002412989</v>
      </c>
      <c r="X7" s="112" t="n">
        <v>399.5</v>
      </c>
      <c r="Y7" s="28" t="n">
        <v>2.3</v>
      </c>
      <c r="Z7" s="62" t="s">
        <v>80</v>
      </c>
      <c r="AA7" s="38" t="n">
        <v>41877</v>
      </c>
      <c r="AB7" s="38" t="n">
        <v>41958</v>
      </c>
      <c r="AC7" s="38" t="n">
        <v>41955</v>
      </c>
      <c r="AD7" s="50" t="n">
        <v>43597</v>
      </c>
      <c r="AE7" s="70" t="n">
        <f aca="false">YEAR(AD7)</f>
        <v>2019</v>
      </c>
      <c r="AF7" s="223" t="n">
        <v>43536</v>
      </c>
      <c r="AG7" s="55" t="n">
        <v>132131</v>
      </c>
      <c r="AH7" s="43" t="s">
        <v>2905</v>
      </c>
    </row>
    <row r="8" s="2" customFormat="true" ht="12.75" hidden="false" customHeight="true" outlineLevel="0" collapsed="false">
      <c r="A8" s="26" t="n">
        <v>28</v>
      </c>
      <c r="B8" s="152" t="s">
        <v>2906</v>
      </c>
      <c r="C8" s="43" t="s">
        <v>2893</v>
      </c>
      <c r="D8" s="28" t="s">
        <v>73</v>
      </c>
      <c r="E8" s="26" t="n">
        <v>4.84</v>
      </c>
      <c r="F8" s="125" t="n">
        <v>1.2</v>
      </c>
      <c r="G8" s="125"/>
      <c r="H8" s="55" t="n">
        <v>2014</v>
      </c>
      <c r="I8" s="55" t="n">
        <v>1451</v>
      </c>
      <c r="J8" s="43" t="s">
        <v>74</v>
      </c>
      <c r="K8" s="30" t="s">
        <v>2530</v>
      </c>
      <c r="L8" s="193"/>
      <c r="M8" s="31" t="s">
        <v>2531</v>
      </c>
      <c r="N8" s="32" t="s">
        <v>1090</v>
      </c>
      <c r="O8" s="28" t="s">
        <v>961</v>
      </c>
      <c r="P8" s="28" t="s">
        <v>52</v>
      </c>
      <c r="Q8" s="28" t="n">
        <v>7010</v>
      </c>
      <c r="R8" s="34" t="s">
        <v>171</v>
      </c>
      <c r="S8" s="28" t="n">
        <v>4131</v>
      </c>
      <c r="T8" s="35" t="s">
        <v>172</v>
      </c>
      <c r="U8" s="28" t="n">
        <v>238192.76</v>
      </c>
      <c r="V8" s="60" t="n">
        <v>13.659408</v>
      </c>
      <c r="W8" s="112" t="n">
        <f aca="false">U8/V8</f>
        <v>17438.0002412989</v>
      </c>
      <c r="X8" s="112" t="n">
        <v>399.5</v>
      </c>
      <c r="Y8" s="28" t="n">
        <v>2.3</v>
      </c>
      <c r="Z8" s="62" t="s">
        <v>80</v>
      </c>
      <c r="AA8" s="38" t="n">
        <v>41877</v>
      </c>
      <c r="AB8" s="38" t="n">
        <v>41958</v>
      </c>
      <c r="AC8" s="38" t="n">
        <v>41955</v>
      </c>
      <c r="AD8" s="50" t="n">
        <v>43597</v>
      </c>
      <c r="AE8" s="70" t="n">
        <f aca="false">YEAR(AD8)</f>
        <v>2019</v>
      </c>
      <c r="AF8" s="223" t="n">
        <v>43536</v>
      </c>
      <c r="AG8" s="55" t="n">
        <v>107244</v>
      </c>
      <c r="AH8" s="43" t="s">
        <v>2907</v>
      </c>
    </row>
    <row r="9" s="2" customFormat="true" ht="12.75" hidden="false" customHeight="true" outlineLevel="0" collapsed="false">
      <c r="A9" s="26" t="n">
        <v>23</v>
      </c>
      <c r="B9" s="152" t="s">
        <v>2908</v>
      </c>
      <c r="C9" s="43" t="s">
        <v>2893</v>
      </c>
      <c r="D9" s="28" t="s">
        <v>73</v>
      </c>
      <c r="E9" s="26" t="n">
        <v>4.84</v>
      </c>
      <c r="F9" s="125" t="n">
        <v>1.2</v>
      </c>
      <c r="G9" s="125"/>
      <c r="H9" s="55" t="n">
        <v>2014</v>
      </c>
      <c r="I9" s="55" t="n">
        <v>1451</v>
      </c>
      <c r="J9" s="43" t="s">
        <v>74</v>
      </c>
      <c r="K9" s="30" t="s">
        <v>2909</v>
      </c>
      <c r="L9" s="28"/>
      <c r="M9" s="31" t="s">
        <v>217</v>
      </c>
      <c r="N9" s="32" t="s">
        <v>168</v>
      </c>
      <c r="O9" s="57" t="s">
        <v>218</v>
      </c>
      <c r="P9" s="28" t="s">
        <v>52</v>
      </c>
      <c r="Q9" s="33" t="n">
        <v>9000</v>
      </c>
      <c r="R9" s="34" t="s">
        <v>171</v>
      </c>
      <c r="S9" s="35" t="n">
        <v>4171</v>
      </c>
      <c r="T9" s="35" t="s">
        <v>172</v>
      </c>
      <c r="U9" s="28" t="n">
        <v>238192.76</v>
      </c>
      <c r="V9" s="60" t="n">
        <v>13.659408</v>
      </c>
      <c r="W9" s="112" t="n">
        <f aca="false">U9/V9</f>
        <v>17438.0002412989</v>
      </c>
      <c r="X9" s="112" t="n">
        <v>399.5</v>
      </c>
      <c r="Y9" s="28" t="n">
        <v>2.3</v>
      </c>
      <c r="Z9" s="62" t="s">
        <v>80</v>
      </c>
      <c r="AA9" s="38" t="n">
        <v>41877</v>
      </c>
      <c r="AB9" s="38" t="n">
        <v>41958</v>
      </c>
      <c r="AC9" s="38" t="n">
        <v>41955</v>
      </c>
      <c r="AD9" s="50" t="n">
        <v>43597</v>
      </c>
      <c r="AE9" s="70" t="n">
        <f aca="false">YEAR(AD9)</f>
        <v>2019</v>
      </c>
      <c r="AF9" s="223" t="n">
        <v>43536</v>
      </c>
      <c r="AG9" s="55" t="n">
        <v>131096</v>
      </c>
      <c r="AH9" s="43" t="s">
        <v>2910</v>
      </c>
    </row>
    <row r="10" s="2" customFormat="true" ht="12.75" hidden="false" customHeight="true" outlineLevel="0" collapsed="false">
      <c r="A10" s="26" t="n">
        <v>31</v>
      </c>
      <c r="B10" s="152" t="s">
        <v>2911</v>
      </c>
      <c r="C10" s="43" t="s">
        <v>2893</v>
      </c>
      <c r="D10" s="28" t="s">
        <v>73</v>
      </c>
      <c r="E10" s="26" t="n">
        <v>4.84</v>
      </c>
      <c r="F10" s="125" t="n">
        <v>1.2</v>
      </c>
      <c r="G10" s="125"/>
      <c r="H10" s="55" t="n">
        <v>2014</v>
      </c>
      <c r="I10" s="55" t="n">
        <v>1451</v>
      </c>
      <c r="J10" s="43" t="s">
        <v>74</v>
      </c>
      <c r="K10" s="30" t="s">
        <v>2537</v>
      </c>
      <c r="L10" s="35"/>
      <c r="M10" s="31" t="s">
        <v>2538</v>
      </c>
      <c r="N10" s="32" t="s">
        <v>1090</v>
      </c>
      <c r="O10" s="70" t="s">
        <v>373</v>
      </c>
      <c r="P10" s="28" t="s">
        <v>593</v>
      </c>
      <c r="Q10" s="33" t="n">
        <v>7032</v>
      </c>
      <c r="R10" s="34" t="s">
        <v>171</v>
      </c>
      <c r="S10" s="35" t="n">
        <v>4133</v>
      </c>
      <c r="T10" s="35" t="s">
        <v>172</v>
      </c>
      <c r="U10" s="28" t="n">
        <v>238192.76</v>
      </c>
      <c r="V10" s="60" t="n">
        <v>13.659408</v>
      </c>
      <c r="W10" s="112" t="n">
        <f aca="false">U10/V10</f>
        <v>17438.0002412989</v>
      </c>
      <c r="X10" s="112" t="n">
        <v>399.5</v>
      </c>
      <c r="Y10" s="28" t="n">
        <v>2.3</v>
      </c>
      <c r="Z10" s="62" t="s">
        <v>80</v>
      </c>
      <c r="AA10" s="38" t="n">
        <v>41877</v>
      </c>
      <c r="AB10" s="38" t="n">
        <v>41958</v>
      </c>
      <c r="AC10" s="38" t="n">
        <v>41955</v>
      </c>
      <c r="AD10" s="50" t="n">
        <v>43597</v>
      </c>
      <c r="AE10" s="70" t="n">
        <f aca="false">YEAR(AD10)</f>
        <v>2019</v>
      </c>
      <c r="AF10" s="223" t="n">
        <v>43537</v>
      </c>
      <c r="AG10" s="55" t="n">
        <v>144382</v>
      </c>
      <c r="AH10" s="43" t="s">
        <v>2912</v>
      </c>
    </row>
    <row r="11" s="2" customFormat="true" ht="12.75" hidden="false" customHeight="true" outlineLevel="0" collapsed="false">
      <c r="A11" s="26" t="n">
        <v>25</v>
      </c>
      <c r="B11" s="152" t="s">
        <v>2913</v>
      </c>
      <c r="C11" s="43" t="s">
        <v>2893</v>
      </c>
      <c r="D11" s="28" t="s">
        <v>73</v>
      </c>
      <c r="E11" s="26" t="n">
        <v>4.84</v>
      </c>
      <c r="F11" s="125" t="n">
        <v>1.2</v>
      </c>
      <c r="G11" s="125"/>
      <c r="H11" s="55" t="n">
        <v>2014</v>
      </c>
      <c r="I11" s="55" t="n">
        <v>1451</v>
      </c>
      <c r="J11" s="43" t="s">
        <v>74</v>
      </c>
      <c r="K11" s="30" t="s">
        <v>371</v>
      </c>
      <c r="L11" s="28"/>
      <c r="M11" s="31" t="s">
        <v>372</v>
      </c>
      <c r="N11" s="32" t="s">
        <v>1090</v>
      </c>
      <c r="O11" s="28" t="s">
        <v>373</v>
      </c>
      <c r="P11" s="28" t="s">
        <v>593</v>
      </c>
      <c r="Q11" s="33" t="n">
        <v>7032</v>
      </c>
      <c r="R11" s="34" t="s">
        <v>171</v>
      </c>
      <c r="S11" s="35" t="n">
        <v>4133</v>
      </c>
      <c r="T11" s="35" t="s">
        <v>172</v>
      </c>
      <c r="U11" s="28" t="n">
        <v>238192.76</v>
      </c>
      <c r="V11" s="60" t="n">
        <v>13.659408</v>
      </c>
      <c r="W11" s="112" t="n">
        <f aca="false">U11/V11</f>
        <v>17438.0002412989</v>
      </c>
      <c r="X11" s="112" t="n">
        <v>399.5</v>
      </c>
      <c r="Y11" s="28" t="n">
        <v>2.3</v>
      </c>
      <c r="Z11" s="62" t="s">
        <v>80</v>
      </c>
      <c r="AA11" s="38" t="n">
        <v>41877</v>
      </c>
      <c r="AB11" s="38" t="n">
        <v>41958</v>
      </c>
      <c r="AC11" s="38" t="n">
        <v>41955</v>
      </c>
      <c r="AD11" s="50" t="n">
        <v>43597</v>
      </c>
      <c r="AE11" s="70" t="n">
        <f aca="false">YEAR(AD11)</f>
        <v>2019</v>
      </c>
      <c r="AF11" s="223" t="n">
        <v>43537</v>
      </c>
      <c r="AG11" s="55" t="n">
        <v>138689</v>
      </c>
      <c r="AH11" s="43" t="s">
        <v>2914</v>
      </c>
    </row>
    <row r="12" s="2" customFormat="true" ht="12.75" hidden="false" customHeight="true" outlineLevel="0" collapsed="false">
      <c r="A12" s="26" t="n">
        <v>24</v>
      </c>
      <c r="B12" s="152" t="s">
        <v>2915</v>
      </c>
      <c r="C12" s="43" t="s">
        <v>2893</v>
      </c>
      <c r="D12" s="28" t="s">
        <v>73</v>
      </c>
      <c r="E12" s="26" t="n">
        <v>4.84</v>
      </c>
      <c r="F12" s="125" t="n">
        <v>1.2</v>
      </c>
      <c r="G12" s="125"/>
      <c r="H12" s="55" t="n">
        <v>2014</v>
      </c>
      <c r="I12" s="55" t="n">
        <v>1451</v>
      </c>
      <c r="J12" s="43" t="s">
        <v>74</v>
      </c>
      <c r="K12" s="30" t="s">
        <v>2916</v>
      </c>
      <c r="L12" s="28"/>
      <c r="M12" s="31" t="s">
        <v>2917</v>
      </c>
      <c r="N12" s="32" t="s">
        <v>289</v>
      </c>
      <c r="O12" s="28" t="s">
        <v>100</v>
      </c>
      <c r="P12" s="28" t="s">
        <v>593</v>
      </c>
      <c r="Q12" s="33" t="n">
        <v>4000</v>
      </c>
      <c r="R12" s="34" t="s">
        <v>92</v>
      </c>
      <c r="S12" s="35" t="n">
        <v>4143</v>
      </c>
      <c r="T12" s="35" t="s">
        <v>172</v>
      </c>
      <c r="U12" s="28" t="n">
        <v>238192.76</v>
      </c>
      <c r="V12" s="60" t="n">
        <v>13.659408</v>
      </c>
      <c r="W12" s="112" t="n">
        <f aca="false">U12/V12</f>
        <v>17438.0002412989</v>
      </c>
      <c r="X12" s="112" t="n">
        <v>399.5</v>
      </c>
      <c r="Y12" s="28" t="n">
        <v>2.3</v>
      </c>
      <c r="Z12" s="62" t="s">
        <v>80</v>
      </c>
      <c r="AA12" s="38" t="n">
        <v>41877</v>
      </c>
      <c r="AB12" s="38" t="n">
        <v>41958</v>
      </c>
      <c r="AC12" s="38" t="n">
        <v>41955</v>
      </c>
      <c r="AD12" s="50" t="n">
        <v>43597</v>
      </c>
      <c r="AE12" s="70" t="n">
        <f aca="false">YEAR(AD12)</f>
        <v>2019</v>
      </c>
      <c r="AF12" s="223" t="n">
        <v>43537</v>
      </c>
      <c r="AG12" s="55" t="n">
        <v>129195</v>
      </c>
      <c r="AH12" s="43" t="s">
        <v>2918</v>
      </c>
    </row>
    <row r="13" s="2" customFormat="true" ht="12.75" hidden="false" customHeight="true" outlineLevel="0" collapsed="false">
      <c r="A13" s="26" t="n">
        <v>27</v>
      </c>
      <c r="B13" s="152" t="s">
        <v>2919</v>
      </c>
      <c r="C13" s="43" t="s">
        <v>2893</v>
      </c>
      <c r="D13" s="28" t="s">
        <v>73</v>
      </c>
      <c r="E13" s="26" t="n">
        <v>4.84</v>
      </c>
      <c r="F13" s="125" t="n">
        <v>1.2</v>
      </c>
      <c r="G13" s="125"/>
      <c r="H13" s="55" t="n">
        <v>2014</v>
      </c>
      <c r="I13" s="55" t="n">
        <v>1451</v>
      </c>
      <c r="J13" s="43" t="s">
        <v>74</v>
      </c>
      <c r="K13" s="30" t="s">
        <v>2015</v>
      </c>
      <c r="L13" s="35"/>
      <c r="M13" s="31" t="s">
        <v>2016</v>
      </c>
      <c r="N13" s="32" t="s">
        <v>168</v>
      </c>
      <c r="O13" s="28" t="s">
        <v>373</v>
      </c>
      <c r="P13" s="28" t="s">
        <v>593</v>
      </c>
      <c r="Q13" s="28" t="n">
        <v>9000</v>
      </c>
      <c r="R13" s="34" t="s">
        <v>171</v>
      </c>
      <c r="S13" s="35" t="n">
        <v>4133</v>
      </c>
      <c r="T13" s="35" t="s">
        <v>172</v>
      </c>
      <c r="U13" s="28" t="n">
        <v>238192.76</v>
      </c>
      <c r="V13" s="60" t="n">
        <v>13.659408</v>
      </c>
      <c r="W13" s="112" t="n">
        <f aca="false">U13/V13</f>
        <v>17438.0002412989</v>
      </c>
      <c r="X13" s="112" t="n">
        <v>399.5</v>
      </c>
      <c r="Y13" s="28" t="n">
        <v>2.3</v>
      </c>
      <c r="Z13" s="62" t="s">
        <v>80</v>
      </c>
      <c r="AA13" s="38" t="n">
        <v>41877</v>
      </c>
      <c r="AB13" s="38" t="n">
        <v>41958</v>
      </c>
      <c r="AC13" s="38" t="n">
        <v>41955</v>
      </c>
      <c r="AD13" s="50" t="n">
        <v>43597</v>
      </c>
      <c r="AE13" s="70" t="n">
        <f aca="false">YEAR(AD13)</f>
        <v>2019</v>
      </c>
      <c r="AF13" s="223" t="n">
        <v>43537</v>
      </c>
      <c r="AG13" s="125" t="n">
        <v>114738</v>
      </c>
      <c r="AH13" s="43" t="s">
        <v>2920</v>
      </c>
    </row>
    <row r="14" s="2" customFormat="true" ht="12.75" hidden="false" customHeight="true" outlineLevel="0" collapsed="false">
      <c r="A14" s="26" t="n">
        <v>33</v>
      </c>
      <c r="B14" s="152" t="s">
        <v>2921</v>
      </c>
      <c r="C14" s="43" t="s">
        <v>2893</v>
      </c>
      <c r="D14" s="28" t="s">
        <v>73</v>
      </c>
      <c r="E14" s="26" t="n">
        <v>4.84</v>
      </c>
      <c r="F14" s="125" t="n">
        <v>1.2</v>
      </c>
      <c r="G14" s="125"/>
      <c r="H14" s="55" t="n">
        <v>2014</v>
      </c>
      <c r="I14" s="55" t="n">
        <v>1451</v>
      </c>
      <c r="J14" s="43" t="s">
        <v>74</v>
      </c>
      <c r="K14" s="30" t="s">
        <v>225</v>
      </c>
      <c r="L14" s="28"/>
      <c r="M14" s="31" t="s">
        <v>226</v>
      </c>
      <c r="N14" s="32" t="s">
        <v>2922</v>
      </c>
      <c r="O14" s="28" t="s">
        <v>197</v>
      </c>
      <c r="P14" s="28" t="s">
        <v>2923</v>
      </c>
      <c r="Q14" s="33" t="n">
        <v>1000</v>
      </c>
      <c r="R14" s="34" t="s">
        <v>189</v>
      </c>
      <c r="S14" s="35" t="n">
        <v>4174</v>
      </c>
      <c r="T14" s="35" t="s">
        <v>172</v>
      </c>
      <c r="U14" s="28" t="n">
        <v>238192.76</v>
      </c>
      <c r="V14" s="60" t="n">
        <v>13.659408</v>
      </c>
      <c r="W14" s="112" t="n">
        <f aca="false">U14/V14</f>
        <v>17438.0002412989</v>
      </c>
      <c r="X14" s="112" t="n">
        <v>399.5</v>
      </c>
      <c r="Y14" s="28" t="n">
        <v>2.3</v>
      </c>
      <c r="Z14" s="62" t="s">
        <v>80</v>
      </c>
      <c r="AA14" s="38" t="n">
        <v>41877</v>
      </c>
      <c r="AB14" s="38" t="n">
        <v>41958</v>
      </c>
      <c r="AC14" s="38" t="n">
        <v>41955</v>
      </c>
      <c r="AD14" s="50" t="n">
        <v>43597</v>
      </c>
      <c r="AE14" s="70" t="n">
        <f aca="false">YEAR(AD14)</f>
        <v>2019</v>
      </c>
      <c r="AF14" s="223" t="n">
        <v>43542</v>
      </c>
      <c r="AG14" s="125" t="n">
        <v>73512</v>
      </c>
      <c r="AH14" s="43" t="s">
        <v>2924</v>
      </c>
    </row>
    <row r="15" s="2" customFormat="true" ht="12.75" hidden="false" customHeight="true" outlineLevel="0" collapsed="false">
      <c r="A15" s="26" t="n">
        <v>30</v>
      </c>
      <c r="B15" s="152" t="s">
        <v>2925</v>
      </c>
      <c r="C15" s="43" t="s">
        <v>2893</v>
      </c>
      <c r="D15" s="28" t="s">
        <v>73</v>
      </c>
      <c r="E15" s="26" t="n">
        <v>4.84</v>
      </c>
      <c r="F15" s="125" t="n">
        <v>1.2</v>
      </c>
      <c r="G15" s="125"/>
      <c r="H15" s="55" t="n">
        <v>2014</v>
      </c>
      <c r="I15" s="55" t="n">
        <v>1451</v>
      </c>
      <c r="J15" s="43" t="s">
        <v>74</v>
      </c>
      <c r="K15" s="30" t="s">
        <v>2551</v>
      </c>
      <c r="L15" s="35"/>
      <c r="M15" s="31" t="s">
        <v>2552</v>
      </c>
      <c r="N15" s="32" t="s">
        <v>1090</v>
      </c>
      <c r="O15" s="28" t="s">
        <v>60</v>
      </c>
      <c r="P15" s="28" t="s">
        <v>61</v>
      </c>
      <c r="Q15" s="33" t="n">
        <v>7081</v>
      </c>
      <c r="R15" s="34" t="s">
        <v>171</v>
      </c>
      <c r="S15" s="35" t="n">
        <v>4138</v>
      </c>
      <c r="T15" s="35" t="s">
        <v>172</v>
      </c>
      <c r="U15" s="28" t="n">
        <v>238192.76</v>
      </c>
      <c r="V15" s="60" t="n">
        <v>13.659408</v>
      </c>
      <c r="W15" s="112" t="n">
        <f aca="false">U15/V15</f>
        <v>17438.0002412989</v>
      </c>
      <c r="X15" s="112" t="n">
        <v>399.5</v>
      </c>
      <c r="Y15" s="28" t="n">
        <v>2.3</v>
      </c>
      <c r="Z15" s="62" t="s">
        <v>80</v>
      </c>
      <c r="AA15" s="38" t="n">
        <v>41877</v>
      </c>
      <c r="AB15" s="38" t="n">
        <v>41958</v>
      </c>
      <c r="AC15" s="38" t="n">
        <v>41955</v>
      </c>
      <c r="AD15" s="50" t="n">
        <v>43597</v>
      </c>
      <c r="AE15" s="70" t="n">
        <f aca="false">YEAR(AD15)</f>
        <v>2019</v>
      </c>
      <c r="AF15" s="223" t="n">
        <v>43542</v>
      </c>
      <c r="AH15" s="43" t="s">
        <v>2926</v>
      </c>
      <c r="AI15" s="223" t="n">
        <v>43572</v>
      </c>
    </row>
    <row r="16" s="2" customFormat="true" ht="12.75" hidden="false" customHeight="true" outlineLevel="0" collapsed="false">
      <c r="A16" s="26" t="n">
        <v>7</v>
      </c>
      <c r="B16" s="227" t="s">
        <v>2927</v>
      </c>
      <c r="C16" s="220" t="s">
        <v>2928</v>
      </c>
      <c r="D16" s="70" t="s">
        <v>73</v>
      </c>
      <c r="E16" s="43" t="n">
        <v>6.2</v>
      </c>
      <c r="F16" s="43" t="n">
        <v>2</v>
      </c>
      <c r="G16" s="55"/>
      <c r="H16" s="55" t="n">
        <v>2014</v>
      </c>
      <c r="I16" s="55" t="n">
        <v>1451</v>
      </c>
      <c r="J16" s="55" t="s">
        <v>74</v>
      </c>
      <c r="K16" s="30" t="s">
        <v>151</v>
      </c>
      <c r="L16" s="35"/>
      <c r="M16" s="31" t="s">
        <v>152</v>
      </c>
      <c r="N16" s="32" t="s">
        <v>141</v>
      </c>
      <c r="O16" s="28" t="s">
        <v>60</v>
      </c>
      <c r="P16" s="28" t="s">
        <v>61</v>
      </c>
      <c r="Q16" s="28" t="n">
        <v>6000</v>
      </c>
      <c r="R16" s="34" t="s">
        <v>144</v>
      </c>
      <c r="S16" s="35" t="n">
        <v>4198</v>
      </c>
      <c r="T16" s="35" t="s">
        <v>145</v>
      </c>
      <c r="U16" s="228" t="n">
        <v>404344.92</v>
      </c>
      <c r="V16" s="167" t="n">
        <v>11.987494</v>
      </c>
      <c r="W16" s="206" t="n">
        <v>33731</v>
      </c>
      <c r="X16" s="206" t="n">
        <v>665</v>
      </c>
      <c r="Y16" s="70" t="n">
        <v>2.4</v>
      </c>
      <c r="Z16" s="170" t="s">
        <v>80</v>
      </c>
      <c r="AA16" s="51" t="n">
        <v>41850</v>
      </c>
      <c r="AB16" s="51" t="n">
        <v>41912</v>
      </c>
      <c r="AC16" s="38" t="n">
        <v>41929</v>
      </c>
      <c r="AD16" s="229" t="n">
        <v>43572</v>
      </c>
      <c r="AE16" s="70" t="n">
        <f aca="false">YEAR(AD16)</f>
        <v>2019</v>
      </c>
      <c r="AF16" s="223" t="n">
        <v>43538</v>
      </c>
      <c r="AG16" s="125" t="n">
        <v>149201</v>
      </c>
      <c r="AH16" s="43" t="s">
        <v>2929</v>
      </c>
    </row>
    <row r="17" s="2" customFormat="true" ht="12.75" hidden="false" customHeight="true" outlineLevel="0" collapsed="false">
      <c r="A17" s="26" t="n">
        <v>6</v>
      </c>
      <c r="B17" s="152" t="s">
        <v>2930</v>
      </c>
      <c r="C17" s="27" t="s">
        <v>2928</v>
      </c>
      <c r="D17" s="70" t="s">
        <v>73</v>
      </c>
      <c r="E17" s="43" t="n">
        <v>6.2</v>
      </c>
      <c r="F17" s="43" t="n">
        <v>2</v>
      </c>
      <c r="G17" s="55"/>
      <c r="H17" s="55" t="n">
        <v>2014</v>
      </c>
      <c r="I17" s="55" t="n">
        <v>1451</v>
      </c>
      <c r="J17" s="43" t="s">
        <v>74</v>
      </c>
      <c r="K17" s="30" t="s">
        <v>139</v>
      </c>
      <c r="L17" s="35"/>
      <c r="M17" s="31" t="s">
        <v>140</v>
      </c>
      <c r="N17" s="32" t="s">
        <v>141</v>
      </c>
      <c r="O17" s="28" t="s">
        <v>142</v>
      </c>
      <c r="P17" s="28" t="s">
        <v>2896</v>
      </c>
      <c r="Q17" s="28" t="n">
        <v>1000</v>
      </c>
      <c r="R17" s="34" t="s">
        <v>144</v>
      </c>
      <c r="S17" s="35" t="n">
        <v>4196</v>
      </c>
      <c r="T17" s="35" t="s">
        <v>145</v>
      </c>
      <c r="U17" s="71" t="n">
        <v>404344.92</v>
      </c>
      <c r="V17" s="60" t="n">
        <v>11.987494</v>
      </c>
      <c r="W17" s="112" t="n">
        <v>33731</v>
      </c>
      <c r="X17" s="112" t="n">
        <v>665</v>
      </c>
      <c r="Y17" s="28" t="n">
        <v>2.4</v>
      </c>
      <c r="Z17" s="62" t="s">
        <v>80</v>
      </c>
      <c r="AA17" s="38" t="n">
        <v>41850</v>
      </c>
      <c r="AB17" s="38" t="n">
        <v>41912</v>
      </c>
      <c r="AC17" s="38" t="n">
        <v>41929</v>
      </c>
      <c r="AD17" s="229" t="n">
        <v>43572</v>
      </c>
      <c r="AE17" s="70" t="n">
        <f aca="false">YEAR(AD17)</f>
        <v>2019</v>
      </c>
      <c r="AF17" s="223" t="n">
        <v>43545</v>
      </c>
      <c r="AG17" s="125" t="n">
        <v>144462</v>
      </c>
      <c r="AH17" s="43" t="s">
        <v>2931</v>
      </c>
    </row>
    <row r="18" s="2" customFormat="true" ht="12.75" hidden="false" customHeight="true" outlineLevel="0" collapsed="false">
      <c r="A18" s="26" t="n">
        <v>9</v>
      </c>
      <c r="B18" s="152" t="s">
        <v>2932</v>
      </c>
      <c r="C18" s="27" t="s">
        <v>2928</v>
      </c>
      <c r="D18" s="70" t="s">
        <v>73</v>
      </c>
      <c r="E18" s="43" t="n">
        <v>6.2</v>
      </c>
      <c r="F18" s="43" t="n">
        <v>2</v>
      </c>
      <c r="G18" s="55"/>
      <c r="H18" s="55" t="n">
        <v>2014</v>
      </c>
      <c r="I18" s="55" t="n">
        <v>1451</v>
      </c>
      <c r="J18" s="43" t="s">
        <v>74</v>
      </c>
      <c r="K18" s="30" t="s">
        <v>157</v>
      </c>
      <c r="L18" s="35"/>
      <c r="M18" s="31" t="s">
        <v>158</v>
      </c>
      <c r="N18" s="32" t="s">
        <v>141</v>
      </c>
      <c r="O18" s="28" t="s">
        <v>100</v>
      </c>
      <c r="P18" s="28" t="s">
        <v>593</v>
      </c>
      <c r="Q18" s="28" t="n">
        <v>4000</v>
      </c>
      <c r="R18" s="34" t="s">
        <v>144</v>
      </c>
      <c r="S18" s="35" t="n">
        <v>4193</v>
      </c>
      <c r="T18" s="35" t="s">
        <v>145</v>
      </c>
      <c r="U18" s="71" t="n">
        <v>404344.92</v>
      </c>
      <c r="V18" s="60" t="n">
        <v>11.987494</v>
      </c>
      <c r="W18" s="112" t="n">
        <v>33731</v>
      </c>
      <c r="X18" s="112" t="n">
        <v>665</v>
      </c>
      <c r="Y18" s="28" t="n">
        <v>2.5</v>
      </c>
      <c r="Z18" s="62" t="s">
        <v>80</v>
      </c>
      <c r="AA18" s="38" t="n">
        <v>41850</v>
      </c>
      <c r="AB18" s="38" t="n">
        <v>41958</v>
      </c>
      <c r="AC18" s="38" t="n">
        <v>41956</v>
      </c>
      <c r="AD18" s="229" t="n">
        <v>43598</v>
      </c>
      <c r="AE18" s="70" t="n">
        <f aca="false">YEAR(AD18)</f>
        <v>2019</v>
      </c>
      <c r="AF18" s="223" t="n">
        <v>43538</v>
      </c>
      <c r="AG18" s="125" t="n">
        <v>123347</v>
      </c>
      <c r="AH18" s="43" t="s">
        <v>2933</v>
      </c>
    </row>
    <row r="19" s="2" customFormat="true" ht="12.75" hidden="false" customHeight="true" outlineLevel="0" collapsed="false">
      <c r="A19" s="26" t="n">
        <v>10</v>
      </c>
      <c r="B19" s="152" t="s">
        <v>2934</v>
      </c>
      <c r="C19" s="27" t="s">
        <v>2935</v>
      </c>
      <c r="D19" s="70" t="s">
        <v>46</v>
      </c>
      <c r="E19" s="43" t="n">
        <v>7</v>
      </c>
      <c r="F19" s="43" t="n">
        <v>1.4</v>
      </c>
      <c r="G19" s="55"/>
      <c r="H19" s="55" t="n">
        <v>2014</v>
      </c>
      <c r="I19" s="55" t="n">
        <v>1451</v>
      </c>
      <c r="J19" s="43" t="s">
        <v>74</v>
      </c>
      <c r="K19" s="30" t="s">
        <v>2936</v>
      </c>
      <c r="L19" s="35"/>
      <c r="M19" s="31" t="s">
        <v>2937</v>
      </c>
      <c r="N19" s="32" t="s">
        <v>2938</v>
      </c>
      <c r="O19" s="70" t="s">
        <v>100</v>
      </c>
      <c r="P19" s="70" t="s">
        <v>2890</v>
      </c>
      <c r="Q19" s="33" t="n">
        <v>1000</v>
      </c>
      <c r="R19" s="34" t="s">
        <v>405</v>
      </c>
      <c r="S19" s="35" t="n">
        <v>4290</v>
      </c>
      <c r="T19" s="59" t="s">
        <v>421</v>
      </c>
      <c r="U19" s="71" t="n">
        <v>278989.6</v>
      </c>
      <c r="V19" s="60" t="n">
        <v>11.987494</v>
      </c>
      <c r="W19" s="112" t="n">
        <f aca="false">U19/V19</f>
        <v>23273.3880826134</v>
      </c>
      <c r="X19" s="112" t="n">
        <v>477</v>
      </c>
      <c r="Y19" s="28" t="n">
        <v>2.6</v>
      </c>
      <c r="Z19" s="62" t="s">
        <v>80</v>
      </c>
      <c r="AA19" s="38" t="n">
        <v>41850</v>
      </c>
      <c r="AB19" s="38" t="n">
        <v>41927</v>
      </c>
      <c r="AC19" s="38" t="n">
        <v>41929</v>
      </c>
      <c r="AD19" s="229" t="n">
        <v>43572</v>
      </c>
      <c r="AE19" s="70" t="n">
        <f aca="false">YEAR(AD19)</f>
        <v>2019</v>
      </c>
      <c r="AF19" s="223" t="n">
        <v>43537</v>
      </c>
      <c r="AG19" s="125" t="n">
        <v>140191</v>
      </c>
      <c r="AH19" s="43" t="s">
        <v>2939</v>
      </c>
    </row>
    <row r="20" s="2" customFormat="true" ht="12.75" hidden="false" customHeight="true" outlineLevel="0" collapsed="false">
      <c r="A20" s="26" t="n">
        <v>12</v>
      </c>
      <c r="B20" s="152" t="s">
        <v>2940</v>
      </c>
      <c r="C20" s="27" t="s">
        <v>2941</v>
      </c>
      <c r="D20" s="70" t="s">
        <v>46</v>
      </c>
      <c r="E20" s="43" t="n">
        <v>7</v>
      </c>
      <c r="F20" s="43" t="n">
        <v>1.4</v>
      </c>
      <c r="G20" s="55"/>
      <c r="H20" s="55" t="n">
        <v>2014</v>
      </c>
      <c r="I20" s="55" t="n">
        <v>1451</v>
      </c>
      <c r="J20" s="43" t="s">
        <v>74</v>
      </c>
      <c r="K20" s="30" t="s">
        <v>401</v>
      </c>
      <c r="L20" s="35"/>
      <c r="M20" s="31" t="s">
        <v>402</v>
      </c>
      <c r="N20" s="32" t="s">
        <v>403</v>
      </c>
      <c r="O20" s="28" t="s">
        <v>60</v>
      </c>
      <c r="P20" s="28" t="s">
        <v>61</v>
      </c>
      <c r="Q20" s="28" t="n">
        <v>6000</v>
      </c>
      <c r="R20" s="34" t="s">
        <v>405</v>
      </c>
      <c r="S20" s="35" t="n">
        <v>4299</v>
      </c>
      <c r="T20" s="59" t="s">
        <v>123</v>
      </c>
      <c r="U20" s="71" t="n">
        <v>269759.08</v>
      </c>
      <c r="V20" s="60" t="n">
        <v>11.987494</v>
      </c>
      <c r="W20" s="112" t="n">
        <f aca="false">U20/V20</f>
        <v>22503.3756012725</v>
      </c>
      <c r="X20" s="112" t="n">
        <v>471</v>
      </c>
      <c r="Y20" s="28" t="n">
        <v>2.7</v>
      </c>
      <c r="Z20" s="62" t="s">
        <v>80</v>
      </c>
      <c r="AA20" s="38" t="n">
        <v>41850</v>
      </c>
      <c r="AB20" s="38" t="n">
        <v>41922</v>
      </c>
      <c r="AC20" s="38" t="n">
        <v>41929</v>
      </c>
      <c r="AD20" s="229" t="n">
        <v>43572</v>
      </c>
      <c r="AE20" s="70" t="n">
        <f aca="false">YEAR(AD20)</f>
        <v>2019</v>
      </c>
      <c r="AF20" s="223" t="n">
        <v>43542</v>
      </c>
      <c r="AG20" s="125" t="n">
        <v>157629</v>
      </c>
      <c r="AH20" s="43" t="s">
        <v>2942</v>
      </c>
    </row>
    <row r="21" s="2" customFormat="true" ht="12.75" hidden="false" customHeight="true" outlineLevel="0" collapsed="false">
      <c r="A21" s="26" t="n">
        <v>11</v>
      </c>
      <c r="B21" s="152" t="s">
        <v>2943</v>
      </c>
      <c r="C21" s="27" t="s">
        <v>2941</v>
      </c>
      <c r="D21" s="70" t="s">
        <v>46</v>
      </c>
      <c r="E21" s="43" t="n">
        <v>7</v>
      </c>
      <c r="F21" s="43" t="n">
        <v>1.2</v>
      </c>
      <c r="G21" s="55"/>
      <c r="H21" s="55" t="n">
        <v>2014</v>
      </c>
      <c r="I21" s="55" t="n">
        <v>1451</v>
      </c>
      <c r="J21" s="43" t="s">
        <v>74</v>
      </c>
      <c r="K21" s="30" t="s">
        <v>391</v>
      </c>
      <c r="L21" s="35"/>
      <c r="M21" s="31" t="s">
        <v>392</v>
      </c>
      <c r="N21" s="32" t="s">
        <v>2944</v>
      </c>
      <c r="O21" s="28" t="s">
        <v>100</v>
      </c>
      <c r="P21" s="28" t="s">
        <v>100</v>
      </c>
      <c r="Q21" s="28" t="n">
        <v>1000</v>
      </c>
      <c r="R21" s="34" t="s">
        <v>395</v>
      </c>
      <c r="S21" s="35" t="n">
        <v>5411</v>
      </c>
      <c r="T21" s="59" t="s">
        <v>123</v>
      </c>
      <c r="U21" s="71" t="n">
        <v>269759.08</v>
      </c>
      <c r="V21" s="60" t="n">
        <v>11.987494</v>
      </c>
      <c r="W21" s="112" t="n">
        <f aca="false">U21/V21</f>
        <v>22503.3756012725</v>
      </c>
      <c r="X21" s="112" t="n">
        <v>471</v>
      </c>
      <c r="Y21" s="28" t="n">
        <v>2.7</v>
      </c>
      <c r="Z21" s="62" t="s">
        <v>80</v>
      </c>
      <c r="AA21" s="38" t="n">
        <v>41850</v>
      </c>
      <c r="AB21" s="38" t="n">
        <v>41922</v>
      </c>
      <c r="AC21" s="38" t="n">
        <v>41929</v>
      </c>
      <c r="AD21" s="229" t="n">
        <v>43572</v>
      </c>
      <c r="AE21" s="70" t="n">
        <f aca="false">YEAR(AD21)</f>
        <v>2019</v>
      </c>
      <c r="AF21" s="223" t="n">
        <v>43546</v>
      </c>
      <c r="AG21" s="125" t="n">
        <v>61335</v>
      </c>
      <c r="AH21" s="43" t="s">
        <v>2945</v>
      </c>
    </row>
    <row r="22" s="2" customFormat="true" ht="12.75" hidden="false" customHeight="true" outlineLevel="0" collapsed="false">
      <c r="A22" s="26" t="n">
        <v>13</v>
      </c>
      <c r="B22" s="152" t="s">
        <v>2946</v>
      </c>
      <c r="C22" s="27" t="s">
        <v>2941</v>
      </c>
      <c r="D22" s="70" t="s">
        <v>46</v>
      </c>
      <c r="E22" s="43" t="n">
        <v>7</v>
      </c>
      <c r="F22" s="43" t="n">
        <v>1.2</v>
      </c>
      <c r="G22" s="55"/>
      <c r="H22" s="55" t="n">
        <v>2014</v>
      </c>
      <c r="I22" s="55" t="n">
        <v>1451</v>
      </c>
      <c r="J22" s="43" t="s">
        <v>74</v>
      </c>
      <c r="K22" s="30" t="s">
        <v>2947</v>
      </c>
      <c r="L22" s="35"/>
      <c r="M22" s="31" t="s">
        <v>2948</v>
      </c>
      <c r="N22" s="32" t="s">
        <v>2478</v>
      </c>
      <c r="O22" s="28" t="s">
        <v>100</v>
      </c>
      <c r="P22" s="28" t="s">
        <v>2890</v>
      </c>
      <c r="Q22" s="28" t="n">
        <v>1000</v>
      </c>
      <c r="R22" s="34" t="s">
        <v>413</v>
      </c>
      <c r="S22" s="35" t="n">
        <v>4170</v>
      </c>
      <c r="T22" s="59" t="s">
        <v>123</v>
      </c>
      <c r="U22" s="71" t="n">
        <v>269759.08</v>
      </c>
      <c r="V22" s="60" t="n">
        <v>11.987494</v>
      </c>
      <c r="W22" s="112" t="n">
        <f aca="false">U22/V22</f>
        <v>22503.3756012725</v>
      </c>
      <c r="X22" s="112" t="n">
        <v>471</v>
      </c>
      <c r="Y22" s="28" t="n">
        <v>2.8</v>
      </c>
      <c r="Z22" s="62" t="s">
        <v>80</v>
      </c>
      <c r="AA22" s="38" t="n">
        <v>41850</v>
      </c>
      <c r="AB22" s="38" t="n">
        <v>41958</v>
      </c>
      <c r="AC22" s="38" t="n">
        <v>41990</v>
      </c>
      <c r="AD22" s="50" t="n">
        <v>43541</v>
      </c>
      <c r="AE22" s="70" t="n">
        <f aca="false">YEAR(AD22)</f>
        <v>2019</v>
      </c>
      <c r="AF22" s="223" t="n">
        <v>43537</v>
      </c>
      <c r="AG22" s="125" t="n">
        <v>169105</v>
      </c>
      <c r="AH22" s="43" t="s">
        <v>2949</v>
      </c>
    </row>
    <row r="23" s="2" customFormat="true" ht="12.75" hidden="false" customHeight="true" outlineLevel="0" collapsed="false">
      <c r="A23" s="26" t="n">
        <v>7</v>
      </c>
      <c r="B23" s="227" t="s">
        <v>2950</v>
      </c>
      <c r="C23" s="27" t="s">
        <v>2941</v>
      </c>
      <c r="D23" s="70" t="s">
        <v>46</v>
      </c>
      <c r="E23" s="43" t="n">
        <v>7</v>
      </c>
      <c r="F23" s="43" t="n">
        <v>1.4</v>
      </c>
      <c r="G23" s="55"/>
      <c r="H23" s="55" t="n">
        <v>2014</v>
      </c>
      <c r="I23" s="55" t="n">
        <v>1451</v>
      </c>
      <c r="J23" s="55" t="s">
        <v>74</v>
      </c>
      <c r="K23" s="30" t="s">
        <v>2498</v>
      </c>
      <c r="L23" s="59"/>
      <c r="M23" s="31" t="s">
        <v>419</v>
      </c>
      <c r="N23" s="32" t="s">
        <v>403</v>
      </c>
      <c r="O23" s="28" t="s">
        <v>52</v>
      </c>
      <c r="P23" s="28" t="s">
        <v>52</v>
      </c>
      <c r="Q23" s="28" t="n">
        <v>1000</v>
      </c>
      <c r="R23" s="34" t="s">
        <v>405</v>
      </c>
      <c r="S23" s="35" t="n">
        <v>4299</v>
      </c>
      <c r="T23" s="59" t="s">
        <v>123</v>
      </c>
      <c r="U23" s="228" t="n">
        <v>269759.08</v>
      </c>
      <c r="V23" s="167" t="n">
        <v>11.987494</v>
      </c>
      <c r="W23" s="206" t="n">
        <f aca="false">U23/V23</f>
        <v>22503.3756012725</v>
      </c>
      <c r="X23" s="206" t="n">
        <v>471</v>
      </c>
      <c r="Y23" s="70" t="n">
        <v>2.9</v>
      </c>
      <c r="Z23" s="170" t="s">
        <v>80</v>
      </c>
      <c r="AA23" s="51" t="n">
        <v>41850</v>
      </c>
      <c r="AB23" s="51" t="n">
        <v>41988</v>
      </c>
      <c r="AC23" s="38" t="n">
        <v>41990</v>
      </c>
      <c r="AD23" s="50" t="n">
        <v>43541</v>
      </c>
      <c r="AE23" s="70" t="n">
        <f aca="false">YEAR(AD23)</f>
        <v>2019</v>
      </c>
      <c r="AF23" s="223" t="n">
        <v>43542</v>
      </c>
      <c r="AG23" s="125" t="n">
        <v>98982</v>
      </c>
      <c r="AH23" s="43" t="s">
        <v>2951</v>
      </c>
    </row>
    <row r="24" s="2" customFormat="true" ht="12.75" hidden="false" customHeight="true" outlineLevel="0" collapsed="false">
      <c r="A24" s="26" t="n">
        <v>24</v>
      </c>
      <c r="B24" s="152" t="s">
        <v>2952</v>
      </c>
      <c r="C24" s="43" t="s">
        <v>2893</v>
      </c>
      <c r="D24" s="28" t="s">
        <v>73</v>
      </c>
      <c r="E24" s="26" t="n">
        <v>4.84</v>
      </c>
      <c r="F24" s="125" t="n">
        <v>1.2</v>
      </c>
      <c r="G24" s="125"/>
      <c r="H24" s="55" t="n">
        <v>2014</v>
      </c>
      <c r="I24" s="55" t="n">
        <v>1451</v>
      </c>
      <c r="J24" s="43" t="s">
        <v>74</v>
      </c>
      <c r="K24" s="30" t="s">
        <v>2718</v>
      </c>
      <c r="L24" s="35"/>
      <c r="M24" s="31" t="s">
        <v>2719</v>
      </c>
      <c r="N24" s="32" t="s">
        <v>1090</v>
      </c>
      <c r="O24" s="57" t="s">
        <v>1239</v>
      </c>
      <c r="P24" s="28" t="s">
        <v>52</v>
      </c>
      <c r="Q24" s="33" t="n">
        <v>7050</v>
      </c>
      <c r="R24" s="34" t="s">
        <v>171</v>
      </c>
      <c r="S24" s="35" t="n">
        <v>4131</v>
      </c>
      <c r="T24" s="35" t="s">
        <v>172</v>
      </c>
      <c r="U24" s="28" t="n">
        <v>238192.76</v>
      </c>
      <c r="V24" s="60" t="n">
        <v>13.659408</v>
      </c>
      <c r="W24" s="112" t="n">
        <f aca="false">U24/V24</f>
        <v>17438.0002412989</v>
      </c>
      <c r="X24" s="112" t="n">
        <v>399.5</v>
      </c>
      <c r="Y24" s="230" t="s">
        <v>2953</v>
      </c>
      <c r="Z24" s="62" t="s">
        <v>80</v>
      </c>
      <c r="AA24" s="38" t="n">
        <v>41877</v>
      </c>
      <c r="AB24" s="38" t="n">
        <v>41985</v>
      </c>
      <c r="AC24" s="38" t="n">
        <v>41990</v>
      </c>
      <c r="AD24" s="50" t="n">
        <v>43541</v>
      </c>
      <c r="AE24" s="28" t="n">
        <f aca="false">YEAR(AD24)</f>
        <v>2019</v>
      </c>
      <c r="AF24" s="223" t="n">
        <v>43537</v>
      </c>
      <c r="AG24" s="125" t="n">
        <v>127978</v>
      </c>
      <c r="AH24" s="43" t="s">
        <v>2954</v>
      </c>
    </row>
    <row r="25" s="2" customFormat="true" ht="12.75" hidden="false" customHeight="true" outlineLevel="0" collapsed="false">
      <c r="A25" s="26" t="n">
        <v>22</v>
      </c>
      <c r="B25" s="152" t="s">
        <v>2955</v>
      </c>
      <c r="C25" s="43" t="s">
        <v>2893</v>
      </c>
      <c r="D25" s="28" t="s">
        <v>73</v>
      </c>
      <c r="E25" s="26" t="n">
        <v>4.84</v>
      </c>
      <c r="F25" s="125" t="n">
        <v>1.2</v>
      </c>
      <c r="G25" s="125"/>
      <c r="H25" s="55" t="n">
        <v>2014</v>
      </c>
      <c r="I25" s="55" t="n">
        <v>1451</v>
      </c>
      <c r="J25" s="43" t="s">
        <v>74</v>
      </c>
      <c r="K25" s="30" t="s">
        <v>296</v>
      </c>
      <c r="L25" s="35"/>
      <c r="M25" s="31" t="s">
        <v>297</v>
      </c>
      <c r="N25" s="32" t="s">
        <v>2922</v>
      </c>
      <c r="O25" s="28" t="s">
        <v>169</v>
      </c>
      <c r="P25" s="28" t="s">
        <v>61</v>
      </c>
      <c r="Q25" s="28" t="n">
        <v>6000</v>
      </c>
      <c r="R25" s="34" t="s">
        <v>189</v>
      </c>
      <c r="S25" s="35" t="n">
        <v>4178</v>
      </c>
      <c r="T25" s="35" t="s">
        <v>172</v>
      </c>
      <c r="U25" s="28" t="n">
        <v>238192.76</v>
      </c>
      <c r="V25" s="60" t="n">
        <v>13.659408</v>
      </c>
      <c r="W25" s="112" t="n">
        <f aca="false">U25/V25</f>
        <v>17438.0002412989</v>
      </c>
      <c r="X25" s="112" t="n">
        <v>399.5</v>
      </c>
      <c r="Y25" s="230" t="s">
        <v>2953</v>
      </c>
      <c r="Z25" s="62" t="s">
        <v>80</v>
      </c>
      <c r="AA25" s="38" t="n">
        <v>41877</v>
      </c>
      <c r="AB25" s="38" t="n">
        <v>41985</v>
      </c>
      <c r="AC25" s="38" t="n">
        <v>41990</v>
      </c>
      <c r="AD25" s="50" t="n">
        <v>43541</v>
      </c>
      <c r="AE25" s="28" t="n">
        <f aca="false">YEAR(AD25)</f>
        <v>2019</v>
      </c>
      <c r="AF25" s="223" t="n">
        <v>43538</v>
      </c>
      <c r="AG25" s="125" t="n">
        <v>111870</v>
      </c>
      <c r="AH25" s="43" t="s">
        <v>2956</v>
      </c>
    </row>
    <row r="26" s="2" customFormat="true" ht="14.25" hidden="false" customHeight="true" outlineLevel="0" collapsed="false">
      <c r="A26" s="26" t="n">
        <v>25</v>
      </c>
      <c r="B26" s="152" t="s">
        <v>2957</v>
      </c>
      <c r="C26" s="43" t="s">
        <v>2893</v>
      </c>
      <c r="D26" s="28" t="s">
        <v>73</v>
      </c>
      <c r="E26" s="26" t="n">
        <v>4.84</v>
      </c>
      <c r="F26" s="43" t="n">
        <v>1.2</v>
      </c>
      <c r="G26" s="43"/>
      <c r="H26" s="43" t="n">
        <v>2014</v>
      </c>
      <c r="I26" s="55" t="n">
        <v>1451</v>
      </c>
      <c r="J26" s="43" t="s">
        <v>74</v>
      </c>
      <c r="K26" s="30" t="s">
        <v>186</v>
      </c>
      <c r="L26" s="35"/>
      <c r="M26" s="31" t="s">
        <v>187</v>
      </c>
      <c r="N26" s="32" t="s">
        <v>168</v>
      </c>
      <c r="O26" s="28" t="s">
        <v>142</v>
      </c>
      <c r="P26" s="57" t="s">
        <v>2896</v>
      </c>
      <c r="Q26" s="87" t="n">
        <v>9000</v>
      </c>
      <c r="R26" s="58" t="s">
        <v>171</v>
      </c>
      <c r="S26" s="69" t="n">
        <v>4176</v>
      </c>
      <c r="T26" s="35" t="s">
        <v>172</v>
      </c>
      <c r="U26" s="28" t="n">
        <v>238192.76</v>
      </c>
      <c r="V26" s="60" t="n">
        <v>13.659408</v>
      </c>
      <c r="W26" s="112" t="n">
        <f aca="false">U26/V26</f>
        <v>17438.0002412989</v>
      </c>
      <c r="X26" s="112" t="n">
        <v>399.5</v>
      </c>
      <c r="Y26" s="230" t="s">
        <v>2953</v>
      </c>
      <c r="Z26" s="62" t="s">
        <v>80</v>
      </c>
      <c r="AA26" s="38" t="n">
        <v>41877</v>
      </c>
      <c r="AB26" s="38" t="n">
        <v>41985</v>
      </c>
      <c r="AC26" s="38" t="n">
        <v>41990</v>
      </c>
      <c r="AD26" s="50" t="n">
        <v>43541</v>
      </c>
      <c r="AE26" s="28" t="n">
        <f aca="false">YEAR(AD26)</f>
        <v>2019</v>
      </c>
      <c r="AF26" s="223" t="n">
        <v>43543</v>
      </c>
      <c r="AG26" s="125" t="n">
        <v>81925</v>
      </c>
      <c r="AH26" s="43" t="s">
        <v>2958</v>
      </c>
    </row>
    <row r="27" s="2" customFormat="true" ht="14.25" hidden="false" customHeight="true" outlineLevel="0" collapsed="false">
      <c r="A27" s="26" t="n">
        <v>26</v>
      </c>
      <c r="B27" s="152" t="s">
        <v>2959</v>
      </c>
      <c r="C27" s="43" t="s">
        <v>2893</v>
      </c>
      <c r="D27" s="28" t="s">
        <v>73</v>
      </c>
      <c r="E27" s="26" t="n">
        <v>4.84</v>
      </c>
      <c r="F27" s="125" t="n">
        <v>1.2</v>
      </c>
      <c r="G27" s="125"/>
      <c r="H27" s="55" t="n">
        <v>2014</v>
      </c>
      <c r="I27" s="55" t="n">
        <v>1451</v>
      </c>
      <c r="J27" s="43" t="s">
        <v>74</v>
      </c>
      <c r="K27" s="30" t="s">
        <v>303</v>
      </c>
      <c r="L27" s="35"/>
      <c r="M27" s="31" t="s">
        <v>304</v>
      </c>
      <c r="N27" s="32" t="s">
        <v>1090</v>
      </c>
      <c r="O27" s="57" t="s">
        <v>305</v>
      </c>
      <c r="P27" s="28" t="s">
        <v>2923</v>
      </c>
      <c r="Q27" s="33" t="n">
        <v>7042</v>
      </c>
      <c r="R27" s="34" t="s">
        <v>171</v>
      </c>
      <c r="S27" s="35" t="n">
        <v>4134</v>
      </c>
      <c r="T27" s="35" t="s">
        <v>172</v>
      </c>
      <c r="U27" s="28" t="n">
        <v>238192.76</v>
      </c>
      <c r="V27" s="60" t="n">
        <v>13.659408</v>
      </c>
      <c r="W27" s="112" t="n">
        <f aca="false">U27/V27</f>
        <v>17438.0002412989</v>
      </c>
      <c r="X27" s="112" t="n">
        <v>399.5</v>
      </c>
      <c r="Y27" s="230" t="s">
        <v>2953</v>
      </c>
      <c r="Z27" s="62" t="s">
        <v>80</v>
      </c>
      <c r="AA27" s="38" t="n">
        <v>41877</v>
      </c>
      <c r="AB27" s="38" t="n">
        <v>41985</v>
      </c>
      <c r="AC27" s="38" t="n">
        <v>41990</v>
      </c>
      <c r="AD27" s="50" t="n">
        <v>43541</v>
      </c>
      <c r="AE27" s="28" t="n">
        <f aca="false">YEAR(AD27)</f>
        <v>2019</v>
      </c>
      <c r="AF27" s="223" t="n">
        <v>43542</v>
      </c>
      <c r="AG27" s="125" t="n">
        <v>106592</v>
      </c>
      <c r="AH27" s="43" t="s">
        <v>2960</v>
      </c>
    </row>
    <row r="28" s="2" customFormat="true" ht="12.75" hidden="false" customHeight="true" outlineLevel="0" collapsed="false">
      <c r="A28" s="26" t="n">
        <v>28</v>
      </c>
      <c r="B28" s="152" t="s">
        <v>2961</v>
      </c>
      <c r="C28" s="43" t="s">
        <v>2893</v>
      </c>
      <c r="D28" s="28" t="s">
        <v>73</v>
      </c>
      <c r="E28" s="26" t="n">
        <v>4.84</v>
      </c>
      <c r="F28" s="125" t="n">
        <v>1.2</v>
      </c>
      <c r="G28" s="125"/>
      <c r="H28" s="55" t="n">
        <v>2014</v>
      </c>
      <c r="I28" s="55" t="n">
        <v>1451</v>
      </c>
      <c r="J28" s="43" t="s">
        <v>74</v>
      </c>
      <c r="K28" s="30" t="s">
        <v>1478</v>
      </c>
      <c r="L28" s="35"/>
      <c r="M28" s="31" t="s">
        <v>1479</v>
      </c>
      <c r="N28" s="32" t="s">
        <v>1090</v>
      </c>
      <c r="O28" s="83" t="s">
        <v>313</v>
      </c>
      <c r="P28" s="226" t="s">
        <v>2903</v>
      </c>
      <c r="Q28" s="231" t="n">
        <v>7071</v>
      </c>
      <c r="R28" s="68" t="s">
        <v>171</v>
      </c>
      <c r="S28" s="35" t="s">
        <v>2904</v>
      </c>
      <c r="T28" s="35" t="s">
        <v>172</v>
      </c>
      <c r="U28" s="28" t="n">
        <v>238192.76</v>
      </c>
      <c r="V28" s="60" t="n">
        <v>13.659408</v>
      </c>
      <c r="W28" s="112" t="n">
        <f aca="false">U28/V28</f>
        <v>17438.0002412989</v>
      </c>
      <c r="X28" s="112" t="n">
        <v>399.5</v>
      </c>
      <c r="Y28" s="230" t="s">
        <v>2953</v>
      </c>
      <c r="Z28" s="62" t="s">
        <v>80</v>
      </c>
      <c r="AA28" s="38" t="n">
        <v>41877</v>
      </c>
      <c r="AB28" s="38" t="n">
        <v>41985</v>
      </c>
      <c r="AC28" s="38" t="n">
        <v>41990</v>
      </c>
      <c r="AD28" s="50" t="n">
        <v>43541</v>
      </c>
      <c r="AE28" s="28" t="n">
        <f aca="false">YEAR(AD28)</f>
        <v>2019</v>
      </c>
      <c r="AF28" s="223" t="n">
        <v>43538</v>
      </c>
      <c r="AG28" s="125" t="n">
        <v>167240</v>
      </c>
      <c r="AH28" s="43" t="s">
        <v>2962</v>
      </c>
    </row>
    <row r="29" s="2" customFormat="true" ht="12.75" hidden="false" customHeight="true" outlineLevel="0" collapsed="false">
      <c r="A29" s="26" t="n">
        <v>20</v>
      </c>
      <c r="B29" s="152" t="s">
        <v>2963</v>
      </c>
      <c r="C29" s="43" t="s">
        <v>2893</v>
      </c>
      <c r="D29" s="28" t="s">
        <v>73</v>
      </c>
      <c r="E29" s="26" t="n">
        <v>4.84</v>
      </c>
      <c r="F29" s="125" t="n">
        <v>1.2</v>
      </c>
      <c r="G29" s="125"/>
      <c r="H29" s="55" t="n">
        <v>2014</v>
      </c>
      <c r="I29" s="55" t="n">
        <v>1451</v>
      </c>
      <c r="J29" s="43" t="s">
        <v>74</v>
      </c>
      <c r="K29" s="30" t="s">
        <v>2964</v>
      </c>
      <c r="L29" s="35"/>
      <c r="M29" s="31" t="s">
        <v>2965</v>
      </c>
      <c r="N29" s="32" t="s">
        <v>1090</v>
      </c>
      <c r="O29" s="28" t="s">
        <v>180</v>
      </c>
      <c r="P29" s="28" t="s">
        <v>2903</v>
      </c>
      <c r="Q29" s="33" t="n">
        <v>7033</v>
      </c>
      <c r="R29" s="34" t="s">
        <v>171</v>
      </c>
      <c r="S29" s="35" t="s">
        <v>2966</v>
      </c>
      <c r="T29" s="35" t="s">
        <v>172</v>
      </c>
      <c r="U29" s="28" t="n">
        <v>238192.76</v>
      </c>
      <c r="V29" s="60" t="n">
        <v>13.659408</v>
      </c>
      <c r="W29" s="112" t="n">
        <f aca="false">U29/V29</f>
        <v>17438.0002412989</v>
      </c>
      <c r="X29" s="112" t="n">
        <v>399.5</v>
      </c>
      <c r="Y29" s="230" t="s">
        <v>2953</v>
      </c>
      <c r="Z29" s="62" t="s">
        <v>80</v>
      </c>
      <c r="AA29" s="38" t="n">
        <v>41877</v>
      </c>
      <c r="AB29" s="38" t="n">
        <v>41985</v>
      </c>
      <c r="AC29" s="38" t="n">
        <v>41990</v>
      </c>
      <c r="AD29" s="50" t="n">
        <v>43541</v>
      </c>
      <c r="AE29" s="28" t="n">
        <f aca="false">YEAR(AD29)</f>
        <v>2019</v>
      </c>
      <c r="AF29" s="223" t="n">
        <v>43542</v>
      </c>
      <c r="AG29" s="125" t="n">
        <v>131248</v>
      </c>
      <c r="AH29" s="43" t="s">
        <v>2967</v>
      </c>
    </row>
    <row r="30" s="2" customFormat="true" ht="12.75" hidden="false" customHeight="true" outlineLevel="0" collapsed="false">
      <c r="A30" s="26" t="n">
        <v>15</v>
      </c>
      <c r="B30" s="152" t="s">
        <v>2968</v>
      </c>
      <c r="C30" s="43" t="s">
        <v>2893</v>
      </c>
      <c r="D30" s="28" t="s">
        <v>73</v>
      </c>
      <c r="E30" s="26" t="n">
        <v>4.84</v>
      </c>
      <c r="F30" s="125" t="n">
        <v>1.2</v>
      </c>
      <c r="G30" s="125"/>
      <c r="H30" s="55" t="n">
        <v>2014</v>
      </c>
      <c r="I30" s="55" t="n">
        <v>1451</v>
      </c>
      <c r="J30" s="43" t="s">
        <v>74</v>
      </c>
      <c r="K30" s="30" t="s">
        <v>2969</v>
      </c>
      <c r="L30" s="35"/>
      <c r="M30" s="31" t="s">
        <v>2970</v>
      </c>
      <c r="N30" s="32" t="s">
        <v>1090</v>
      </c>
      <c r="O30" s="28" t="s">
        <v>169</v>
      </c>
      <c r="P30" s="28" t="s">
        <v>61</v>
      </c>
      <c r="Q30" s="33" t="n">
        <v>7083</v>
      </c>
      <c r="R30" s="34" t="s">
        <v>92</v>
      </c>
      <c r="S30" s="35" t="n">
        <v>4138</v>
      </c>
      <c r="T30" s="35" t="s">
        <v>172</v>
      </c>
      <c r="U30" s="28" t="n">
        <v>238192.76</v>
      </c>
      <c r="V30" s="60" t="n">
        <v>13.659408</v>
      </c>
      <c r="W30" s="112" t="n">
        <f aca="false">U30/V30</f>
        <v>17438.0002412989</v>
      </c>
      <c r="X30" s="112" t="n">
        <v>399.5</v>
      </c>
      <c r="Y30" s="230" t="s">
        <v>2953</v>
      </c>
      <c r="Z30" s="62" t="s">
        <v>80</v>
      </c>
      <c r="AA30" s="38" t="n">
        <v>41877</v>
      </c>
      <c r="AB30" s="38" t="n">
        <v>41985</v>
      </c>
      <c r="AC30" s="38" t="n">
        <v>41990</v>
      </c>
      <c r="AD30" s="50" t="n">
        <v>43541</v>
      </c>
      <c r="AE30" s="28" t="n">
        <f aca="false">YEAR(AD30)</f>
        <v>2019</v>
      </c>
      <c r="AF30" s="223" t="n">
        <v>43542</v>
      </c>
      <c r="AG30" s="125" t="n">
        <v>124225</v>
      </c>
      <c r="AH30" s="43" t="s">
        <v>2971</v>
      </c>
    </row>
    <row r="31" s="2" customFormat="true" ht="12.75" hidden="false" customHeight="true" outlineLevel="0" collapsed="false">
      <c r="A31" s="26" t="n">
        <v>14</v>
      </c>
      <c r="B31" s="152" t="s">
        <v>2972</v>
      </c>
      <c r="C31" s="43" t="s">
        <v>2893</v>
      </c>
      <c r="D31" s="28" t="s">
        <v>73</v>
      </c>
      <c r="E31" s="26" t="n">
        <v>4.84</v>
      </c>
      <c r="F31" s="125" t="n">
        <v>1.2</v>
      </c>
      <c r="G31" s="125"/>
      <c r="H31" s="55" t="n">
        <v>2014</v>
      </c>
      <c r="I31" s="55" t="n">
        <v>1451</v>
      </c>
      <c r="J31" s="43" t="s">
        <v>74</v>
      </c>
      <c r="K31" s="30" t="s">
        <v>166</v>
      </c>
      <c r="L31" s="35"/>
      <c r="M31" s="31" t="s">
        <v>167</v>
      </c>
      <c r="N31" s="32" t="s">
        <v>168</v>
      </c>
      <c r="O31" s="28" t="s">
        <v>169</v>
      </c>
      <c r="P31" s="28" t="s">
        <v>61</v>
      </c>
      <c r="Q31" s="28" t="n">
        <v>9000</v>
      </c>
      <c r="R31" s="77" t="s">
        <v>171</v>
      </c>
      <c r="S31" s="35" t="n">
        <v>4138</v>
      </c>
      <c r="T31" s="35" t="s">
        <v>172</v>
      </c>
      <c r="U31" s="28" t="n">
        <v>238192.76</v>
      </c>
      <c r="V31" s="60" t="n">
        <v>13.659408</v>
      </c>
      <c r="W31" s="112" t="n">
        <f aca="false">U31/V31</f>
        <v>17438.0002412989</v>
      </c>
      <c r="X31" s="112" t="n">
        <v>399.5</v>
      </c>
      <c r="Y31" s="230" t="s">
        <v>2953</v>
      </c>
      <c r="Z31" s="62" t="s">
        <v>80</v>
      </c>
      <c r="AA31" s="38" t="n">
        <v>41877</v>
      </c>
      <c r="AB31" s="38" t="n">
        <v>41985</v>
      </c>
      <c r="AC31" s="38" t="n">
        <v>41990</v>
      </c>
      <c r="AD31" s="50" t="n">
        <v>43541</v>
      </c>
      <c r="AE31" s="28" t="n">
        <f aca="false">YEAR(AD31)</f>
        <v>2019</v>
      </c>
      <c r="AF31" s="223" t="n">
        <v>43542</v>
      </c>
      <c r="AG31" s="125" t="n">
        <v>123337</v>
      </c>
      <c r="AH31" s="43" t="s">
        <v>2973</v>
      </c>
      <c r="AJ31" s="223" t="n">
        <v>43581</v>
      </c>
    </row>
    <row r="32" s="2" customFormat="true" ht="12.75" hidden="false" customHeight="true" outlineLevel="0" collapsed="false">
      <c r="A32" s="26" t="n">
        <v>18</v>
      </c>
      <c r="B32" s="152" t="s">
        <v>2974</v>
      </c>
      <c r="C32" s="43" t="s">
        <v>2893</v>
      </c>
      <c r="D32" s="28" t="s">
        <v>73</v>
      </c>
      <c r="E32" s="26" t="n">
        <v>4.84</v>
      </c>
      <c r="F32" s="125" t="n">
        <v>1.2</v>
      </c>
      <c r="G32" s="125"/>
      <c r="H32" s="125" t="n">
        <v>2014</v>
      </c>
      <c r="I32" s="55" t="n">
        <v>1451</v>
      </c>
      <c r="J32" s="179" t="s">
        <v>74</v>
      </c>
      <c r="K32" s="30" t="s">
        <v>2046</v>
      </c>
      <c r="L32" s="35"/>
      <c r="M32" s="31" t="s">
        <v>2047</v>
      </c>
      <c r="N32" s="32" t="s">
        <v>1090</v>
      </c>
      <c r="O32" s="28" t="s">
        <v>2048</v>
      </c>
      <c r="P32" s="28" t="s">
        <v>2903</v>
      </c>
      <c r="Q32" s="33" t="n">
        <v>7033</v>
      </c>
      <c r="R32" s="34" t="s">
        <v>171</v>
      </c>
      <c r="S32" s="35" t="s">
        <v>2966</v>
      </c>
      <c r="T32" s="35" t="s">
        <v>172</v>
      </c>
      <c r="U32" s="28" t="n">
        <v>238192.76</v>
      </c>
      <c r="V32" s="60" t="n">
        <v>13.659408</v>
      </c>
      <c r="W32" s="112" t="n">
        <f aca="false">U32/V32</f>
        <v>17438.0002412989</v>
      </c>
      <c r="X32" s="112" t="n">
        <v>399.5</v>
      </c>
      <c r="Y32" s="230" t="s">
        <v>2953</v>
      </c>
      <c r="Z32" s="62" t="s">
        <v>80</v>
      </c>
      <c r="AA32" s="38" t="n">
        <v>41877</v>
      </c>
      <c r="AB32" s="38" t="n">
        <v>41985</v>
      </c>
      <c r="AC32" s="38" t="n">
        <v>41990</v>
      </c>
      <c r="AD32" s="50" t="n">
        <v>43541</v>
      </c>
      <c r="AE32" s="28" t="n">
        <f aca="false">YEAR(AD32)</f>
        <v>2019</v>
      </c>
      <c r="AF32" s="223" t="n">
        <v>43542</v>
      </c>
      <c r="AH32" s="43" t="s">
        <v>2975</v>
      </c>
      <c r="AI32" s="223" t="n">
        <v>43572</v>
      </c>
    </row>
    <row r="33" s="2" customFormat="true" ht="12.75" hidden="false" customHeight="true" outlineLevel="0" collapsed="false">
      <c r="A33" s="26" t="n">
        <v>19</v>
      </c>
      <c r="B33" s="152" t="s">
        <v>2976</v>
      </c>
      <c r="C33" s="43" t="s">
        <v>2893</v>
      </c>
      <c r="D33" s="28" t="s">
        <v>73</v>
      </c>
      <c r="E33" s="26" t="n">
        <v>4.84</v>
      </c>
      <c r="F33" s="125" t="n">
        <v>1.2</v>
      </c>
      <c r="G33" s="125"/>
      <c r="H33" s="55" t="n">
        <v>2014</v>
      </c>
      <c r="I33" s="55" t="n">
        <v>1451</v>
      </c>
      <c r="J33" s="43" t="s">
        <v>74</v>
      </c>
      <c r="K33" s="30" t="s">
        <v>2572</v>
      </c>
      <c r="L33" s="35"/>
      <c r="M33" s="31" t="s">
        <v>2573</v>
      </c>
      <c r="N33" s="32" t="s">
        <v>1090</v>
      </c>
      <c r="O33" s="28" t="s">
        <v>373</v>
      </c>
      <c r="P33" s="28" t="s">
        <v>593</v>
      </c>
      <c r="Q33" s="33" t="n">
        <v>7032</v>
      </c>
      <c r="R33" s="77" t="s">
        <v>171</v>
      </c>
      <c r="S33" s="35" t="n">
        <v>4133</v>
      </c>
      <c r="T33" s="35" t="s">
        <v>172</v>
      </c>
      <c r="U33" s="28" t="n">
        <v>238192.76</v>
      </c>
      <c r="V33" s="60" t="n">
        <v>13.659408</v>
      </c>
      <c r="W33" s="112" t="n">
        <f aca="false">U33/V33</f>
        <v>17438.0002412989</v>
      </c>
      <c r="X33" s="112" t="n">
        <v>399.5</v>
      </c>
      <c r="Y33" s="230" t="s">
        <v>2953</v>
      </c>
      <c r="Z33" s="62" t="s">
        <v>80</v>
      </c>
      <c r="AA33" s="38" t="n">
        <v>41877</v>
      </c>
      <c r="AB33" s="38" t="n">
        <v>41985</v>
      </c>
      <c r="AC33" s="38" t="n">
        <v>41990</v>
      </c>
      <c r="AD33" s="50" t="n">
        <v>43541</v>
      </c>
      <c r="AE33" s="28" t="n">
        <f aca="false">YEAR(AD33)</f>
        <v>2019</v>
      </c>
      <c r="AF33" s="223" t="n">
        <v>43542</v>
      </c>
      <c r="AH33" s="43" t="s">
        <v>2977</v>
      </c>
      <c r="AI33" s="223" t="n">
        <v>43572</v>
      </c>
    </row>
    <row r="34" s="2" customFormat="true" ht="12.75" hidden="false" customHeight="true" outlineLevel="0" collapsed="false">
      <c r="A34" s="26" t="n">
        <v>31</v>
      </c>
      <c r="B34" s="227" t="s">
        <v>2978</v>
      </c>
      <c r="C34" s="55" t="s">
        <v>2893</v>
      </c>
      <c r="D34" s="70" t="s">
        <v>73</v>
      </c>
      <c r="E34" s="26" t="n">
        <v>4.84</v>
      </c>
      <c r="F34" s="125" t="n">
        <v>1.2</v>
      </c>
      <c r="G34" s="125"/>
      <c r="H34" s="55" t="n">
        <v>2014</v>
      </c>
      <c r="I34" s="55" t="n">
        <v>1451</v>
      </c>
      <c r="J34" s="55" t="s">
        <v>74</v>
      </c>
      <c r="K34" s="30" t="s">
        <v>2979</v>
      </c>
      <c r="L34" s="59"/>
      <c r="M34" s="31" t="s">
        <v>2980</v>
      </c>
      <c r="N34" s="32" t="s">
        <v>1090</v>
      </c>
      <c r="O34" s="28" t="s">
        <v>169</v>
      </c>
      <c r="P34" s="28" t="s">
        <v>61</v>
      </c>
      <c r="Q34" s="28" t="n">
        <v>7083</v>
      </c>
      <c r="R34" s="34" t="s">
        <v>92</v>
      </c>
      <c r="S34" s="35" t="n">
        <v>4138</v>
      </c>
      <c r="T34" s="35" t="s">
        <v>172</v>
      </c>
      <c r="U34" s="28" t="n">
        <v>238192.76</v>
      </c>
      <c r="V34" s="60" t="n">
        <v>13.659408</v>
      </c>
      <c r="W34" s="112" t="n">
        <f aca="false">U34/V34</f>
        <v>17438.0002412989</v>
      </c>
      <c r="X34" s="112" t="n">
        <v>399.5</v>
      </c>
      <c r="Y34" s="230" t="s">
        <v>2953</v>
      </c>
      <c r="Z34" s="62" t="s">
        <v>80</v>
      </c>
      <c r="AA34" s="38" t="n">
        <v>41877</v>
      </c>
      <c r="AB34" s="38" t="n">
        <v>41985</v>
      </c>
      <c r="AC34" s="38" t="n">
        <v>41990</v>
      </c>
      <c r="AD34" s="50" t="n">
        <v>43541</v>
      </c>
      <c r="AE34" s="28" t="n">
        <f aca="false">YEAR(AD34)</f>
        <v>2019</v>
      </c>
      <c r="AF34" s="223" t="n">
        <v>43542</v>
      </c>
      <c r="AG34" s="2" t="n">
        <v>115706</v>
      </c>
      <c r="AH34" s="43" t="s">
        <v>2981</v>
      </c>
    </row>
    <row r="35" s="2" customFormat="true" ht="12.75" hidden="false" customHeight="true" outlineLevel="0" collapsed="false">
      <c r="A35" s="26" t="n">
        <v>29</v>
      </c>
      <c r="B35" s="152" t="s">
        <v>2982</v>
      </c>
      <c r="C35" s="43" t="s">
        <v>2893</v>
      </c>
      <c r="D35" s="28" t="s">
        <v>73</v>
      </c>
      <c r="E35" s="26" t="n">
        <v>4.84</v>
      </c>
      <c r="F35" s="125" t="n">
        <v>1.2</v>
      </c>
      <c r="G35" s="125"/>
      <c r="H35" s="55" t="n">
        <v>2014</v>
      </c>
      <c r="I35" s="55" t="n">
        <v>1451</v>
      </c>
      <c r="J35" s="43" t="s">
        <v>74</v>
      </c>
      <c r="K35" s="30" t="s">
        <v>2983</v>
      </c>
      <c r="L35" s="35"/>
      <c r="M35" s="31" t="s">
        <v>2984</v>
      </c>
      <c r="N35" s="32" t="s">
        <v>1090</v>
      </c>
      <c r="O35" s="28" t="s">
        <v>60</v>
      </c>
      <c r="P35" s="28" t="s">
        <v>61</v>
      </c>
      <c r="Q35" s="231" t="n">
        <v>7081</v>
      </c>
      <c r="R35" s="34" t="s">
        <v>171</v>
      </c>
      <c r="S35" s="35" t="n">
        <v>4138</v>
      </c>
      <c r="T35" s="35" t="s">
        <v>172</v>
      </c>
      <c r="U35" s="28" t="n">
        <v>238192.76</v>
      </c>
      <c r="V35" s="60" t="n">
        <v>13.659408</v>
      </c>
      <c r="W35" s="112" t="n">
        <f aca="false">U35/V35</f>
        <v>17438.0002412989</v>
      </c>
      <c r="X35" s="112" t="n">
        <v>399.5</v>
      </c>
      <c r="Y35" s="230" t="s">
        <v>2953</v>
      </c>
      <c r="Z35" s="62" t="s">
        <v>80</v>
      </c>
      <c r="AA35" s="38" t="n">
        <v>41877</v>
      </c>
      <c r="AB35" s="38" t="n">
        <v>41985</v>
      </c>
      <c r="AC35" s="38" t="n">
        <v>41990</v>
      </c>
      <c r="AD35" s="50" t="n">
        <v>43541</v>
      </c>
      <c r="AE35" s="28" t="n">
        <f aca="false">YEAR(AD35)</f>
        <v>2019</v>
      </c>
      <c r="AF35" s="223" t="n">
        <v>43542</v>
      </c>
      <c r="AG35" s="125" t="n">
        <v>139962</v>
      </c>
      <c r="AH35" s="43" t="s">
        <v>2985</v>
      </c>
    </row>
    <row r="36" s="2" customFormat="true" ht="12.75" hidden="false" customHeight="true" outlineLevel="0" collapsed="false">
      <c r="A36" s="26" t="n">
        <v>16</v>
      </c>
      <c r="B36" s="152" t="s">
        <v>2986</v>
      </c>
      <c r="C36" s="43" t="s">
        <v>2893</v>
      </c>
      <c r="D36" s="28" t="s">
        <v>73</v>
      </c>
      <c r="E36" s="26" t="n">
        <v>4.84</v>
      </c>
      <c r="F36" s="125" t="n">
        <v>1.2</v>
      </c>
      <c r="G36" s="125"/>
      <c r="H36" s="55" t="n">
        <v>2014</v>
      </c>
      <c r="I36" s="55" t="n">
        <v>1451</v>
      </c>
      <c r="J36" s="55" t="s">
        <v>74</v>
      </c>
      <c r="K36" s="30" t="s">
        <v>2987</v>
      </c>
      <c r="L36" s="35"/>
      <c r="M36" s="31" t="s">
        <v>178</v>
      </c>
      <c r="N36" s="32" t="s">
        <v>1090</v>
      </c>
      <c r="O36" s="28" t="s">
        <v>180</v>
      </c>
      <c r="P36" s="28" t="s">
        <v>2903</v>
      </c>
      <c r="Q36" s="28" t="n">
        <v>7033</v>
      </c>
      <c r="R36" s="77" t="s">
        <v>171</v>
      </c>
      <c r="S36" s="35" t="s">
        <v>2966</v>
      </c>
      <c r="T36" s="35" t="s">
        <v>172</v>
      </c>
      <c r="U36" s="28" t="n">
        <v>238192.76</v>
      </c>
      <c r="V36" s="60" t="n">
        <v>13.659408</v>
      </c>
      <c r="W36" s="112" t="n">
        <f aca="false">U36/V36</f>
        <v>17438.0002412989</v>
      </c>
      <c r="X36" s="112" t="n">
        <v>399.5</v>
      </c>
      <c r="Y36" s="230" t="s">
        <v>2953</v>
      </c>
      <c r="Z36" s="62" t="s">
        <v>80</v>
      </c>
      <c r="AA36" s="38" t="n">
        <v>41877</v>
      </c>
      <c r="AB36" s="38" t="n">
        <v>41985</v>
      </c>
      <c r="AC36" s="38" t="n">
        <v>41990</v>
      </c>
      <c r="AD36" s="50" t="n">
        <v>43541</v>
      </c>
      <c r="AE36" s="28" t="n">
        <f aca="false">YEAR(AD36)</f>
        <v>2019</v>
      </c>
      <c r="AF36" s="223" t="n">
        <v>43543</v>
      </c>
      <c r="AG36" s="125" t="n">
        <v>113155</v>
      </c>
      <c r="AH36" s="43" t="s">
        <v>2988</v>
      </c>
    </row>
    <row r="37" s="2" customFormat="true" ht="14.25" hidden="false" customHeight="true" outlineLevel="0" collapsed="false">
      <c r="A37" s="26" t="n">
        <v>27</v>
      </c>
      <c r="B37" s="152" t="s">
        <v>2989</v>
      </c>
      <c r="C37" s="43" t="s">
        <v>2893</v>
      </c>
      <c r="D37" s="28" t="s">
        <v>73</v>
      </c>
      <c r="E37" s="26" t="n">
        <v>4.84</v>
      </c>
      <c r="F37" s="125" t="n">
        <v>1.2</v>
      </c>
      <c r="G37" s="125"/>
      <c r="H37" s="55" t="n">
        <v>2014</v>
      </c>
      <c r="I37" s="55" t="n">
        <v>1451</v>
      </c>
      <c r="J37" s="43" t="s">
        <v>74</v>
      </c>
      <c r="K37" s="30" t="s">
        <v>2990</v>
      </c>
      <c r="L37" s="28"/>
      <c r="M37" s="31" t="s">
        <v>2991</v>
      </c>
      <c r="N37" s="32" t="s">
        <v>1090</v>
      </c>
      <c r="O37" s="57" t="s">
        <v>2992</v>
      </c>
      <c r="P37" s="28" t="s">
        <v>52</v>
      </c>
      <c r="Q37" s="28" t="n">
        <v>7050</v>
      </c>
      <c r="R37" s="34" t="s">
        <v>171</v>
      </c>
      <c r="S37" s="35" t="n">
        <v>4131</v>
      </c>
      <c r="T37" s="35" t="s">
        <v>172</v>
      </c>
      <c r="U37" s="28" t="n">
        <v>238192.76</v>
      </c>
      <c r="V37" s="60" t="n">
        <v>13.659408</v>
      </c>
      <c r="W37" s="112" t="n">
        <f aca="false">U37/V37</f>
        <v>17438.0002412989</v>
      </c>
      <c r="X37" s="112" t="n">
        <v>399.5</v>
      </c>
      <c r="Y37" s="230" t="s">
        <v>2953</v>
      </c>
      <c r="Z37" s="62" t="s">
        <v>80</v>
      </c>
      <c r="AA37" s="38" t="n">
        <v>41877</v>
      </c>
      <c r="AB37" s="38" t="n">
        <v>41985</v>
      </c>
      <c r="AC37" s="38" t="n">
        <v>41990</v>
      </c>
      <c r="AD37" s="50" t="n">
        <v>43541</v>
      </c>
      <c r="AE37" s="28" t="n">
        <f aca="false">YEAR(AD37)</f>
        <v>2019</v>
      </c>
      <c r="AF37" s="223" t="n">
        <v>43543</v>
      </c>
      <c r="AG37" s="125" t="n">
        <v>132919</v>
      </c>
      <c r="AH37" s="43" t="s">
        <v>2993</v>
      </c>
    </row>
    <row r="38" s="2" customFormat="true" ht="15" hidden="false" customHeight="true" outlineLevel="0" collapsed="false">
      <c r="A38" s="26" t="n">
        <v>23</v>
      </c>
      <c r="B38" s="152" t="s">
        <v>2994</v>
      </c>
      <c r="C38" s="43" t="s">
        <v>2893</v>
      </c>
      <c r="D38" s="28" t="s">
        <v>73</v>
      </c>
      <c r="E38" s="26" t="n">
        <v>4.84</v>
      </c>
      <c r="F38" s="125" t="n">
        <v>1.2</v>
      </c>
      <c r="G38" s="125"/>
      <c r="H38" s="55" t="n">
        <v>2014</v>
      </c>
      <c r="I38" s="55" t="n">
        <v>1451</v>
      </c>
      <c r="J38" s="43" t="s">
        <v>74</v>
      </c>
      <c r="K38" s="30" t="s">
        <v>2704</v>
      </c>
      <c r="L38" s="35"/>
      <c r="M38" s="31" t="s">
        <v>2705</v>
      </c>
      <c r="N38" s="32" t="s">
        <v>1090</v>
      </c>
      <c r="O38" s="28" t="s">
        <v>899</v>
      </c>
      <c r="P38" s="28" t="s">
        <v>52</v>
      </c>
      <c r="Q38" s="33" t="n">
        <v>7012</v>
      </c>
      <c r="R38" s="34" t="s">
        <v>171</v>
      </c>
      <c r="S38" s="35" t="n">
        <v>4131</v>
      </c>
      <c r="T38" s="35" t="s">
        <v>172</v>
      </c>
      <c r="U38" s="28" t="n">
        <v>238192.76</v>
      </c>
      <c r="V38" s="60" t="n">
        <v>13.659408</v>
      </c>
      <c r="W38" s="112" t="n">
        <f aca="false">U38/V38</f>
        <v>17438.0002412989</v>
      </c>
      <c r="X38" s="112" t="n">
        <v>399.5</v>
      </c>
      <c r="Y38" s="230" t="s">
        <v>2953</v>
      </c>
      <c r="Z38" s="62" t="s">
        <v>80</v>
      </c>
      <c r="AA38" s="38" t="n">
        <v>41877</v>
      </c>
      <c r="AB38" s="38" t="n">
        <v>41985</v>
      </c>
      <c r="AC38" s="38" t="n">
        <v>41990</v>
      </c>
      <c r="AD38" s="50" t="n">
        <v>43541</v>
      </c>
      <c r="AE38" s="28" t="n">
        <f aca="false">YEAR(AD38)</f>
        <v>2019</v>
      </c>
      <c r="AF38" s="223" t="n">
        <v>43543</v>
      </c>
      <c r="AG38" s="125" t="n">
        <v>145511</v>
      </c>
      <c r="AH38" s="43" t="s">
        <v>2995</v>
      </c>
    </row>
    <row r="39" s="2" customFormat="true" ht="12.75" hidden="false" customHeight="true" outlineLevel="0" collapsed="false">
      <c r="A39" s="26" t="n">
        <v>8</v>
      </c>
      <c r="B39" s="152" t="s">
        <v>2996</v>
      </c>
      <c r="C39" s="43" t="s">
        <v>2997</v>
      </c>
      <c r="D39" s="28" t="s">
        <v>73</v>
      </c>
      <c r="E39" s="43" t="n">
        <v>5.36</v>
      </c>
      <c r="F39" s="43" t="n">
        <v>1.6</v>
      </c>
      <c r="G39" s="55"/>
      <c r="H39" s="55" t="n">
        <v>2014</v>
      </c>
      <c r="I39" s="55" t="n">
        <v>1451</v>
      </c>
      <c r="J39" s="43" t="s">
        <v>74</v>
      </c>
      <c r="K39" s="30" t="s">
        <v>427</v>
      </c>
      <c r="L39" s="35"/>
      <c r="M39" s="31" t="s">
        <v>428</v>
      </c>
      <c r="N39" s="32" t="s">
        <v>429</v>
      </c>
      <c r="O39" s="48" t="s">
        <v>52</v>
      </c>
      <c r="P39" s="57" t="s">
        <v>52</v>
      </c>
      <c r="Q39" s="28" t="n">
        <v>1000</v>
      </c>
      <c r="R39" s="34" t="s">
        <v>53</v>
      </c>
      <c r="S39" s="35" t="n">
        <v>3699</v>
      </c>
      <c r="T39" s="35" t="n">
        <v>5</v>
      </c>
      <c r="U39" s="28" t="n">
        <v>205109.44</v>
      </c>
      <c r="V39" s="60" t="n">
        <v>11.987494</v>
      </c>
      <c r="W39" s="112" t="n">
        <f aca="false">U39/V39</f>
        <v>17110.2851021239</v>
      </c>
      <c r="X39" s="112" t="n">
        <v>379</v>
      </c>
      <c r="Y39" s="28" t="n">
        <v>2.11</v>
      </c>
      <c r="Z39" s="62" t="s">
        <v>80</v>
      </c>
      <c r="AA39" s="38" t="n">
        <v>41850</v>
      </c>
      <c r="AB39" s="38" t="n">
        <v>41958</v>
      </c>
      <c r="AC39" s="38" t="n">
        <v>41962</v>
      </c>
      <c r="AD39" s="50" t="n">
        <v>43604</v>
      </c>
      <c r="AE39" s="70" t="n">
        <f aca="false">YEAR(AD39)</f>
        <v>2019</v>
      </c>
      <c r="AF39" s="223" t="n">
        <v>43536</v>
      </c>
      <c r="AG39" s="125" t="n">
        <v>107217</v>
      </c>
      <c r="AH39" s="43" t="s">
        <v>2998</v>
      </c>
    </row>
    <row r="40" s="2" customFormat="true" ht="12.75" hidden="false" customHeight="true" outlineLevel="0" collapsed="false">
      <c r="A40" s="26" t="n">
        <v>9</v>
      </c>
      <c r="B40" s="152" t="s">
        <v>2999</v>
      </c>
      <c r="C40" s="43" t="s">
        <v>2997</v>
      </c>
      <c r="D40" s="28" t="s">
        <v>73</v>
      </c>
      <c r="E40" s="43" t="n">
        <v>5.36</v>
      </c>
      <c r="F40" s="43" t="n">
        <v>1.6</v>
      </c>
      <c r="G40" s="55"/>
      <c r="H40" s="55" t="n">
        <v>2014</v>
      </c>
      <c r="I40" s="55" t="n">
        <v>1451</v>
      </c>
      <c r="J40" s="43" t="s">
        <v>74</v>
      </c>
      <c r="K40" s="30" t="s">
        <v>2868</v>
      </c>
      <c r="L40" s="35"/>
      <c r="M40" s="31" t="s">
        <v>2869</v>
      </c>
      <c r="N40" s="32" t="s">
        <v>1285</v>
      </c>
      <c r="O40" s="48" t="s">
        <v>100</v>
      </c>
      <c r="P40" s="28" t="s">
        <v>2890</v>
      </c>
      <c r="Q40" s="28" t="n">
        <v>9000</v>
      </c>
      <c r="R40" s="77" t="s">
        <v>171</v>
      </c>
      <c r="S40" s="35" t="n">
        <v>4130</v>
      </c>
      <c r="T40" s="35" t="s">
        <v>123</v>
      </c>
      <c r="U40" s="28" t="n">
        <v>205109.44</v>
      </c>
      <c r="V40" s="60" t="n">
        <v>11.987494</v>
      </c>
      <c r="W40" s="112" t="n">
        <f aca="false">U40/V40</f>
        <v>17110.2851021239</v>
      </c>
      <c r="X40" s="112" t="n">
        <v>379</v>
      </c>
      <c r="Y40" s="28" t="n">
        <v>2.11</v>
      </c>
      <c r="Z40" s="62" t="s">
        <v>80</v>
      </c>
      <c r="AA40" s="38" t="n">
        <v>41850</v>
      </c>
      <c r="AB40" s="38" t="n">
        <v>41958</v>
      </c>
      <c r="AC40" s="38" t="n">
        <v>41962</v>
      </c>
      <c r="AD40" s="50" t="n">
        <v>43604</v>
      </c>
      <c r="AE40" s="70" t="n">
        <f aca="false">YEAR(AD40)</f>
        <v>2019</v>
      </c>
      <c r="AF40" s="223" t="n">
        <v>43545</v>
      </c>
      <c r="AG40" s="125" t="n">
        <v>116881</v>
      </c>
      <c r="AH40" s="43" t="s">
        <v>3000</v>
      </c>
    </row>
    <row r="41" s="2" customFormat="true" ht="12.75" hidden="false" customHeight="true" outlineLevel="0" collapsed="false">
      <c r="A41" s="26" t="n">
        <v>10</v>
      </c>
      <c r="B41" s="152" t="s">
        <v>3001</v>
      </c>
      <c r="C41" s="43" t="s">
        <v>2997</v>
      </c>
      <c r="D41" s="28" t="s">
        <v>73</v>
      </c>
      <c r="E41" s="43" t="n">
        <v>5.36</v>
      </c>
      <c r="F41" s="43" t="n">
        <v>1.6</v>
      </c>
      <c r="G41" s="55"/>
      <c r="H41" s="55" t="n">
        <v>2014</v>
      </c>
      <c r="I41" s="55" t="n">
        <v>1451</v>
      </c>
      <c r="J41" s="43" t="s">
        <v>74</v>
      </c>
      <c r="K41" s="30" t="s">
        <v>453</v>
      </c>
      <c r="L41" s="35"/>
      <c r="M41" s="31" t="s">
        <v>454</v>
      </c>
      <c r="N41" s="32" t="s">
        <v>455</v>
      </c>
      <c r="O41" s="28" t="s">
        <v>52</v>
      </c>
      <c r="P41" s="28" t="s">
        <v>52</v>
      </c>
      <c r="Q41" s="28" t="n">
        <v>1000</v>
      </c>
      <c r="R41" s="34" t="s">
        <v>457</v>
      </c>
      <c r="S41" s="35" t="n">
        <v>5221</v>
      </c>
      <c r="T41" s="59" t="s">
        <v>421</v>
      </c>
      <c r="U41" s="28" t="n">
        <v>205109.44</v>
      </c>
      <c r="V41" s="60" t="n">
        <v>11.987494</v>
      </c>
      <c r="W41" s="112" t="n">
        <f aca="false">U41/V41</f>
        <v>17110.2851021239</v>
      </c>
      <c r="X41" s="112" t="n">
        <v>379</v>
      </c>
      <c r="Y41" s="28" t="n">
        <v>2.11</v>
      </c>
      <c r="Z41" s="62" t="s">
        <v>80</v>
      </c>
      <c r="AA41" s="38" t="n">
        <v>41850</v>
      </c>
      <c r="AB41" s="38" t="n">
        <v>41958</v>
      </c>
      <c r="AC41" s="38" t="n">
        <v>41962</v>
      </c>
      <c r="AD41" s="50" t="n">
        <v>43604</v>
      </c>
      <c r="AE41" s="70" t="n">
        <f aca="false">YEAR(AD41)</f>
        <v>2019</v>
      </c>
      <c r="AF41" s="50" t="n">
        <v>43537</v>
      </c>
      <c r="AG41" s="43" t="n">
        <v>22294</v>
      </c>
      <c r="AH41" s="43" t="s">
        <v>3002</v>
      </c>
    </row>
    <row r="42" s="2" customFormat="true" ht="12.75" hidden="false" customHeight="true" outlineLevel="0" collapsed="false">
      <c r="A42" s="26" t="n">
        <v>11</v>
      </c>
      <c r="B42" s="152" t="s">
        <v>3003</v>
      </c>
      <c r="C42" s="27" t="s">
        <v>86</v>
      </c>
      <c r="D42" s="28" t="s">
        <v>73</v>
      </c>
      <c r="E42" s="43" t="n">
        <v>5.8</v>
      </c>
      <c r="F42" s="43" t="n">
        <v>1.6</v>
      </c>
      <c r="G42" s="55"/>
      <c r="H42" s="55" t="n">
        <v>2014</v>
      </c>
      <c r="I42" s="55" t="n">
        <v>1451</v>
      </c>
      <c r="J42" s="27" t="s">
        <v>87</v>
      </c>
      <c r="K42" s="30" t="s">
        <v>464</v>
      </c>
      <c r="L42" s="35"/>
      <c r="M42" s="31" t="s">
        <v>465</v>
      </c>
      <c r="N42" s="32" t="s">
        <v>466</v>
      </c>
      <c r="O42" s="28" t="s">
        <v>100</v>
      </c>
      <c r="P42" s="28" t="s">
        <v>593</v>
      </c>
      <c r="Q42" s="231" t="n">
        <v>9000</v>
      </c>
      <c r="R42" s="34" t="s">
        <v>92</v>
      </c>
      <c r="S42" s="35" t="n">
        <v>4143</v>
      </c>
      <c r="T42" s="59" t="s">
        <v>79</v>
      </c>
      <c r="U42" s="28" t="n">
        <v>222096.01</v>
      </c>
      <c r="V42" s="60" t="n">
        <v>11.987494</v>
      </c>
      <c r="W42" s="112" t="n">
        <f aca="false">U42/V42</f>
        <v>18527.3093775897</v>
      </c>
      <c r="X42" s="112" t="n">
        <v>413</v>
      </c>
      <c r="Y42" s="28" t="n">
        <v>2.12</v>
      </c>
      <c r="Z42" s="62" t="s">
        <v>80</v>
      </c>
      <c r="AA42" s="38" t="n">
        <v>41850</v>
      </c>
      <c r="AB42" s="38" t="n">
        <v>41973</v>
      </c>
      <c r="AC42" s="38" t="n">
        <v>41977</v>
      </c>
      <c r="AD42" s="50" t="n">
        <v>43528</v>
      </c>
      <c r="AE42" s="70" t="n">
        <f aca="false">YEAR(AD42)</f>
        <v>2019</v>
      </c>
      <c r="AF42" s="223" t="n">
        <v>43529</v>
      </c>
      <c r="AG42" s="43" t="n">
        <v>161782</v>
      </c>
      <c r="AH42" s="43" t="s">
        <v>3004</v>
      </c>
    </row>
    <row r="43" s="2" customFormat="true" ht="12.75" hidden="false" customHeight="true" outlineLevel="0" collapsed="false">
      <c r="A43" s="26" t="n">
        <v>13</v>
      </c>
      <c r="B43" s="152" t="s">
        <v>3005</v>
      </c>
      <c r="C43" s="27" t="s">
        <v>86</v>
      </c>
      <c r="D43" s="28" t="s">
        <v>73</v>
      </c>
      <c r="E43" s="43" t="n">
        <v>5.8</v>
      </c>
      <c r="F43" s="43" t="n">
        <v>1.6</v>
      </c>
      <c r="G43" s="55"/>
      <c r="H43" s="55" t="n">
        <v>2014</v>
      </c>
      <c r="I43" s="55" t="n">
        <v>1451</v>
      </c>
      <c r="J43" s="27" t="s">
        <v>87</v>
      </c>
      <c r="K43" s="30" t="s">
        <v>481</v>
      </c>
      <c r="L43" s="35"/>
      <c r="M43" s="31" t="s">
        <v>482</v>
      </c>
      <c r="N43" s="32" t="s">
        <v>90</v>
      </c>
      <c r="O43" s="28" t="s">
        <v>52</v>
      </c>
      <c r="P43" s="28" t="s">
        <v>52</v>
      </c>
      <c r="Q43" s="33" t="n">
        <v>7900</v>
      </c>
      <c r="R43" s="34" t="s">
        <v>92</v>
      </c>
      <c r="S43" s="35" t="n">
        <v>4141</v>
      </c>
      <c r="T43" s="59" t="s">
        <v>79</v>
      </c>
      <c r="U43" s="28" t="n">
        <v>222096.01</v>
      </c>
      <c r="V43" s="60" t="n">
        <v>11.987494</v>
      </c>
      <c r="W43" s="112" t="n">
        <f aca="false">U43/V43</f>
        <v>18527.3093775897</v>
      </c>
      <c r="X43" s="112" t="n">
        <v>413</v>
      </c>
      <c r="Y43" s="28" t="n">
        <v>2.13</v>
      </c>
      <c r="Z43" s="62" t="s">
        <v>80</v>
      </c>
      <c r="AA43" s="38" t="n">
        <v>41850</v>
      </c>
      <c r="AB43" s="38" t="n">
        <v>41988</v>
      </c>
      <c r="AC43" s="38" t="n">
        <v>41988</v>
      </c>
      <c r="AD43" s="50" t="n">
        <v>43539</v>
      </c>
      <c r="AE43" s="70" t="n">
        <f aca="false">YEAR(AD43)</f>
        <v>2019</v>
      </c>
      <c r="AF43" s="223" t="n">
        <v>43535</v>
      </c>
      <c r="AG43" s="43" t="n">
        <v>156680</v>
      </c>
      <c r="AH43" s="43" t="s">
        <v>3006</v>
      </c>
    </row>
    <row r="44" s="2" customFormat="true" ht="12.75" hidden="false" customHeight="true" outlineLevel="0" collapsed="false">
      <c r="A44" s="26" t="n">
        <v>12</v>
      </c>
      <c r="B44" s="152" t="s">
        <v>3007</v>
      </c>
      <c r="C44" s="27" t="s">
        <v>86</v>
      </c>
      <c r="D44" s="28" t="s">
        <v>73</v>
      </c>
      <c r="E44" s="43" t="n">
        <v>5.8</v>
      </c>
      <c r="F44" s="43" t="n">
        <v>1.6</v>
      </c>
      <c r="G44" s="55"/>
      <c r="H44" s="55" t="n">
        <v>2014</v>
      </c>
      <c r="I44" s="55" t="n">
        <v>1451</v>
      </c>
      <c r="J44" s="27" t="s">
        <v>87</v>
      </c>
      <c r="K44" s="30" t="s">
        <v>3008</v>
      </c>
      <c r="L44" s="35"/>
      <c r="M44" s="31" t="s">
        <v>3009</v>
      </c>
      <c r="N44" s="32" t="s">
        <v>466</v>
      </c>
      <c r="O44" s="28" t="s">
        <v>100</v>
      </c>
      <c r="P44" s="28" t="s">
        <v>593</v>
      </c>
      <c r="Q44" s="231" t="n">
        <v>9000</v>
      </c>
      <c r="R44" s="34" t="s">
        <v>92</v>
      </c>
      <c r="S44" s="35" t="n">
        <v>4143</v>
      </c>
      <c r="T44" s="59" t="s">
        <v>79</v>
      </c>
      <c r="U44" s="28" t="n">
        <v>222096.01</v>
      </c>
      <c r="V44" s="60" t="n">
        <v>11.987494</v>
      </c>
      <c r="W44" s="112" t="n">
        <f aca="false">U44/V44</f>
        <v>18527.3093775897</v>
      </c>
      <c r="X44" s="112" t="n">
        <v>413</v>
      </c>
      <c r="Y44" s="28" t="n">
        <v>2.13</v>
      </c>
      <c r="Z44" s="62" t="s">
        <v>80</v>
      </c>
      <c r="AA44" s="38" t="n">
        <v>41850</v>
      </c>
      <c r="AB44" s="38" t="n">
        <v>41988</v>
      </c>
      <c r="AC44" s="38" t="n">
        <v>41988</v>
      </c>
      <c r="AD44" s="50" t="n">
        <v>43539</v>
      </c>
      <c r="AE44" s="70" t="n">
        <f aca="false">YEAR(AD44)</f>
        <v>2019</v>
      </c>
      <c r="AF44" s="223" t="n">
        <v>43542</v>
      </c>
      <c r="AG44" s="43" t="n">
        <v>158802</v>
      </c>
      <c r="AH44" s="43" t="s">
        <v>3010</v>
      </c>
    </row>
    <row r="45" s="2" customFormat="true" ht="12.75" hidden="false" customHeight="true" outlineLevel="0" collapsed="false">
      <c r="A45" s="26" t="n">
        <v>39</v>
      </c>
      <c r="B45" s="232" t="s">
        <v>3011</v>
      </c>
      <c r="C45" s="43" t="s">
        <v>2893</v>
      </c>
      <c r="D45" s="28" t="s">
        <v>73</v>
      </c>
      <c r="E45" s="26" t="n">
        <v>4.84</v>
      </c>
      <c r="F45" s="125" t="n">
        <v>1.2</v>
      </c>
      <c r="G45" s="125" t="n">
        <v>99</v>
      </c>
      <c r="H45" s="55" t="n">
        <v>2014</v>
      </c>
      <c r="I45" s="55" t="n">
        <v>1451</v>
      </c>
      <c r="J45" s="43" t="s">
        <v>74</v>
      </c>
      <c r="K45" s="30" t="s">
        <v>3012</v>
      </c>
      <c r="L45" s="35"/>
      <c r="M45" s="31" t="s">
        <v>3013</v>
      </c>
      <c r="N45" s="32" t="s">
        <v>1090</v>
      </c>
      <c r="O45" s="28" t="s">
        <v>3014</v>
      </c>
      <c r="P45" s="28" t="s">
        <v>61</v>
      </c>
      <c r="Q45" s="33" t="n">
        <v>7082</v>
      </c>
      <c r="R45" s="34" t="s">
        <v>171</v>
      </c>
      <c r="S45" s="35" t="n">
        <v>4138</v>
      </c>
      <c r="T45" s="35" t="s">
        <v>172</v>
      </c>
      <c r="U45" s="28" t="n">
        <v>238192.76</v>
      </c>
      <c r="V45" s="60" t="n">
        <v>13.659408</v>
      </c>
      <c r="W45" s="112" t="n">
        <f aca="false">U45/V45</f>
        <v>17438.0002412989</v>
      </c>
      <c r="X45" s="112" t="n">
        <v>399.5</v>
      </c>
      <c r="Y45" s="146" t="n">
        <v>2.15</v>
      </c>
      <c r="Z45" s="62" t="s">
        <v>80</v>
      </c>
      <c r="AA45" s="38" t="n">
        <v>41877</v>
      </c>
      <c r="AB45" s="38" t="n">
        <v>41991</v>
      </c>
      <c r="AC45" s="38" t="n">
        <v>41990</v>
      </c>
      <c r="AD45" s="50" t="n">
        <v>43541</v>
      </c>
      <c r="AE45" s="28" t="n">
        <f aca="false">YEAR(AD45)</f>
        <v>2019</v>
      </c>
      <c r="AF45" s="223" t="n">
        <v>43537</v>
      </c>
      <c r="AG45" s="125" t="n">
        <v>126078</v>
      </c>
      <c r="AH45" s="43" t="s">
        <v>3015</v>
      </c>
    </row>
    <row r="46" s="2" customFormat="true" ht="12.75" hidden="false" customHeight="true" outlineLevel="0" collapsed="false">
      <c r="A46" s="26" t="n">
        <v>43</v>
      </c>
      <c r="B46" s="152" t="s">
        <v>3016</v>
      </c>
      <c r="C46" s="43" t="s">
        <v>2893</v>
      </c>
      <c r="D46" s="28" t="s">
        <v>73</v>
      </c>
      <c r="E46" s="26" t="n">
        <v>4.84</v>
      </c>
      <c r="F46" s="43" t="n">
        <v>1.2</v>
      </c>
      <c r="G46" s="125" t="n">
        <v>99</v>
      </c>
      <c r="H46" s="43" t="n">
        <v>2014</v>
      </c>
      <c r="I46" s="55" t="n">
        <v>1451</v>
      </c>
      <c r="J46" s="43" t="s">
        <v>74</v>
      </c>
      <c r="K46" s="30" t="s">
        <v>1492</v>
      </c>
      <c r="L46" s="35"/>
      <c r="M46" s="31" t="s">
        <v>1493</v>
      </c>
      <c r="N46" s="32" t="s">
        <v>168</v>
      </c>
      <c r="O46" s="57" t="s">
        <v>1003</v>
      </c>
      <c r="P46" s="57" t="s">
        <v>52</v>
      </c>
      <c r="Q46" s="87" t="n">
        <v>9000</v>
      </c>
      <c r="R46" s="34" t="s">
        <v>171</v>
      </c>
      <c r="S46" s="35" t="n">
        <v>4131</v>
      </c>
      <c r="T46" s="35" t="s">
        <v>172</v>
      </c>
      <c r="U46" s="28" t="n">
        <v>238192.76</v>
      </c>
      <c r="V46" s="60" t="n">
        <v>13.659408</v>
      </c>
      <c r="W46" s="112" t="n">
        <f aca="false">U46/V46</f>
        <v>17438.0002412989</v>
      </c>
      <c r="X46" s="112" t="n">
        <v>399.5</v>
      </c>
      <c r="Y46" s="146" t="n">
        <v>2.15</v>
      </c>
      <c r="Z46" s="62" t="s">
        <v>80</v>
      </c>
      <c r="AA46" s="38" t="n">
        <v>41877</v>
      </c>
      <c r="AB46" s="38" t="n">
        <v>41991</v>
      </c>
      <c r="AC46" s="38" t="n">
        <v>41990</v>
      </c>
      <c r="AD46" s="50" t="n">
        <v>43541</v>
      </c>
      <c r="AE46" s="28" t="n">
        <f aca="false">YEAR(AD46)</f>
        <v>2019</v>
      </c>
      <c r="AF46" s="223" t="n">
        <v>43538</v>
      </c>
      <c r="AG46" s="43" t="n">
        <v>155808</v>
      </c>
      <c r="AH46" s="43" t="s">
        <v>3017</v>
      </c>
    </row>
    <row r="47" s="2" customFormat="true" ht="12.75" hidden="false" customHeight="true" outlineLevel="0" collapsed="false">
      <c r="A47" s="26" t="n">
        <v>36</v>
      </c>
      <c r="B47" s="152" t="s">
        <v>3018</v>
      </c>
      <c r="C47" s="43" t="s">
        <v>2893</v>
      </c>
      <c r="D47" s="28" t="s">
        <v>73</v>
      </c>
      <c r="E47" s="26" t="n">
        <v>4.84</v>
      </c>
      <c r="F47" s="43" t="n">
        <v>1.2</v>
      </c>
      <c r="G47" s="125" t="n">
        <v>99</v>
      </c>
      <c r="H47" s="43" t="n">
        <v>2014</v>
      </c>
      <c r="I47" s="55" t="n">
        <v>1451</v>
      </c>
      <c r="J47" s="43" t="s">
        <v>74</v>
      </c>
      <c r="K47" s="30" t="s">
        <v>3019</v>
      </c>
      <c r="L47" s="35"/>
      <c r="M47" s="31" t="s">
        <v>3020</v>
      </c>
      <c r="N47" s="32" t="s">
        <v>289</v>
      </c>
      <c r="O47" s="28" t="s">
        <v>928</v>
      </c>
      <c r="P47" s="28" t="s">
        <v>2903</v>
      </c>
      <c r="Q47" s="33" t="n">
        <v>6000</v>
      </c>
      <c r="R47" s="34" t="s">
        <v>92</v>
      </c>
      <c r="S47" s="35" t="s">
        <v>3021</v>
      </c>
      <c r="T47" s="35" t="s">
        <v>172</v>
      </c>
      <c r="U47" s="28" t="n">
        <v>238192.76</v>
      </c>
      <c r="V47" s="60" t="n">
        <v>13.659408</v>
      </c>
      <c r="W47" s="112" t="n">
        <f aca="false">U47/V47</f>
        <v>17438.0002412989</v>
      </c>
      <c r="X47" s="112" t="n">
        <v>399.5</v>
      </c>
      <c r="Y47" s="146" t="n">
        <v>2.15</v>
      </c>
      <c r="Z47" s="62" t="s">
        <v>80</v>
      </c>
      <c r="AA47" s="38" t="n">
        <v>41877</v>
      </c>
      <c r="AB47" s="38" t="n">
        <v>41991</v>
      </c>
      <c r="AC47" s="38" t="n">
        <v>41990</v>
      </c>
      <c r="AD47" s="50" t="n">
        <v>43541</v>
      </c>
      <c r="AE47" s="28" t="n">
        <f aca="false">YEAR(AD47)</f>
        <v>2019</v>
      </c>
      <c r="AF47" s="223" t="n">
        <v>43542</v>
      </c>
      <c r="AG47" s="43" t="n">
        <v>130671</v>
      </c>
      <c r="AH47" s="43" t="s">
        <v>3022</v>
      </c>
    </row>
    <row r="48" s="2" customFormat="true" ht="12.75" hidden="false" customHeight="true" outlineLevel="0" collapsed="false">
      <c r="A48" s="26" t="n">
        <v>37</v>
      </c>
      <c r="B48" s="232" t="s">
        <v>3023</v>
      </c>
      <c r="C48" s="43" t="s">
        <v>2893</v>
      </c>
      <c r="D48" s="28" t="s">
        <v>73</v>
      </c>
      <c r="E48" s="26" t="n">
        <v>4.84</v>
      </c>
      <c r="F48" s="43" t="n">
        <v>1.2</v>
      </c>
      <c r="G48" s="125" t="n">
        <v>99</v>
      </c>
      <c r="H48" s="43" t="n">
        <v>2014</v>
      </c>
      <c r="I48" s="55" t="n">
        <v>1451</v>
      </c>
      <c r="J48" s="43" t="s">
        <v>74</v>
      </c>
      <c r="K48" s="30" t="s">
        <v>3024</v>
      </c>
      <c r="L48" s="35"/>
      <c r="M48" s="31" t="s">
        <v>3025</v>
      </c>
      <c r="N48" s="32" t="s">
        <v>289</v>
      </c>
      <c r="O48" s="28" t="s">
        <v>60</v>
      </c>
      <c r="P48" s="28" t="s">
        <v>61</v>
      </c>
      <c r="Q48" s="33" t="n">
        <v>6000</v>
      </c>
      <c r="R48" s="34" t="s">
        <v>92</v>
      </c>
      <c r="S48" s="35" t="n">
        <v>4148</v>
      </c>
      <c r="T48" s="35" t="s">
        <v>172</v>
      </c>
      <c r="U48" s="28" t="n">
        <v>238192.76</v>
      </c>
      <c r="V48" s="60" t="n">
        <v>13.659408</v>
      </c>
      <c r="W48" s="112" t="n">
        <f aca="false">U48/V48</f>
        <v>17438.0002412989</v>
      </c>
      <c r="X48" s="112" t="n">
        <v>399.5</v>
      </c>
      <c r="Y48" s="146" t="n">
        <v>2.15</v>
      </c>
      <c r="Z48" s="62" t="s">
        <v>80</v>
      </c>
      <c r="AA48" s="38" t="n">
        <v>41877</v>
      </c>
      <c r="AB48" s="38" t="n">
        <v>41991</v>
      </c>
      <c r="AC48" s="38" t="n">
        <v>41990</v>
      </c>
      <c r="AD48" s="50" t="n">
        <v>43541</v>
      </c>
      <c r="AE48" s="28" t="n">
        <f aca="false">YEAR(AD48)</f>
        <v>2019</v>
      </c>
      <c r="AF48" s="223" t="n">
        <v>43542</v>
      </c>
      <c r="AG48" s="43" t="n">
        <v>108792</v>
      </c>
      <c r="AH48" s="43" t="s">
        <v>3026</v>
      </c>
    </row>
    <row r="49" s="2" customFormat="true" ht="12.75" hidden="false" customHeight="true" outlineLevel="0" collapsed="false">
      <c r="A49" s="26" t="n">
        <v>38</v>
      </c>
      <c r="B49" s="152" t="s">
        <v>3027</v>
      </c>
      <c r="C49" s="43" t="s">
        <v>2893</v>
      </c>
      <c r="D49" s="28" t="s">
        <v>73</v>
      </c>
      <c r="E49" s="26" t="n">
        <v>4.84</v>
      </c>
      <c r="F49" s="43" t="n">
        <v>1.2</v>
      </c>
      <c r="G49" s="125" t="n">
        <v>99</v>
      </c>
      <c r="H49" s="43" t="n">
        <v>2014</v>
      </c>
      <c r="I49" s="55" t="n">
        <v>1451</v>
      </c>
      <c r="J49" s="43" t="s">
        <v>74</v>
      </c>
      <c r="K49" s="30" t="s">
        <v>3028</v>
      </c>
      <c r="L49" s="35"/>
      <c r="M49" s="31" t="s">
        <v>3029</v>
      </c>
      <c r="N49" s="32" t="s">
        <v>1090</v>
      </c>
      <c r="O49" s="28" t="s">
        <v>197</v>
      </c>
      <c r="P49" s="28" t="s">
        <v>2923</v>
      </c>
      <c r="Q49" s="33" t="n">
        <v>7041</v>
      </c>
      <c r="R49" s="68" t="s">
        <v>171</v>
      </c>
      <c r="S49" s="35" t="n">
        <v>4134</v>
      </c>
      <c r="T49" s="35" t="s">
        <v>172</v>
      </c>
      <c r="U49" s="28" t="n">
        <v>238192.76</v>
      </c>
      <c r="V49" s="60" t="n">
        <v>13.659408</v>
      </c>
      <c r="W49" s="112" t="n">
        <f aca="false">U49/V49</f>
        <v>17438.0002412989</v>
      </c>
      <c r="X49" s="112" t="n">
        <v>399.5</v>
      </c>
      <c r="Y49" s="146" t="n">
        <v>2.15</v>
      </c>
      <c r="Z49" s="62" t="s">
        <v>80</v>
      </c>
      <c r="AA49" s="38" t="n">
        <v>41877</v>
      </c>
      <c r="AB49" s="38" t="n">
        <v>41991</v>
      </c>
      <c r="AC49" s="38" t="n">
        <v>41990</v>
      </c>
      <c r="AD49" s="50" t="n">
        <v>43541</v>
      </c>
      <c r="AE49" s="28" t="n">
        <f aca="false">YEAR(AD49)</f>
        <v>2019</v>
      </c>
      <c r="AF49" s="223" t="n">
        <v>43542</v>
      </c>
      <c r="AH49" s="43" t="s">
        <v>3030</v>
      </c>
    </row>
    <row r="50" s="2" customFormat="true" ht="12.75" hidden="false" customHeight="true" outlineLevel="0" collapsed="false">
      <c r="A50" s="26" t="n">
        <v>34</v>
      </c>
      <c r="B50" s="152" t="s">
        <v>3031</v>
      </c>
      <c r="C50" s="43" t="s">
        <v>2893</v>
      </c>
      <c r="D50" s="28" t="s">
        <v>73</v>
      </c>
      <c r="E50" s="26" t="n">
        <v>4.84</v>
      </c>
      <c r="F50" s="43" t="n">
        <v>1.2</v>
      </c>
      <c r="G50" s="125" t="n">
        <v>99</v>
      </c>
      <c r="H50" s="43" t="n">
        <v>2014</v>
      </c>
      <c r="I50" s="55" t="n">
        <v>1451</v>
      </c>
      <c r="J50" s="43" t="s">
        <v>74</v>
      </c>
      <c r="K50" s="30" t="s">
        <v>989</v>
      </c>
      <c r="L50" s="35"/>
      <c r="M50" s="31" t="s">
        <v>990</v>
      </c>
      <c r="N50" s="32" t="s">
        <v>1090</v>
      </c>
      <c r="O50" s="28" t="s">
        <v>732</v>
      </c>
      <c r="P50" s="28" t="s">
        <v>61</v>
      </c>
      <c r="Q50" s="33" t="n">
        <v>7080</v>
      </c>
      <c r="R50" s="34" t="s">
        <v>171</v>
      </c>
      <c r="S50" s="35" t="n">
        <v>4138</v>
      </c>
      <c r="T50" s="35" t="s">
        <v>172</v>
      </c>
      <c r="U50" s="28" t="n">
        <v>238192.76</v>
      </c>
      <c r="V50" s="60" t="n">
        <v>13.659408</v>
      </c>
      <c r="W50" s="112" t="n">
        <f aca="false">U50/V50</f>
        <v>17438.0002412989</v>
      </c>
      <c r="X50" s="112" t="n">
        <v>399.5</v>
      </c>
      <c r="Y50" s="146" t="n">
        <v>2.15</v>
      </c>
      <c r="Z50" s="62" t="s">
        <v>80</v>
      </c>
      <c r="AA50" s="38" t="n">
        <v>41877</v>
      </c>
      <c r="AB50" s="38" t="n">
        <v>41991</v>
      </c>
      <c r="AC50" s="38" t="n">
        <v>41990</v>
      </c>
      <c r="AD50" s="50" t="n">
        <v>43541</v>
      </c>
      <c r="AE50" s="28" t="n">
        <f aca="false">YEAR(AD50)</f>
        <v>2019</v>
      </c>
      <c r="AF50" s="223" t="n">
        <v>43542</v>
      </c>
      <c r="AG50" s="222"/>
      <c r="AH50" s="43" t="s">
        <v>3032</v>
      </c>
    </row>
    <row r="51" s="2" customFormat="true" ht="12.75" hidden="false" customHeight="true" outlineLevel="0" collapsed="false">
      <c r="A51" s="26" t="n">
        <v>42</v>
      </c>
      <c r="B51" s="233" t="s">
        <v>3033</v>
      </c>
      <c r="C51" s="234" t="s">
        <v>2893</v>
      </c>
      <c r="D51" s="133" t="s">
        <v>73</v>
      </c>
      <c r="E51" s="26" t="n">
        <v>4.84</v>
      </c>
      <c r="F51" s="234" t="n">
        <v>1.2</v>
      </c>
      <c r="G51" s="125" t="n">
        <v>99</v>
      </c>
      <c r="H51" s="234" t="n">
        <v>2014</v>
      </c>
      <c r="I51" s="55" t="n">
        <v>1451</v>
      </c>
      <c r="J51" s="234" t="s">
        <v>74</v>
      </c>
      <c r="K51" s="30" t="s">
        <v>333</v>
      </c>
      <c r="L51" s="104"/>
      <c r="M51" s="31" t="s">
        <v>334</v>
      </c>
      <c r="N51" s="32" t="s">
        <v>289</v>
      </c>
      <c r="O51" s="57" t="s">
        <v>335</v>
      </c>
      <c r="P51" s="133" t="s">
        <v>2923</v>
      </c>
      <c r="Q51" s="87" t="n">
        <v>1000</v>
      </c>
      <c r="R51" s="58" t="s">
        <v>92</v>
      </c>
      <c r="S51" s="69" t="n">
        <v>4144</v>
      </c>
      <c r="T51" s="35" t="s">
        <v>172</v>
      </c>
      <c r="U51" s="28" t="n">
        <v>238192.76</v>
      </c>
      <c r="V51" s="60" t="n">
        <v>13.659408</v>
      </c>
      <c r="W51" s="112" t="n">
        <f aca="false">U51/V51</f>
        <v>17438.0002412989</v>
      </c>
      <c r="X51" s="112" t="n">
        <v>399.5</v>
      </c>
      <c r="Y51" s="146" t="n">
        <v>2.15</v>
      </c>
      <c r="Z51" s="62" t="s">
        <v>80</v>
      </c>
      <c r="AA51" s="38" t="n">
        <v>41877</v>
      </c>
      <c r="AB51" s="38" t="n">
        <v>41991</v>
      </c>
      <c r="AC51" s="38" t="n">
        <v>41990</v>
      </c>
      <c r="AD51" s="50" t="n">
        <v>43541</v>
      </c>
      <c r="AE51" s="28" t="n">
        <f aca="false">YEAR(AD51)</f>
        <v>2019</v>
      </c>
      <c r="AF51" s="223" t="n">
        <v>43542</v>
      </c>
      <c r="AG51" s="44" t="n">
        <v>92602</v>
      </c>
      <c r="AH51" s="43" t="s">
        <v>3034</v>
      </c>
    </row>
    <row r="52" s="2" customFormat="true" ht="12.75" hidden="false" customHeight="true" outlineLevel="0" collapsed="false">
      <c r="A52" s="26" t="n">
        <v>45</v>
      </c>
      <c r="B52" s="152" t="s">
        <v>3035</v>
      </c>
      <c r="C52" s="43" t="s">
        <v>2893</v>
      </c>
      <c r="D52" s="28" t="s">
        <v>73</v>
      </c>
      <c r="E52" s="26" t="n">
        <v>4.84</v>
      </c>
      <c r="F52" s="43" t="n">
        <v>1.2</v>
      </c>
      <c r="G52" s="125" t="n">
        <v>99</v>
      </c>
      <c r="H52" s="43" t="n">
        <v>2014</v>
      </c>
      <c r="I52" s="55" t="n">
        <v>1451</v>
      </c>
      <c r="J52" s="43" t="s">
        <v>74</v>
      </c>
      <c r="K52" s="30" t="s">
        <v>273</v>
      </c>
      <c r="L52" s="35"/>
      <c r="M52" s="31" t="s">
        <v>274</v>
      </c>
      <c r="N52" s="32" t="s">
        <v>1090</v>
      </c>
      <c r="O52" s="28" t="s">
        <v>169</v>
      </c>
      <c r="P52" s="28" t="s">
        <v>61</v>
      </c>
      <c r="Q52" s="33" t="n">
        <v>7083</v>
      </c>
      <c r="R52" s="34" t="s">
        <v>171</v>
      </c>
      <c r="S52" s="35" t="n">
        <v>4138</v>
      </c>
      <c r="T52" s="35" t="s">
        <v>172</v>
      </c>
      <c r="U52" s="28" t="n">
        <v>238192.76</v>
      </c>
      <c r="V52" s="60" t="n">
        <v>13.659408</v>
      </c>
      <c r="W52" s="112" t="n">
        <f aca="false">U52/V52</f>
        <v>17438.0002412989</v>
      </c>
      <c r="X52" s="112" t="n">
        <v>399.5</v>
      </c>
      <c r="Y52" s="146" t="n">
        <v>2.15</v>
      </c>
      <c r="Z52" s="62" t="s">
        <v>80</v>
      </c>
      <c r="AA52" s="38" t="n">
        <v>41877</v>
      </c>
      <c r="AB52" s="38" t="n">
        <v>41991</v>
      </c>
      <c r="AC52" s="38" t="n">
        <v>41990</v>
      </c>
      <c r="AD52" s="50" t="n">
        <v>43541</v>
      </c>
      <c r="AE52" s="28" t="n">
        <f aca="false">YEAR(AD52)</f>
        <v>2019</v>
      </c>
      <c r="AF52" s="223" t="n">
        <v>43542</v>
      </c>
      <c r="AG52" s="43" t="n">
        <v>123649</v>
      </c>
      <c r="AH52" s="43" t="s">
        <v>3036</v>
      </c>
    </row>
    <row r="53" s="2" customFormat="true" ht="12.75" hidden="false" customHeight="true" outlineLevel="0" collapsed="false">
      <c r="A53" s="26" t="n">
        <v>41</v>
      </c>
      <c r="B53" s="152" t="s">
        <v>3037</v>
      </c>
      <c r="C53" s="43" t="s">
        <v>2893</v>
      </c>
      <c r="D53" s="28" t="s">
        <v>73</v>
      </c>
      <c r="E53" s="26" t="n">
        <v>4.84</v>
      </c>
      <c r="F53" s="43" t="n">
        <v>1.2</v>
      </c>
      <c r="G53" s="125" t="n">
        <v>99</v>
      </c>
      <c r="H53" s="43" t="n">
        <v>2014</v>
      </c>
      <c r="I53" s="55" t="n">
        <v>1451</v>
      </c>
      <c r="J53" s="43" t="s">
        <v>74</v>
      </c>
      <c r="K53" s="30" t="s">
        <v>3038</v>
      </c>
      <c r="L53" s="35"/>
      <c r="M53" s="31" t="s">
        <v>3039</v>
      </c>
      <c r="N53" s="32" t="s">
        <v>1090</v>
      </c>
      <c r="O53" s="28" t="s">
        <v>180</v>
      </c>
      <c r="P53" s="28" t="s">
        <v>2903</v>
      </c>
      <c r="Q53" s="33" t="n">
        <v>7033</v>
      </c>
      <c r="R53" s="34" t="s">
        <v>171</v>
      </c>
      <c r="S53" s="35" t="s">
        <v>2966</v>
      </c>
      <c r="T53" s="35" t="s">
        <v>172</v>
      </c>
      <c r="U53" s="28" t="n">
        <v>238192.76</v>
      </c>
      <c r="V53" s="60" t="n">
        <v>13.659408</v>
      </c>
      <c r="W53" s="112" t="n">
        <f aca="false">U53/V53</f>
        <v>17438.0002412989</v>
      </c>
      <c r="X53" s="112" t="n">
        <v>399.5</v>
      </c>
      <c r="Y53" s="146" t="n">
        <v>2.15</v>
      </c>
      <c r="Z53" s="62" t="s">
        <v>80</v>
      </c>
      <c r="AA53" s="38" t="n">
        <v>41877</v>
      </c>
      <c r="AB53" s="38" t="n">
        <v>41991</v>
      </c>
      <c r="AC53" s="38" t="n">
        <v>41990</v>
      </c>
      <c r="AD53" s="50" t="n">
        <v>43541</v>
      </c>
      <c r="AE53" s="28" t="n">
        <f aca="false">YEAR(AD53)</f>
        <v>2019</v>
      </c>
      <c r="AF53" s="223" t="n">
        <v>43543</v>
      </c>
      <c r="AG53" s="43" t="n">
        <v>131319</v>
      </c>
      <c r="AH53" s="43" t="s">
        <v>3040</v>
      </c>
    </row>
    <row r="54" s="2" customFormat="true" ht="12.75" hidden="false" customHeight="true" outlineLevel="0" collapsed="false">
      <c r="A54" s="26" t="n">
        <v>51</v>
      </c>
      <c r="B54" s="152" t="s">
        <v>3041</v>
      </c>
      <c r="C54" s="43" t="s">
        <v>2893</v>
      </c>
      <c r="D54" s="28" t="s">
        <v>73</v>
      </c>
      <c r="E54" s="26" t="n">
        <v>4.84</v>
      </c>
      <c r="F54" s="43" t="n">
        <v>1.2</v>
      </c>
      <c r="G54" s="125" t="n">
        <v>99</v>
      </c>
      <c r="H54" s="43" t="n">
        <v>2014</v>
      </c>
      <c r="I54" s="55" t="n">
        <v>1451</v>
      </c>
      <c r="J54" s="43" t="s">
        <v>74</v>
      </c>
      <c r="K54" s="30" t="s">
        <v>234</v>
      </c>
      <c r="L54" s="35"/>
      <c r="M54" s="31" t="s">
        <v>235</v>
      </c>
      <c r="N54" s="32" t="s">
        <v>1090</v>
      </c>
      <c r="O54" s="94" t="s">
        <v>237</v>
      </c>
      <c r="P54" s="28" t="s">
        <v>2923</v>
      </c>
      <c r="Q54" s="33" t="n">
        <v>7052</v>
      </c>
      <c r="R54" s="34" t="s">
        <v>171</v>
      </c>
      <c r="S54" s="35" t="n">
        <v>4134</v>
      </c>
      <c r="T54" s="35" t="s">
        <v>172</v>
      </c>
      <c r="U54" s="28" t="n">
        <v>238192.76</v>
      </c>
      <c r="V54" s="60" t="n">
        <v>13.659408</v>
      </c>
      <c r="W54" s="112" t="n">
        <f aca="false">U54/V54</f>
        <v>17438.0002412989</v>
      </c>
      <c r="X54" s="112" t="n">
        <v>399.5</v>
      </c>
      <c r="Y54" s="146" t="n">
        <v>2.15</v>
      </c>
      <c r="Z54" s="62" t="s">
        <v>80</v>
      </c>
      <c r="AA54" s="38" t="n">
        <v>41877</v>
      </c>
      <c r="AB54" s="38" t="n">
        <v>41991</v>
      </c>
      <c r="AC54" s="38" t="n">
        <v>41990</v>
      </c>
      <c r="AD54" s="50" t="n">
        <v>43541</v>
      </c>
      <c r="AE54" s="28" t="n">
        <f aca="false">YEAR(AD54)</f>
        <v>2019</v>
      </c>
      <c r="AF54" s="223" t="n">
        <v>43543</v>
      </c>
      <c r="AG54" s="43" t="n">
        <v>143836</v>
      </c>
      <c r="AH54" s="43" t="s">
        <v>3042</v>
      </c>
    </row>
    <row r="55" s="2" customFormat="true" ht="12.75" hidden="false" customHeight="true" outlineLevel="0" collapsed="false">
      <c r="A55" s="26" t="n">
        <v>48</v>
      </c>
      <c r="B55" s="232" t="s">
        <v>3043</v>
      </c>
      <c r="C55" s="43" t="s">
        <v>2893</v>
      </c>
      <c r="D55" s="28" t="s">
        <v>73</v>
      </c>
      <c r="E55" s="26" t="n">
        <v>4.84</v>
      </c>
      <c r="F55" s="125" t="n">
        <v>1.2</v>
      </c>
      <c r="G55" s="125" t="n">
        <v>99</v>
      </c>
      <c r="H55" s="55" t="n">
        <v>2014</v>
      </c>
      <c r="I55" s="55" t="n">
        <v>1451</v>
      </c>
      <c r="J55" s="43" t="s">
        <v>74</v>
      </c>
      <c r="K55" s="30" t="s">
        <v>3044</v>
      </c>
      <c r="L55" s="35"/>
      <c r="M55" s="31" t="s">
        <v>3045</v>
      </c>
      <c r="N55" s="32" t="s">
        <v>1090</v>
      </c>
      <c r="O55" s="28" t="s">
        <v>681</v>
      </c>
      <c r="P55" s="28" t="s">
        <v>593</v>
      </c>
      <c r="Q55" s="33" t="n">
        <v>7031</v>
      </c>
      <c r="R55" s="34" t="s">
        <v>171</v>
      </c>
      <c r="S55" s="35" t="n">
        <v>4133</v>
      </c>
      <c r="T55" s="35" t="s">
        <v>172</v>
      </c>
      <c r="U55" s="28" t="n">
        <v>238192.76</v>
      </c>
      <c r="V55" s="60" t="n">
        <v>13.659408</v>
      </c>
      <c r="W55" s="112" t="n">
        <f aca="false">U55/V55</f>
        <v>17438.0002412989</v>
      </c>
      <c r="X55" s="112" t="n">
        <v>399.5</v>
      </c>
      <c r="Y55" s="146" t="n">
        <v>2.15</v>
      </c>
      <c r="Z55" s="62" t="s">
        <v>80</v>
      </c>
      <c r="AA55" s="38" t="n">
        <v>41877</v>
      </c>
      <c r="AB55" s="38" t="n">
        <v>41991</v>
      </c>
      <c r="AC55" s="38" t="n">
        <v>41990</v>
      </c>
      <c r="AD55" s="50" t="n">
        <v>43541</v>
      </c>
      <c r="AE55" s="28" t="n">
        <f aca="false">YEAR(AD55)</f>
        <v>2019</v>
      </c>
      <c r="AF55" s="223" t="n">
        <v>43543</v>
      </c>
      <c r="AH55" s="43" t="s">
        <v>3046</v>
      </c>
      <c r="AI55" s="223" t="n">
        <v>43572</v>
      </c>
    </row>
    <row r="56" s="2" customFormat="true" ht="12.75" hidden="false" customHeight="true" outlineLevel="0" collapsed="false">
      <c r="A56" s="26" t="n">
        <v>33</v>
      </c>
      <c r="B56" s="152" t="s">
        <v>3047</v>
      </c>
      <c r="C56" s="43" t="s">
        <v>2893</v>
      </c>
      <c r="D56" s="28" t="s">
        <v>73</v>
      </c>
      <c r="E56" s="26" t="n">
        <v>4.84</v>
      </c>
      <c r="F56" s="43" t="n">
        <v>1.2</v>
      </c>
      <c r="G56" s="125" t="n">
        <v>99</v>
      </c>
      <c r="H56" s="43" t="n">
        <v>2014</v>
      </c>
      <c r="I56" s="55" t="n">
        <v>1451</v>
      </c>
      <c r="J56" s="43" t="s">
        <v>74</v>
      </c>
      <c r="K56" s="30" t="s">
        <v>3048</v>
      </c>
      <c r="L56" s="35"/>
      <c r="M56" s="31" t="s">
        <v>3049</v>
      </c>
      <c r="N56" s="32" t="s">
        <v>289</v>
      </c>
      <c r="O56" s="28" t="s">
        <v>831</v>
      </c>
      <c r="P56" s="28" t="s">
        <v>2923</v>
      </c>
      <c r="Q56" s="33" t="n">
        <v>1000</v>
      </c>
      <c r="R56" s="68" t="s">
        <v>92</v>
      </c>
      <c r="S56" s="35" t="n">
        <v>4144</v>
      </c>
      <c r="T56" s="35" t="s">
        <v>172</v>
      </c>
      <c r="U56" s="28" t="n">
        <v>238192.76</v>
      </c>
      <c r="V56" s="60" t="n">
        <v>13.659408</v>
      </c>
      <c r="W56" s="112" t="n">
        <f aca="false">U56/V56</f>
        <v>17438.0002412989</v>
      </c>
      <c r="X56" s="112" t="n">
        <v>399.5</v>
      </c>
      <c r="Y56" s="146" t="n">
        <v>2.15</v>
      </c>
      <c r="Z56" s="62" t="s">
        <v>80</v>
      </c>
      <c r="AA56" s="38" t="n">
        <v>41877</v>
      </c>
      <c r="AB56" s="38" t="n">
        <v>41991</v>
      </c>
      <c r="AC56" s="38" t="n">
        <v>41990</v>
      </c>
      <c r="AD56" s="50" t="n">
        <v>43541</v>
      </c>
      <c r="AE56" s="28" t="n">
        <f aca="false">YEAR(AD56)</f>
        <v>2019</v>
      </c>
      <c r="AF56" s="223" t="n">
        <v>43545</v>
      </c>
      <c r="AG56" s="43" t="n">
        <v>133939</v>
      </c>
      <c r="AH56" s="43" t="s">
        <v>3050</v>
      </c>
    </row>
    <row r="57" s="2" customFormat="true" ht="13.5" hidden="false" customHeight="true" outlineLevel="0" collapsed="false">
      <c r="A57" s="26" t="n">
        <v>49</v>
      </c>
      <c r="B57" s="152" t="s">
        <v>3051</v>
      </c>
      <c r="C57" s="43" t="s">
        <v>2893</v>
      </c>
      <c r="D57" s="28" t="s">
        <v>73</v>
      </c>
      <c r="E57" s="26" t="n">
        <v>4.84</v>
      </c>
      <c r="F57" s="43" t="n">
        <v>1.2</v>
      </c>
      <c r="G57" s="125" t="n">
        <v>99</v>
      </c>
      <c r="H57" s="43" t="n">
        <v>2014</v>
      </c>
      <c r="I57" s="55" t="n">
        <v>1451</v>
      </c>
      <c r="J57" s="43" t="s">
        <v>74</v>
      </c>
      <c r="K57" s="30" t="s">
        <v>258</v>
      </c>
      <c r="L57" s="57"/>
      <c r="M57" s="31" t="s">
        <v>259</v>
      </c>
      <c r="N57" s="32" t="s">
        <v>168</v>
      </c>
      <c r="O57" s="28" t="s">
        <v>142</v>
      </c>
      <c r="P57" s="28" t="s">
        <v>2896</v>
      </c>
      <c r="Q57" s="33" t="n">
        <v>9000</v>
      </c>
      <c r="R57" s="34" t="s">
        <v>171</v>
      </c>
      <c r="S57" s="35" t="n">
        <v>4136</v>
      </c>
      <c r="T57" s="35" t="s">
        <v>172</v>
      </c>
      <c r="U57" s="28" t="n">
        <v>238192.76</v>
      </c>
      <c r="V57" s="60" t="n">
        <v>13.659408</v>
      </c>
      <c r="W57" s="112" t="n">
        <f aca="false">U57/V57</f>
        <v>17438.0002412989</v>
      </c>
      <c r="X57" s="112" t="n">
        <v>399.5</v>
      </c>
      <c r="Y57" s="146" t="n">
        <v>2.15</v>
      </c>
      <c r="Z57" s="62" t="s">
        <v>80</v>
      </c>
      <c r="AA57" s="38" t="n">
        <v>41877</v>
      </c>
      <c r="AB57" s="38" t="n">
        <v>41991</v>
      </c>
      <c r="AC57" s="38" t="n">
        <v>41990</v>
      </c>
      <c r="AD57" s="50" t="n">
        <v>43541</v>
      </c>
      <c r="AE57" s="28" t="n">
        <f aca="false">YEAR(AD57)</f>
        <v>2019</v>
      </c>
      <c r="AF57" s="223" t="n">
        <v>43545</v>
      </c>
      <c r="AG57" s="43" t="n">
        <v>114231</v>
      </c>
      <c r="AH57" s="43" t="s">
        <v>3052</v>
      </c>
    </row>
    <row r="58" s="2" customFormat="true" ht="12.75" hidden="false" customHeight="true" outlineLevel="0" collapsed="false">
      <c r="A58" s="26" t="n">
        <v>50</v>
      </c>
      <c r="B58" s="152" t="s">
        <v>3053</v>
      </c>
      <c r="C58" s="43" t="s">
        <v>2893</v>
      </c>
      <c r="D58" s="28" t="s">
        <v>73</v>
      </c>
      <c r="E58" s="26" t="n">
        <v>4.84</v>
      </c>
      <c r="F58" s="43" t="n">
        <v>1.2</v>
      </c>
      <c r="G58" s="125" t="n">
        <v>99</v>
      </c>
      <c r="H58" s="43" t="n">
        <v>2014</v>
      </c>
      <c r="I58" s="55" t="n">
        <v>1451</v>
      </c>
      <c r="J58" s="43" t="s">
        <v>74</v>
      </c>
      <c r="K58" s="30" t="s">
        <v>349</v>
      </c>
      <c r="L58" s="35"/>
      <c r="M58" s="31" t="s">
        <v>350</v>
      </c>
      <c r="N58" s="32" t="s">
        <v>2922</v>
      </c>
      <c r="O58" s="28" t="s">
        <v>142</v>
      </c>
      <c r="P58" s="28" t="s">
        <v>2896</v>
      </c>
      <c r="Q58" s="33" t="n">
        <v>1000</v>
      </c>
      <c r="R58" s="34" t="s">
        <v>189</v>
      </c>
      <c r="S58" s="35" t="n">
        <v>4176</v>
      </c>
      <c r="T58" s="35" t="s">
        <v>172</v>
      </c>
      <c r="U58" s="28" t="n">
        <v>238192.76</v>
      </c>
      <c r="V58" s="60" t="n">
        <v>13.659408</v>
      </c>
      <c r="W58" s="112" t="n">
        <f aca="false">U58/V58</f>
        <v>17438.0002412989</v>
      </c>
      <c r="X58" s="112" t="n">
        <v>399.5</v>
      </c>
      <c r="Y58" s="146" t="n">
        <v>2.15</v>
      </c>
      <c r="Z58" s="62" t="s">
        <v>80</v>
      </c>
      <c r="AA58" s="38" t="n">
        <v>41877</v>
      </c>
      <c r="AB58" s="38" t="n">
        <v>41991</v>
      </c>
      <c r="AC58" s="38" t="n">
        <v>41990</v>
      </c>
      <c r="AD58" s="50" t="n">
        <v>43541</v>
      </c>
      <c r="AE58" s="28" t="n">
        <f aca="false">YEAR(AD58)</f>
        <v>2019</v>
      </c>
      <c r="AF58" s="223" t="n">
        <v>43545</v>
      </c>
      <c r="AG58" s="43" t="n">
        <v>112478</v>
      </c>
      <c r="AH58" s="43" t="s">
        <v>3054</v>
      </c>
    </row>
    <row r="59" s="2" customFormat="true" ht="12.75" hidden="false" customHeight="true" outlineLevel="0" collapsed="false">
      <c r="A59" s="26" t="n">
        <v>40</v>
      </c>
      <c r="B59" s="152" t="s">
        <v>3055</v>
      </c>
      <c r="C59" s="43" t="s">
        <v>2893</v>
      </c>
      <c r="D59" s="28" t="s">
        <v>73</v>
      </c>
      <c r="E59" s="26" t="n">
        <v>4.84</v>
      </c>
      <c r="F59" s="43" t="n">
        <v>1.2</v>
      </c>
      <c r="G59" s="125" t="n">
        <v>99</v>
      </c>
      <c r="H59" s="43" t="n">
        <v>2014</v>
      </c>
      <c r="I59" s="55" t="n">
        <v>1451</v>
      </c>
      <c r="J59" s="43" t="s">
        <v>74</v>
      </c>
      <c r="K59" s="30" t="s">
        <v>265</v>
      </c>
      <c r="L59" s="35"/>
      <c r="M59" s="31" t="s">
        <v>266</v>
      </c>
      <c r="N59" s="32" t="s">
        <v>1090</v>
      </c>
      <c r="O59" s="28" t="s">
        <v>267</v>
      </c>
      <c r="P59" s="28" t="s">
        <v>593</v>
      </c>
      <c r="Q59" s="33" t="n">
        <v>7030</v>
      </c>
      <c r="R59" s="34" t="s">
        <v>171</v>
      </c>
      <c r="S59" s="35" t="n">
        <v>4133</v>
      </c>
      <c r="T59" s="35" t="s">
        <v>172</v>
      </c>
      <c r="U59" s="28" t="n">
        <v>238192.76</v>
      </c>
      <c r="V59" s="60" t="n">
        <v>13.659408</v>
      </c>
      <c r="W59" s="112" t="n">
        <f aca="false">U59/V59</f>
        <v>17438.0002412989</v>
      </c>
      <c r="X59" s="112" t="n">
        <v>399.5</v>
      </c>
      <c r="Y59" s="146" t="n">
        <v>2.15</v>
      </c>
      <c r="Z59" s="62" t="s">
        <v>80</v>
      </c>
      <c r="AA59" s="38" t="n">
        <v>41877</v>
      </c>
      <c r="AB59" s="38" t="n">
        <v>41991</v>
      </c>
      <c r="AC59" s="38" t="n">
        <v>41990</v>
      </c>
      <c r="AD59" s="50" t="n">
        <v>43541</v>
      </c>
      <c r="AE59" s="28" t="n">
        <f aca="false">YEAR(AD59)</f>
        <v>2019</v>
      </c>
      <c r="AF59" s="223" t="n">
        <v>43545</v>
      </c>
      <c r="AG59" s="43" t="n">
        <v>124901</v>
      </c>
      <c r="AH59" s="43" t="s">
        <v>3056</v>
      </c>
    </row>
    <row r="60" s="2" customFormat="true" ht="12.75" hidden="false" customHeight="true" outlineLevel="0" collapsed="false">
      <c r="A60" s="26" t="n">
        <v>44</v>
      </c>
      <c r="B60" s="152" t="s">
        <v>3057</v>
      </c>
      <c r="C60" s="43" t="s">
        <v>2893</v>
      </c>
      <c r="D60" s="28" t="s">
        <v>73</v>
      </c>
      <c r="E60" s="26" t="n">
        <v>4.84</v>
      </c>
      <c r="F60" s="43" t="n">
        <v>1.2</v>
      </c>
      <c r="G60" s="125" t="n">
        <v>99</v>
      </c>
      <c r="H60" s="43" t="n">
        <v>2014</v>
      </c>
      <c r="I60" s="55" t="n">
        <v>1451</v>
      </c>
      <c r="J60" s="43" t="s">
        <v>74</v>
      </c>
      <c r="K60" s="30" t="s">
        <v>3058</v>
      </c>
      <c r="L60" s="35"/>
      <c r="M60" s="31" t="s">
        <v>3059</v>
      </c>
      <c r="N60" s="32" t="s">
        <v>289</v>
      </c>
      <c r="O60" s="70" t="s">
        <v>52</v>
      </c>
      <c r="P60" s="28" t="s">
        <v>52</v>
      </c>
      <c r="Q60" s="33" t="n">
        <v>1000</v>
      </c>
      <c r="R60" s="34" t="s">
        <v>92</v>
      </c>
      <c r="S60" s="35" t="n">
        <v>4141</v>
      </c>
      <c r="T60" s="35" t="s">
        <v>172</v>
      </c>
      <c r="U60" s="28" t="n">
        <v>238192.76</v>
      </c>
      <c r="V60" s="60" t="n">
        <v>13.659408</v>
      </c>
      <c r="W60" s="112" t="n">
        <f aca="false">U60/V60</f>
        <v>17438.0002412989</v>
      </c>
      <c r="X60" s="112" t="n">
        <v>399.5</v>
      </c>
      <c r="Y60" s="146" t="n">
        <v>2.15</v>
      </c>
      <c r="Z60" s="62" t="s">
        <v>80</v>
      </c>
      <c r="AA60" s="38" t="n">
        <v>41877</v>
      </c>
      <c r="AB60" s="38" t="n">
        <v>41991</v>
      </c>
      <c r="AC60" s="38" t="n">
        <v>41990</v>
      </c>
      <c r="AD60" s="50" t="n">
        <v>43541</v>
      </c>
      <c r="AE60" s="28" t="n">
        <f aca="false">YEAR(AD60)</f>
        <v>2019</v>
      </c>
      <c r="AF60" s="223" t="n">
        <v>43545</v>
      </c>
      <c r="AG60" s="43" t="n">
        <v>145609</v>
      </c>
      <c r="AH60" s="43" t="s">
        <v>3060</v>
      </c>
    </row>
    <row r="61" s="2" customFormat="true" ht="12.75" hidden="false" customHeight="true" outlineLevel="0" collapsed="false">
      <c r="A61" s="26" t="n">
        <v>35</v>
      </c>
      <c r="B61" s="152" t="s">
        <v>3061</v>
      </c>
      <c r="C61" s="43" t="s">
        <v>2893</v>
      </c>
      <c r="D61" s="28" t="s">
        <v>73</v>
      </c>
      <c r="E61" s="26" t="n">
        <v>4.84</v>
      </c>
      <c r="F61" s="43" t="n">
        <v>1.2</v>
      </c>
      <c r="G61" s="125" t="n">
        <v>99</v>
      </c>
      <c r="H61" s="43" t="n">
        <v>2014</v>
      </c>
      <c r="I61" s="55" t="n">
        <v>1451</v>
      </c>
      <c r="J61" s="43" t="s">
        <v>74</v>
      </c>
      <c r="K61" s="30" t="s">
        <v>243</v>
      </c>
      <c r="L61" s="27"/>
      <c r="M61" s="31" t="s">
        <v>244</v>
      </c>
      <c r="N61" s="32" t="s">
        <v>168</v>
      </c>
      <c r="O61" s="28" t="s">
        <v>142</v>
      </c>
      <c r="P61" s="28" t="s">
        <v>2896</v>
      </c>
      <c r="Q61" s="33" t="n">
        <v>9000</v>
      </c>
      <c r="R61" s="68" t="s">
        <v>92</v>
      </c>
      <c r="S61" s="35" t="n">
        <v>4176</v>
      </c>
      <c r="T61" s="35" t="s">
        <v>172</v>
      </c>
      <c r="U61" s="28" t="n">
        <v>238192.76</v>
      </c>
      <c r="V61" s="60" t="n">
        <v>13.659408</v>
      </c>
      <c r="W61" s="112" t="n">
        <f aca="false">U61/V61</f>
        <v>17438.0002412989</v>
      </c>
      <c r="X61" s="112" t="n">
        <v>399.5</v>
      </c>
      <c r="Y61" s="146" t="n">
        <v>2.15</v>
      </c>
      <c r="Z61" s="62" t="s">
        <v>80</v>
      </c>
      <c r="AA61" s="38" t="n">
        <v>41877</v>
      </c>
      <c r="AB61" s="38" t="n">
        <v>41991</v>
      </c>
      <c r="AC61" s="38" t="n">
        <v>41990</v>
      </c>
      <c r="AD61" s="50" t="n">
        <v>43541</v>
      </c>
      <c r="AE61" s="28" t="n">
        <f aca="false">YEAR(AD61)</f>
        <v>2019</v>
      </c>
      <c r="AF61" s="223" t="n">
        <v>43545</v>
      </c>
      <c r="AG61" s="43" t="n">
        <v>124697</v>
      </c>
      <c r="AH61" s="43" t="s">
        <v>3062</v>
      </c>
    </row>
    <row r="62" s="2" customFormat="true" ht="12.75" hidden="false" customHeight="true" outlineLevel="0" collapsed="false">
      <c r="A62" s="26" t="n">
        <v>47</v>
      </c>
      <c r="B62" s="152" t="s">
        <v>3063</v>
      </c>
      <c r="C62" s="43" t="s">
        <v>3064</v>
      </c>
      <c r="D62" s="28" t="s">
        <v>46</v>
      </c>
      <c r="E62" s="43" t="n">
        <v>5.79</v>
      </c>
      <c r="F62" s="43" t="n">
        <v>1.2</v>
      </c>
      <c r="G62" s="43"/>
      <c r="H62" s="43" t="n">
        <v>2015</v>
      </c>
      <c r="I62" s="55" t="n">
        <v>1451</v>
      </c>
      <c r="J62" s="43" t="s">
        <v>74</v>
      </c>
      <c r="K62" s="30" t="s">
        <v>760</v>
      </c>
      <c r="L62" s="43"/>
      <c r="M62" s="31" t="s">
        <v>761</v>
      </c>
      <c r="N62" s="32" t="s">
        <v>2922</v>
      </c>
      <c r="O62" s="28" t="s">
        <v>142</v>
      </c>
      <c r="P62" s="235" t="s">
        <v>2896</v>
      </c>
      <c r="Q62" s="33" t="n">
        <v>1000</v>
      </c>
      <c r="R62" s="34" t="s">
        <v>189</v>
      </c>
      <c r="S62" s="35" t="n">
        <v>4176</v>
      </c>
      <c r="T62" s="35" t="s">
        <v>172</v>
      </c>
      <c r="U62" s="28" t="n">
        <v>215199.4</v>
      </c>
      <c r="V62" s="60" t="n">
        <v>12.952482</v>
      </c>
      <c r="W62" s="112" t="n">
        <f aca="false">U62/V62</f>
        <v>16614.5299410569</v>
      </c>
      <c r="X62" s="112" t="n">
        <v>380.6</v>
      </c>
      <c r="Y62" s="28" t="n">
        <v>2.27</v>
      </c>
      <c r="Z62" s="62" t="s">
        <v>80</v>
      </c>
      <c r="AA62" s="38" t="n">
        <v>41978</v>
      </c>
      <c r="AB62" s="38" t="n">
        <v>42053</v>
      </c>
      <c r="AC62" s="38" t="n">
        <v>42053</v>
      </c>
      <c r="AD62" s="229" t="n">
        <v>43603</v>
      </c>
      <c r="AE62" s="38" t="n">
        <v>43587</v>
      </c>
      <c r="AF62" s="223" t="n">
        <v>43587</v>
      </c>
      <c r="AG62" s="125" t="n">
        <v>146464</v>
      </c>
      <c r="AH62" s="43" t="s">
        <v>3065</v>
      </c>
    </row>
    <row r="63" s="2" customFormat="true" ht="12.75" hidden="false" customHeight="true" outlineLevel="0" collapsed="false">
      <c r="A63" s="26" t="n">
        <v>50</v>
      </c>
      <c r="B63" s="152" t="s">
        <v>3066</v>
      </c>
      <c r="C63" s="43" t="s">
        <v>3064</v>
      </c>
      <c r="D63" s="28" t="s">
        <v>46</v>
      </c>
      <c r="E63" s="43" t="n">
        <v>5.79</v>
      </c>
      <c r="F63" s="43" t="n">
        <v>1.2</v>
      </c>
      <c r="G63" s="43"/>
      <c r="H63" s="43" t="n">
        <v>2015</v>
      </c>
      <c r="I63" s="55" t="n">
        <v>1451</v>
      </c>
      <c r="J63" s="43" t="s">
        <v>74</v>
      </c>
      <c r="K63" s="30" t="s">
        <v>3067</v>
      </c>
      <c r="L63" s="35"/>
      <c r="M63" s="31" t="s">
        <v>3068</v>
      </c>
      <c r="N63" s="32" t="s">
        <v>2922</v>
      </c>
      <c r="O63" s="28" t="s">
        <v>100</v>
      </c>
      <c r="P63" s="28" t="s">
        <v>593</v>
      </c>
      <c r="Q63" s="33" t="n">
        <v>4000</v>
      </c>
      <c r="R63" s="68" t="s">
        <v>189</v>
      </c>
      <c r="S63" s="35" t="n">
        <v>4173</v>
      </c>
      <c r="T63" s="35" t="s">
        <v>172</v>
      </c>
      <c r="U63" s="28" t="n">
        <v>215199.4</v>
      </c>
      <c r="V63" s="60" t="n">
        <v>12.952482</v>
      </c>
      <c r="W63" s="112" t="n">
        <f aca="false">U63/V63</f>
        <v>16614.5299410569</v>
      </c>
      <c r="X63" s="112" t="n">
        <v>380.6</v>
      </c>
      <c r="Y63" s="28" t="n">
        <v>2.27</v>
      </c>
      <c r="Z63" s="62" t="s">
        <v>80</v>
      </c>
      <c r="AA63" s="38" t="n">
        <v>41978</v>
      </c>
      <c r="AB63" s="38" t="n">
        <v>42053</v>
      </c>
      <c r="AC63" s="38" t="n">
        <v>42053</v>
      </c>
      <c r="AD63" s="229" t="n">
        <v>43603</v>
      </c>
      <c r="AE63" s="38" t="n">
        <v>43587</v>
      </c>
      <c r="AF63" s="223" t="n">
        <v>43587</v>
      </c>
      <c r="AG63" s="125" t="n">
        <v>130036</v>
      </c>
      <c r="AH63" s="43" t="s">
        <v>3069</v>
      </c>
    </row>
    <row r="64" s="2" customFormat="true" ht="12.75" hidden="false" customHeight="true" outlineLevel="0" collapsed="false">
      <c r="A64" s="26" t="n">
        <v>48</v>
      </c>
      <c r="B64" s="152" t="s">
        <v>3070</v>
      </c>
      <c r="C64" s="43" t="s">
        <v>3064</v>
      </c>
      <c r="D64" s="28" t="s">
        <v>46</v>
      </c>
      <c r="E64" s="43" t="n">
        <v>5.79</v>
      </c>
      <c r="F64" s="43" t="n">
        <v>1.2</v>
      </c>
      <c r="G64" s="43"/>
      <c r="H64" s="43" t="n">
        <v>2015</v>
      </c>
      <c r="I64" s="55" t="n">
        <v>1451</v>
      </c>
      <c r="J64" s="43" t="s">
        <v>74</v>
      </c>
      <c r="K64" s="30" t="s">
        <v>1877</v>
      </c>
      <c r="L64" s="43"/>
      <c r="M64" s="31" t="s">
        <v>1878</v>
      </c>
      <c r="N64" s="32" t="s">
        <v>1090</v>
      </c>
      <c r="O64" s="28" t="s">
        <v>343</v>
      </c>
      <c r="P64" s="28" t="s">
        <v>2896</v>
      </c>
      <c r="Q64" s="33" t="n">
        <v>7063</v>
      </c>
      <c r="R64" s="34" t="s">
        <v>171</v>
      </c>
      <c r="S64" s="35" t="n">
        <v>4136</v>
      </c>
      <c r="T64" s="35" t="s">
        <v>172</v>
      </c>
      <c r="U64" s="28" t="n">
        <v>215199.4</v>
      </c>
      <c r="V64" s="60" t="n">
        <v>12.952482</v>
      </c>
      <c r="W64" s="112" t="n">
        <f aca="false">U64/V64</f>
        <v>16614.5299410569</v>
      </c>
      <c r="X64" s="112" t="n">
        <v>380.6</v>
      </c>
      <c r="Y64" s="28" t="n">
        <v>2.27</v>
      </c>
      <c r="Z64" s="62" t="s">
        <v>80</v>
      </c>
      <c r="AA64" s="38" t="n">
        <v>41978</v>
      </c>
      <c r="AB64" s="38" t="n">
        <v>42053</v>
      </c>
      <c r="AC64" s="38" t="n">
        <v>42053</v>
      </c>
      <c r="AD64" s="229" t="n">
        <v>43603</v>
      </c>
      <c r="AE64" s="28" t="n">
        <f aca="false">YEAR(AD64)</f>
        <v>2019</v>
      </c>
      <c r="AF64" s="223" t="n">
        <v>43577</v>
      </c>
      <c r="AG64" s="125" t="n">
        <v>110304</v>
      </c>
      <c r="AH64" s="43" t="s">
        <v>3071</v>
      </c>
    </row>
    <row r="65" s="2" customFormat="true" ht="12.75" hidden="false" customHeight="true" outlineLevel="0" collapsed="false">
      <c r="A65" s="26" t="n">
        <v>49</v>
      </c>
      <c r="B65" s="152" t="s">
        <v>3072</v>
      </c>
      <c r="C65" s="43" t="s">
        <v>3064</v>
      </c>
      <c r="D65" s="28" t="s">
        <v>46</v>
      </c>
      <c r="E65" s="43" t="n">
        <v>5.79</v>
      </c>
      <c r="F65" s="43" t="n">
        <v>1.2</v>
      </c>
      <c r="G65" s="43"/>
      <c r="H65" s="43" t="n">
        <v>2015</v>
      </c>
      <c r="I65" s="55" t="n">
        <v>1451</v>
      </c>
      <c r="J65" s="43" t="s">
        <v>74</v>
      </c>
      <c r="K65" s="30" t="s">
        <v>802</v>
      </c>
      <c r="L65" s="43"/>
      <c r="M65" s="31" t="s">
        <v>803</v>
      </c>
      <c r="N65" s="32" t="s">
        <v>1090</v>
      </c>
      <c r="O65" s="28" t="s">
        <v>326</v>
      </c>
      <c r="P65" s="28" t="s">
        <v>52</v>
      </c>
      <c r="Q65" s="33" t="n">
        <v>7050</v>
      </c>
      <c r="R65" s="34" t="s">
        <v>171</v>
      </c>
      <c r="S65" s="35" t="n">
        <v>4131</v>
      </c>
      <c r="T65" s="35" t="s">
        <v>172</v>
      </c>
      <c r="U65" s="28" t="n">
        <v>215199.4</v>
      </c>
      <c r="V65" s="60" t="n">
        <v>12.952482</v>
      </c>
      <c r="W65" s="112" t="n">
        <f aca="false">U65/V65</f>
        <v>16614.5299410569</v>
      </c>
      <c r="X65" s="112" t="n">
        <v>380.6</v>
      </c>
      <c r="Y65" s="28" t="n">
        <v>2.27</v>
      </c>
      <c r="Z65" s="62" t="s">
        <v>80</v>
      </c>
      <c r="AA65" s="38" t="n">
        <v>41978</v>
      </c>
      <c r="AB65" s="38" t="n">
        <v>42053</v>
      </c>
      <c r="AC65" s="38" t="n">
        <v>42053</v>
      </c>
      <c r="AD65" s="229" t="n">
        <v>43603</v>
      </c>
      <c r="AE65" s="28" t="n">
        <f aca="false">YEAR(AD65)</f>
        <v>2019</v>
      </c>
      <c r="AF65" s="223" t="n">
        <v>43577</v>
      </c>
      <c r="AG65" s="125" t="n">
        <v>127673</v>
      </c>
      <c r="AH65" s="43" t="s">
        <v>3073</v>
      </c>
    </row>
    <row r="66" s="2" customFormat="true" ht="12.75" hidden="false" customHeight="true" outlineLevel="0" collapsed="false">
      <c r="A66" s="26" t="n">
        <v>52</v>
      </c>
      <c r="B66" s="227" t="s">
        <v>3074</v>
      </c>
      <c r="C66" s="55" t="s">
        <v>3064</v>
      </c>
      <c r="D66" s="70" t="s">
        <v>46</v>
      </c>
      <c r="E66" s="43" t="n">
        <v>5.79</v>
      </c>
      <c r="F66" s="55" t="n">
        <v>1.2</v>
      </c>
      <c r="G66" s="55"/>
      <c r="H66" s="55" t="n">
        <v>2015</v>
      </c>
      <c r="I66" s="55" t="n">
        <v>1451</v>
      </c>
      <c r="J66" s="55" t="s">
        <v>74</v>
      </c>
      <c r="K66" s="30" t="s">
        <v>3075</v>
      </c>
      <c r="L66" s="59"/>
      <c r="M66" s="31" t="s">
        <v>3076</v>
      </c>
      <c r="N66" s="32" t="s">
        <v>1090</v>
      </c>
      <c r="O66" s="70" t="s">
        <v>3077</v>
      </c>
      <c r="P66" s="70" t="s">
        <v>2923</v>
      </c>
      <c r="Q66" s="53" t="n">
        <v>7040</v>
      </c>
      <c r="R66" s="236" t="s">
        <v>171</v>
      </c>
      <c r="S66" s="59" t="n">
        <v>4134</v>
      </c>
      <c r="T66" s="35" t="s">
        <v>172</v>
      </c>
      <c r="U66" s="28" t="n">
        <v>215199.4</v>
      </c>
      <c r="V66" s="167" t="n">
        <v>12.952482</v>
      </c>
      <c r="W66" s="206" t="n">
        <f aca="false">U66/V66</f>
        <v>16614.5299410569</v>
      </c>
      <c r="X66" s="206" t="n">
        <v>380.6</v>
      </c>
      <c r="Y66" s="70" t="n">
        <v>2.27</v>
      </c>
      <c r="Z66" s="170" t="s">
        <v>80</v>
      </c>
      <c r="AA66" s="51" t="n">
        <v>41978</v>
      </c>
      <c r="AB66" s="51" t="n">
        <v>42053</v>
      </c>
      <c r="AC66" s="51" t="n">
        <v>42053</v>
      </c>
      <c r="AD66" s="229" t="n">
        <v>43603</v>
      </c>
      <c r="AE66" s="70" t="n">
        <f aca="false">YEAR(AD66)</f>
        <v>2019</v>
      </c>
      <c r="AF66" s="223" t="n">
        <v>43577</v>
      </c>
      <c r="AG66" s="125" t="n">
        <v>123343</v>
      </c>
      <c r="AH66" s="43" t="s">
        <v>3078</v>
      </c>
    </row>
    <row r="67" s="2" customFormat="true" ht="12.75" hidden="false" customHeight="true" outlineLevel="0" collapsed="false">
      <c r="A67" s="26" t="n">
        <v>51</v>
      </c>
      <c r="B67" s="152" t="s">
        <v>3079</v>
      </c>
      <c r="C67" s="43" t="s">
        <v>3064</v>
      </c>
      <c r="D67" s="28" t="s">
        <v>46</v>
      </c>
      <c r="E67" s="43" t="n">
        <v>5.79</v>
      </c>
      <c r="F67" s="43" t="n">
        <v>1.2</v>
      </c>
      <c r="G67" s="43"/>
      <c r="H67" s="43" t="n">
        <v>2015</v>
      </c>
      <c r="I67" s="55" t="n">
        <v>1451</v>
      </c>
      <c r="J67" s="43" t="s">
        <v>74</v>
      </c>
      <c r="K67" s="30" t="s">
        <v>745</v>
      </c>
      <c r="L67" s="35"/>
      <c r="M67" s="31" t="s">
        <v>746</v>
      </c>
      <c r="N67" s="32" t="s">
        <v>289</v>
      </c>
      <c r="O67" s="28" t="s">
        <v>373</v>
      </c>
      <c r="P67" s="28" t="s">
        <v>593</v>
      </c>
      <c r="Q67" s="33" t="n">
        <v>7032</v>
      </c>
      <c r="R67" s="34" t="s">
        <v>171</v>
      </c>
      <c r="S67" s="35" t="n">
        <v>4143</v>
      </c>
      <c r="T67" s="35" t="s">
        <v>172</v>
      </c>
      <c r="U67" s="28" t="n">
        <v>215199.4</v>
      </c>
      <c r="V67" s="60" t="n">
        <v>12.952482</v>
      </c>
      <c r="W67" s="112" t="n">
        <f aca="false">U67/V67</f>
        <v>16614.5299410569</v>
      </c>
      <c r="X67" s="112" t="n">
        <v>380.6</v>
      </c>
      <c r="Y67" s="28" t="n">
        <v>2.27</v>
      </c>
      <c r="Z67" s="62" t="s">
        <v>80</v>
      </c>
      <c r="AA67" s="38" t="n">
        <v>41978</v>
      </c>
      <c r="AB67" s="38" t="n">
        <v>42053</v>
      </c>
      <c r="AC67" s="38" t="n">
        <v>42053</v>
      </c>
      <c r="AD67" s="229" t="n">
        <v>43603</v>
      </c>
      <c r="AE67" s="28" t="n">
        <f aca="false">YEAR(AD67)</f>
        <v>2019</v>
      </c>
      <c r="AF67" s="223" t="n">
        <v>43579</v>
      </c>
      <c r="AG67" s="125" t="n">
        <v>126573</v>
      </c>
      <c r="AH67" s="43" t="s">
        <v>3080</v>
      </c>
    </row>
    <row r="68" s="2" customFormat="true" ht="12.75" hidden="false" customHeight="true" outlineLevel="0" collapsed="false">
      <c r="A68" s="26" t="n">
        <v>31</v>
      </c>
      <c r="B68" s="152" t="s">
        <v>3081</v>
      </c>
      <c r="C68" s="43" t="s">
        <v>3064</v>
      </c>
      <c r="D68" s="28" t="s">
        <v>46</v>
      </c>
      <c r="E68" s="43" t="n">
        <v>5.79</v>
      </c>
      <c r="F68" s="43" t="n">
        <v>1.2</v>
      </c>
      <c r="G68" s="43"/>
      <c r="H68" s="43" t="n">
        <v>2015</v>
      </c>
      <c r="I68" s="55" t="n">
        <v>1451</v>
      </c>
      <c r="J68" s="43" t="s">
        <v>74</v>
      </c>
      <c r="K68" s="30" t="s">
        <v>716</v>
      </c>
      <c r="L68" s="27"/>
      <c r="M68" s="31" t="s">
        <v>717</v>
      </c>
      <c r="N68" s="32" t="s">
        <v>168</v>
      </c>
      <c r="O68" s="127" t="s">
        <v>313</v>
      </c>
      <c r="P68" s="28" t="s">
        <v>2903</v>
      </c>
      <c r="Q68" s="28" t="n">
        <v>9000</v>
      </c>
      <c r="R68" s="34" t="s">
        <v>171</v>
      </c>
      <c r="S68" s="35" t="s">
        <v>2904</v>
      </c>
      <c r="T68" s="35" t="s">
        <v>172</v>
      </c>
      <c r="U68" s="28" t="n">
        <v>437937.62</v>
      </c>
      <c r="V68" s="60" t="n">
        <v>26.358713</v>
      </c>
      <c r="W68" s="112" t="n">
        <f aca="false">U68/V68</f>
        <v>16614.529700293</v>
      </c>
      <c r="X68" s="112" t="n">
        <v>389.5</v>
      </c>
      <c r="Y68" s="28" t="n">
        <v>2.21</v>
      </c>
      <c r="Z68" s="62" t="s">
        <v>80</v>
      </c>
      <c r="AA68" s="38" t="n">
        <v>42052</v>
      </c>
      <c r="AB68" s="38" t="n">
        <v>42087</v>
      </c>
      <c r="AC68" s="38" t="n">
        <v>42086</v>
      </c>
      <c r="AD68" s="229" t="n">
        <v>43639</v>
      </c>
      <c r="AE68" s="38" t="n">
        <v>43587</v>
      </c>
      <c r="AF68" s="223" t="s">
        <v>3082</v>
      </c>
      <c r="AG68" s="125" t="n">
        <v>98646</v>
      </c>
      <c r="AH68" s="43" t="s">
        <v>3083</v>
      </c>
    </row>
    <row r="69" s="2" customFormat="true" ht="12.75" hidden="false" customHeight="true" outlineLevel="0" collapsed="false">
      <c r="A69" s="26" t="n">
        <v>32</v>
      </c>
      <c r="B69" s="152" t="s">
        <v>3084</v>
      </c>
      <c r="C69" s="43" t="s">
        <v>3064</v>
      </c>
      <c r="D69" s="28" t="s">
        <v>46</v>
      </c>
      <c r="E69" s="43" t="n">
        <v>5.79</v>
      </c>
      <c r="F69" s="43" t="n">
        <v>1.2</v>
      </c>
      <c r="G69" s="43"/>
      <c r="H69" s="43" t="n">
        <v>2015</v>
      </c>
      <c r="I69" s="55" t="n">
        <v>1451</v>
      </c>
      <c r="J69" s="43" t="s">
        <v>74</v>
      </c>
      <c r="K69" s="30" t="s">
        <v>3085</v>
      </c>
      <c r="L69" s="28"/>
      <c r="M69" s="126" t="s">
        <v>3086</v>
      </c>
      <c r="N69" s="32" t="s">
        <v>1090</v>
      </c>
      <c r="O69" s="28" t="s">
        <v>197</v>
      </c>
      <c r="P69" s="28" t="s">
        <v>2923</v>
      </c>
      <c r="Q69" s="33" t="n">
        <v>7042</v>
      </c>
      <c r="R69" s="34" t="s">
        <v>171</v>
      </c>
      <c r="S69" s="35" t="n">
        <v>4134</v>
      </c>
      <c r="T69" s="35" t="s">
        <v>172</v>
      </c>
      <c r="U69" s="28" t="n">
        <v>437937.62</v>
      </c>
      <c r="V69" s="60" t="n">
        <v>26.358713</v>
      </c>
      <c r="W69" s="112" t="n">
        <f aca="false">U69/V69</f>
        <v>16614.529700293</v>
      </c>
      <c r="X69" s="112" t="n">
        <v>389.5</v>
      </c>
      <c r="Y69" s="28" t="n">
        <v>2.21</v>
      </c>
      <c r="Z69" s="62" t="s">
        <v>80</v>
      </c>
      <c r="AA69" s="38" t="n">
        <v>42052</v>
      </c>
      <c r="AB69" s="38" t="n">
        <v>42087</v>
      </c>
      <c r="AC69" s="38" t="n">
        <v>42086</v>
      </c>
      <c r="AD69" s="229" t="n">
        <v>43639</v>
      </c>
      <c r="AE69" s="38" t="n">
        <v>43587</v>
      </c>
      <c r="AF69" s="223" t="s">
        <v>3082</v>
      </c>
      <c r="AG69" s="125" t="n">
        <v>125341</v>
      </c>
      <c r="AH69" s="43" t="s">
        <v>3087</v>
      </c>
    </row>
    <row r="70" s="2" customFormat="true" ht="12.75" hidden="false" customHeight="true" outlineLevel="0" collapsed="false">
      <c r="A70" s="26" t="n">
        <v>37</v>
      </c>
      <c r="B70" s="152" t="s">
        <v>3088</v>
      </c>
      <c r="C70" s="43" t="s">
        <v>3064</v>
      </c>
      <c r="D70" s="28" t="s">
        <v>46</v>
      </c>
      <c r="E70" s="43" t="n">
        <v>5.79</v>
      </c>
      <c r="F70" s="43" t="n">
        <v>1.2</v>
      </c>
      <c r="G70" s="43"/>
      <c r="H70" s="43" t="n">
        <v>2015</v>
      </c>
      <c r="I70" s="55" t="n">
        <v>1451</v>
      </c>
      <c r="J70" s="43" t="s">
        <v>74</v>
      </c>
      <c r="K70" s="30" t="s">
        <v>845</v>
      </c>
      <c r="L70" s="237"/>
      <c r="M70" s="31" t="s">
        <v>846</v>
      </c>
      <c r="N70" s="32" t="s">
        <v>289</v>
      </c>
      <c r="O70" s="28" t="s">
        <v>732</v>
      </c>
      <c r="P70" s="28" t="s">
        <v>61</v>
      </c>
      <c r="Q70" s="33" t="n">
        <v>6000</v>
      </c>
      <c r="R70" s="34" t="s">
        <v>92</v>
      </c>
      <c r="S70" s="35" t="n">
        <v>4148</v>
      </c>
      <c r="T70" s="35" t="s">
        <v>172</v>
      </c>
      <c r="U70" s="28" t="n">
        <v>437937.62</v>
      </c>
      <c r="V70" s="60" t="n">
        <v>26.358713</v>
      </c>
      <c r="W70" s="112" t="n">
        <f aca="false">U70/V70</f>
        <v>16614.529700293</v>
      </c>
      <c r="X70" s="112" t="n">
        <v>389.5</v>
      </c>
      <c r="Y70" s="28" t="n">
        <v>2.21</v>
      </c>
      <c r="Z70" s="62" t="s">
        <v>80</v>
      </c>
      <c r="AA70" s="38" t="n">
        <v>42052</v>
      </c>
      <c r="AB70" s="38" t="n">
        <v>42087</v>
      </c>
      <c r="AC70" s="38" t="n">
        <v>42086</v>
      </c>
      <c r="AD70" s="229" t="n">
        <v>43639</v>
      </c>
      <c r="AE70" s="38" t="n">
        <v>43587</v>
      </c>
      <c r="AF70" s="223" t="s">
        <v>3082</v>
      </c>
      <c r="AG70" s="125" t="n">
        <v>118188</v>
      </c>
      <c r="AH70" s="43" t="s">
        <v>3089</v>
      </c>
    </row>
    <row r="71" s="2" customFormat="true" ht="12.75" hidden="false" customHeight="true" outlineLevel="0" collapsed="false">
      <c r="A71" s="26" t="n">
        <v>20</v>
      </c>
      <c r="B71" s="152" t="s">
        <v>3090</v>
      </c>
      <c r="C71" s="43" t="s">
        <v>3064</v>
      </c>
      <c r="D71" s="28" t="s">
        <v>46</v>
      </c>
      <c r="E71" s="43" t="n">
        <v>5.79</v>
      </c>
      <c r="F71" s="43" t="n">
        <v>1.2</v>
      </c>
      <c r="G71" s="43"/>
      <c r="H71" s="43" t="n">
        <v>2015</v>
      </c>
      <c r="I71" s="55" t="n">
        <v>1451</v>
      </c>
      <c r="J71" s="43" t="s">
        <v>74</v>
      </c>
      <c r="K71" s="30" t="s">
        <v>781</v>
      </c>
      <c r="L71" s="35"/>
      <c r="M71" s="31" t="s">
        <v>782</v>
      </c>
      <c r="N71" s="32" t="s">
        <v>1090</v>
      </c>
      <c r="O71" s="28" t="s">
        <v>197</v>
      </c>
      <c r="P71" s="28" t="s">
        <v>2923</v>
      </c>
      <c r="Q71" s="33" t="n">
        <v>7041</v>
      </c>
      <c r="R71" s="34" t="s">
        <v>171</v>
      </c>
      <c r="S71" s="35" t="n">
        <v>4134</v>
      </c>
      <c r="T71" s="35" t="s">
        <v>172</v>
      </c>
      <c r="U71" s="28" t="n">
        <v>437937.62</v>
      </c>
      <c r="V71" s="60" t="n">
        <v>26.358713</v>
      </c>
      <c r="W71" s="112" t="n">
        <f aca="false">U71/V71</f>
        <v>16614.529700293</v>
      </c>
      <c r="X71" s="112" t="n">
        <v>389.5</v>
      </c>
      <c r="Y71" s="28" t="n">
        <v>2.21</v>
      </c>
      <c r="Z71" s="62" t="s">
        <v>80</v>
      </c>
      <c r="AA71" s="38" t="n">
        <v>42052</v>
      </c>
      <c r="AB71" s="38" t="n">
        <v>42087</v>
      </c>
      <c r="AC71" s="38" t="n">
        <v>42086</v>
      </c>
      <c r="AD71" s="229" t="n">
        <v>43639</v>
      </c>
      <c r="AE71" s="38" t="n">
        <v>43591</v>
      </c>
      <c r="AF71" s="223" t="s">
        <v>3091</v>
      </c>
      <c r="AG71" s="125" t="n">
        <v>129080</v>
      </c>
      <c r="AH71" s="238" t="s">
        <v>3092</v>
      </c>
    </row>
    <row r="72" s="2" customFormat="true" ht="12.75" hidden="false" customHeight="true" outlineLevel="0" collapsed="false">
      <c r="A72" s="26" t="n">
        <v>23</v>
      </c>
      <c r="B72" s="152" t="s">
        <v>3093</v>
      </c>
      <c r="C72" s="43" t="s">
        <v>3064</v>
      </c>
      <c r="D72" s="28" t="s">
        <v>46</v>
      </c>
      <c r="E72" s="43" t="n">
        <v>5.79</v>
      </c>
      <c r="F72" s="43" t="n">
        <v>1.2</v>
      </c>
      <c r="G72" s="43"/>
      <c r="H72" s="43" t="n">
        <v>2015</v>
      </c>
      <c r="I72" s="55" t="n">
        <v>1451</v>
      </c>
      <c r="J72" s="43" t="s">
        <v>74</v>
      </c>
      <c r="K72" s="30" t="s">
        <v>687</v>
      </c>
      <c r="L72" s="28"/>
      <c r="M72" s="31" t="s">
        <v>688</v>
      </c>
      <c r="N72" s="32" t="s">
        <v>168</v>
      </c>
      <c r="O72" s="28" t="s">
        <v>689</v>
      </c>
      <c r="P72" s="28" t="s">
        <v>61</v>
      </c>
      <c r="Q72" s="33" t="n">
        <v>9000</v>
      </c>
      <c r="R72" s="34" t="s">
        <v>171</v>
      </c>
      <c r="S72" s="35" t="n">
        <v>4138</v>
      </c>
      <c r="T72" s="35" t="s">
        <v>172</v>
      </c>
      <c r="U72" s="28" t="n">
        <v>437937.62</v>
      </c>
      <c r="V72" s="60" t="n">
        <v>26.358713</v>
      </c>
      <c r="W72" s="112" t="n">
        <f aca="false">U72/V72</f>
        <v>16614.529700293</v>
      </c>
      <c r="X72" s="112" t="n">
        <v>389.5</v>
      </c>
      <c r="Y72" s="28" t="n">
        <v>2.21</v>
      </c>
      <c r="Z72" s="62" t="s">
        <v>80</v>
      </c>
      <c r="AA72" s="38" t="n">
        <v>42052</v>
      </c>
      <c r="AB72" s="38" t="n">
        <v>42087</v>
      </c>
      <c r="AC72" s="38" t="n">
        <v>42086</v>
      </c>
      <c r="AD72" s="229" t="n">
        <v>43639</v>
      </c>
      <c r="AE72" s="38" t="n">
        <v>43591</v>
      </c>
      <c r="AF72" s="223" t="s">
        <v>3091</v>
      </c>
      <c r="AG72" s="125" t="n">
        <v>135543</v>
      </c>
      <c r="AH72" s="43" t="s">
        <v>3094</v>
      </c>
    </row>
    <row r="73" s="2" customFormat="true" ht="12.75" hidden="false" customHeight="true" outlineLevel="0" collapsed="false">
      <c r="A73" s="26" t="n">
        <v>27</v>
      </c>
      <c r="B73" s="152" t="s">
        <v>3095</v>
      </c>
      <c r="C73" s="43" t="s">
        <v>3064</v>
      </c>
      <c r="D73" s="28" t="s">
        <v>46</v>
      </c>
      <c r="E73" s="43" t="n">
        <v>5.79</v>
      </c>
      <c r="F73" s="43" t="n">
        <v>1.2</v>
      </c>
      <c r="G73" s="43"/>
      <c r="H73" s="43" t="n">
        <v>2015</v>
      </c>
      <c r="I73" s="55" t="n">
        <v>1451</v>
      </c>
      <c r="J73" s="43" t="s">
        <v>74</v>
      </c>
      <c r="K73" s="30" t="s">
        <v>702</v>
      </c>
      <c r="L73" s="28"/>
      <c r="M73" s="31" t="s">
        <v>703</v>
      </c>
      <c r="N73" s="32" t="s">
        <v>1090</v>
      </c>
      <c r="O73" s="28" t="s">
        <v>197</v>
      </c>
      <c r="P73" s="28" t="s">
        <v>2923</v>
      </c>
      <c r="Q73" s="33" t="n">
        <v>7041</v>
      </c>
      <c r="R73" s="34" t="s">
        <v>171</v>
      </c>
      <c r="S73" s="35" t="n">
        <v>4134</v>
      </c>
      <c r="T73" s="35" t="s">
        <v>172</v>
      </c>
      <c r="U73" s="28" t="n">
        <v>437937.62</v>
      </c>
      <c r="V73" s="60" t="n">
        <v>26.358713</v>
      </c>
      <c r="W73" s="112" t="n">
        <f aca="false">U73/V73</f>
        <v>16614.529700293</v>
      </c>
      <c r="X73" s="112" t="n">
        <v>389.5</v>
      </c>
      <c r="Y73" s="28" t="n">
        <v>2.21</v>
      </c>
      <c r="Z73" s="62" t="s">
        <v>80</v>
      </c>
      <c r="AA73" s="38" t="n">
        <v>42052</v>
      </c>
      <c r="AB73" s="38" t="n">
        <v>42087</v>
      </c>
      <c r="AC73" s="38" t="n">
        <v>42086</v>
      </c>
      <c r="AD73" s="229" t="n">
        <v>43639</v>
      </c>
      <c r="AE73" s="28" t="n">
        <f aca="false">YEAR(AD73)</f>
        <v>2019</v>
      </c>
      <c r="AF73" s="223" t="n">
        <v>43588</v>
      </c>
      <c r="AG73" s="125" t="n">
        <v>123104</v>
      </c>
      <c r="AH73" s="43" t="s">
        <v>3096</v>
      </c>
    </row>
    <row r="74" s="2" customFormat="true" ht="12.75" hidden="false" customHeight="true" outlineLevel="0" collapsed="false">
      <c r="A74" s="26" t="n">
        <v>28</v>
      </c>
      <c r="B74" s="152" t="s">
        <v>3097</v>
      </c>
      <c r="C74" s="43" t="s">
        <v>3064</v>
      </c>
      <c r="D74" s="28" t="s">
        <v>46</v>
      </c>
      <c r="E74" s="43" t="n">
        <v>5.79</v>
      </c>
      <c r="F74" s="43" t="n">
        <v>1.2</v>
      </c>
      <c r="G74" s="43"/>
      <c r="H74" s="43" t="n">
        <v>2015</v>
      </c>
      <c r="I74" s="55" t="n">
        <v>1451</v>
      </c>
      <c r="J74" s="43" t="s">
        <v>74</v>
      </c>
      <c r="K74" s="86" t="s">
        <v>2887</v>
      </c>
      <c r="L74" s="28"/>
      <c r="M74" s="31" t="s">
        <v>3098</v>
      </c>
      <c r="N74" s="32" t="s">
        <v>1090</v>
      </c>
      <c r="O74" s="28" t="s">
        <v>335</v>
      </c>
      <c r="P74" s="28" t="s">
        <v>2923</v>
      </c>
      <c r="Q74" s="33" t="n">
        <v>7040</v>
      </c>
      <c r="R74" s="34" t="s">
        <v>171</v>
      </c>
      <c r="S74" s="35" t="n">
        <v>4134</v>
      </c>
      <c r="T74" s="35" t="s">
        <v>172</v>
      </c>
      <c r="U74" s="28" t="n">
        <v>437937.62</v>
      </c>
      <c r="V74" s="60" t="n">
        <v>26.358713</v>
      </c>
      <c r="W74" s="112" t="n">
        <f aca="false">U74/V74</f>
        <v>16614.529700293</v>
      </c>
      <c r="X74" s="112" t="n">
        <v>389.5</v>
      </c>
      <c r="Y74" s="28" t="n">
        <v>2.21</v>
      </c>
      <c r="Z74" s="62" t="s">
        <v>80</v>
      </c>
      <c r="AA74" s="38" t="n">
        <v>42052</v>
      </c>
      <c r="AB74" s="38" t="n">
        <v>42087</v>
      </c>
      <c r="AC74" s="38" t="n">
        <v>42086</v>
      </c>
      <c r="AD74" s="229" t="n">
        <v>43639</v>
      </c>
      <c r="AE74" s="28" t="n">
        <f aca="false">YEAR(AD74)</f>
        <v>2019</v>
      </c>
      <c r="AF74" s="223" t="n">
        <v>43588</v>
      </c>
      <c r="AG74" s="239" t="n">
        <v>122123</v>
      </c>
      <c r="AH74" s="43" t="s">
        <v>3099</v>
      </c>
    </row>
    <row r="75" s="2" customFormat="true" ht="12.75" hidden="false" customHeight="true" outlineLevel="0" collapsed="false">
      <c r="A75" s="26" t="n">
        <v>30</v>
      </c>
      <c r="B75" s="152" t="s">
        <v>3100</v>
      </c>
      <c r="C75" s="43" t="s">
        <v>3064</v>
      </c>
      <c r="D75" s="28" t="s">
        <v>46</v>
      </c>
      <c r="E75" s="43" t="n">
        <v>5.79</v>
      </c>
      <c r="F75" s="43" t="n">
        <v>1.2</v>
      </c>
      <c r="G75" s="43"/>
      <c r="H75" s="43" t="n">
        <v>2015</v>
      </c>
      <c r="I75" s="55" t="n">
        <v>1451</v>
      </c>
      <c r="J75" s="43" t="s">
        <v>74</v>
      </c>
      <c r="K75" s="30" t="s">
        <v>695</v>
      </c>
      <c r="L75" s="129"/>
      <c r="M75" s="31" t="s">
        <v>696</v>
      </c>
      <c r="N75" s="32" t="s">
        <v>1090</v>
      </c>
      <c r="O75" s="28" t="s">
        <v>197</v>
      </c>
      <c r="P75" s="28" t="s">
        <v>2923</v>
      </c>
      <c r="Q75" s="33" t="n">
        <v>7041</v>
      </c>
      <c r="R75" s="34" t="s">
        <v>171</v>
      </c>
      <c r="S75" s="35" t="n">
        <v>4134</v>
      </c>
      <c r="T75" s="35" t="s">
        <v>172</v>
      </c>
      <c r="U75" s="28" t="n">
        <v>437937.62</v>
      </c>
      <c r="V75" s="60" t="n">
        <v>26.358713</v>
      </c>
      <c r="W75" s="112" t="n">
        <f aca="false">U75/V75</f>
        <v>16614.529700293</v>
      </c>
      <c r="X75" s="112" t="n">
        <v>389.5</v>
      </c>
      <c r="Y75" s="28" t="n">
        <v>2.21</v>
      </c>
      <c r="Z75" s="62" t="s">
        <v>80</v>
      </c>
      <c r="AA75" s="38" t="n">
        <v>42052</v>
      </c>
      <c r="AB75" s="38" t="n">
        <v>42087</v>
      </c>
      <c r="AC75" s="38" t="n">
        <v>42086</v>
      </c>
      <c r="AD75" s="229" t="n">
        <v>43639</v>
      </c>
      <c r="AE75" s="28" t="n">
        <f aca="false">YEAR(AD75)</f>
        <v>2019</v>
      </c>
      <c r="AF75" s="223" t="n">
        <v>43588</v>
      </c>
      <c r="AG75" s="239" t="n">
        <v>113687</v>
      </c>
      <c r="AH75" s="43" t="s">
        <v>3101</v>
      </c>
    </row>
    <row r="76" s="2" customFormat="true" ht="12.75" hidden="false" customHeight="true" outlineLevel="0" collapsed="false">
      <c r="A76" s="26" t="n">
        <v>34</v>
      </c>
      <c r="B76" s="152" t="s">
        <v>3102</v>
      </c>
      <c r="C76" s="43" t="s">
        <v>3064</v>
      </c>
      <c r="D76" s="28" t="s">
        <v>46</v>
      </c>
      <c r="E76" s="43" t="n">
        <v>5.79</v>
      </c>
      <c r="F76" s="43" t="n">
        <v>1.2</v>
      </c>
      <c r="G76" s="43"/>
      <c r="H76" s="43" t="n">
        <v>2015</v>
      </c>
      <c r="I76" s="55" t="n">
        <v>1451</v>
      </c>
      <c r="J76" s="43" t="s">
        <v>74</v>
      </c>
      <c r="K76" s="30" t="s">
        <v>730</v>
      </c>
      <c r="L76" s="28"/>
      <c r="M76" s="31" t="s">
        <v>731</v>
      </c>
      <c r="N76" s="32" t="s">
        <v>1090</v>
      </c>
      <c r="O76" s="28" t="s">
        <v>732</v>
      </c>
      <c r="P76" s="28" t="s">
        <v>61</v>
      </c>
      <c r="Q76" s="33" t="n">
        <v>7080</v>
      </c>
      <c r="R76" s="34" t="s">
        <v>171</v>
      </c>
      <c r="S76" s="35" t="n">
        <v>4138</v>
      </c>
      <c r="T76" s="35" t="s">
        <v>172</v>
      </c>
      <c r="U76" s="28" t="n">
        <v>437937.62</v>
      </c>
      <c r="V76" s="60" t="n">
        <v>26.358713</v>
      </c>
      <c r="W76" s="112" t="n">
        <f aca="false">U76/V76</f>
        <v>16614.529700293</v>
      </c>
      <c r="X76" s="112" t="n">
        <v>389.5</v>
      </c>
      <c r="Y76" s="28" t="n">
        <v>2.21</v>
      </c>
      <c r="Z76" s="62" t="s">
        <v>80</v>
      </c>
      <c r="AA76" s="38" t="n">
        <v>42052</v>
      </c>
      <c r="AB76" s="38" t="n">
        <v>42087</v>
      </c>
      <c r="AC76" s="38" t="n">
        <v>42086</v>
      </c>
      <c r="AD76" s="229" t="n">
        <v>43639</v>
      </c>
      <c r="AE76" s="28" t="n">
        <f aca="false">YEAR(AD76)</f>
        <v>2019</v>
      </c>
      <c r="AF76" s="223" t="n">
        <v>43588</v>
      </c>
      <c r="AG76" s="239" t="n">
        <v>134188</v>
      </c>
      <c r="AH76" s="43" t="s">
        <v>3103</v>
      </c>
    </row>
    <row r="77" s="2" customFormat="true" ht="12.75" hidden="false" customHeight="true" outlineLevel="0" collapsed="false">
      <c r="A77" s="26" t="n">
        <v>39</v>
      </c>
      <c r="B77" s="152" t="s">
        <v>3104</v>
      </c>
      <c r="C77" s="43" t="s">
        <v>3064</v>
      </c>
      <c r="D77" s="28" t="s">
        <v>46</v>
      </c>
      <c r="E77" s="43" t="n">
        <v>5.79</v>
      </c>
      <c r="F77" s="43" t="n">
        <v>1.2</v>
      </c>
      <c r="G77" s="43"/>
      <c r="H77" s="43" t="n">
        <v>2015</v>
      </c>
      <c r="I77" s="55" t="n">
        <v>1451</v>
      </c>
      <c r="J77" s="43" t="s">
        <v>74</v>
      </c>
      <c r="K77" s="30" t="s">
        <v>2522</v>
      </c>
      <c r="L77" s="28"/>
      <c r="M77" s="31" t="s">
        <v>2523</v>
      </c>
      <c r="N77" s="32" t="s">
        <v>1090</v>
      </c>
      <c r="O77" s="28" t="s">
        <v>942</v>
      </c>
      <c r="P77" s="28" t="s">
        <v>2903</v>
      </c>
      <c r="Q77" s="33" t="n">
        <v>7073</v>
      </c>
      <c r="R77" s="34" t="s">
        <v>171</v>
      </c>
      <c r="S77" s="35" t="s">
        <v>2904</v>
      </c>
      <c r="T77" s="35" t="s">
        <v>172</v>
      </c>
      <c r="U77" s="28" t="n">
        <v>437937.62</v>
      </c>
      <c r="V77" s="60" t="n">
        <v>26.358713</v>
      </c>
      <c r="W77" s="112" t="n">
        <f aca="false">U77/V77</f>
        <v>16614.529700293</v>
      </c>
      <c r="X77" s="112" t="n">
        <v>389.5</v>
      </c>
      <c r="Y77" s="28" t="n">
        <v>2.21</v>
      </c>
      <c r="Z77" s="62" t="s">
        <v>80</v>
      </c>
      <c r="AA77" s="38" t="n">
        <v>42052</v>
      </c>
      <c r="AB77" s="38" t="n">
        <v>42087</v>
      </c>
      <c r="AC77" s="38" t="n">
        <v>42086</v>
      </c>
      <c r="AD77" s="229" t="n">
        <v>43639</v>
      </c>
      <c r="AE77" s="28" t="n">
        <f aca="false">YEAR(AD77)</f>
        <v>2019</v>
      </c>
      <c r="AF77" s="223" t="n">
        <v>43588</v>
      </c>
      <c r="AG77" s="239" t="n">
        <v>142305</v>
      </c>
      <c r="AH77" s="43" t="s">
        <v>3105</v>
      </c>
    </row>
    <row r="78" s="2" customFormat="true" ht="12.75" hidden="false" customHeight="true" outlineLevel="0" collapsed="false">
      <c r="A78" s="26" t="n">
        <v>35</v>
      </c>
      <c r="B78" s="152" t="s">
        <v>3106</v>
      </c>
      <c r="C78" s="43" t="s">
        <v>3064</v>
      </c>
      <c r="D78" s="28" t="s">
        <v>46</v>
      </c>
      <c r="E78" s="43" t="n">
        <v>5.79</v>
      </c>
      <c r="F78" s="43" t="n">
        <v>1.2</v>
      </c>
      <c r="G78" s="43"/>
      <c r="H78" s="43" t="n">
        <v>2015</v>
      </c>
      <c r="I78" s="55" t="n">
        <v>1451</v>
      </c>
      <c r="J78" s="43" t="s">
        <v>74</v>
      </c>
      <c r="K78" s="30" t="s">
        <v>3107</v>
      </c>
      <c r="L78" s="28"/>
      <c r="M78" s="31" t="s">
        <v>3108</v>
      </c>
      <c r="N78" s="32" t="s">
        <v>1090</v>
      </c>
      <c r="O78" s="28" t="s">
        <v>3109</v>
      </c>
      <c r="P78" s="28" t="s">
        <v>61</v>
      </c>
      <c r="Q78" s="33" t="n">
        <v>7082</v>
      </c>
      <c r="R78" s="34" t="s">
        <v>171</v>
      </c>
      <c r="S78" s="35" t="n">
        <v>4138</v>
      </c>
      <c r="T78" s="35" t="s">
        <v>172</v>
      </c>
      <c r="U78" s="28" t="n">
        <v>437937.62</v>
      </c>
      <c r="V78" s="60" t="n">
        <v>26.358713</v>
      </c>
      <c r="W78" s="112" t="n">
        <f aca="false">U78/V78</f>
        <v>16614.529700293</v>
      </c>
      <c r="X78" s="112" t="n">
        <v>389.5</v>
      </c>
      <c r="Y78" s="28" t="n">
        <v>2.21</v>
      </c>
      <c r="Z78" s="62" t="s">
        <v>80</v>
      </c>
      <c r="AA78" s="38" t="n">
        <v>42052</v>
      </c>
      <c r="AB78" s="38" t="n">
        <v>42087</v>
      </c>
      <c r="AC78" s="38" t="n">
        <v>42086</v>
      </c>
      <c r="AD78" s="229" t="n">
        <v>43639</v>
      </c>
      <c r="AE78" s="28" t="n">
        <f aca="false">YEAR(AD78)</f>
        <v>2019</v>
      </c>
      <c r="AF78" s="223" t="n">
        <v>43588</v>
      </c>
      <c r="AG78" s="239" t="n">
        <v>128233</v>
      </c>
      <c r="AH78" s="43" t="s">
        <v>3110</v>
      </c>
    </row>
    <row r="79" s="2" customFormat="true" ht="12.75" hidden="false" customHeight="true" outlineLevel="0" collapsed="false">
      <c r="A79" s="26" t="n">
        <v>7</v>
      </c>
      <c r="B79" s="152" t="s">
        <v>3111</v>
      </c>
      <c r="C79" s="43" t="s">
        <v>2893</v>
      </c>
      <c r="D79" s="28" t="s">
        <v>73</v>
      </c>
      <c r="E79" s="26" t="n">
        <v>4.84</v>
      </c>
      <c r="F79" s="43" t="n">
        <v>1.2</v>
      </c>
      <c r="G79" s="43" t="n">
        <v>99</v>
      </c>
      <c r="H79" s="43" t="n">
        <v>2014</v>
      </c>
      <c r="I79" s="55" t="n">
        <v>1451</v>
      </c>
      <c r="J79" s="26" t="s">
        <v>74</v>
      </c>
      <c r="K79" s="30" t="s">
        <v>279</v>
      </c>
      <c r="L79" s="69"/>
      <c r="M79" s="31" t="s">
        <v>280</v>
      </c>
      <c r="N79" s="32" t="s">
        <v>1090</v>
      </c>
      <c r="O79" s="57" t="s">
        <v>2684</v>
      </c>
      <c r="P79" s="57" t="s">
        <v>2896</v>
      </c>
      <c r="Q79" s="87" t="n">
        <v>7060</v>
      </c>
      <c r="R79" s="58" t="s">
        <v>171</v>
      </c>
      <c r="S79" s="69" t="n">
        <v>4136</v>
      </c>
      <c r="T79" s="35" t="s">
        <v>172</v>
      </c>
      <c r="U79" s="28" t="n">
        <v>238192.76</v>
      </c>
      <c r="V79" s="60" t="n">
        <v>13.659408</v>
      </c>
      <c r="W79" s="112" t="n">
        <f aca="false">U79/V79</f>
        <v>17438.0002412989</v>
      </c>
      <c r="X79" s="112" t="n">
        <v>399.5</v>
      </c>
      <c r="Y79" s="230" t="s">
        <v>2953</v>
      </c>
      <c r="Z79" s="62" t="s">
        <v>80</v>
      </c>
      <c r="AA79" s="38" t="n">
        <v>41877</v>
      </c>
      <c r="AB79" s="38" t="n">
        <v>41985</v>
      </c>
      <c r="AC79" s="38" t="n">
        <v>41990</v>
      </c>
      <c r="AD79" s="50" t="n">
        <v>43541</v>
      </c>
      <c r="AE79" s="28" t="n">
        <f aca="false">YEAR(AD79)</f>
        <v>2019</v>
      </c>
      <c r="AF79" s="223" t="n">
        <v>43570</v>
      </c>
      <c r="AG79" s="239" t="n">
        <v>162123</v>
      </c>
      <c r="AH79" s="43" t="s">
        <v>3112</v>
      </c>
    </row>
    <row r="80" s="2" customFormat="true" ht="12.75" hidden="false" customHeight="true" outlineLevel="0" collapsed="false">
      <c r="A80" s="26" t="n">
        <v>8</v>
      </c>
      <c r="B80" s="152" t="s">
        <v>3113</v>
      </c>
      <c r="C80" s="43" t="s">
        <v>2893</v>
      </c>
      <c r="D80" s="28" t="s">
        <v>73</v>
      </c>
      <c r="E80" s="26" t="n">
        <v>4.84</v>
      </c>
      <c r="F80" s="125" t="n">
        <v>1.2</v>
      </c>
      <c r="G80" s="43" t="n">
        <v>99</v>
      </c>
      <c r="H80" s="55" t="n">
        <v>2014</v>
      </c>
      <c r="I80" s="55" t="n">
        <v>1451</v>
      </c>
      <c r="J80" s="43" t="s">
        <v>74</v>
      </c>
      <c r="K80" s="30" t="s">
        <v>2749</v>
      </c>
      <c r="L80" s="35"/>
      <c r="M80" s="31" t="s">
        <v>2750</v>
      </c>
      <c r="N80" s="32" t="s">
        <v>3114</v>
      </c>
      <c r="O80" s="28" t="s">
        <v>100</v>
      </c>
      <c r="P80" s="28" t="s">
        <v>593</v>
      </c>
      <c r="Q80" s="33" t="n">
        <v>9000</v>
      </c>
      <c r="R80" s="77" t="s">
        <v>92</v>
      </c>
      <c r="S80" s="35" t="n">
        <v>4143</v>
      </c>
      <c r="T80" s="35" t="s">
        <v>172</v>
      </c>
      <c r="U80" s="28" t="n">
        <v>238192.76</v>
      </c>
      <c r="V80" s="60" t="n">
        <v>13.659408</v>
      </c>
      <c r="W80" s="112" t="n">
        <f aca="false">U80/V80</f>
        <v>17438.0002412989</v>
      </c>
      <c r="X80" s="112" t="n">
        <v>399.5</v>
      </c>
      <c r="Y80" s="230" t="s">
        <v>2953</v>
      </c>
      <c r="Z80" s="62" t="s">
        <v>80</v>
      </c>
      <c r="AA80" s="38" t="n">
        <v>41877</v>
      </c>
      <c r="AB80" s="38" t="n">
        <v>41985</v>
      </c>
      <c r="AC80" s="38" t="n">
        <v>41990</v>
      </c>
      <c r="AD80" s="50" t="n">
        <v>43541</v>
      </c>
      <c r="AE80" s="28" t="n">
        <f aca="false">YEAR(AD80)</f>
        <v>2019</v>
      </c>
      <c r="AF80" s="223" t="n">
        <v>43556</v>
      </c>
      <c r="AG80" s="239" t="n">
        <v>108443</v>
      </c>
      <c r="AH80" s="43" t="s">
        <v>3115</v>
      </c>
    </row>
    <row r="81" s="2" customFormat="true" ht="12.75" hidden="false" customHeight="true" outlineLevel="0" collapsed="false">
      <c r="A81" s="26" t="n">
        <v>9</v>
      </c>
      <c r="B81" s="152" t="s">
        <v>3116</v>
      </c>
      <c r="C81" s="43" t="s">
        <v>2893</v>
      </c>
      <c r="D81" s="28" t="s">
        <v>73</v>
      </c>
      <c r="E81" s="26" t="n">
        <v>4.84</v>
      </c>
      <c r="F81" s="43" t="n">
        <v>1.2</v>
      </c>
      <c r="G81" s="43" t="n">
        <v>99</v>
      </c>
      <c r="H81" s="43" t="n">
        <v>2014</v>
      </c>
      <c r="I81" s="55" t="n">
        <v>1451</v>
      </c>
      <c r="J81" s="43" t="s">
        <v>74</v>
      </c>
      <c r="K81" s="30" t="s">
        <v>3117</v>
      </c>
      <c r="L81" s="35"/>
      <c r="M81" s="31" t="s">
        <v>3118</v>
      </c>
      <c r="N81" s="32" t="s">
        <v>2922</v>
      </c>
      <c r="O81" s="28" t="s">
        <v>681</v>
      </c>
      <c r="P81" s="28" t="s">
        <v>593</v>
      </c>
      <c r="Q81" s="33" t="n">
        <v>4000</v>
      </c>
      <c r="R81" s="34" t="s">
        <v>189</v>
      </c>
      <c r="S81" s="35" t="n">
        <v>4173</v>
      </c>
      <c r="T81" s="35" t="s">
        <v>172</v>
      </c>
      <c r="U81" s="28" t="n">
        <v>238192.76</v>
      </c>
      <c r="V81" s="60" t="n">
        <v>13.659408</v>
      </c>
      <c r="W81" s="112" t="n">
        <f aca="false">U81/V81</f>
        <v>17438.0002412989</v>
      </c>
      <c r="X81" s="112" t="n">
        <v>399.5</v>
      </c>
      <c r="Y81" s="230" t="s">
        <v>2953</v>
      </c>
      <c r="Z81" s="62" t="s">
        <v>80</v>
      </c>
      <c r="AA81" s="38" t="n">
        <v>41877</v>
      </c>
      <c r="AB81" s="38" t="n">
        <v>41985</v>
      </c>
      <c r="AC81" s="38" t="n">
        <v>41990</v>
      </c>
      <c r="AD81" s="50" t="n">
        <v>43541</v>
      </c>
      <c r="AE81" s="28" t="n">
        <f aca="false">YEAR(AD81)</f>
        <v>2019</v>
      </c>
      <c r="AF81" s="223" t="n">
        <v>43539</v>
      </c>
      <c r="AG81" s="239" t="n">
        <v>130568</v>
      </c>
      <c r="AH81" s="43" t="s">
        <v>3119</v>
      </c>
    </row>
    <row r="82" s="2" customFormat="true" ht="12.75" hidden="false" customHeight="true" outlineLevel="0" collapsed="false">
      <c r="A82" s="26" t="n">
        <v>11</v>
      </c>
      <c r="B82" s="152" t="s">
        <v>3120</v>
      </c>
      <c r="C82" s="43" t="s">
        <v>2893</v>
      </c>
      <c r="D82" s="28" t="s">
        <v>73</v>
      </c>
      <c r="E82" s="26" t="n">
        <v>4.84</v>
      </c>
      <c r="F82" s="43" t="n">
        <v>1.2</v>
      </c>
      <c r="G82" s="43" t="n">
        <v>99</v>
      </c>
      <c r="H82" s="43" t="n">
        <v>2014</v>
      </c>
      <c r="I82" s="55" t="n">
        <v>1451</v>
      </c>
      <c r="J82" s="43" t="s">
        <v>74</v>
      </c>
      <c r="K82" s="86" t="s">
        <v>2887</v>
      </c>
      <c r="L82" s="35"/>
      <c r="M82" s="31" t="s">
        <v>3121</v>
      </c>
      <c r="N82" s="32" t="s">
        <v>289</v>
      </c>
      <c r="O82" s="28" t="s">
        <v>252</v>
      </c>
      <c r="P82" s="235" t="s">
        <v>2896</v>
      </c>
      <c r="Q82" s="33" t="n">
        <v>1000</v>
      </c>
      <c r="R82" s="240" t="s">
        <v>92</v>
      </c>
      <c r="S82" s="33" t="n">
        <v>4146</v>
      </c>
      <c r="T82" s="35" t="s">
        <v>172</v>
      </c>
      <c r="U82" s="28" t="n">
        <v>238192.76</v>
      </c>
      <c r="V82" s="60" t="n">
        <v>13.659408</v>
      </c>
      <c r="W82" s="112" t="n">
        <f aca="false">U82/V82</f>
        <v>17438.0002412989</v>
      </c>
      <c r="X82" s="112" t="n">
        <v>399.5</v>
      </c>
      <c r="Y82" s="146" t="n">
        <v>2.15</v>
      </c>
      <c r="Z82" s="62" t="s">
        <v>80</v>
      </c>
      <c r="AA82" s="38" t="n">
        <v>41877</v>
      </c>
      <c r="AB82" s="38" t="n">
        <v>41991</v>
      </c>
      <c r="AC82" s="38" t="n">
        <v>41990</v>
      </c>
      <c r="AD82" s="50" t="n">
        <v>43541</v>
      </c>
      <c r="AE82" s="28" t="n">
        <f aca="false">YEAR(AD82)</f>
        <v>2019</v>
      </c>
      <c r="AF82" s="223" t="n">
        <v>43552</v>
      </c>
      <c r="AG82" s="239" t="n">
        <v>127645</v>
      </c>
      <c r="AH82" s="43" t="s">
        <v>3122</v>
      </c>
    </row>
    <row r="83" s="2" customFormat="true" ht="12.75" hidden="false" customHeight="true" outlineLevel="0" collapsed="false">
      <c r="A83" s="26" t="n">
        <v>12</v>
      </c>
      <c r="B83" s="152" t="s">
        <v>3123</v>
      </c>
      <c r="C83" s="43" t="s">
        <v>2893</v>
      </c>
      <c r="D83" s="28" t="s">
        <v>73</v>
      </c>
      <c r="E83" s="26" t="n">
        <v>4.84</v>
      </c>
      <c r="F83" s="43" t="n">
        <v>1.2</v>
      </c>
      <c r="G83" s="43" t="n">
        <v>99</v>
      </c>
      <c r="H83" s="43" t="n">
        <v>2014</v>
      </c>
      <c r="I83" s="55" t="n">
        <v>1451</v>
      </c>
      <c r="J83" s="43" t="s">
        <v>74</v>
      </c>
      <c r="K83" s="30" t="s">
        <v>287</v>
      </c>
      <c r="L83" s="35"/>
      <c r="M83" s="31" t="s">
        <v>288</v>
      </c>
      <c r="N83" s="32" t="s">
        <v>289</v>
      </c>
      <c r="O83" s="28" t="s">
        <v>142</v>
      </c>
      <c r="P83" s="235" t="s">
        <v>2896</v>
      </c>
      <c r="Q83" s="33" t="n">
        <v>1000</v>
      </c>
      <c r="R83" s="34" t="s">
        <v>92</v>
      </c>
      <c r="S83" s="35" t="n">
        <v>4146</v>
      </c>
      <c r="T83" s="35" t="s">
        <v>172</v>
      </c>
      <c r="U83" s="28" t="n">
        <v>238192.76</v>
      </c>
      <c r="V83" s="60" t="n">
        <v>13.659408</v>
      </c>
      <c r="W83" s="112" t="n">
        <f aca="false">U83/V83</f>
        <v>17438.0002412989</v>
      </c>
      <c r="X83" s="112" t="n">
        <v>399.5</v>
      </c>
      <c r="Y83" s="146" t="n">
        <v>2.15</v>
      </c>
      <c r="Z83" s="62" t="s">
        <v>80</v>
      </c>
      <c r="AA83" s="38" t="n">
        <v>41877</v>
      </c>
      <c r="AB83" s="38" t="n">
        <v>41991</v>
      </c>
      <c r="AC83" s="38" t="n">
        <v>41990</v>
      </c>
      <c r="AD83" s="50" t="n">
        <v>43541</v>
      </c>
      <c r="AE83" s="28" t="n">
        <f aca="false">YEAR(AD83)</f>
        <v>2019</v>
      </c>
      <c r="AF83" s="223" t="n">
        <v>43557</v>
      </c>
      <c r="AG83" s="239" t="n">
        <v>118390</v>
      </c>
      <c r="AH83" s="43" t="s">
        <v>3124</v>
      </c>
    </row>
    <row r="84" s="2" customFormat="true" ht="12.75" hidden="false" customHeight="true" outlineLevel="0" collapsed="false">
      <c r="A84" s="26" t="n">
        <v>61</v>
      </c>
      <c r="B84" s="152" t="s">
        <v>3125</v>
      </c>
      <c r="C84" s="43" t="s">
        <v>3064</v>
      </c>
      <c r="D84" s="28" t="s">
        <v>46</v>
      </c>
      <c r="E84" s="43" t="n">
        <v>5.79</v>
      </c>
      <c r="F84" s="43" t="n">
        <v>1.2</v>
      </c>
      <c r="G84" s="43"/>
      <c r="H84" s="43" t="n">
        <v>2015</v>
      </c>
      <c r="I84" s="55" t="n">
        <v>1451</v>
      </c>
      <c r="J84" s="43" t="s">
        <v>74</v>
      </c>
      <c r="K84" s="30" t="s">
        <v>1202</v>
      </c>
      <c r="L84" s="35"/>
      <c r="M84" s="31" t="s">
        <v>1203</v>
      </c>
      <c r="N84" s="32" t="s">
        <v>1090</v>
      </c>
      <c r="O84" s="28" t="s">
        <v>1204</v>
      </c>
      <c r="P84" s="28" t="s">
        <v>52</v>
      </c>
      <c r="Q84" s="33" t="n">
        <v>7011</v>
      </c>
      <c r="R84" s="34" t="s">
        <v>171</v>
      </c>
      <c r="S84" s="35" t="n">
        <v>4131</v>
      </c>
      <c r="T84" s="35" t="s">
        <v>172</v>
      </c>
      <c r="U84" s="28" t="n">
        <v>462872.39</v>
      </c>
      <c r="V84" s="60" t="n">
        <v>26.859494</v>
      </c>
      <c r="W84" s="112" t="n">
        <f aca="false">U84/V84</f>
        <v>17233.1016362408</v>
      </c>
      <c r="X84" s="112" t="n">
        <v>389.63</v>
      </c>
      <c r="Y84" s="28" t="n">
        <v>2.33</v>
      </c>
      <c r="Z84" s="62" t="s">
        <v>80</v>
      </c>
      <c r="AA84" s="38" t="n">
        <v>42055</v>
      </c>
      <c r="AB84" s="38" t="n">
        <v>42077</v>
      </c>
      <c r="AC84" s="38" t="n">
        <v>42076</v>
      </c>
      <c r="AD84" s="229" t="n">
        <v>43629</v>
      </c>
      <c r="AE84" s="70" t="n">
        <f aca="false">YEAR(AD84)</f>
        <v>2019</v>
      </c>
      <c r="AF84" s="223" t="n">
        <v>43578</v>
      </c>
      <c r="AG84" s="239" t="n">
        <v>128171</v>
      </c>
      <c r="AH84" s="43" t="s">
        <v>3126</v>
      </c>
    </row>
    <row r="85" s="2" customFormat="true" ht="12.75" hidden="false" customHeight="true" outlineLevel="0" collapsed="false">
      <c r="A85" s="26" t="n">
        <v>62</v>
      </c>
      <c r="B85" s="152" t="s">
        <v>3127</v>
      </c>
      <c r="C85" s="43" t="s">
        <v>3064</v>
      </c>
      <c r="D85" s="28" t="s">
        <v>46</v>
      </c>
      <c r="E85" s="43" t="n">
        <v>5.79</v>
      </c>
      <c r="F85" s="43" t="n">
        <v>1.2</v>
      </c>
      <c r="G85" s="43"/>
      <c r="H85" s="43" t="n">
        <v>2015</v>
      </c>
      <c r="I85" s="55" t="n">
        <v>1451</v>
      </c>
      <c r="J85" s="43" t="s">
        <v>74</v>
      </c>
      <c r="K85" s="30" t="s">
        <v>2303</v>
      </c>
      <c r="L85" s="35"/>
      <c r="M85" s="31" t="s">
        <v>2304</v>
      </c>
      <c r="N85" s="32" t="s">
        <v>2922</v>
      </c>
      <c r="O85" s="57" t="s">
        <v>343</v>
      </c>
      <c r="P85" s="28" t="s">
        <v>2896</v>
      </c>
      <c r="Q85" s="57" t="n">
        <v>1000</v>
      </c>
      <c r="R85" s="58" t="s">
        <v>189</v>
      </c>
      <c r="S85" s="69" t="n">
        <v>4176</v>
      </c>
      <c r="T85" s="35" t="s">
        <v>172</v>
      </c>
      <c r="U85" s="28" t="n">
        <v>462872.39</v>
      </c>
      <c r="V85" s="60" t="n">
        <v>26.859494</v>
      </c>
      <c r="W85" s="112" t="n">
        <f aca="false">U85/V85</f>
        <v>17233.1016362408</v>
      </c>
      <c r="X85" s="112" t="n">
        <v>389.63</v>
      </c>
      <c r="Y85" s="28" t="n">
        <v>2.33</v>
      </c>
      <c r="Z85" s="62" t="s">
        <v>80</v>
      </c>
      <c r="AA85" s="38" t="n">
        <v>42055</v>
      </c>
      <c r="AB85" s="38" t="n">
        <v>42077</v>
      </c>
      <c r="AC85" s="38" t="n">
        <v>42076</v>
      </c>
      <c r="AD85" s="229" t="n">
        <v>43629</v>
      </c>
      <c r="AE85" s="70" t="n">
        <f aca="false">YEAR(AD85)</f>
        <v>2019</v>
      </c>
      <c r="AF85" s="223" t="n">
        <v>43579</v>
      </c>
      <c r="AG85" s="239" t="n">
        <v>116059</v>
      </c>
      <c r="AH85" s="43" t="s">
        <v>3128</v>
      </c>
    </row>
    <row r="86" s="2" customFormat="true" ht="12.75" hidden="false" customHeight="true" outlineLevel="0" collapsed="false">
      <c r="A86" s="26" t="n">
        <v>63</v>
      </c>
      <c r="B86" s="152" t="s">
        <v>3129</v>
      </c>
      <c r="C86" s="43" t="s">
        <v>3064</v>
      </c>
      <c r="D86" s="28" t="s">
        <v>46</v>
      </c>
      <c r="E86" s="43" t="n">
        <v>5.79</v>
      </c>
      <c r="F86" s="43" t="n">
        <v>1.2</v>
      </c>
      <c r="G86" s="43"/>
      <c r="H86" s="43" t="n">
        <v>2015</v>
      </c>
      <c r="I86" s="55" t="n">
        <v>1451</v>
      </c>
      <c r="J86" s="43" t="s">
        <v>74</v>
      </c>
      <c r="K86" s="30" t="s">
        <v>3130</v>
      </c>
      <c r="L86" s="35"/>
      <c r="M86" s="31" t="s">
        <v>3131</v>
      </c>
      <c r="N86" s="32" t="s">
        <v>289</v>
      </c>
      <c r="O86" s="28" t="s">
        <v>326</v>
      </c>
      <c r="P86" s="28" t="s">
        <v>52</v>
      </c>
      <c r="Q86" s="241" t="n">
        <v>7050</v>
      </c>
      <c r="R86" s="34" t="s">
        <v>92</v>
      </c>
      <c r="S86" s="35" t="n">
        <v>4141</v>
      </c>
      <c r="T86" s="35" t="s">
        <v>172</v>
      </c>
      <c r="U86" s="28" t="n">
        <v>462872.39</v>
      </c>
      <c r="V86" s="60" t="n">
        <v>26.859494</v>
      </c>
      <c r="W86" s="112" t="n">
        <f aca="false">U86/V86</f>
        <v>17233.1016362408</v>
      </c>
      <c r="X86" s="112" t="n">
        <v>389.63</v>
      </c>
      <c r="Y86" s="28" t="n">
        <v>2.33</v>
      </c>
      <c r="Z86" s="62" t="s">
        <v>80</v>
      </c>
      <c r="AA86" s="38" t="n">
        <v>42055</v>
      </c>
      <c r="AB86" s="38" t="n">
        <v>42077</v>
      </c>
      <c r="AC86" s="38" t="n">
        <v>42076</v>
      </c>
      <c r="AD86" s="229" t="n">
        <v>43629</v>
      </c>
      <c r="AE86" s="70" t="n">
        <f aca="false">YEAR(AD86)</f>
        <v>2019</v>
      </c>
      <c r="AF86" s="223" t="n">
        <v>43579</v>
      </c>
      <c r="AG86" s="239" t="n">
        <v>77524</v>
      </c>
      <c r="AH86" s="43" t="s">
        <v>3132</v>
      </c>
    </row>
    <row r="87" s="2" customFormat="true" ht="12.75" hidden="false" customHeight="true" outlineLevel="0" collapsed="false">
      <c r="A87" s="26" t="n">
        <v>64</v>
      </c>
      <c r="B87" s="152" t="s">
        <v>3133</v>
      </c>
      <c r="C87" s="43" t="s">
        <v>3064</v>
      </c>
      <c r="D87" s="28" t="s">
        <v>46</v>
      </c>
      <c r="E87" s="43" t="n">
        <v>5.79</v>
      </c>
      <c r="F87" s="43" t="n">
        <v>1.2</v>
      </c>
      <c r="G87" s="43"/>
      <c r="H87" s="43" t="n">
        <v>2015</v>
      </c>
      <c r="I87" s="55" t="n">
        <v>1451</v>
      </c>
      <c r="J87" s="43" t="s">
        <v>74</v>
      </c>
      <c r="K87" s="30" t="s">
        <v>794</v>
      </c>
      <c r="L87" s="35"/>
      <c r="M87" s="31" t="s">
        <v>795</v>
      </c>
      <c r="N87" s="32" t="s">
        <v>1090</v>
      </c>
      <c r="O87" s="57" t="s">
        <v>796</v>
      </c>
      <c r="P87" s="28" t="s">
        <v>2923</v>
      </c>
      <c r="Q87" s="33" t="n">
        <v>7043</v>
      </c>
      <c r="R87" s="34" t="s">
        <v>171</v>
      </c>
      <c r="S87" s="35" t="n">
        <v>4134</v>
      </c>
      <c r="T87" s="35" t="s">
        <v>172</v>
      </c>
      <c r="U87" s="28" t="n">
        <v>462872.39</v>
      </c>
      <c r="V87" s="60" t="n">
        <v>26.859494</v>
      </c>
      <c r="W87" s="112" t="n">
        <f aca="false">U87/V87</f>
        <v>17233.1016362408</v>
      </c>
      <c r="X87" s="112" t="n">
        <v>389.63</v>
      </c>
      <c r="Y87" s="28" t="n">
        <v>2.33</v>
      </c>
      <c r="Z87" s="62" t="s">
        <v>80</v>
      </c>
      <c r="AA87" s="38" t="n">
        <v>42055</v>
      </c>
      <c r="AB87" s="38" t="n">
        <v>42077</v>
      </c>
      <c r="AC87" s="38" t="n">
        <v>42076</v>
      </c>
      <c r="AD87" s="229" t="n">
        <v>43629</v>
      </c>
      <c r="AE87" s="70" t="n">
        <f aca="false">YEAR(AD87)</f>
        <v>2019</v>
      </c>
      <c r="AF87" s="223" t="n">
        <v>43578</v>
      </c>
      <c r="AG87" s="239" t="n">
        <v>151155</v>
      </c>
      <c r="AH87" s="43" t="s">
        <v>3134</v>
      </c>
    </row>
    <row r="88" s="2" customFormat="true" ht="12.75" hidden="false" customHeight="true" outlineLevel="0" collapsed="false">
      <c r="A88" s="26" t="n">
        <v>65</v>
      </c>
      <c r="B88" s="152" t="s">
        <v>3135</v>
      </c>
      <c r="C88" s="43" t="s">
        <v>3064</v>
      </c>
      <c r="D88" s="28" t="s">
        <v>46</v>
      </c>
      <c r="E88" s="43" t="n">
        <v>5.79</v>
      </c>
      <c r="F88" s="43" t="n">
        <v>1.2</v>
      </c>
      <c r="G88" s="43"/>
      <c r="H88" s="43" t="n">
        <v>2015</v>
      </c>
      <c r="I88" s="55" t="n">
        <v>1451</v>
      </c>
      <c r="J88" s="43" t="s">
        <v>74</v>
      </c>
      <c r="K88" s="30" t="s">
        <v>3136</v>
      </c>
      <c r="L88" s="35"/>
      <c r="M88" s="31" t="s">
        <v>788</v>
      </c>
      <c r="N88" s="32" t="s">
        <v>1090</v>
      </c>
      <c r="O88" s="28" t="s">
        <v>60</v>
      </c>
      <c r="P88" s="28" t="s">
        <v>61</v>
      </c>
      <c r="Q88" s="33" t="n">
        <v>7081</v>
      </c>
      <c r="R88" s="34" t="s">
        <v>171</v>
      </c>
      <c r="S88" s="35" t="n">
        <v>4138</v>
      </c>
      <c r="T88" s="35" t="s">
        <v>172</v>
      </c>
      <c r="U88" s="28" t="n">
        <v>462872.39</v>
      </c>
      <c r="V88" s="60" t="n">
        <v>26.859494</v>
      </c>
      <c r="W88" s="112" t="n">
        <f aca="false">U88/V88</f>
        <v>17233.1016362408</v>
      </c>
      <c r="X88" s="112" t="n">
        <v>389.63</v>
      </c>
      <c r="Y88" s="70" t="n">
        <v>2.33</v>
      </c>
      <c r="Z88" s="170" t="s">
        <v>80</v>
      </c>
      <c r="AA88" s="51" t="n">
        <v>42055</v>
      </c>
      <c r="AB88" s="51" t="n">
        <v>42077</v>
      </c>
      <c r="AC88" s="51" t="n">
        <v>42076</v>
      </c>
      <c r="AD88" s="229" t="n">
        <v>43629</v>
      </c>
      <c r="AE88" s="70" t="n">
        <f aca="false">YEAR(AD88)</f>
        <v>2019</v>
      </c>
      <c r="AF88" s="223" t="n">
        <v>43578</v>
      </c>
      <c r="AG88" s="239" t="n">
        <v>138004</v>
      </c>
      <c r="AH88" s="43" t="s">
        <v>3137</v>
      </c>
    </row>
    <row r="89" s="2" customFormat="true" ht="12.75" hidden="false" customHeight="true" outlineLevel="0" collapsed="false">
      <c r="A89" s="26" t="n">
        <v>33</v>
      </c>
      <c r="B89" s="152" t="s">
        <v>3138</v>
      </c>
      <c r="C89" s="43" t="s">
        <v>3064</v>
      </c>
      <c r="D89" s="28" t="s">
        <v>46</v>
      </c>
      <c r="E89" s="43" t="n">
        <v>5.79</v>
      </c>
      <c r="F89" s="43" t="n">
        <v>1.2</v>
      </c>
      <c r="G89" s="43"/>
      <c r="H89" s="43" t="n">
        <v>2015</v>
      </c>
      <c r="I89" s="55" t="n">
        <v>1451</v>
      </c>
      <c r="J89" s="43" t="s">
        <v>74</v>
      </c>
      <c r="K89" s="30" t="s">
        <v>1121</v>
      </c>
      <c r="L89" s="28"/>
      <c r="M89" s="31" t="s">
        <v>1122</v>
      </c>
      <c r="N89" s="32" t="s">
        <v>2922</v>
      </c>
      <c r="O89" s="57" t="s">
        <v>218</v>
      </c>
      <c r="P89" s="28" t="s">
        <v>52</v>
      </c>
      <c r="Q89" s="87" t="n">
        <v>1200</v>
      </c>
      <c r="R89" s="58" t="s">
        <v>189</v>
      </c>
      <c r="S89" s="69" t="n">
        <v>4171</v>
      </c>
      <c r="T89" s="35" t="s">
        <v>172</v>
      </c>
      <c r="U89" s="28" t="n">
        <v>437937.62</v>
      </c>
      <c r="V89" s="60" t="n">
        <v>26.358713</v>
      </c>
      <c r="W89" s="112" t="n">
        <f aca="false">U89/V89</f>
        <v>16614.529700293</v>
      </c>
      <c r="X89" s="112" t="n">
        <v>389.5</v>
      </c>
      <c r="Y89" s="28" t="n">
        <v>2.21</v>
      </c>
      <c r="Z89" s="62" t="s">
        <v>80</v>
      </c>
      <c r="AA89" s="38" t="n">
        <v>42052</v>
      </c>
      <c r="AB89" s="38" t="n">
        <v>42087</v>
      </c>
      <c r="AC89" s="38" t="n">
        <v>42086</v>
      </c>
      <c r="AD89" s="229" t="n">
        <v>43639</v>
      </c>
      <c r="AE89" s="28" t="n">
        <f aca="false">YEAR(AD89)</f>
        <v>2019</v>
      </c>
      <c r="AF89" s="223" t="n">
        <v>43579</v>
      </c>
      <c r="AG89" s="239" t="n">
        <v>132885</v>
      </c>
      <c r="AH89" s="43" t="s">
        <v>3139</v>
      </c>
    </row>
    <row r="90" s="2" customFormat="true" ht="12.75" hidden="false" customHeight="true" outlineLevel="0" collapsed="false">
      <c r="A90" s="26" t="n">
        <v>6</v>
      </c>
      <c r="B90" s="152" t="s">
        <v>3140</v>
      </c>
      <c r="C90" s="27" t="s">
        <v>2928</v>
      </c>
      <c r="D90" s="70" t="s">
        <v>73</v>
      </c>
      <c r="E90" s="43" t="n">
        <v>6.2</v>
      </c>
      <c r="F90" s="43" t="n">
        <v>2</v>
      </c>
      <c r="G90" s="55"/>
      <c r="H90" s="55" t="n">
        <v>2014</v>
      </c>
      <c r="I90" s="55" t="n">
        <v>1451</v>
      </c>
      <c r="J90" s="43" t="s">
        <v>74</v>
      </c>
      <c r="K90" s="30" t="s">
        <v>488</v>
      </c>
      <c r="L90" s="35"/>
      <c r="M90" s="31" t="s">
        <v>489</v>
      </c>
      <c r="N90" s="32" t="s">
        <v>490</v>
      </c>
      <c r="O90" s="28" t="s">
        <v>100</v>
      </c>
      <c r="P90" s="28" t="s">
        <v>2890</v>
      </c>
      <c r="Q90" s="28" t="n">
        <v>1000</v>
      </c>
      <c r="R90" s="34" t="s">
        <v>492</v>
      </c>
      <c r="S90" s="35" t="n">
        <v>4390</v>
      </c>
      <c r="T90" s="35" t="s">
        <v>493</v>
      </c>
      <c r="U90" s="71" t="n">
        <v>404344.92</v>
      </c>
      <c r="V90" s="60" t="n">
        <v>11.987494</v>
      </c>
      <c r="W90" s="112" t="n">
        <v>33731</v>
      </c>
      <c r="X90" s="112" t="n">
        <v>665</v>
      </c>
      <c r="Y90" s="28" t="n">
        <v>2.5</v>
      </c>
      <c r="Z90" s="62" t="s">
        <v>80</v>
      </c>
      <c r="AA90" s="38" t="n">
        <v>41850</v>
      </c>
      <c r="AB90" s="38" t="n">
        <v>41958</v>
      </c>
      <c r="AC90" s="38" t="n">
        <v>41956</v>
      </c>
      <c r="AD90" s="229" t="n">
        <v>43598</v>
      </c>
      <c r="AE90" s="70" t="n">
        <f aca="false">YEAR(AD90)</f>
        <v>2019</v>
      </c>
      <c r="AF90" s="223" t="n">
        <v>43616</v>
      </c>
      <c r="AG90" s="239" t="n">
        <v>168539</v>
      </c>
      <c r="AH90" s="43" t="s">
        <v>3141</v>
      </c>
    </row>
    <row r="91" s="2" customFormat="true" ht="12.75" hidden="false" customHeight="true" outlineLevel="0" collapsed="false">
      <c r="A91" s="26" t="n">
        <v>6</v>
      </c>
      <c r="B91" s="152" t="s">
        <v>3142</v>
      </c>
      <c r="C91" s="157" t="s">
        <v>3143</v>
      </c>
      <c r="D91" s="28" t="s">
        <v>73</v>
      </c>
      <c r="E91" s="43" t="n">
        <v>12.5</v>
      </c>
      <c r="F91" s="43" t="n">
        <v>3</v>
      </c>
      <c r="G91" s="43" t="n">
        <v>193</v>
      </c>
      <c r="H91" s="43" t="n">
        <v>2014</v>
      </c>
      <c r="I91" s="55" t="n">
        <v>1451</v>
      </c>
      <c r="J91" s="43" t="s">
        <v>74</v>
      </c>
      <c r="K91" s="30" t="s">
        <v>3144</v>
      </c>
      <c r="L91" s="35"/>
      <c r="M91" s="31" t="s">
        <v>3145</v>
      </c>
      <c r="N91" s="32" t="s">
        <v>3146</v>
      </c>
      <c r="O91" s="28" t="s">
        <v>100</v>
      </c>
      <c r="P91" s="28" t="s">
        <v>2890</v>
      </c>
      <c r="Q91" s="28" t="n">
        <v>1000</v>
      </c>
      <c r="R91" s="34" t="s">
        <v>53</v>
      </c>
      <c r="S91" s="35" t="n">
        <v>3690</v>
      </c>
      <c r="T91" s="59" t="s">
        <v>493</v>
      </c>
      <c r="U91" s="28" t="n">
        <v>746030.14</v>
      </c>
      <c r="V91" s="60" t="n">
        <v>11.96328</v>
      </c>
      <c r="W91" s="112" t="n">
        <f aca="false">U91/V91</f>
        <v>62359.9999331287</v>
      </c>
      <c r="X91" s="112" t="n">
        <v>1316</v>
      </c>
      <c r="Y91" s="146" t="n">
        <v>2.14</v>
      </c>
      <c r="Z91" s="62" t="s">
        <v>80</v>
      </c>
      <c r="AA91" s="38" t="n">
        <v>41852</v>
      </c>
      <c r="AB91" s="38" t="n">
        <v>42060</v>
      </c>
      <c r="AC91" s="38" t="n">
        <v>42060</v>
      </c>
      <c r="AD91" s="50" t="n">
        <v>43610</v>
      </c>
      <c r="AE91" s="28" t="n">
        <f aca="false">YEAR(AD91)</f>
        <v>2019</v>
      </c>
      <c r="AF91" s="223" t="n">
        <v>43609</v>
      </c>
      <c r="AG91" s="2" t="n">
        <v>140150</v>
      </c>
      <c r="AH91" s="43" t="s">
        <v>3147</v>
      </c>
    </row>
    <row r="92" s="2" customFormat="true" ht="12.75" hidden="false" customHeight="true" outlineLevel="0" collapsed="false">
      <c r="A92" s="26" t="n">
        <v>14</v>
      </c>
      <c r="B92" s="152" t="s">
        <v>3148</v>
      </c>
      <c r="C92" s="43" t="s">
        <v>3064</v>
      </c>
      <c r="D92" s="28" t="s">
        <v>46</v>
      </c>
      <c r="E92" s="43" t="n">
        <v>5.79</v>
      </c>
      <c r="F92" s="43" t="n">
        <v>1.2</v>
      </c>
      <c r="G92" s="43" t="n">
        <v>119</v>
      </c>
      <c r="H92" s="43" t="n">
        <v>2015</v>
      </c>
      <c r="I92" s="55" t="n">
        <v>1451</v>
      </c>
      <c r="J92" s="43" t="s">
        <v>74</v>
      </c>
      <c r="K92" s="30" t="s">
        <v>860</v>
      </c>
      <c r="L92" s="35"/>
      <c r="M92" s="31" t="s">
        <v>861</v>
      </c>
      <c r="N92" s="32" t="s">
        <v>1090</v>
      </c>
      <c r="O92" s="28" t="s">
        <v>343</v>
      </c>
      <c r="P92" s="28" t="s">
        <v>2896</v>
      </c>
      <c r="Q92" s="33" t="n">
        <v>7063</v>
      </c>
      <c r="R92" s="242" t="s">
        <v>171</v>
      </c>
      <c r="S92" s="35" t="n">
        <v>4136</v>
      </c>
      <c r="T92" s="35" t="s">
        <v>172</v>
      </c>
      <c r="U92" s="28" t="n">
        <v>437937.62</v>
      </c>
      <c r="V92" s="60" t="n">
        <v>26.358713</v>
      </c>
      <c r="W92" s="112" t="n">
        <f aca="false">U92/V92</f>
        <v>16614.529700293</v>
      </c>
      <c r="X92" s="112" t="n">
        <v>389.5</v>
      </c>
      <c r="Y92" s="28" t="n">
        <v>2.21</v>
      </c>
      <c r="Z92" s="62" t="s">
        <v>80</v>
      </c>
      <c r="AA92" s="38" t="n">
        <v>42052</v>
      </c>
      <c r="AB92" s="38" t="n">
        <v>42087</v>
      </c>
      <c r="AC92" s="38" t="n">
        <v>42086</v>
      </c>
      <c r="AD92" s="229" t="n">
        <v>43639</v>
      </c>
      <c r="AE92" s="28" t="n">
        <f aca="false">YEAR(AD92)</f>
        <v>2019</v>
      </c>
      <c r="AF92" s="223" t="n">
        <v>43607</v>
      </c>
      <c r="AG92" s="2" t="n">
        <v>137588</v>
      </c>
      <c r="AH92" s="43" t="s">
        <v>3149</v>
      </c>
    </row>
    <row r="93" s="2" customFormat="true" ht="12.75" hidden="false" customHeight="true" outlineLevel="0" collapsed="false">
      <c r="A93" s="26" t="n">
        <v>15</v>
      </c>
      <c r="B93" s="152" t="s">
        <v>3150</v>
      </c>
      <c r="C93" s="43" t="s">
        <v>3064</v>
      </c>
      <c r="D93" s="28" t="s">
        <v>46</v>
      </c>
      <c r="E93" s="43" t="n">
        <v>5.79</v>
      </c>
      <c r="F93" s="43" t="n">
        <v>1.2</v>
      </c>
      <c r="G93" s="43" t="n">
        <v>119</v>
      </c>
      <c r="H93" s="43" t="n">
        <v>2015</v>
      </c>
      <c r="I93" s="55" t="n">
        <v>1451</v>
      </c>
      <c r="J93" s="43" t="s">
        <v>74</v>
      </c>
      <c r="K93" s="86" t="s">
        <v>2887</v>
      </c>
      <c r="L93" s="35"/>
      <c r="M93" s="31" t="s">
        <v>3151</v>
      </c>
      <c r="N93" s="32" t="s">
        <v>1090</v>
      </c>
      <c r="O93" s="28" t="s">
        <v>142</v>
      </c>
      <c r="P93" s="28" t="s">
        <v>2896</v>
      </c>
      <c r="Q93" s="33" t="n">
        <v>7065</v>
      </c>
      <c r="R93" s="242" t="s">
        <v>171</v>
      </c>
      <c r="S93" s="35" t="n">
        <v>4136</v>
      </c>
      <c r="T93" s="35" t="s">
        <v>172</v>
      </c>
      <c r="U93" s="28" t="n">
        <v>437937.62</v>
      </c>
      <c r="V93" s="60" t="n">
        <v>26.358713</v>
      </c>
      <c r="W93" s="112" t="n">
        <f aca="false">U93/V93</f>
        <v>16614.529700293</v>
      </c>
      <c r="X93" s="112" t="n">
        <v>389.5</v>
      </c>
      <c r="Y93" s="28" t="n">
        <v>2.21</v>
      </c>
      <c r="Z93" s="62" t="s">
        <v>80</v>
      </c>
      <c r="AA93" s="38" t="n">
        <v>42052</v>
      </c>
      <c r="AB93" s="38" t="n">
        <v>42087</v>
      </c>
      <c r="AC93" s="38" t="n">
        <v>42086</v>
      </c>
      <c r="AD93" s="229" t="n">
        <v>43639</v>
      </c>
      <c r="AE93" s="28" t="n">
        <f aca="false">YEAR(AD93)</f>
        <v>2019</v>
      </c>
      <c r="AF93" s="223" t="n">
        <v>43607</v>
      </c>
      <c r="AG93" s="2" t="n">
        <v>127586</v>
      </c>
      <c r="AH93" s="43" t="s">
        <v>3152</v>
      </c>
    </row>
    <row r="94" s="2" customFormat="true" ht="12.75" hidden="false" customHeight="true" outlineLevel="0" collapsed="false">
      <c r="A94" s="26" t="n">
        <v>16</v>
      </c>
      <c r="B94" s="152" t="s">
        <v>3153</v>
      </c>
      <c r="C94" s="43" t="s">
        <v>3064</v>
      </c>
      <c r="D94" s="28" t="s">
        <v>46</v>
      </c>
      <c r="E94" s="43" t="n">
        <v>5.79</v>
      </c>
      <c r="F94" s="43" t="n">
        <v>1.2</v>
      </c>
      <c r="G94" s="43" t="n">
        <v>119</v>
      </c>
      <c r="H94" s="43" t="n">
        <v>2015</v>
      </c>
      <c r="I94" s="55" t="n">
        <v>1451</v>
      </c>
      <c r="J94" s="43" t="s">
        <v>74</v>
      </c>
      <c r="K94" s="30" t="s">
        <v>3154</v>
      </c>
      <c r="L94" s="35"/>
      <c r="M94" s="31" t="s">
        <v>3155</v>
      </c>
      <c r="N94" s="32" t="s">
        <v>1090</v>
      </c>
      <c r="O94" s="28" t="s">
        <v>854</v>
      </c>
      <c r="P94" s="28" t="s">
        <v>2896</v>
      </c>
      <c r="Q94" s="33" t="n">
        <v>7065</v>
      </c>
      <c r="R94" s="34" t="s">
        <v>171</v>
      </c>
      <c r="S94" s="35" t="n">
        <v>4136</v>
      </c>
      <c r="T94" s="35" t="s">
        <v>172</v>
      </c>
      <c r="U94" s="28" t="n">
        <v>437937.62</v>
      </c>
      <c r="V94" s="60" t="n">
        <v>26.358713</v>
      </c>
      <c r="W94" s="112" t="n">
        <f aca="false">U94/V94</f>
        <v>16614.529700293</v>
      </c>
      <c r="X94" s="112" t="n">
        <v>389.5</v>
      </c>
      <c r="Y94" s="28" t="n">
        <v>2.21</v>
      </c>
      <c r="Z94" s="62" t="s">
        <v>80</v>
      </c>
      <c r="AA94" s="38" t="n">
        <v>42052</v>
      </c>
      <c r="AB94" s="38" t="n">
        <v>42087</v>
      </c>
      <c r="AC94" s="38" t="n">
        <v>42086</v>
      </c>
      <c r="AD94" s="229" t="n">
        <v>43639</v>
      </c>
      <c r="AE94" s="28" t="n">
        <f aca="false">YEAR(AD94)</f>
        <v>2019</v>
      </c>
      <c r="AF94" s="223" t="n">
        <v>43607</v>
      </c>
      <c r="AG94" s="2" t="n">
        <v>163293</v>
      </c>
      <c r="AH94" s="43" t="s">
        <v>3156</v>
      </c>
    </row>
    <row r="95" s="2" customFormat="true" ht="12.75" hidden="false" customHeight="true" outlineLevel="0" collapsed="false">
      <c r="A95" s="26" t="n">
        <v>17</v>
      </c>
      <c r="B95" s="152" t="s">
        <v>3157</v>
      </c>
      <c r="C95" s="43" t="s">
        <v>3064</v>
      </c>
      <c r="D95" s="28" t="s">
        <v>46</v>
      </c>
      <c r="E95" s="43" t="n">
        <v>5.79</v>
      </c>
      <c r="F95" s="43" t="n">
        <v>1.2</v>
      </c>
      <c r="G95" s="43" t="n">
        <v>119</v>
      </c>
      <c r="H95" s="43" t="n">
        <v>2015</v>
      </c>
      <c r="I95" s="55" t="n">
        <v>1451</v>
      </c>
      <c r="J95" s="43" t="s">
        <v>74</v>
      </c>
      <c r="K95" s="86" t="s">
        <v>2887</v>
      </c>
      <c r="L95" s="28"/>
      <c r="M95" s="31" t="s">
        <v>3158</v>
      </c>
      <c r="N95" s="32" t="s">
        <v>1090</v>
      </c>
      <c r="O95" s="28" t="s">
        <v>343</v>
      </c>
      <c r="P95" s="28" t="s">
        <v>2896</v>
      </c>
      <c r="Q95" s="33" t="n">
        <v>7063</v>
      </c>
      <c r="R95" s="34" t="s">
        <v>171</v>
      </c>
      <c r="S95" s="35" t="n">
        <v>4136</v>
      </c>
      <c r="T95" s="35" t="s">
        <v>172</v>
      </c>
      <c r="U95" s="28" t="n">
        <v>437937.62</v>
      </c>
      <c r="V95" s="60" t="n">
        <v>26.358713</v>
      </c>
      <c r="W95" s="112" t="n">
        <f aca="false">U95/V95</f>
        <v>16614.529700293</v>
      </c>
      <c r="X95" s="112" t="n">
        <v>389.5</v>
      </c>
      <c r="Y95" s="28" t="n">
        <v>2.21</v>
      </c>
      <c r="Z95" s="62" t="s">
        <v>80</v>
      </c>
      <c r="AA95" s="38" t="n">
        <v>42052</v>
      </c>
      <c r="AB95" s="38" t="n">
        <v>42087</v>
      </c>
      <c r="AC95" s="38" t="n">
        <v>42086</v>
      </c>
      <c r="AD95" s="229" t="n">
        <v>43639</v>
      </c>
      <c r="AE95" s="28" t="n">
        <f aca="false">YEAR(AD95)</f>
        <v>2019</v>
      </c>
      <c r="AF95" s="223" t="n">
        <v>43608</v>
      </c>
      <c r="AG95" s="2" t="n">
        <v>104292</v>
      </c>
      <c r="AH95" s="43" t="s">
        <v>3159</v>
      </c>
    </row>
    <row r="96" s="2" customFormat="true" ht="12.75" hidden="false" customHeight="true" outlineLevel="0" collapsed="false">
      <c r="A96" s="26" t="n">
        <v>18</v>
      </c>
      <c r="B96" s="233" t="s">
        <v>3160</v>
      </c>
      <c r="C96" s="234" t="s">
        <v>3064</v>
      </c>
      <c r="D96" s="133" t="s">
        <v>46</v>
      </c>
      <c r="E96" s="43" t="n">
        <v>5.79</v>
      </c>
      <c r="F96" s="234" t="n">
        <v>1.2</v>
      </c>
      <c r="G96" s="43" t="n">
        <v>119</v>
      </c>
      <c r="H96" s="234" t="n">
        <v>2015</v>
      </c>
      <c r="I96" s="55" t="n">
        <v>1451</v>
      </c>
      <c r="J96" s="234" t="s">
        <v>74</v>
      </c>
      <c r="K96" s="30" t="s">
        <v>829</v>
      </c>
      <c r="L96" s="133"/>
      <c r="M96" s="31" t="s">
        <v>830</v>
      </c>
      <c r="N96" s="32" t="s">
        <v>168</v>
      </c>
      <c r="O96" s="133" t="s">
        <v>831</v>
      </c>
      <c r="P96" s="133" t="s">
        <v>2923</v>
      </c>
      <c r="Q96" s="243" t="n">
        <v>9000</v>
      </c>
      <c r="R96" s="244" t="s">
        <v>189</v>
      </c>
      <c r="S96" s="104" t="n">
        <v>4134</v>
      </c>
      <c r="T96" s="35" t="s">
        <v>172</v>
      </c>
      <c r="U96" s="28" t="n">
        <v>437937.62</v>
      </c>
      <c r="V96" s="60" t="n">
        <v>26.358713</v>
      </c>
      <c r="W96" s="112" t="n">
        <f aca="false">U96/V96</f>
        <v>16614.529700293</v>
      </c>
      <c r="X96" s="112" t="n">
        <v>389.5</v>
      </c>
      <c r="Y96" s="28" t="n">
        <v>2.21</v>
      </c>
      <c r="Z96" s="62" t="s">
        <v>80</v>
      </c>
      <c r="AA96" s="38" t="n">
        <v>42052</v>
      </c>
      <c r="AB96" s="38" t="n">
        <v>42087</v>
      </c>
      <c r="AC96" s="38" t="n">
        <v>42086</v>
      </c>
      <c r="AD96" s="229" t="n">
        <v>43639</v>
      </c>
      <c r="AE96" s="28" t="n">
        <f aca="false">YEAR(AD96)</f>
        <v>2019</v>
      </c>
      <c r="AF96" s="223" t="n">
        <v>43598</v>
      </c>
      <c r="AG96" s="2" t="n">
        <v>124910</v>
      </c>
      <c r="AH96" s="43" t="s">
        <v>3161</v>
      </c>
    </row>
    <row r="97" s="2" customFormat="true" ht="12.75" hidden="false" customHeight="true" outlineLevel="0" collapsed="false">
      <c r="A97" s="26" t="n">
        <v>19</v>
      </c>
      <c r="B97" s="152" t="s">
        <v>3162</v>
      </c>
      <c r="C97" s="43" t="s">
        <v>3064</v>
      </c>
      <c r="D97" s="28" t="s">
        <v>46</v>
      </c>
      <c r="E97" s="43" t="n">
        <v>5.79</v>
      </c>
      <c r="F97" s="43" t="n">
        <v>1.2</v>
      </c>
      <c r="G97" s="43" t="n">
        <v>119</v>
      </c>
      <c r="H97" s="43" t="n">
        <v>2015</v>
      </c>
      <c r="I97" s="55" t="n">
        <v>1451</v>
      </c>
      <c r="J97" s="43" t="s">
        <v>74</v>
      </c>
      <c r="K97" s="30" t="s">
        <v>767</v>
      </c>
      <c r="L97" s="235"/>
      <c r="M97" s="31" t="s">
        <v>768</v>
      </c>
      <c r="N97" s="32" t="s">
        <v>1090</v>
      </c>
      <c r="O97" s="28" t="s">
        <v>754</v>
      </c>
      <c r="P97" s="28" t="s">
        <v>2923</v>
      </c>
      <c r="Q97" s="33" t="n">
        <v>7040</v>
      </c>
      <c r="R97" s="34" t="s">
        <v>171</v>
      </c>
      <c r="S97" s="35" t="n">
        <v>4134</v>
      </c>
      <c r="T97" s="35" t="s">
        <v>172</v>
      </c>
      <c r="U97" s="28" t="n">
        <v>437937.62</v>
      </c>
      <c r="V97" s="60" t="n">
        <v>26.358713</v>
      </c>
      <c r="W97" s="112" t="n">
        <f aca="false">U97/V97</f>
        <v>16614.529700293</v>
      </c>
      <c r="X97" s="112" t="n">
        <v>389.5</v>
      </c>
      <c r="Y97" s="28" t="n">
        <v>2.21</v>
      </c>
      <c r="Z97" s="62" t="s">
        <v>80</v>
      </c>
      <c r="AA97" s="38" t="n">
        <v>42052</v>
      </c>
      <c r="AB97" s="38" t="n">
        <v>42087</v>
      </c>
      <c r="AC97" s="38" t="n">
        <v>42086</v>
      </c>
      <c r="AD97" s="229" t="n">
        <v>43639</v>
      </c>
      <c r="AE97" s="28" t="n">
        <f aca="false">YEAR(AD97)</f>
        <v>2019</v>
      </c>
      <c r="AF97" s="223" t="n">
        <v>43593</v>
      </c>
      <c r="AG97" s="2" t="n">
        <v>123881</v>
      </c>
      <c r="AH97" s="43" t="s">
        <v>3163</v>
      </c>
    </row>
    <row r="98" s="2" customFormat="true" ht="12.75" hidden="false" customHeight="true" outlineLevel="0" collapsed="false">
      <c r="A98" s="26" t="n">
        <v>20</v>
      </c>
      <c r="B98" s="152" t="s">
        <v>3164</v>
      </c>
      <c r="C98" s="43" t="s">
        <v>3064</v>
      </c>
      <c r="D98" s="28" t="s">
        <v>46</v>
      </c>
      <c r="E98" s="43" t="n">
        <v>5.79</v>
      </c>
      <c r="F98" s="43" t="n">
        <v>1.2</v>
      </c>
      <c r="G98" s="43" t="n">
        <v>119</v>
      </c>
      <c r="H98" s="43" t="n">
        <v>2015</v>
      </c>
      <c r="I98" s="55" t="n">
        <v>1451</v>
      </c>
      <c r="J98" s="43" t="s">
        <v>74</v>
      </c>
      <c r="K98" s="30" t="s">
        <v>3165</v>
      </c>
      <c r="L98" s="28"/>
      <c r="M98" s="31" t="s">
        <v>3166</v>
      </c>
      <c r="N98" s="32" t="s">
        <v>289</v>
      </c>
      <c r="O98" s="28" t="s">
        <v>142</v>
      </c>
      <c r="P98" s="28" t="s">
        <v>2896</v>
      </c>
      <c r="Q98" s="33" t="n">
        <v>1000</v>
      </c>
      <c r="R98" s="34" t="s">
        <v>92</v>
      </c>
      <c r="S98" s="35" t="n">
        <v>4146</v>
      </c>
      <c r="T98" s="35" t="s">
        <v>172</v>
      </c>
      <c r="U98" s="28" t="n">
        <v>437937.62</v>
      </c>
      <c r="V98" s="60" t="n">
        <v>26.358713</v>
      </c>
      <c r="W98" s="112" t="n">
        <f aca="false">U98/V98</f>
        <v>16614.529700293</v>
      </c>
      <c r="X98" s="112" t="n">
        <v>389.5</v>
      </c>
      <c r="Y98" s="28" t="n">
        <v>2.21</v>
      </c>
      <c r="Z98" s="62" t="s">
        <v>80</v>
      </c>
      <c r="AA98" s="38" t="n">
        <v>42052</v>
      </c>
      <c r="AB98" s="38" t="n">
        <v>42087</v>
      </c>
      <c r="AC98" s="38" t="n">
        <v>42086</v>
      </c>
      <c r="AD98" s="229" t="n">
        <v>43639</v>
      </c>
      <c r="AE98" s="28" t="n">
        <f aca="false">YEAR(AD98)</f>
        <v>2019</v>
      </c>
      <c r="AF98" s="223" t="n">
        <v>43600</v>
      </c>
      <c r="AG98" s="2" t="n">
        <v>130819</v>
      </c>
      <c r="AH98" s="43" t="s">
        <v>3167</v>
      </c>
    </row>
    <row r="99" s="2" customFormat="true" ht="12.75" hidden="false" customHeight="true" outlineLevel="0" collapsed="false">
      <c r="A99" s="26" t="n">
        <v>21</v>
      </c>
      <c r="B99" s="152" t="s">
        <v>3168</v>
      </c>
      <c r="C99" s="43" t="s">
        <v>3064</v>
      </c>
      <c r="D99" s="28" t="s">
        <v>46</v>
      </c>
      <c r="E99" s="43" t="n">
        <v>5.79</v>
      </c>
      <c r="F99" s="43" t="n">
        <v>1.2</v>
      </c>
      <c r="G99" s="43" t="n">
        <v>119</v>
      </c>
      <c r="H99" s="43" t="n">
        <v>2015</v>
      </c>
      <c r="I99" s="55" t="n">
        <v>1451</v>
      </c>
      <c r="J99" s="43" t="s">
        <v>74</v>
      </c>
      <c r="K99" s="30" t="s">
        <v>679</v>
      </c>
      <c r="L99" s="28"/>
      <c r="M99" s="31" t="s">
        <v>680</v>
      </c>
      <c r="N99" s="32" t="s">
        <v>289</v>
      </c>
      <c r="O99" s="28" t="s">
        <v>681</v>
      </c>
      <c r="P99" s="28" t="s">
        <v>593</v>
      </c>
      <c r="Q99" s="33" t="n">
        <v>4000</v>
      </c>
      <c r="R99" s="34" t="s">
        <v>92</v>
      </c>
      <c r="S99" s="35" t="n">
        <v>4143</v>
      </c>
      <c r="T99" s="35" t="s">
        <v>172</v>
      </c>
      <c r="U99" s="28" t="n">
        <v>437937.62</v>
      </c>
      <c r="V99" s="60" t="n">
        <v>26.358713</v>
      </c>
      <c r="W99" s="112" t="n">
        <f aca="false">U99/V99</f>
        <v>16614.529700293</v>
      </c>
      <c r="X99" s="112" t="n">
        <v>389.5</v>
      </c>
      <c r="Y99" s="28" t="n">
        <v>2.21</v>
      </c>
      <c r="Z99" s="62" t="s">
        <v>80</v>
      </c>
      <c r="AA99" s="38" t="n">
        <v>42052</v>
      </c>
      <c r="AB99" s="38" t="n">
        <v>42087</v>
      </c>
      <c r="AC99" s="38" t="n">
        <v>42086</v>
      </c>
      <c r="AD99" s="229" t="n">
        <v>43639</v>
      </c>
      <c r="AE99" s="28" t="n">
        <f aca="false">YEAR(AD99)</f>
        <v>2019</v>
      </c>
      <c r="AF99" s="223" t="n">
        <v>43595</v>
      </c>
      <c r="AG99" s="2" t="n">
        <v>90653</v>
      </c>
      <c r="AH99" s="43" t="s">
        <v>3169</v>
      </c>
    </row>
    <row r="100" s="2" customFormat="true" ht="12.75" hidden="false" customHeight="true" outlineLevel="0" collapsed="false">
      <c r="A100" s="26" t="n">
        <v>22</v>
      </c>
      <c r="B100" s="152" t="s">
        <v>3170</v>
      </c>
      <c r="C100" s="43" t="s">
        <v>3064</v>
      </c>
      <c r="D100" s="28" t="s">
        <v>46</v>
      </c>
      <c r="E100" s="43" t="n">
        <v>5.79</v>
      </c>
      <c r="F100" s="43" t="n">
        <v>1.2</v>
      </c>
      <c r="G100" s="43" t="n">
        <v>119</v>
      </c>
      <c r="H100" s="43" t="n">
        <v>2015</v>
      </c>
      <c r="I100" s="55" t="n">
        <v>1451</v>
      </c>
      <c r="J100" s="43" t="s">
        <v>74</v>
      </c>
      <c r="K100" s="30" t="s">
        <v>3171</v>
      </c>
      <c r="L100" s="28"/>
      <c r="M100" s="31" t="s">
        <v>3172</v>
      </c>
      <c r="N100" s="32" t="s">
        <v>3114</v>
      </c>
      <c r="O100" s="28" t="s">
        <v>142</v>
      </c>
      <c r="P100" s="28" t="s">
        <v>2896</v>
      </c>
      <c r="Q100" s="33" t="n">
        <v>9000</v>
      </c>
      <c r="R100" s="34" t="s">
        <v>171</v>
      </c>
      <c r="S100" s="35" t="n">
        <v>4146</v>
      </c>
      <c r="T100" s="35" t="s">
        <v>172</v>
      </c>
      <c r="U100" s="28" t="n">
        <v>437937.62</v>
      </c>
      <c r="V100" s="60" t="n">
        <v>26.358713</v>
      </c>
      <c r="W100" s="112" t="n">
        <f aca="false">U100/V100</f>
        <v>16614.529700293</v>
      </c>
      <c r="X100" s="112" t="n">
        <v>389.5</v>
      </c>
      <c r="Y100" s="28" t="n">
        <v>2.21</v>
      </c>
      <c r="Z100" s="62" t="s">
        <v>80</v>
      </c>
      <c r="AA100" s="38" t="n">
        <v>42052</v>
      </c>
      <c r="AB100" s="38" t="n">
        <v>42087</v>
      </c>
      <c r="AC100" s="38" t="n">
        <v>42086</v>
      </c>
      <c r="AD100" s="229" t="n">
        <v>43639</v>
      </c>
      <c r="AE100" s="28" t="n">
        <f aca="false">YEAR(AD100)</f>
        <v>2019</v>
      </c>
      <c r="AF100" s="223" t="n">
        <v>43599</v>
      </c>
      <c r="AG100" s="2" t="n">
        <v>89532</v>
      </c>
      <c r="AH100" s="43" t="s">
        <v>3173</v>
      </c>
    </row>
    <row r="101" s="2" customFormat="true" ht="12.75" hidden="false" customHeight="true" outlineLevel="0" collapsed="false">
      <c r="A101" s="26" t="n">
        <v>39</v>
      </c>
      <c r="B101" s="152" t="s">
        <v>3174</v>
      </c>
      <c r="C101" s="43" t="s">
        <v>3064</v>
      </c>
      <c r="D101" s="28" t="s">
        <v>46</v>
      </c>
      <c r="E101" s="43" t="n">
        <v>5.79</v>
      </c>
      <c r="F101" s="43" t="n">
        <v>1.2</v>
      </c>
      <c r="G101" s="43" t="n">
        <v>119</v>
      </c>
      <c r="H101" s="43" t="n">
        <v>2015</v>
      </c>
      <c r="I101" s="55" t="n">
        <v>1451</v>
      </c>
      <c r="J101" s="43" t="s">
        <v>74</v>
      </c>
      <c r="K101" s="86" t="s">
        <v>2887</v>
      </c>
      <c r="L101" s="35"/>
      <c r="M101" s="31" t="s">
        <v>3175</v>
      </c>
      <c r="N101" s="32" t="s">
        <v>3176</v>
      </c>
      <c r="O101" s="70" t="s">
        <v>100</v>
      </c>
      <c r="P101" s="70" t="s">
        <v>2890</v>
      </c>
      <c r="Q101" s="28" t="n">
        <v>1000</v>
      </c>
      <c r="R101" s="34" t="s">
        <v>189</v>
      </c>
      <c r="S101" s="35" t="n">
        <v>4170</v>
      </c>
      <c r="T101" s="35" t="s">
        <v>172</v>
      </c>
      <c r="U101" s="28" t="n">
        <v>475604.17</v>
      </c>
      <c r="V101" s="60" t="n">
        <v>27.859494</v>
      </c>
      <c r="W101" s="112" t="n">
        <f aca="false">U101/V101</f>
        <v>17071.5293680495</v>
      </c>
      <c r="X101" s="112" t="n">
        <v>389.63</v>
      </c>
      <c r="Y101" s="70" t="n">
        <v>2.36</v>
      </c>
      <c r="Z101" s="170" t="s">
        <v>80</v>
      </c>
      <c r="AA101" s="51" t="n">
        <v>42055</v>
      </c>
      <c r="AB101" s="51" t="n">
        <v>42117</v>
      </c>
      <c r="AC101" s="51" t="n">
        <v>42117</v>
      </c>
      <c r="AD101" s="52" t="n">
        <v>43669</v>
      </c>
      <c r="AE101" s="70" t="n">
        <f aca="false">YEAR(AD101)</f>
        <v>2019</v>
      </c>
      <c r="AF101" s="223" t="n">
        <v>43592</v>
      </c>
      <c r="AG101" s="2" t="n">
        <v>119305</v>
      </c>
      <c r="AH101" s="43" t="s">
        <v>3177</v>
      </c>
    </row>
    <row r="102" s="2" customFormat="true" ht="12.75" hidden="false" customHeight="true" outlineLevel="0" collapsed="false">
      <c r="A102" s="26" t="n">
        <v>40</v>
      </c>
      <c r="B102" s="152" t="s">
        <v>3178</v>
      </c>
      <c r="C102" s="43" t="s">
        <v>3064</v>
      </c>
      <c r="D102" s="28" t="s">
        <v>46</v>
      </c>
      <c r="E102" s="43" t="n">
        <v>5.79</v>
      </c>
      <c r="F102" s="43" t="n">
        <v>1.2</v>
      </c>
      <c r="G102" s="43" t="n">
        <v>119</v>
      </c>
      <c r="H102" s="43" t="n">
        <v>2015</v>
      </c>
      <c r="I102" s="55" t="n">
        <v>1451</v>
      </c>
      <c r="J102" s="43" t="s">
        <v>74</v>
      </c>
      <c r="K102" s="30" t="s">
        <v>3179</v>
      </c>
      <c r="L102" s="35"/>
      <c r="M102" s="31" t="s">
        <v>3180</v>
      </c>
      <c r="N102" s="32" t="s">
        <v>1090</v>
      </c>
      <c r="O102" s="57" t="s">
        <v>100</v>
      </c>
      <c r="P102" s="28" t="s">
        <v>593</v>
      </c>
      <c r="Q102" s="57" t="n">
        <v>7023</v>
      </c>
      <c r="R102" s="58" t="s">
        <v>171</v>
      </c>
      <c r="S102" s="35" t="n">
        <v>4133</v>
      </c>
      <c r="T102" s="35" t="s">
        <v>172</v>
      </c>
      <c r="U102" s="28" t="n">
        <v>475604.17</v>
      </c>
      <c r="V102" s="60" t="n">
        <v>27.859494</v>
      </c>
      <c r="W102" s="112" t="n">
        <f aca="false">U102/V102</f>
        <v>17071.5293680495</v>
      </c>
      <c r="X102" s="112" t="n">
        <v>389.63</v>
      </c>
      <c r="Y102" s="70" t="n">
        <v>2.36</v>
      </c>
      <c r="Z102" s="170" t="s">
        <v>80</v>
      </c>
      <c r="AA102" s="51" t="n">
        <v>42055</v>
      </c>
      <c r="AB102" s="51" t="n">
        <v>42117</v>
      </c>
      <c r="AC102" s="51" t="n">
        <v>42117</v>
      </c>
      <c r="AD102" s="52" t="n">
        <v>43669</v>
      </c>
      <c r="AE102" s="70" t="n">
        <f aca="false">YEAR(AD102)</f>
        <v>2019</v>
      </c>
      <c r="AF102" s="223" t="n">
        <v>43614</v>
      </c>
      <c r="AG102" s="2" t="n">
        <v>114415</v>
      </c>
      <c r="AH102" s="43" t="s">
        <v>3181</v>
      </c>
    </row>
    <row r="103" s="2" customFormat="true" ht="12.75" hidden="false" customHeight="true" outlineLevel="0" collapsed="false">
      <c r="A103" s="26" t="n">
        <v>51</v>
      </c>
      <c r="B103" s="152" t="s">
        <v>3182</v>
      </c>
      <c r="C103" s="43" t="s">
        <v>3064</v>
      </c>
      <c r="D103" s="28" t="s">
        <v>46</v>
      </c>
      <c r="E103" s="43" t="n">
        <v>5.79</v>
      </c>
      <c r="F103" s="43" t="n">
        <v>1.2</v>
      </c>
      <c r="G103" s="43" t="n">
        <v>119</v>
      </c>
      <c r="H103" s="43" t="n">
        <v>2015</v>
      </c>
      <c r="I103" s="55" t="n">
        <v>1451</v>
      </c>
      <c r="J103" s="43" t="s">
        <v>74</v>
      </c>
      <c r="K103" s="30" t="s">
        <v>1001</v>
      </c>
      <c r="L103" s="5"/>
      <c r="M103" s="31" t="s">
        <v>1002</v>
      </c>
      <c r="N103" s="32" t="s">
        <v>1090</v>
      </c>
      <c r="O103" s="28" t="s">
        <v>1003</v>
      </c>
      <c r="P103" s="28" t="s">
        <v>52</v>
      </c>
      <c r="Q103" s="241" t="n">
        <v>7014</v>
      </c>
      <c r="R103" s="34" t="s">
        <v>171</v>
      </c>
      <c r="S103" s="35" t="n">
        <v>4131</v>
      </c>
      <c r="T103" s="35" t="s">
        <v>172</v>
      </c>
      <c r="U103" s="28" t="n">
        <v>475604.17</v>
      </c>
      <c r="V103" s="60" t="n">
        <v>27.859494</v>
      </c>
      <c r="W103" s="112" t="n">
        <f aca="false">U103/V103</f>
        <v>17071.5293680495</v>
      </c>
      <c r="X103" s="112" t="n">
        <v>389.65</v>
      </c>
      <c r="Y103" s="28" t="n">
        <v>2.37</v>
      </c>
      <c r="Z103" s="62" t="s">
        <v>80</v>
      </c>
      <c r="AA103" s="38" t="n">
        <v>42055</v>
      </c>
      <c r="AB103" s="38" t="n">
        <v>42135</v>
      </c>
      <c r="AC103" s="38" t="n">
        <v>42132</v>
      </c>
      <c r="AD103" s="52" t="n">
        <v>43593</v>
      </c>
      <c r="AE103" s="70" t="n">
        <f aca="false">YEAR(AD103)</f>
        <v>2019</v>
      </c>
      <c r="AF103" s="223" t="n">
        <v>43613</v>
      </c>
      <c r="AG103" s="2" t="n">
        <v>121994</v>
      </c>
      <c r="AH103" s="81" t="s">
        <v>3183</v>
      </c>
    </row>
    <row r="104" s="2" customFormat="true" ht="12.75" hidden="false" customHeight="true" outlineLevel="0" collapsed="false">
      <c r="A104" s="26" t="n">
        <v>43</v>
      </c>
      <c r="B104" s="152" t="s">
        <v>3184</v>
      </c>
      <c r="C104" s="43" t="s">
        <v>3064</v>
      </c>
      <c r="D104" s="28" t="s">
        <v>46</v>
      </c>
      <c r="E104" s="43" t="n">
        <v>5.79</v>
      </c>
      <c r="F104" s="43" t="n">
        <v>1.2</v>
      </c>
      <c r="G104" s="43" t="n">
        <v>119</v>
      </c>
      <c r="H104" s="43" t="n">
        <v>2015</v>
      </c>
      <c r="I104" s="55" t="n">
        <v>1451</v>
      </c>
      <c r="J104" s="43" t="s">
        <v>74</v>
      </c>
      <c r="K104" s="30" t="s">
        <v>3185</v>
      </c>
      <c r="L104" s="35"/>
      <c r="M104" s="31" t="s">
        <v>3186</v>
      </c>
      <c r="N104" s="32" t="s">
        <v>289</v>
      </c>
      <c r="O104" s="28" t="s">
        <v>313</v>
      </c>
      <c r="P104" s="28" t="s">
        <v>2903</v>
      </c>
      <c r="Q104" s="33" t="n">
        <v>6000</v>
      </c>
      <c r="R104" s="68" t="s">
        <v>171</v>
      </c>
      <c r="S104" s="35" t="s">
        <v>2904</v>
      </c>
      <c r="T104" s="35" t="s">
        <v>172</v>
      </c>
      <c r="U104" s="28" t="n">
        <v>475604.17</v>
      </c>
      <c r="V104" s="60" t="n">
        <v>27.859494</v>
      </c>
      <c r="W104" s="112" t="n">
        <f aca="false">U104/V104</f>
        <v>17071.5293680495</v>
      </c>
      <c r="X104" s="112" t="n">
        <v>389.65</v>
      </c>
      <c r="Y104" s="28" t="n">
        <v>2.37</v>
      </c>
      <c r="Z104" s="62" t="s">
        <v>80</v>
      </c>
      <c r="AA104" s="38" t="n">
        <v>42055</v>
      </c>
      <c r="AB104" s="38" t="n">
        <v>42135</v>
      </c>
      <c r="AC104" s="38" t="n">
        <v>42132</v>
      </c>
      <c r="AD104" s="52" t="n">
        <v>43593</v>
      </c>
      <c r="AE104" s="70" t="n">
        <f aca="false">YEAR(AD104)</f>
        <v>2019</v>
      </c>
      <c r="AF104" s="223" t="n">
        <v>43614</v>
      </c>
      <c r="AG104" s="2" t="n">
        <v>129959</v>
      </c>
      <c r="AH104" s="245" t="s">
        <v>3187</v>
      </c>
    </row>
    <row r="105" s="2" customFormat="true" ht="12.75" hidden="false" customHeight="true" outlineLevel="0" collapsed="false">
      <c r="A105" s="26" t="n">
        <v>46</v>
      </c>
      <c r="B105" s="152" t="s">
        <v>3188</v>
      </c>
      <c r="C105" s="43" t="s">
        <v>3064</v>
      </c>
      <c r="D105" s="28" t="s">
        <v>46</v>
      </c>
      <c r="E105" s="43" t="n">
        <v>5.79</v>
      </c>
      <c r="F105" s="43" t="n">
        <v>1.2</v>
      </c>
      <c r="G105" s="43" t="n">
        <v>119</v>
      </c>
      <c r="H105" s="43" t="n">
        <v>2015</v>
      </c>
      <c r="I105" s="55" t="n">
        <v>1451</v>
      </c>
      <c r="J105" s="43" t="s">
        <v>74</v>
      </c>
      <c r="K105" s="30" t="s">
        <v>897</v>
      </c>
      <c r="L105" s="35"/>
      <c r="M105" s="31" t="s">
        <v>898</v>
      </c>
      <c r="N105" s="32" t="s">
        <v>1090</v>
      </c>
      <c r="O105" s="28" t="s">
        <v>899</v>
      </c>
      <c r="P105" s="28" t="s">
        <v>52</v>
      </c>
      <c r="Q105" s="33" t="n">
        <v>7012</v>
      </c>
      <c r="R105" s="34" t="s">
        <v>171</v>
      </c>
      <c r="S105" s="35" t="n">
        <v>4131</v>
      </c>
      <c r="T105" s="35" t="s">
        <v>172</v>
      </c>
      <c r="U105" s="28" t="n">
        <v>475604.17</v>
      </c>
      <c r="V105" s="60" t="n">
        <v>27.859494</v>
      </c>
      <c r="W105" s="112" t="n">
        <f aca="false">U105/V105</f>
        <v>17071.5293680495</v>
      </c>
      <c r="X105" s="112" t="n">
        <v>389.65</v>
      </c>
      <c r="Y105" s="28" t="n">
        <v>2.37</v>
      </c>
      <c r="Z105" s="62" t="s">
        <v>80</v>
      </c>
      <c r="AA105" s="38" t="n">
        <v>42055</v>
      </c>
      <c r="AB105" s="38" t="n">
        <v>42135</v>
      </c>
      <c r="AC105" s="38" t="n">
        <v>42132</v>
      </c>
      <c r="AD105" s="52" t="n">
        <v>43593</v>
      </c>
      <c r="AE105" s="70" t="n">
        <f aca="false">YEAR(AD105)</f>
        <v>2019</v>
      </c>
      <c r="AF105" s="223" t="n">
        <v>43614</v>
      </c>
      <c r="AG105" s="2" t="n">
        <v>102980</v>
      </c>
      <c r="AH105" s="81" t="s">
        <v>3189</v>
      </c>
    </row>
    <row r="106" s="2" customFormat="true" ht="12.75" hidden="false" customHeight="true" outlineLevel="0" collapsed="false">
      <c r="A106" s="26" t="n">
        <v>42</v>
      </c>
      <c r="B106" s="152" t="s">
        <v>3190</v>
      </c>
      <c r="C106" s="43" t="s">
        <v>3064</v>
      </c>
      <c r="D106" s="28" t="s">
        <v>46</v>
      </c>
      <c r="E106" s="43" t="n">
        <v>5.79</v>
      </c>
      <c r="F106" s="43" t="n">
        <v>1.2</v>
      </c>
      <c r="G106" s="43" t="n">
        <v>119</v>
      </c>
      <c r="H106" s="43" t="n">
        <v>2015</v>
      </c>
      <c r="I106" s="55" t="n">
        <v>1451</v>
      </c>
      <c r="J106" s="43" t="s">
        <v>74</v>
      </c>
      <c r="K106" s="30" t="s">
        <v>933</v>
      </c>
      <c r="L106" s="35"/>
      <c r="M106" s="31" t="s">
        <v>934</v>
      </c>
      <c r="N106" s="97" t="s">
        <v>1090</v>
      </c>
      <c r="O106" s="28" t="s">
        <v>754</v>
      </c>
      <c r="P106" s="28" t="s">
        <v>2923</v>
      </c>
      <c r="Q106" s="33" t="n">
        <v>7040</v>
      </c>
      <c r="R106" s="34" t="s">
        <v>171</v>
      </c>
      <c r="S106" s="35" t="n">
        <v>4134</v>
      </c>
      <c r="T106" s="35" t="s">
        <v>172</v>
      </c>
      <c r="U106" s="28" t="n">
        <v>475604.17</v>
      </c>
      <c r="V106" s="60" t="n">
        <v>27.859494</v>
      </c>
      <c r="W106" s="112" t="n">
        <f aca="false">U106/V106</f>
        <v>17071.5293680495</v>
      </c>
      <c r="X106" s="112" t="n">
        <v>389.65</v>
      </c>
      <c r="Y106" s="28" t="n">
        <v>2.37</v>
      </c>
      <c r="Z106" s="62" t="s">
        <v>80</v>
      </c>
      <c r="AA106" s="38" t="n">
        <v>42055</v>
      </c>
      <c r="AB106" s="38" t="n">
        <v>42135</v>
      </c>
      <c r="AC106" s="38" t="n">
        <v>42132</v>
      </c>
      <c r="AD106" s="52" t="n">
        <v>43593</v>
      </c>
      <c r="AE106" s="70" t="n">
        <f aca="false">YEAR(AD106)</f>
        <v>2019</v>
      </c>
      <c r="AF106" s="223" t="n">
        <v>43615</v>
      </c>
      <c r="AG106" s="2" t="n">
        <v>119479</v>
      </c>
      <c r="AH106" s="81" t="s">
        <v>3191</v>
      </c>
    </row>
    <row r="107" s="2" customFormat="true" ht="12.75" hidden="false" customHeight="true" outlineLevel="0" collapsed="false">
      <c r="A107" s="26" t="n">
        <v>44</v>
      </c>
      <c r="B107" s="152" t="s">
        <v>3192</v>
      </c>
      <c r="C107" s="43" t="s">
        <v>3064</v>
      </c>
      <c r="D107" s="28" t="s">
        <v>46</v>
      </c>
      <c r="E107" s="43" t="n">
        <v>5.79</v>
      </c>
      <c r="F107" s="43" t="n">
        <v>1.2</v>
      </c>
      <c r="G107" s="43" t="n">
        <v>119</v>
      </c>
      <c r="H107" s="43" t="n">
        <v>2015</v>
      </c>
      <c r="I107" s="55" t="n">
        <v>1451</v>
      </c>
      <c r="J107" s="43" t="s">
        <v>74</v>
      </c>
      <c r="K107" s="30" t="s">
        <v>3193</v>
      </c>
      <c r="L107" s="67"/>
      <c r="M107" s="31" t="s">
        <v>3194</v>
      </c>
      <c r="N107" s="32" t="s">
        <v>1090</v>
      </c>
      <c r="O107" s="28" t="s">
        <v>252</v>
      </c>
      <c r="P107" s="28" t="s">
        <v>2896</v>
      </c>
      <c r="Q107" s="33" t="n">
        <v>7060</v>
      </c>
      <c r="R107" s="67" t="s">
        <v>92</v>
      </c>
      <c r="S107" s="35" t="n">
        <v>4136</v>
      </c>
      <c r="T107" s="35" t="s">
        <v>172</v>
      </c>
      <c r="U107" s="28" t="n">
        <v>475604.17</v>
      </c>
      <c r="V107" s="60" t="n">
        <v>27.859494</v>
      </c>
      <c r="W107" s="112" t="n">
        <f aca="false">U107/V107</f>
        <v>17071.5293680495</v>
      </c>
      <c r="X107" s="112" t="n">
        <v>389.65</v>
      </c>
      <c r="Y107" s="28" t="n">
        <v>2.37</v>
      </c>
      <c r="Z107" s="62" t="s">
        <v>80</v>
      </c>
      <c r="AA107" s="38" t="n">
        <v>42055</v>
      </c>
      <c r="AB107" s="38" t="n">
        <v>42135</v>
      </c>
      <c r="AC107" s="38" t="n">
        <v>42132</v>
      </c>
      <c r="AD107" s="52" t="n">
        <v>43593</v>
      </c>
      <c r="AE107" s="70" t="n">
        <f aca="false">YEAR(AD107)</f>
        <v>2019</v>
      </c>
      <c r="AF107" s="223" t="n">
        <v>43615</v>
      </c>
      <c r="AG107" s="2" t="n">
        <v>141856</v>
      </c>
      <c r="AH107" s="81" t="s">
        <v>3195</v>
      </c>
    </row>
    <row r="108" s="2" customFormat="true" ht="12.75" hidden="false" customHeight="true" outlineLevel="0" collapsed="false">
      <c r="A108" s="26" t="n">
        <v>52</v>
      </c>
      <c r="B108" s="152" t="s">
        <v>3196</v>
      </c>
      <c r="C108" s="43" t="s">
        <v>3064</v>
      </c>
      <c r="D108" s="28" t="s">
        <v>46</v>
      </c>
      <c r="E108" s="43" t="n">
        <v>5.79</v>
      </c>
      <c r="F108" s="43" t="n">
        <v>1.2</v>
      </c>
      <c r="G108" s="43" t="n">
        <v>119</v>
      </c>
      <c r="H108" s="43" t="n">
        <v>2015</v>
      </c>
      <c r="I108" s="55" t="n">
        <v>1451</v>
      </c>
      <c r="J108" s="43" t="s">
        <v>74</v>
      </c>
      <c r="K108" s="30" t="s">
        <v>959</v>
      </c>
      <c r="L108" s="122"/>
      <c r="M108" s="31" t="s">
        <v>960</v>
      </c>
      <c r="N108" s="32" t="s">
        <v>1090</v>
      </c>
      <c r="O108" s="57" t="s">
        <v>961</v>
      </c>
      <c r="P108" s="57" t="s">
        <v>52</v>
      </c>
      <c r="Q108" s="87" t="n">
        <v>7010</v>
      </c>
      <c r="R108" s="58" t="s">
        <v>171</v>
      </c>
      <c r="S108" s="69" t="n">
        <v>4131</v>
      </c>
      <c r="T108" s="35" t="s">
        <v>172</v>
      </c>
      <c r="U108" s="28" t="n">
        <v>475604.17</v>
      </c>
      <c r="V108" s="60" t="n">
        <v>27.859494</v>
      </c>
      <c r="W108" s="112" t="n">
        <f aca="false">U108/V108</f>
        <v>17071.5293680495</v>
      </c>
      <c r="X108" s="112" t="n">
        <v>389.65</v>
      </c>
      <c r="Y108" s="28" t="n">
        <v>2.37</v>
      </c>
      <c r="Z108" s="62" t="s">
        <v>80</v>
      </c>
      <c r="AA108" s="38" t="n">
        <v>42055</v>
      </c>
      <c r="AB108" s="38" t="n">
        <v>42135</v>
      </c>
      <c r="AC108" s="38" t="n">
        <v>42132</v>
      </c>
      <c r="AD108" s="52" t="n">
        <v>43593</v>
      </c>
      <c r="AE108" s="70" t="n">
        <f aca="false">YEAR(AD108)</f>
        <v>2019</v>
      </c>
      <c r="AF108" s="223" t="n">
        <v>43615</v>
      </c>
      <c r="AG108" s="2" t="n">
        <v>124289</v>
      </c>
      <c r="AH108" s="81" t="s">
        <v>3197</v>
      </c>
    </row>
    <row r="109" s="2" customFormat="true" ht="12.75" hidden="false" customHeight="true" outlineLevel="0" collapsed="false">
      <c r="A109" s="26" t="n">
        <v>10</v>
      </c>
      <c r="B109" s="152" t="s">
        <v>3198</v>
      </c>
      <c r="C109" s="27" t="s">
        <v>3199</v>
      </c>
      <c r="D109" s="28" t="s">
        <v>73</v>
      </c>
      <c r="E109" s="43" t="n">
        <v>5.8</v>
      </c>
      <c r="F109" s="43" t="n">
        <v>1.6</v>
      </c>
      <c r="G109" s="43" t="n">
        <v>139</v>
      </c>
      <c r="H109" s="43" t="n">
        <v>2015</v>
      </c>
      <c r="I109" s="55" t="n">
        <v>1451</v>
      </c>
      <c r="J109" s="43" t="s">
        <v>74</v>
      </c>
      <c r="K109" s="30" t="s">
        <v>618</v>
      </c>
      <c r="L109" s="28"/>
      <c r="M109" s="31" t="s">
        <v>619</v>
      </c>
      <c r="N109" s="32" t="s">
        <v>131</v>
      </c>
      <c r="O109" s="28" t="s">
        <v>52</v>
      </c>
      <c r="P109" s="28" t="s">
        <v>52</v>
      </c>
      <c r="Q109" s="28" t="n">
        <v>1000</v>
      </c>
      <c r="R109" s="34" t="s">
        <v>78</v>
      </c>
      <c r="S109" s="35" t="n">
        <v>5311</v>
      </c>
      <c r="T109" s="59" t="s">
        <v>79</v>
      </c>
      <c r="U109" s="28" t="n">
        <v>269910.68</v>
      </c>
      <c r="V109" s="60" t="n">
        <v>12.952482</v>
      </c>
      <c r="W109" s="112" t="n">
        <f aca="false">U109/V109</f>
        <v>20838.5296347063</v>
      </c>
      <c r="X109" s="112" t="n">
        <v>458.7</v>
      </c>
      <c r="Y109" s="71" t="s">
        <v>3200</v>
      </c>
      <c r="Z109" s="62" t="s">
        <v>80</v>
      </c>
      <c r="AA109" s="38" t="n">
        <v>41978</v>
      </c>
      <c r="AB109" s="38" t="n">
        <v>42016</v>
      </c>
      <c r="AC109" s="38" t="n">
        <v>42020</v>
      </c>
      <c r="AD109" s="229" t="n">
        <v>43662</v>
      </c>
      <c r="AE109" s="28" t="n">
        <f aca="false">YEAR(AD109)</f>
        <v>2019</v>
      </c>
      <c r="AF109" s="2" t="s">
        <v>3201</v>
      </c>
      <c r="AG109" s="2" t="n">
        <v>247476</v>
      </c>
      <c r="AH109" s="43" t="s">
        <v>3202</v>
      </c>
    </row>
    <row r="110" s="2" customFormat="true" ht="12.75" hidden="false" customHeight="true" outlineLevel="0" collapsed="false">
      <c r="A110" s="26" t="n">
        <v>11</v>
      </c>
      <c r="B110" s="152" t="s">
        <v>3203</v>
      </c>
      <c r="C110" s="27" t="s">
        <v>3199</v>
      </c>
      <c r="D110" s="28" t="s">
        <v>73</v>
      </c>
      <c r="E110" s="43" t="n">
        <v>5.8</v>
      </c>
      <c r="F110" s="43" t="n">
        <v>1.6</v>
      </c>
      <c r="G110" s="43" t="n">
        <v>139</v>
      </c>
      <c r="H110" s="43" t="n">
        <v>2015</v>
      </c>
      <c r="I110" s="55" t="n">
        <v>1451</v>
      </c>
      <c r="J110" s="43" t="s">
        <v>74</v>
      </c>
      <c r="K110" s="30" t="s">
        <v>625</v>
      </c>
      <c r="L110" s="28"/>
      <c r="M110" s="31" t="s">
        <v>626</v>
      </c>
      <c r="N110" s="32" t="s">
        <v>131</v>
      </c>
      <c r="O110" s="28" t="s">
        <v>100</v>
      </c>
      <c r="P110" s="28" t="s">
        <v>100</v>
      </c>
      <c r="Q110" s="28" t="n">
        <v>4000</v>
      </c>
      <c r="R110" s="34" t="s">
        <v>78</v>
      </c>
      <c r="S110" s="35" t="n">
        <v>5311</v>
      </c>
      <c r="T110" s="59" t="s">
        <v>79</v>
      </c>
      <c r="U110" s="28" t="n">
        <v>269910.68</v>
      </c>
      <c r="V110" s="60" t="n">
        <v>12.952482</v>
      </c>
      <c r="W110" s="112" t="n">
        <f aca="false">U110/V110</f>
        <v>20838.5296347063</v>
      </c>
      <c r="X110" s="112" t="n">
        <v>458.7</v>
      </c>
      <c r="Y110" s="71" t="s">
        <v>3200</v>
      </c>
      <c r="Z110" s="62" t="s">
        <v>80</v>
      </c>
      <c r="AA110" s="38" t="n">
        <v>41978</v>
      </c>
      <c r="AB110" s="38" t="n">
        <v>42016</v>
      </c>
      <c r="AC110" s="38" t="n">
        <v>42020</v>
      </c>
      <c r="AD110" s="229" t="n">
        <v>43662</v>
      </c>
      <c r="AE110" s="28" t="n">
        <f aca="false">YEAR(AD110)</f>
        <v>2019</v>
      </c>
      <c r="AF110" s="2" t="s">
        <v>3204</v>
      </c>
      <c r="AG110" s="2" t="n">
        <v>285529</v>
      </c>
      <c r="AH110" s="43" t="s">
        <v>3205</v>
      </c>
    </row>
    <row r="111" s="2" customFormat="true" ht="12.75" hidden="false" customHeight="true" outlineLevel="0" collapsed="false">
      <c r="A111" s="26" t="n">
        <v>12</v>
      </c>
      <c r="B111" s="152" t="s">
        <v>3206</v>
      </c>
      <c r="C111" s="27" t="s">
        <v>3199</v>
      </c>
      <c r="D111" s="28" t="s">
        <v>73</v>
      </c>
      <c r="E111" s="43" t="n">
        <v>5.8</v>
      </c>
      <c r="F111" s="43" t="n">
        <v>1.6</v>
      </c>
      <c r="G111" s="43" t="n">
        <v>139</v>
      </c>
      <c r="H111" s="43" t="n">
        <v>2015</v>
      </c>
      <c r="I111" s="55" t="n">
        <v>1451</v>
      </c>
      <c r="J111" s="43" t="s">
        <v>74</v>
      </c>
      <c r="K111" s="30" t="s">
        <v>75</v>
      </c>
      <c r="L111" s="35"/>
      <c r="M111" s="31" t="s">
        <v>76</v>
      </c>
      <c r="N111" s="32" t="s">
        <v>51</v>
      </c>
      <c r="O111" s="28" t="s">
        <v>60</v>
      </c>
      <c r="P111" s="28" t="s">
        <v>61</v>
      </c>
      <c r="Q111" s="28" t="n">
        <v>6000</v>
      </c>
      <c r="R111" s="34" t="s">
        <v>78</v>
      </c>
      <c r="S111" s="35" t="n">
        <v>5311</v>
      </c>
      <c r="T111" s="59" t="s">
        <v>79</v>
      </c>
      <c r="U111" s="28" t="n">
        <v>269910.68</v>
      </c>
      <c r="V111" s="60" t="n">
        <v>12.952482</v>
      </c>
      <c r="W111" s="112" t="n">
        <f aca="false">U111/V111</f>
        <v>20838.5296347063</v>
      </c>
      <c r="X111" s="112" t="n">
        <v>458.7</v>
      </c>
      <c r="Y111" s="71" t="s">
        <v>3200</v>
      </c>
      <c r="Z111" s="62" t="s">
        <v>80</v>
      </c>
      <c r="AA111" s="38" t="n">
        <v>41978</v>
      </c>
      <c r="AB111" s="38" t="n">
        <v>42016</v>
      </c>
      <c r="AC111" s="38" t="n">
        <v>42020</v>
      </c>
      <c r="AD111" s="229" t="n">
        <v>43662</v>
      </c>
      <c r="AE111" s="28" t="n">
        <f aca="false">YEAR(AD111)</f>
        <v>2019</v>
      </c>
      <c r="AF111" s="2" t="s">
        <v>3207</v>
      </c>
      <c r="AG111" s="2" t="n">
        <v>223958</v>
      </c>
      <c r="AH111" s="43" t="s">
        <v>3208</v>
      </c>
    </row>
    <row r="112" s="2" customFormat="true" ht="12.75" hidden="false" customHeight="true" outlineLevel="0" collapsed="false">
      <c r="A112" s="26" t="n">
        <v>16</v>
      </c>
      <c r="B112" s="152" t="s">
        <v>3209</v>
      </c>
      <c r="C112" s="27" t="s">
        <v>3199</v>
      </c>
      <c r="D112" s="28" t="s">
        <v>73</v>
      </c>
      <c r="E112" s="43" t="n">
        <v>5.8</v>
      </c>
      <c r="F112" s="43" t="n">
        <v>1.6</v>
      </c>
      <c r="G112" s="43" t="n">
        <v>139</v>
      </c>
      <c r="H112" s="55" t="n">
        <v>2015</v>
      </c>
      <c r="I112" s="55" t="n">
        <v>1451</v>
      </c>
      <c r="J112" s="43" t="s">
        <v>74</v>
      </c>
      <c r="K112" s="30" t="s">
        <v>129</v>
      </c>
      <c r="L112" s="35"/>
      <c r="M112" s="31" t="s">
        <v>130</v>
      </c>
      <c r="N112" s="32" t="s">
        <v>131</v>
      </c>
      <c r="O112" s="28" t="s">
        <v>100</v>
      </c>
      <c r="P112" s="28" t="s">
        <v>100</v>
      </c>
      <c r="Q112" s="28" t="n">
        <v>4000</v>
      </c>
      <c r="R112" s="34" t="s">
        <v>78</v>
      </c>
      <c r="S112" s="35" t="n">
        <v>5311</v>
      </c>
      <c r="T112" s="59" t="s">
        <v>79</v>
      </c>
      <c r="U112" s="28" t="n">
        <v>326060.46</v>
      </c>
      <c r="V112" s="60" t="n">
        <v>15.646999</v>
      </c>
      <c r="W112" s="112" t="n">
        <f aca="false">U112/V112</f>
        <v>20838.5301232524</v>
      </c>
      <c r="X112" s="112" t="n">
        <v>458.7</v>
      </c>
      <c r="Y112" s="28" t="n">
        <v>2.22</v>
      </c>
      <c r="Z112" s="62" t="s">
        <v>80</v>
      </c>
      <c r="AA112" s="38" t="n">
        <v>41983</v>
      </c>
      <c r="AB112" s="38" t="n">
        <v>42070</v>
      </c>
      <c r="AC112" s="38" t="n">
        <v>42069</v>
      </c>
      <c r="AD112" s="229" t="n">
        <v>43622</v>
      </c>
      <c r="AE112" s="70" t="n">
        <f aca="false">YEAR(AD112)</f>
        <v>2019</v>
      </c>
      <c r="AF112" s="223" t="n">
        <v>43635</v>
      </c>
      <c r="AG112" s="2" t="n">
        <v>279956</v>
      </c>
      <c r="AH112" s="43" t="s">
        <v>3210</v>
      </c>
    </row>
    <row r="113" s="2" customFormat="true" ht="12.75" hidden="false" customHeight="true" outlineLevel="0" collapsed="false">
      <c r="A113" s="26" t="n">
        <v>17</v>
      </c>
      <c r="B113" s="152" t="s">
        <v>3211</v>
      </c>
      <c r="C113" s="27" t="s">
        <v>3199</v>
      </c>
      <c r="D113" s="28" t="s">
        <v>73</v>
      </c>
      <c r="E113" s="43" t="n">
        <v>5.8</v>
      </c>
      <c r="F113" s="43" t="n">
        <v>1.6</v>
      </c>
      <c r="G113" s="43" t="n">
        <v>139</v>
      </c>
      <c r="H113" s="55" t="n">
        <v>2015</v>
      </c>
      <c r="I113" s="55" t="n">
        <v>1451</v>
      </c>
      <c r="J113" s="43" t="s">
        <v>74</v>
      </c>
      <c r="K113" s="30" t="s">
        <v>3212</v>
      </c>
      <c r="L113" s="28"/>
      <c r="M113" s="31" t="s">
        <v>3213</v>
      </c>
      <c r="N113" s="32" t="s">
        <v>131</v>
      </c>
      <c r="O113" s="28" t="s">
        <v>52</v>
      </c>
      <c r="P113" s="28" t="s">
        <v>52</v>
      </c>
      <c r="Q113" s="28" t="n">
        <v>1000</v>
      </c>
      <c r="R113" s="34" t="s">
        <v>78</v>
      </c>
      <c r="S113" s="35" t="n">
        <v>5311</v>
      </c>
      <c r="T113" s="59" t="s">
        <v>79</v>
      </c>
      <c r="U113" s="28" t="n">
        <v>326060.46</v>
      </c>
      <c r="V113" s="60" t="n">
        <v>15.646999</v>
      </c>
      <c r="W113" s="112" t="n">
        <f aca="false">U113/V113</f>
        <v>20838.5301232524</v>
      </c>
      <c r="X113" s="112" t="n">
        <v>458.7</v>
      </c>
      <c r="Y113" s="70" t="n">
        <v>2.22</v>
      </c>
      <c r="Z113" s="170" t="s">
        <v>80</v>
      </c>
      <c r="AA113" s="51" t="n">
        <v>41983</v>
      </c>
      <c r="AB113" s="51" t="n">
        <v>42070</v>
      </c>
      <c r="AC113" s="38" t="n">
        <v>42069</v>
      </c>
      <c r="AD113" s="229" t="n">
        <v>43622</v>
      </c>
      <c r="AE113" s="70" t="n">
        <f aca="false">YEAR(AD113)</f>
        <v>2019</v>
      </c>
      <c r="AF113" s="223" t="n">
        <v>43626</v>
      </c>
      <c r="AG113" s="2" t="n">
        <v>254395</v>
      </c>
      <c r="AH113" s="43" t="s">
        <v>3214</v>
      </c>
    </row>
    <row r="114" s="2" customFormat="true" ht="12.75" hidden="false" customHeight="true" outlineLevel="0" collapsed="false">
      <c r="A114" s="26" t="n">
        <v>20</v>
      </c>
      <c r="B114" s="152" t="s">
        <v>3215</v>
      </c>
      <c r="C114" s="27" t="s">
        <v>86</v>
      </c>
      <c r="D114" s="28" t="s">
        <v>73</v>
      </c>
      <c r="E114" s="43" t="n">
        <v>5.8</v>
      </c>
      <c r="F114" s="43" t="n">
        <v>1.6</v>
      </c>
      <c r="G114" s="43" t="n">
        <v>139</v>
      </c>
      <c r="H114" s="55" t="n">
        <v>2015</v>
      </c>
      <c r="I114" s="55" t="n">
        <v>1451</v>
      </c>
      <c r="J114" s="67" t="s">
        <v>87</v>
      </c>
      <c r="K114" s="30" t="s">
        <v>591</v>
      </c>
      <c r="L114" s="5"/>
      <c r="M114" s="31" t="s">
        <v>592</v>
      </c>
      <c r="N114" s="32" t="s">
        <v>466</v>
      </c>
      <c r="O114" s="28" t="s">
        <v>100</v>
      </c>
      <c r="P114" s="28" t="s">
        <v>593</v>
      </c>
      <c r="Q114" s="231" t="n">
        <v>9000</v>
      </c>
      <c r="R114" s="34" t="s">
        <v>92</v>
      </c>
      <c r="S114" s="35" t="n">
        <v>4143</v>
      </c>
      <c r="T114" s="59" t="s">
        <v>79</v>
      </c>
      <c r="U114" s="28" t="n">
        <v>298556.03</v>
      </c>
      <c r="V114" s="60" t="n">
        <v>15.646999</v>
      </c>
      <c r="W114" s="112" t="n">
        <f aca="false">U114/V114</f>
        <v>19080.7214853149</v>
      </c>
      <c r="X114" s="117" t="n">
        <v>410.32</v>
      </c>
      <c r="Y114" s="28" t="n">
        <v>2.28</v>
      </c>
      <c r="Z114" s="62" t="s">
        <v>80</v>
      </c>
      <c r="AA114" s="38" t="n">
        <v>41983</v>
      </c>
      <c r="AB114" s="38" t="n">
        <v>42077</v>
      </c>
      <c r="AC114" s="38" t="n">
        <v>42093</v>
      </c>
      <c r="AD114" s="229" t="n">
        <v>43646</v>
      </c>
      <c r="AE114" s="70" t="n">
        <f aca="false">YEAR(AD114)</f>
        <v>2019</v>
      </c>
      <c r="AF114" s="50" t="n">
        <v>43621</v>
      </c>
      <c r="AG114" s="2" t="n">
        <v>166078</v>
      </c>
      <c r="AH114" s="43" t="s">
        <v>3216</v>
      </c>
    </row>
    <row r="115" s="2" customFormat="true" ht="12.75" hidden="false" customHeight="true" outlineLevel="0" collapsed="false">
      <c r="A115" s="26" t="n">
        <v>11</v>
      </c>
      <c r="B115" s="152" t="s">
        <v>3217</v>
      </c>
      <c r="C115" s="27" t="s">
        <v>86</v>
      </c>
      <c r="D115" s="28" t="s">
        <v>73</v>
      </c>
      <c r="E115" s="43" t="n">
        <v>5.8</v>
      </c>
      <c r="F115" s="43" t="n">
        <v>1.6</v>
      </c>
      <c r="G115" s="43" t="n">
        <v>139</v>
      </c>
      <c r="H115" s="43" t="n">
        <v>2015</v>
      </c>
      <c r="I115" s="55" t="n">
        <v>1451</v>
      </c>
      <c r="J115" s="67" t="s">
        <v>87</v>
      </c>
      <c r="K115" s="30" t="s">
        <v>546</v>
      </c>
      <c r="L115" s="43"/>
      <c r="M115" s="31" t="s">
        <v>547</v>
      </c>
      <c r="N115" s="32" t="s">
        <v>475</v>
      </c>
      <c r="O115" s="28" t="s">
        <v>197</v>
      </c>
      <c r="P115" s="28" t="s">
        <v>2923</v>
      </c>
      <c r="Q115" s="33" t="n">
        <v>7900</v>
      </c>
      <c r="R115" s="34" t="s">
        <v>171</v>
      </c>
      <c r="S115" s="35" t="n">
        <v>4134</v>
      </c>
      <c r="T115" s="59" t="s">
        <v>79</v>
      </c>
      <c r="U115" s="28" t="n">
        <v>238954.25</v>
      </c>
      <c r="V115" s="60" t="n">
        <v>12.952482</v>
      </c>
      <c r="W115" s="112" t="n">
        <f aca="false">U115/V115</f>
        <v>18448.5297875728</v>
      </c>
      <c r="X115" s="112" t="n">
        <v>410.3</v>
      </c>
      <c r="Y115" s="28" t="n">
        <v>2.23</v>
      </c>
      <c r="Z115" s="62" t="s">
        <v>80</v>
      </c>
      <c r="AA115" s="38" t="n">
        <v>41978</v>
      </c>
      <c r="AB115" s="38" t="n">
        <v>42025</v>
      </c>
      <c r="AC115" s="38" t="n">
        <v>42027</v>
      </c>
      <c r="AD115" s="229" t="n">
        <v>43669</v>
      </c>
      <c r="AE115" s="28" t="n">
        <f aca="false">YEAR(AD115)</f>
        <v>2019</v>
      </c>
      <c r="AF115" s="222" t="s">
        <v>3218</v>
      </c>
      <c r="AG115" s="2" t="n">
        <v>122140</v>
      </c>
      <c r="AH115" s="43" t="s">
        <v>3219</v>
      </c>
    </row>
    <row r="116" s="2" customFormat="true" ht="12.75" hidden="false" customHeight="true" outlineLevel="0" collapsed="false">
      <c r="A116" s="26" t="n">
        <v>35</v>
      </c>
      <c r="B116" s="152" t="s">
        <v>3220</v>
      </c>
      <c r="C116" s="43" t="s">
        <v>3221</v>
      </c>
      <c r="D116" s="28" t="s">
        <v>73</v>
      </c>
      <c r="E116" s="43" t="n">
        <v>6.8</v>
      </c>
      <c r="F116" s="43" t="n">
        <v>2</v>
      </c>
      <c r="G116" s="55" t="n">
        <v>158</v>
      </c>
      <c r="H116" s="43" t="n">
        <v>2015</v>
      </c>
      <c r="I116" s="55" t="n">
        <v>1451</v>
      </c>
      <c r="J116" s="43" t="s">
        <v>74</v>
      </c>
      <c r="K116" s="30" t="s">
        <v>1246</v>
      </c>
      <c r="L116" s="35"/>
      <c r="M116" s="31" t="s">
        <v>1247</v>
      </c>
      <c r="N116" s="32" t="s">
        <v>1248</v>
      </c>
      <c r="O116" s="28" t="s">
        <v>100</v>
      </c>
      <c r="P116" s="28" t="s">
        <v>100</v>
      </c>
      <c r="Q116" s="33" t="n">
        <v>1000</v>
      </c>
      <c r="R116" s="34" t="s">
        <v>395</v>
      </c>
      <c r="S116" s="35" t="n">
        <v>5411</v>
      </c>
      <c r="T116" s="59" t="s">
        <v>79</v>
      </c>
      <c r="U116" s="28" t="n">
        <v>682754.98</v>
      </c>
      <c r="V116" s="60" t="n">
        <v>24.820658</v>
      </c>
      <c r="W116" s="112" t="n">
        <f aca="false">U116/V116</f>
        <v>27507.5294136038</v>
      </c>
      <c r="X116" s="112" t="n">
        <v>597.46</v>
      </c>
      <c r="Y116" s="246" t="s">
        <v>3222</v>
      </c>
      <c r="Z116" s="170" t="s">
        <v>80</v>
      </c>
      <c r="AA116" s="51" t="n">
        <v>42067</v>
      </c>
      <c r="AB116" s="51" t="n">
        <v>42177</v>
      </c>
      <c r="AC116" s="51" t="n">
        <v>42174</v>
      </c>
      <c r="AD116" s="52" t="n">
        <v>43635</v>
      </c>
      <c r="AE116" s="28" t="n">
        <f aca="false">YEAR(AD116)</f>
        <v>2019</v>
      </c>
      <c r="AF116" s="247" t="n">
        <v>43637</v>
      </c>
      <c r="AG116" s="2" t="n">
        <v>87496</v>
      </c>
      <c r="AH116" s="81" t="s">
        <v>3223</v>
      </c>
    </row>
    <row r="117" s="2" customFormat="true" ht="12.75" hidden="false" customHeight="true" outlineLevel="0" collapsed="false">
      <c r="A117" s="26" t="n">
        <v>32</v>
      </c>
      <c r="B117" s="152" t="s">
        <v>3224</v>
      </c>
      <c r="C117" s="27" t="s">
        <v>86</v>
      </c>
      <c r="D117" s="28" t="s">
        <v>73</v>
      </c>
      <c r="E117" s="43" t="n">
        <v>5.8</v>
      </c>
      <c r="F117" s="43" t="n">
        <v>1.6</v>
      </c>
      <c r="G117" s="43" t="n">
        <v>139</v>
      </c>
      <c r="H117" s="55" t="n">
        <v>2015</v>
      </c>
      <c r="I117" s="55" t="n">
        <v>1451</v>
      </c>
      <c r="J117" s="67" t="s">
        <v>87</v>
      </c>
      <c r="K117" s="30" t="s">
        <v>3225</v>
      </c>
      <c r="L117" s="35"/>
      <c r="M117" s="31" t="s">
        <v>3226</v>
      </c>
      <c r="N117" s="32" t="s">
        <v>475</v>
      </c>
      <c r="O117" s="28" t="s">
        <v>100</v>
      </c>
      <c r="P117" s="28" t="s">
        <v>593</v>
      </c>
      <c r="Q117" s="33" t="n">
        <v>7900</v>
      </c>
      <c r="R117" s="34" t="s">
        <v>171</v>
      </c>
      <c r="S117" s="35" t="n">
        <v>4133</v>
      </c>
      <c r="T117" s="59" t="s">
        <v>79</v>
      </c>
      <c r="U117" s="28" t="n">
        <v>522980.15</v>
      </c>
      <c r="V117" s="60" t="n">
        <v>28.348066</v>
      </c>
      <c r="W117" s="112" t="n">
        <f aca="false">U117/V117</f>
        <v>18448.5301395869</v>
      </c>
      <c r="X117" s="112" t="n">
        <v>409</v>
      </c>
      <c r="Y117" s="28" t="n">
        <v>2.38</v>
      </c>
      <c r="Z117" s="62" t="s">
        <v>80</v>
      </c>
      <c r="AA117" s="38" t="n">
        <v>42058</v>
      </c>
      <c r="AB117" s="38" t="n">
        <v>42124</v>
      </c>
      <c r="AC117" s="38" t="n">
        <v>42144</v>
      </c>
      <c r="AD117" s="52" t="n">
        <v>43697</v>
      </c>
      <c r="AE117" s="28" t="n">
        <f aca="false">YEAR(AD117)</f>
        <v>2019</v>
      </c>
      <c r="AF117" s="247" t="n">
        <v>43641</v>
      </c>
      <c r="AG117" s="44" t="n">
        <v>159530</v>
      </c>
      <c r="AH117" s="81" t="s">
        <v>3227</v>
      </c>
    </row>
    <row r="118" s="2" customFormat="true" ht="12.75" hidden="false" customHeight="true" outlineLevel="0" collapsed="false">
      <c r="A118" s="26" t="n">
        <v>28</v>
      </c>
      <c r="B118" s="152" t="s">
        <v>3228</v>
      </c>
      <c r="C118" s="43" t="s">
        <v>3064</v>
      </c>
      <c r="D118" s="28" t="s">
        <v>46</v>
      </c>
      <c r="E118" s="43" t="n">
        <v>5.79</v>
      </c>
      <c r="F118" s="43" t="n">
        <v>1.2</v>
      </c>
      <c r="G118" s="43" t="n">
        <v>119</v>
      </c>
      <c r="H118" s="43" t="n">
        <v>2015</v>
      </c>
      <c r="I118" s="55" t="n">
        <v>1451</v>
      </c>
      <c r="J118" s="43" t="s">
        <v>74</v>
      </c>
      <c r="K118" s="30" t="s">
        <v>947</v>
      </c>
      <c r="L118" s="35"/>
      <c r="M118" s="31" t="s">
        <v>948</v>
      </c>
      <c r="N118" s="32" t="s">
        <v>2922</v>
      </c>
      <c r="O118" s="28" t="s">
        <v>689</v>
      </c>
      <c r="P118" s="28" t="s">
        <v>61</v>
      </c>
      <c r="Q118" s="138" t="n">
        <v>6000</v>
      </c>
      <c r="R118" s="68" t="s">
        <v>189</v>
      </c>
      <c r="S118" s="35" t="n">
        <v>4178</v>
      </c>
      <c r="T118" s="35" t="s">
        <v>172</v>
      </c>
      <c r="U118" s="28" t="n">
        <v>475604.17</v>
      </c>
      <c r="V118" s="60" t="n">
        <v>27.859494</v>
      </c>
      <c r="W118" s="112" t="n">
        <f aca="false">U118/V118</f>
        <v>17071.5293680495</v>
      </c>
      <c r="X118" s="112" t="n">
        <v>389.65</v>
      </c>
      <c r="Y118" s="28" t="n">
        <v>2.37</v>
      </c>
      <c r="Z118" s="62" t="s">
        <v>80</v>
      </c>
      <c r="AA118" s="38" t="n">
        <v>42055</v>
      </c>
      <c r="AB118" s="38" t="n">
        <v>42135</v>
      </c>
      <c r="AC118" s="38" t="n">
        <v>42132</v>
      </c>
      <c r="AD118" s="52" t="n">
        <v>43593</v>
      </c>
      <c r="AE118" s="70" t="n">
        <f aca="false">YEAR(AD118)</f>
        <v>2019</v>
      </c>
      <c r="AF118" s="223" t="n">
        <v>43619</v>
      </c>
      <c r="AG118" s="44" t="n">
        <v>122216</v>
      </c>
      <c r="AH118" s="245" t="s">
        <v>3229</v>
      </c>
    </row>
    <row r="119" s="2" customFormat="true" ht="12.75" hidden="false" customHeight="true" outlineLevel="0" collapsed="false">
      <c r="A119" s="26" t="n">
        <v>29</v>
      </c>
      <c r="B119" s="152" t="s">
        <v>3230</v>
      </c>
      <c r="C119" s="43" t="s">
        <v>3064</v>
      </c>
      <c r="D119" s="28" t="s">
        <v>46</v>
      </c>
      <c r="E119" s="43" t="n">
        <v>5.79</v>
      </c>
      <c r="F119" s="43" t="n">
        <v>1.2</v>
      </c>
      <c r="G119" s="43" t="n">
        <v>119</v>
      </c>
      <c r="H119" s="43" t="n">
        <v>2015</v>
      </c>
      <c r="I119" s="55" t="n">
        <v>1451</v>
      </c>
      <c r="J119" s="43" t="s">
        <v>74</v>
      </c>
      <c r="K119" s="30" t="s">
        <v>967</v>
      </c>
      <c r="L119" s="35"/>
      <c r="M119" s="31" t="s">
        <v>968</v>
      </c>
      <c r="N119" s="32" t="s">
        <v>1090</v>
      </c>
      <c r="O119" s="28" t="s">
        <v>281</v>
      </c>
      <c r="P119" s="235" t="s">
        <v>2896</v>
      </c>
      <c r="Q119" s="33" t="n">
        <v>7060</v>
      </c>
      <c r="R119" s="34" t="s">
        <v>171</v>
      </c>
      <c r="S119" s="35" t="n">
        <v>4136</v>
      </c>
      <c r="T119" s="35" t="s">
        <v>172</v>
      </c>
      <c r="U119" s="28" t="n">
        <v>475604.17</v>
      </c>
      <c r="V119" s="60" t="n">
        <v>27.859494</v>
      </c>
      <c r="W119" s="112" t="n">
        <f aca="false">U119/V119</f>
        <v>17071.5293680495</v>
      </c>
      <c r="X119" s="112" t="n">
        <v>389.65</v>
      </c>
      <c r="Y119" s="28" t="n">
        <v>2.37</v>
      </c>
      <c r="Z119" s="62" t="s">
        <v>80</v>
      </c>
      <c r="AA119" s="38" t="n">
        <v>42055</v>
      </c>
      <c r="AB119" s="38" t="n">
        <v>42135</v>
      </c>
      <c r="AC119" s="38" t="n">
        <v>42132</v>
      </c>
      <c r="AD119" s="52" t="n">
        <v>43593</v>
      </c>
      <c r="AE119" s="70" t="n">
        <f aca="false">YEAR(AD119)</f>
        <v>2019</v>
      </c>
      <c r="AF119" s="223" t="n">
        <v>43619</v>
      </c>
      <c r="AG119" s="44" t="n">
        <v>143517</v>
      </c>
      <c r="AH119" s="81" t="s">
        <v>3231</v>
      </c>
    </row>
    <row r="120" s="2" customFormat="true" ht="12.75" hidden="false" customHeight="true" outlineLevel="0" collapsed="false">
      <c r="A120" s="26" t="n">
        <v>30</v>
      </c>
      <c r="B120" s="152" t="s">
        <v>3232</v>
      </c>
      <c r="C120" s="43" t="s">
        <v>3064</v>
      </c>
      <c r="D120" s="28" t="s">
        <v>46</v>
      </c>
      <c r="E120" s="43" t="n">
        <v>5.79</v>
      </c>
      <c r="F120" s="43" t="n">
        <v>1.2</v>
      </c>
      <c r="G120" s="43" t="n">
        <v>119</v>
      </c>
      <c r="H120" s="43" t="n">
        <v>2015</v>
      </c>
      <c r="I120" s="55" t="n">
        <v>1451</v>
      </c>
      <c r="J120" s="43" t="s">
        <v>74</v>
      </c>
      <c r="K120" s="30" t="s">
        <v>926</v>
      </c>
      <c r="L120" s="35"/>
      <c r="M120" s="31" t="s">
        <v>927</v>
      </c>
      <c r="N120" s="32" t="s">
        <v>1090</v>
      </c>
      <c r="O120" s="28" t="s">
        <v>928</v>
      </c>
      <c r="P120" s="28" t="s">
        <v>2903</v>
      </c>
      <c r="Q120" s="33" t="n">
        <v>7072</v>
      </c>
      <c r="R120" s="34" t="s">
        <v>171</v>
      </c>
      <c r="S120" s="35" t="s">
        <v>2904</v>
      </c>
      <c r="T120" s="35" t="s">
        <v>172</v>
      </c>
      <c r="U120" s="28" t="n">
        <v>475604.17</v>
      </c>
      <c r="V120" s="60" t="n">
        <v>27.859494</v>
      </c>
      <c r="W120" s="112" t="n">
        <f aca="false">U120/V120</f>
        <v>17071.5293680495</v>
      </c>
      <c r="X120" s="112" t="n">
        <v>389.65</v>
      </c>
      <c r="Y120" s="28" t="n">
        <v>2.37</v>
      </c>
      <c r="Z120" s="62" t="s">
        <v>80</v>
      </c>
      <c r="AA120" s="38" t="n">
        <v>42055</v>
      </c>
      <c r="AB120" s="38" t="n">
        <v>42135</v>
      </c>
      <c r="AC120" s="38" t="n">
        <v>42132</v>
      </c>
      <c r="AD120" s="52" t="n">
        <v>43593</v>
      </c>
      <c r="AE120" s="70" t="n">
        <f aca="false">YEAR(AD120)</f>
        <v>2019</v>
      </c>
      <c r="AF120" s="223" t="n">
        <v>43619</v>
      </c>
      <c r="AG120" s="44" t="n">
        <v>116664</v>
      </c>
      <c r="AH120" s="245" t="s">
        <v>3233</v>
      </c>
    </row>
    <row r="121" s="2" customFormat="true" ht="12.75" hidden="false" customHeight="true" outlineLevel="0" collapsed="false">
      <c r="A121" s="26" t="n">
        <v>31</v>
      </c>
      <c r="B121" s="152" t="s">
        <v>3234</v>
      </c>
      <c r="C121" s="43" t="s">
        <v>3064</v>
      </c>
      <c r="D121" s="28" t="s">
        <v>46</v>
      </c>
      <c r="E121" s="43" t="n">
        <v>5.79</v>
      </c>
      <c r="F121" s="43" t="n">
        <v>1.2</v>
      </c>
      <c r="G121" s="43" t="n">
        <v>119</v>
      </c>
      <c r="H121" s="43" t="n">
        <v>2015</v>
      </c>
      <c r="I121" s="55" t="n">
        <v>1451</v>
      </c>
      <c r="J121" s="43" t="s">
        <v>74</v>
      </c>
      <c r="K121" s="30" t="s">
        <v>889</v>
      </c>
      <c r="L121" s="35"/>
      <c r="M121" s="31" t="s">
        <v>890</v>
      </c>
      <c r="N121" s="32" t="s">
        <v>1090</v>
      </c>
      <c r="O121" s="28" t="s">
        <v>891</v>
      </c>
      <c r="P121" s="235" t="s">
        <v>2896</v>
      </c>
      <c r="Q121" s="33" t="n">
        <v>7061</v>
      </c>
      <c r="R121" s="34" t="s">
        <v>171</v>
      </c>
      <c r="S121" s="35" t="n">
        <v>4136</v>
      </c>
      <c r="T121" s="35" t="s">
        <v>172</v>
      </c>
      <c r="U121" s="28" t="n">
        <v>475604.17</v>
      </c>
      <c r="V121" s="60" t="n">
        <v>27.859494</v>
      </c>
      <c r="W121" s="112" t="n">
        <f aca="false">U121/V121</f>
        <v>17071.5293680495</v>
      </c>
      <c r="X121" s="112" t="n">
        <v>389.65</v>
      </c>
      <c r="Y121" s="28" t="n">
        <v>2.37</v>
      </c>
      <c r="Z121" s="62" t="s">
        <v>80</v>
      </c>
      <c r="AA121" s="38" t="n">
        <v>42055</v>
      </c>
      <c r="AB121" s="38" t="n">
        <v>42135</v>
      </c>
      <c r="AC121" s="38" t="n">
        <v>42132</v>
      </c>
      <c r="AD121" s="52" t="n">
        <v>43593</v>
      </c>
      <c r="AE121" s="70" t="n">
        <f aca="false">YEAR(AD121)</f>
        <v>2019</v>
      </c>
      <c r="AF121" s="223" t="n">
        <v>43619</v>
      </c>
      <c r="AG121" s="44" t="n">
        <v>127035</v>
      </c>
      <c r="AH121" s="81" t="s">
        <v>3235</v>
      </c>
    </row>
    <row r="122" s="2" customFormat="true" ht="12.75" hidden="false" customHeight="true" outlineLevel="0" collapsed="false">
      <c r="A122" s="26" t="n">
        <v>25</v>
      </c>
      <c r="B122" s="152" t="s">
        <v>3236</v>
      </c>
      <c r="C122" s="43" t="s">
        <v>3064</v>
      </c>
      <c r="D122" s="28" t="s">
        <v>46</v>
      </c>
      <c r="E122" s="43" t="n">
        <v>5.79</v>
      </c>
      <c r="F122" s="43" t="n">
        <v>1.2</v>
      </c>
      <c r="G122" s="43" t="n">
        <v>119</v>
      </c>
      <c r="H122" s="43" t="n">
        <v>2015</v>
      </c>
      <c r="I122" s="55" t="n">
        <v>1451</v>
      </c>
      <c r="J122" s="43" t="s">
        <v>74</v>
      </c>
      <c r="K122" s="30" t="s">
        <v>882</v>
      </c>
      <c r="L122" s="35"/>
      <c r="M122" s="31" t="s">
        <v>883</v>
      </c>
      <c r="N122" s="32" t="s">
        <v>1090</v>
      </c>
      <c r="O122" s="28" t="s">
        <v>831</v>
      </c>
      <c r="P122" s="28" t="s">
        <v>2923</v>
      </c>
      <c r="Q122" s="33" t="n">
        <v>7043</v>
      </c>
      <c r="R122" s="34" t="s">
        <v>171</v>
      </c>
      <c r="S122" s="35" t="n">
        <v>4134</v>
      </c>
      <c r="T122" s="35" t="s">
        <v>172</v>
      </c>
      <c r="U122" s="28" t="n">
        <v>475604.17</v>
      </c>
      <c r="V122" s="60" t="n">
        <v>27.859494</v>
      </c>
      <c r="W122" s="112" t="n">
        <f aca="false">U122/V122</f>
        <v>17071.5293680495</v>
      </c>
      <c r="X122" s="112" t="n">
        <v>389.63</v>
      </c>
      <c r="Y122" s="70" t="n">
        <v>2.36</v>
      </c>
      <c r="Z122" s="170" t="s">
        <v>80</v>
      </c>
      <c r="AA122" s="51" t="n">
        <v>42055</v>
      </c>
      <c r="AB122" s="51" t="n">
        <v>42117</v>
      </c>
      <c r="AC122" s="51" t="n">
        <v>42117</v>
      </c>
      <c r="AD122" s="52" t="n">
        <v>43669</v>
      </c>
      <c r="AE122" s="70" t="n">
        <f aca="false">YEAR(AD122)</f>
        <v>2019</v>
      </c>
      <c r="AF122" s="50" t="n">
        <v>43621</v>
      </c>
      <c r="AG122" s="44" t="n">
        <v>120156</v>
      </c>
      <c r="AH122" s="245" t="s">
        <v>3237</v>
      </c>
    </row>
    <row r="123" s="2" customFormat="true" ht="12.75" hidden="false" customHeight="true" outlineLevel="0" collapsed="false">
      <c r="A123" s="26" t="n">
        <v>26</v>
      </c>
      <c r="B123" s="152" t="s">
        <v>3238</v>
      </c>
      <c r="C123" s="43" t="s">
        <v>3064</v>
      </c>
      <c r="D123" s="28" t="s">
        <v>46</v>
      </c>
      <c r="E123" s="43" t="n">
        <v>5.79</v>
      </c>
      <c r="F123" s="43" t="n">
        <v>1.2</v>
      </c>
      <c r="G123" s="43" t="n">
        <v>119</v>
      </c>
      <c r="H123" s="43" t="n">
        <v>2015</v>
      </c>
      <c r="I123" s="55" t="n">
        <v>1451</v>
      </c>
      <c r="J123" s="43" t="s">
        <v>74</v>
      </c>
      <c r="K123" s="30" t="s">
        <v>3239</v>
      </c>
      <c r="L123" s="35"/>
      <c r="M123" s="31" t="s">
        <v>3240</v>
      </c>
      <c r="N123" s="32" t="s">
        <v>1090</v>
      </c>
      <c r="O123" s="28" t="s">
        <v>3241</v>
      </c>
      <c r="P123" s="28" t="s">
        <v>2923</v>
      </c>
      <c r="Q123" s="33" t="n">
        <v>7042</v>
      </c>
      <c r="R123" s="34" t="s">
        <v>92</v>
      </c>
      <c r="S123" s="35" t="n">
        <v>4134</v>
      </c>
      <c r="T123" s="35" t="s">
        <v>172</v>
      </c>
      <c r="U123" s="28" t="n">
        <v>475604.17</v>
      </c>
      <c r="V123" s="60" t="n">
        <v>27.859494</v>
      </c>
      <c r="W123" s="112" t="n">
        <f aca="false">U123/V123</f>
        <v>17071.5293680495</v>
      </c>
      <c r="X123" s="112" t="n">
        <v>389.63</v>
      </c>
      <c r="Y123" s="70" t="n">
        <v>2.36</v>
      </c>
      <c r="Z123" s="170" t="s">
        <v>80</v>
      </c>
      <c r="AA123" s="51" t="n">
        <v>42055</v>
      </c>
      <c r="AB123" s="51" t="n">
        <v>42117</v>
      </c>
      <c r="AC123" s="51" t="n">
        <v>42117</v>
      </c>
      <c r="AD123" s="52" t="n">
        <v>43669</v>
      </c>
      <c r="AE123" s="70" t="n">
        <f aca="false">YEAR(AD123)</f>
        <v>2019</v>
      </c>
      <c r="AF123" s="50" t="n">
        <v>43620</v>
      </c>
      <c r="AG123" s="44" t="n">
        <v>129502</v>
      </c>
      <c r="AH123" s="43" t="s">
        <v>3242</v>
      </c>
    </row>
    <row r="124" s="2" customFormat="true" ht="12.75" hidden="false" customHeight="true" outlineLevel="0" collapsed="false">
      <c r="A124" s="26" t="n">
        <v>24</v>
      </c>
      <c r="B124" s="152" t="s">
        <v>3243</v>
      </c>
      <c r="C124" s="43" t="s">
        <v>3064</v>
      </c>
      <c r="D124" s="28" t="s">
        <v>46</v>
      </c>
      <c r="E124" s="43" t="n">
        <v>5.79</v>
      </c>
      <c r="F124" s="43" t="n">
        <v>1.2</v>
      </c>
      <c r="G124" s="43" t="n">
        <v>119</v>
      </c>
      <c r="H124" s="43" t="n">
        <v>2015</v>
      </c>
      <c r="I124" s="55" t="n">
        <v>1451</v>
      </c>
      <c r="J124" s="43" t="s">
        <v>74</v>
      </c>
      <c r="K124" s="30" t="s">
        <v>3244</v>
      </c>
      <c r="L124" s="35"/>
      <c r="M124" s="31" t="s">
        <v>3245</v>
      </c>
      <c r="N124" s="32" t="s">
        <v>1090</v>
      </c>
      <c r="O124" s="28" t="s">
        <v>606</v>
      </c>
      <c r="P124" s="28" t="s">
        <v>593</v>
      </c>
      <c r="Q124" s="33" t="n">
        <v>7030</v>
      </c>
      <c r="R124" s="34" t="s">
        <v>171</v>
      </c>
      <c r="S124" s="35" t="n">
        <v>4133</v>
      </c>
      <c r="T124" s="35" t="s">
        <v>172</v>
      </c>
      <c r="U124" s="28" t="n">
        <v>475604.17</v>
      </c>
      <c r="V124" s="60" t="n">
        <v>27.859494</v>
      </c>
      <c r="W124" s="112" t="n">
        <f aca="false">U124/V124</f>
        <v>17071.5293680495</v>
      </c>
      <c r="X124" s="112" t="n">
        <v>389.63</v>
      </c>
      <c r="Y124" s="70" t="n">
        <v>2.36</v>
      </c>
      <c r="Z124" s="170" t="s">
        <v>80</v>
      </c>
      <c r="AA124" s="51" t="n">
        <v>42055</v>
      </c>
      <c r="AB124" s="51" t="n">
        <v>42117</v>
      </c>
      <c r="AC124" s="51" t="n">
        <v>42117</v>
      </c>
      <c r="AD124" s="52" t="n">
        <v>43669</v>
      </c>
      <c r="AE124" s="70" t="n">
        <f aca="false">YEAR(AD124)</f>
        <v>2019</v>
      </c>
      <c r="AF124" s="50" t="n">
        <v>43620</v>
      </c>
      <c r="AG124" s="44" t="n">
        <v>135234</v>
      </c>
      <c r="AH124" s="43" t="s">
        <v>3246</v>
      </c>
    </row>
    <row r="125" s="2" customFormat="true" ht="12.75" hidden="false" customHeight="true" outlineLevel="0" collapsed="false">
      <c r="A125" s="26" t="n">
        <v>19</v>
      </c>
      <c r="B125" s="152" t="s">
        <v>3247</v>
      </c>
      <c r="C125" s="27" t="s">
        <v>86</v>
      </c>
      <c r="D125" s="28" t="s">
        <v>73</v>
      </c>
      <c r="E125" s="43" t="n">
        <v>5.8</v>
      </c>
      <c r="F125" s="43" t="n">
        <v>1.6</v>
      </c>
      <c r="G125" s="43" t="n">
        <v>139</v>
      </c>
      <c r="H125" s="55" t="n">
        <v>2015</v>
      </c>
      <c r="I125" s="55" t="n">
        <v>1451</v>
      </c>
      <c r="J125" s="67" t="s">
        <v>87</v>
      </c>
      <c r="K125" s="30" t="s">
        <v>585</v>
      </c>
      <c r="L125" s="5"/>
      <c r="M125" s="31" t="s">
        <v>586</v>
      </c>
      <c r="N125" s="32" t="s">
        <v>466</v>
      </c>
      <c r="O125" s="28" t="s">
        <v>100</v>
      </c>
      <c r="P125" s="28" t="s">
        <v>593</v>
      </c>
      <c r="Q125" s="33" t="n">
        <v>7900</v>
      </c>
      <c r="R125" s="34" t="s">
        <v>92</v>
      </c>
      <c r="S125" s="35" t="n">
        <v>4143</v>
      </c>
      <c r="T125" s="59" t="s">
        <v>79</v>
      </c>
      <c r="U125" s="28" t="n">
        <v>298554.03</v>
      </c>
      <c r="V125" s="60" t="n">
        <v>15.646999</v>
      </c>
      <c r="W125" s="112" t="n">
        <f aca="false">U125/V125</f>
        <v>19080.5936652773</v>
      </c>
      <c r="X125" s="117" t="n">
        <v>410.32</v>
      </c>
      <c r="Y125" s="28" t="n">
        <v>2.28</v>
      </c>
      <c r="Z125" s="62" t="s">
        <v>80</v>
      </c>
      <c r="AA125" s="38" t="n">
        <v>41983</v>
      </c>
      <c r="AB125" s="38" t="n">
        <v>42077</v>
      </c>
      <c r="AC125" s="38" t="n">
        <v>42093</v>
      </c>
      <c r="AD125" s="229" t="n">
        <v>43646</v>
      </c>
      <c r="AE125" s="70" t="n">
        <f aca="false">YEAR(AD125)</f>
        <v>2019</v>
      </c>
      <c r="AF125" s="50" t="n">
        <v>43676</v>
      </c>
      <c r="AG125" s="43" t="n">
        <v>157530</v>
      </c>
      <c r="AH125" s="43" t="s">
        <v>3248</v>
      </c>
    </row>
    <row r="126" s="2" customFormat="true" ht="12.75" hidden="false" customHeight="true" outlineLevel="0" collapsed="false">
      <c r="A126" s="26" t="n">
        <v>18</v>
      </c>
      <c r="B126" s="152" t="s">
        <v>3249</v>
      </c>
      <c r="C126" s="27" t="s">
        <v>86</v>
      </c>
      <c r="D126" s="28" t="s">
        <v>73</v>
      </c>
      <c r="E126" s="43" t="n">
        <v>5.8</v>
      </c>
      <c r="F126" s="43" t="n">
        <v>1.6</v>
      </c>
      <c r="G126" s="43" t="n">
        <v>139</v>
      </c>
      <c r="H126" s="55" t="n">
        <v>2015</v>
      </c>
      <c r="I126" s="55" t="n">
        <v>1451</v>
      </c>
      <c r="J126" s="67" t="s">
        <v>87</v>
      </c>
      <c r="K126" s="30" t="s">
        <v>579</v>
      </c>
      <c r="L126" s="5"/>
      <c r="M126" s="31" t="s">
        <v>580</v>
      </c>
      <c r="N126" s="32" t="s">
        <v>90</v>
      </c>
      <c r="O126" s="28" t="s">
        <v>100</v>
      </c>
      <c r="P126" s="28" t="s">
        <v>593</v>
      </c>
      <c r="Q126" s="231" t="n">
        <v>7900</v>
      </c>
      <c r="R126" s="34" t="s">
        <v>92</v>
      </c>
      <c r="S126" s="35" t="n">
        <v>4143</v>
      </c>
      <c r="T126" s="59" t="s">
        <v>79</v>
      </c>
      <c r="U126" s="28" t="n">
        <v>298553.03</v>
      </c>
      <c r="V126" s="60" t="n">
        <v>15.646999</v>
      </c>
      <c r="W126" s="112" t="n">
        <f aca="false">U126/V126</f>
        <v>19080.5297552585</v>
      </c>
      <c r="X126" s="117" t="n">
        <v>410.32</v>
      </c>
      <c r="Y126" s="28" t="n">
        <v>2.28</v>
      </c>
      <c r="Z126" s="62" t="s">
        <v>80</v>
      </c>
      <c r="AA126" s="38" t="n">
        <v>41983</v>
      </c>
      <c r="AB126" s="38" t="n">
        <v>42077</v>
      </c>
      <c r="AC126" s="38" t="n">
        <v>42093</v>
      </c>
      <c r="AD126" s="229" t="n">
        <v>43646</v>
      </c>
      <c r="AE126" s="70" t="n">
        <f aca="false">YEAR(AD126)</f>
        <v>2019</v>
      </c>
      <c r="AF126" s="43" t="s">
        <v>3250</v>
      </c>
      <c r="AG126" s="239" t="n">
        <v>178604</v>
      </c>
      <c r="AH126" s="43" t="s">
        <v>3251</v>
      </c>
    </row>
    <row r="127" s="2" customFormat="true" ht="12.75" hidden="false" customHeight="true" outlineLevel="0" collapsed="false">
      <c r="A127" s="26" t="n">
        <v>21</v>
      </c>
      <c r="B127" s="227" t="s">
        <v>3252</v>
      </c>
      <c r="C127" s="220" t="s">
        <v>86</v>
      </c>
      <c r="D127" s="70" t="s">
        <v>73</v>
      </c>
      <c r="E127" s="55" t="n">
        <v>5.8</v>
      </c>
      <c r="F127" s="55" t="n">
        <v>1.6</v>
      </c>
      <c r="G127" s="43" t="n">
        <v>139</v>
      </c>
      <c r="H127" s="55" t="n">
        <v>2015</v>
      </c>
      <c r="I127" s="55" t="n">
        <v>1451</v>
      </c>
      <c r="J127" s="248" t="s">
        <v>87</v>
      </c>
      <c r="K127" s="30" t="s">
        <v>598</v>
      </c>
      <c r="L127" s="5"/>
      <c r="M127" s="31" t="s">
        <v>599</v>
      </c>
      <c r="N127" s="32" t="s">
        <v>466</v>
      </c>
      <c r="O127" s="70" t="s">
        <v>100</v>
      </c>
      <c r="P127" s="28" t="s">
        <v>593</v>
      </c>
      <c r="Q127" s="249" t="n">
        <v>7900</v>
      </c>
      <c r="R127" s="77" t="s">
        <v>92</v>
      </c>
      <c r="S127" s="59" t="n">
        <v>4143</v>
      </c>
      <c r="T127" s="59" t="s">
        <v>79</v>
      </c>
      <c r="U127" s="28" t="n">
        <v>298557.03</v>
      </c>
      <c r="V127" s="167" t="n">
        <v>15.646999</v>
      </c>
      <c r="W127" s="206" t="n">
        <f aca="false">U127/V127</f>
        <v>19080.7853953336</v>
      </c>
      <c r="X127" s="250" t="n">
        <v>410.32</v>
      </c>
      <c r="Y127" s="70" t="n">
        <v>2.28</v>
      </c>
      <c r="Z127" s="170" t="s">
        <v>80</v>
      </c>
      <c r="AA127" s="51" t="n">
        <v>41983</v>
      </c>
      <c r="AB127" s="51" t="n">
        <v>42077</v>
      </c>
      <c r="AC127" s="38" t="n">
        <v>42093</v>
      </c>
      <c r="AD127" s="229" t="n">
        <v>43646</v>
      </c>
      <c r="AE127" s="70" t="n">
        <f aca="false">YEAR(AD127)</f>
        <v>2019</v>
      </c>
      <c r="AF127" s="50" t="n">
        <v>43623</v>
      </c>
      <c r="AG127" s="239" t="n">
        <v>165432</v>
      </c>
      <c r="AH127" s="43" t="s">
        <v>3253</v>
      </c>
    </row>
    <row r="128" s="2" customFormat="true" ht="12.75" hidden="false" customHeight="true" outlineLevel="0" collapsed="false">
      <c r="A128" s="26" t="n">
        <v>15</v>
      </c>
      <c r="B128" s="152" t="s">
        <v>3254</v>
      </c>
      <c r="C128" s="27" t="s">
        <v>86</v>
      </c>
      <c r="D128" s="28" t="s">
        <v>73</v>
      </c>
      <c r="E128" s="43" t="n">
        <v>5.8</v>
      </c>
      <c r="F128" s="43" t="n">
        <v>1.6</v>
      </c>
      <c r="G128" s="43" t="n">
        <v>139</v>
      </c>
      <c r="H128" s="43" t="n">
        <v>2015</v>
      </c>
      <c r="I128" s="55" t="n">
        <v>1451</v>
      </c>
      <c r="J128" s="67" t="s">
        <v>87</v>
      </c>
      <c r="K128" s="30" t="s">
        <v>573</v>
      </c>
      <c r="L128" s="43"/>
      <c r="M128" s="31" t="s">
        <v>574</v>
      </c>
      <c r="N128" s="32" t="s">
        <v>475</v>
      </c>
      <c r="O128" s="28" t="s">
        <v>100</v>
      </c>
      <c r="P128" s="28" t="s">
        <v>593</v>
      </c>
      <c r="Q128" s="33" t="n">
        <v>7900</v>
      </c>
      <c r="R128" s="68" t="s">
        <v>171</v>
      </c>
      <c r="S128" s="35" t="n">
        <v>4133</v>
      </c>
      <c r="T128" s="59" t="s">
        <v>79</v>
      </c>
      <c r="U128" s="28" t="n">
        <v>238954.25</v>
      </c>
      <c r="V128" s="60" t="n">
        <v>12.952482</v>
      </c>
      <c r="W128" s="112" t="n">
        <f aca="false">U128/V128</f>
        <v>18448.5297875728</v>
      </c>
      <c r="X128" s="112" t="n">
        <v>410.3</v>
      </c>
      <c r="Y128" s="28" t="n">
        <v>2.25</v>
      </c>
      <c r="Z128" s="62" t="s">
        <v>80</v>
      </c>
      <c r="AA128" s="38" t="n">
        <v>41978</v>
      </c>
      <c r="AB128" s="38" t="n">
        <v>42053</v>
      </c>
      <c r="AC128" s="38" t="n">
        <v>42061</v>
      </c>
      <c r="AD128" s="229" t="n">
        <v>43702</v>
      </c>
      <c r="AE128" s="28" t="n">
        <f aca="false">YEAR(AD128)</f>
        <v>2019</v>
      </c>
      <c r="AF128" s="50" t="n">
        <v>43641</v>
      </c>
      <c r="AG128" s="239" t="n">
        <v>169144</v>
      </c>
      <c r="AH128" s="43" t="s">
        <v>3255</v>
      </c>
    </row>
    <row r="129" s="2" customFormat="true" ht="12.75" hidden="false" customHeight="true" outlineLevel="0" collapsed="false">
      <c r="A129" s="26" t="n">
        <v>12</v>
      </c>
      <c r="B129" s="152" t="s">
        <v>3256</v>
      </c>
      <c r="C129" s="27" t="s">
        <v>86</v>
      </c>
      <c r="D129" s="28" t="s">
        <v>73</v>
      </c>
      <c r="E129" s="43" t="n">
        <v>5.8</v>
      </c>
      <c r="F129" s="43" t="n">
        <v>1.6</v>
      </c>
      <c r="G129" s="43" t="n">
        <v>139</v>
      </c>
      <c r="H129" s="43" t="n">
        <v>2015</v>
      </c>
      <c r="I129" s="55" t="n">
        <v>1451</v>
      </c>
      <c r="J129" s="67" t="s">
        <v>87</v>
      </c>
      <c r="K129" s="30" t="s">
        <v>553</v>
      </c>
      <c r="L129" s="43"/>
      <c r="M129" s="31" t="s">
        <v>554</v>
      </c>
      <c r="N129" s="32" t="s">
        <v>466</v>
      </c>
      <c r="O129" s="28" t="s">
        <v>100</v>
      </c>
      <c r="P129" s="28" t="s">
        <v>593</v>
      </c>
      <c r="Q129" s="33" t="n">
        <v>7900</v>
      </c>
      <c r="R129" s="34" t="s">
        <v>92</v>
      </c>
      <c r="S129" s="35" t="n">
        <v>4143</v>
      </c>
      <c r="T129" s="59" t="s">
        <v>79</v>
      </c>
      <c r="U129" s="28" t="n">
        <v>238954.25</v>
      </c>
      <c r="V129" s="60" t="n">
        <v>12.952482</v>
      </c>
      <c r="W129" s="112" t="n">
        <f aca="false">U129/V129</f>
        <v>18448.5297875728</v>
      </c>
      <c r="X129" s="112" t="n">
        <v>410.3</v>
      </c>
      <c r="Y129" s="28" t="n">
        <v>2.23</v>
      </c>
      <c r="Z129" s="62" t="s">
        <v>80</v>
      </c>
      <c r="AA129" s="38" t="n">
        <v>41978</v>
      </c>
      <c r="AB129" s="38" t="n">
        <v>42025</v>
      </c>
      <c r="AC129" s="38" t="n">
        <v>42027</v>
      </c>
      <c r="AD129" s="229" t="n">
        <v>43669</v>
      </c>
      <c r="AE129" s="28" t="n">
        <f aca="false">YEAR(AD129)</f>
        <v>2019</v>
      </c>
      <c r="AF129" s="247" t="n">
        <v>43643</v>
      </c>
      <c r="AG129" s="251" t="n">
        <v>173907</v>
      </c>
      <c r="AH129" s="43" t="s">
        <v>3257</v>
      </c>
    </row>
    <row r="130" s="2" customFormat="true" ht="12.75" hidden="false" customHeight="true" outlineLevel="0" collapsed="false">
      <c r="A130" s="26" t="n">
        <v>13</v>
      </c>
      <c r="B130" s="252" t="s">
        <v>3258</v>
      </c>
      <c r="C130" s="27" t="s">
        <v>86</v>
      </c>
      <c r="D130" s="28" t="s">
        <v>73</v>
      </c>
      <c r="E130" s="43" t="n">
        <v>5.8</v>
      </c>
      <c r="F130" s="43" t="n">
        <v>1.6</v>
      </c>
      <c r="G130" s="43" t="n">
        <v>139</v>
      </c>
      <c r="H130" s="43" t="n">
        <v>2015</v>
      </c>
      <c r="I130" s="55" t="n">
        <v>1451</v>
      </c>
      <c r="J130" s="67" t="s">
        <v>87</v>
      </c>
      <c r="K130" s="30" t="s">
        <v>559</v>
      </c>
      <c r="L130" s="43"/>
      <c r="M130" s="31" t="s">
        <v>560</v>
      </c>
      <c r="N130" s="32" t="s">
        <v>466</v>
      </c>
      <c r="O130" s="28" t="s">
        <v>52</v>
      </c>
      <c r="P130" s="28" t="s">
        <v>52</v>
      </c>
      <c r="Q130" s="33" t="n">
        <v>7900</v>
      </c>
      <c r="R130" s="34" t="s">
        <v>92</v>
      </c>
      <c r="S130" s="35" t="n">
        <v>4141</v>
      </c>
      <c r="T130" s="59" t="s">
        <v>79</v>
      </c>
      <c r="U130" s="28" t="n">
        <v>238954.25</v>
      </c>
      <c r="V130" s="60" t="n">
        <v>12.952482</v>
      </c>
      <c r="W130" s="112" t="n">
        <f aca="false">U130/V130</f>
        <v>18448.5297875728</v>
      </c>
      <c r="X130" s="112" t="n">
        <v>410.3</v>
      </c>
      <c r="Y130" s="28" t="n">
        <v>2.23</v>
      </c>
      <c r="Z130" s="62" t="s">
        <v>80</v>
      </c>
      <c r="AA130" s="38" t="n">
        <v>41978</v>
      </c>
      <c r="AB130" s="38" t="n">
        <v>42025</v>
      </c>
      <c r="AC130" s="38" t="n">
        <v>42027</v>
      </c>
      <c r="AD130" s="229" t="n">
        <v>43669</v>
      </c>
      <c r="AE130" s="28" t="n">
        <f aca="false">YEAR(AD130)</f>
        <v>2019</v>
      </c>
      <c r="AF130" s="247" t="n">
        <v>43643</v>
      </c>
      <c r="AG130" s="251" t="n">
        <v>173907</v>
      </c>
      <c r="AH130" s="43" t="s">
        <v>3259</v>
      </c>
    </row>
    <row r="131" s="2" customFormat="true" ht="12.75" hidden="false" customHeight="true" outlineLevel="0" collapsed="false">
      <c r="A131" s="26" t="n">
        <v>14</v>
      </c>
      <c r="B131" s="152" t="s">
        <v>3260</v>
      </c>
      <c r="C131" s="27" t="s">
        <v>86</v>
      </c>
      <c r="D131" s="28" t="s">
        <v>73</v>
      </c>
      <c r="E131" s="43" t="n">
        <v>5.8</v>
      </c>
      <c r="F131" s="43" t="n">
        <v>1.6</v>
      </c>
      <c r="G131" s="43" t="n">
        <v>139</v>
      </c>
      <c r="H131" s="43" t="n">
        <v>2015</v>
      </c>
      <c r="I131" s="55" t="n">
        <v>1451</v>
      </c>
      <c r="J131" s="67" t="s">
        <v>87</v>
      </c>
      <c r="K131" s="30" t="s">
        <v>567</v>
      </c>
      <c r="L131" s="43"/>
      <c r="M131" s="31" t="s">
        <v>568</v>
      </c>
      <c r="N131" s="32" t="s">
        <v>466</v>
      </c>
      <c r="O131" s="28" t="s">
        <v>100</v>
      </c>
      <c r="P131" s="28" t="s">
        <v>593</v>
      </c>
      <c r="Q131" s="33" t="n">
        <v>7900</v>
      </c>
      <c r="R131" s="34" t="s">
        <v>92</v>
      </c>
      <c r="S131" s="35" t="n">
        <v>4143</v>
      </c>
      <c r="T131" s="59" t="s">
        <v>79</v>
      </c>
      <c r="U131" s="28" t="n">
        <v>238954.25</v>
      </c>
      <c r="V131" s="60" t="n">
        <v>12.952482</v>
      </c>
      <c r="W131" s="112" t="n">
        <f aca="false">U131/V131</f>
        <v>18448.5297875728</v>
      </c>
      <c r="X131" s="112" t="n">
        <v>410.3</v>
      </c>
      <c r="Y131" s="28" t="n">
        <v>2.23</v>
      </c>
      <c r="Z131" s="62" t="s">
        <v>80</v>
      </c>
      <c r="AA131" s="38" t="n">
        <v>41978</v>
      </c>
      <c r="AB131" s="38" t="n">
        <v>42025</v>
      </c>
      <c r="AC131" s="38" t="n">
        <v>42027</v>
      </c>
      <c r="AD131" s="229" t="n">
        <v>43669</v>
      </c>
      <c r="AE131" s="28" t="n">
        <f aca="false">YEAR(AD131)</f>
        <v>2019</v>
      </c>
      <c r="AF131" s="247" t="n">
        <v>43641</v>
      </c>
      <c r="AG131" s="253" t="n">
        <v>177687</v>
      </c>
      <c r="AH131" s="43" t="s">
        <v>3261</v>
      </c>
    </row>
    <row r="132" s="2" customFormat="true" ht="12.75" hidden="false" customHeight="true" outlineLevel="0" collapsed="false">
      <c r="A132" s="26" t="n">
        <v>10</v>
      </c>
      <c r="B132" s="152" t="s">
        <v>3262</v>
      </c>
      <c r="C132" s="27" t="s">
        <v>86</v>
      </c>
      <c r="D132" s="28" t="s">
        <v>73</v>
      </c>
      <c r="E132" s="43" t="n">
        <v>5.8</v>
      </c>
      <c r="F132" s="43" t="n">
        <v>1.6</v>
      </c>
      <c r="G132" s="43" t="n">
        <v>139</v>
      </c>
      <c r="H132" s="43" t="n">
        <v>2015</v>
      </c>
      <c r="I132" s="55" t="n">
        <v>1451</v>
      </c>
      <c r="J132" s="67" t="s">
        <v>87</v>
      </c>
      <c r="K132" s="254" t="s">
        <v>539</v>
      </c>
      <c r="L132" s="43"/>
      <c r="M132" s="31" t="s">
        <v>540</v>
      </c>
      <c r="N132" s="32" t="s">
        <v>466</v>
      </c>
      <c r="O132" s="28" t="s">
        <v>52</v>
      </c>
      <c r="P132" s="28" t="s">
        <v>52</v>
      </c>
      <c r="Q132" s="33" t="n">
        <v>1000</v>
      </c>
      <c r="R132" s="34" t="s">
        <v>92</v>
      </c>
      <c r="S132" s="35" t="n">
        <v>4141</v>
      </c>
      <c r="T132" s="59" t="s">
        <v>79</v>
      </c>
      <c r="U132" s="28" t="n">
        <v>238954.25</v>
      </c>
      <c r="V132" s="60" t="n">
        <v>12.952482</v>
      </c>
      <c r="W132" s="112" t="n">
        <f aca="false">U132/V132</f>
        <v>18448.5297875728</v>
      </c>
      <c r="X132" s="112" t="n">
        <v>410.3</v>
      </c>
      <c r="Y132" s="28" t="n">
        <v>2.23</v>
      </c>
      <c r="Z132" s="62" t="s">
        <v>80</v>
      </c>
      <c r="AA132" s="38" t="n">
        <v>41978</v>
      </c>
      <c r="AB132" s="38" t="n">
        <v>42025</v>
      </c>
      <c r="AC132" s="38" t="n">
        <v>42027</v>
      </c>
      <c r="AD132" s="229" t="n">
        <v>43669</v>
      </c>
      <c r="AE132" s="28" t="n">
        <f aca="false">YEAR(AD132)</f>
        <v>2019</v>
      </c>
      <c r="AF132" s="247" t="n">
        <v>43637</v>
      </c>
      <c r="AG132" s="253" t="n">
        <v>150588</v>
      </c>
      <c r="AH132" s="43" t="s">
        <v>3263</v>
      </c>
    </row>
    <row r="133" s="2" customFormat="true" ht="12.75" hidden="false" customHeight="true" outlineLevel="0" collapsed="false">
      <c r="A133" s="26" t="n">
        <v>27</v>
      </c>
      <c r="B133" s="152" t="s">
        <v>3264</v>
      </c>
      <c r="C133" s="43" t="s">
        <v>3064</v>
      </c>
      <c r="D133" s="28" t="s">
        <v>46</v>
      </c>
      <c r="E133" s="43" t="n">
        <v>5.79</v>
      </c>
      <c r="F133" s="43" t="n">
        <v>1.2</v>
      </c>
      <c r="G133" s="43" t="n">
        <v>119</v>
      </c>
      <c r="H133" s="43" t="n">
        <v>2015</v>
      </c>
      <c r="I133" s="55" t="n">
        <v>1451</v>
      </c>
      <c r="J133" s="43" t="s">
        <v>74</v>
      </c>
      <c r="K133" s="30" t="s">
        <v>3265</v>
      </c>
      <c r="L133" s="35"/>
      <c r="M133" s="31" t="s">
        <v>3266</v>
      </c>
      <c r="N133" s="32" t="s">
        <v>1090</v>
      </c>
      <c r="O133" s="28" t="s">
        <v>313</v>
      </c>
      <c r="P133" s="28" t="s">
        <v>2903</v>
      </c>
      <c r="Q133" s="231" t="n">
        <v>7071</v>
      </c>
      <c r="R133" s="68" t="s">
        <v>171</v>
      </c>
      <c r="S133" s="35" t="s">
        <v>2904</v>
      </c>
      <c r="T133" s="35" t="s">
        <v>172</v>
      </c>
      <c r="U133" s="28" t="n">
        <v>475604.17</v>
      </c>
      <c r="V133" s="60" t="n">
        <v>27.859494</v>
      </c>
      <c r="W133" s="112" t="n">
        <f aca="false">U133/V133</f>
        <v>17071.5293680495</v>
      </c>
      <c r="X133" s="112" t="n">
        <v>389.65</v>
      </c>
      <c r="Y133" s="28" t="n">
        <v>2.37</v>
      </c>
      <c r="Z133" s="62" t="s">
        <v>80</v>
      </c>
      <c r="AA133" s="38" t="n">
        <v>42055</v>
      </c>
      <c r="AB133" s="38" t="n">
        <v>42135</v>
      </c>
      <c r="AC133" s="38" t="n">
        <v>42132</v>
      </c>
      <c r="AD133" s="52" t="n">
        <v>43593</v>
      </c>
      <c r="AE133" s="70" t="n">
        <f aca="false">YEAR(AD133)</f>
        <v>2019</v>
      </c>
      <c r="AF133" s="50" t="n">
        <v>43620</v>
      </c>
      <c r="AG133" s="44" t="n">
        <v>116028</v>
      </c>
      <c r="AH133" s="245" t="s">
        <v>3267</v>
      </c>
    </row>
    <row r="134" s="2" customFormat="true" ht="12.75" hidden="false" customHeight="true" outlineLevel="0" collapsed="false">
      <c r="A134" s="26" t="n">
        <v>6</v>
      </c>
      <c r="B134" s="152" t="s">
        <v>3268</v>
      </c>
      <c r="C134" s="157" t="s">
        <v>3143</v>
      </c>
      <c r="D134" s="28" t="s">
        <v>73</v>
      </c>
      <c r="E134" s="43" t="n">
        <v>12.5</v>
      </c>
      <c r="F134" s="43" t="n">
        <v>3</v>
      </c>
      <c r="G134" s="43" t="n">
        <v>193</v>
      </c>
      <c r="H134" s="43" t="n">
        <v>2014</v>
      </c>
      <c r="I134" s="55" t="n">
        <v>1451</v>
      </c>
      <c r="J134" s="43" t="s">
        <v>74</v>
      </c>
      <c r="K134" s="30" t="s">
        <v>3269</v>
      </c>
      <c r="L134" s="35"/>
      <c r="M134" s="31" t="s">
        <v>3270</v>
      </c>
      <c r="N134" s="32" t="s">
        <v>3271</v>
      </c>
      <c r="O134" s="28" t="s">
        <v>100</v>
      </c>
      <c r="P134" s="28" t="s">
        <v>2890</v>
      </c>
      <c r="Q134" s="28" t="n">
        <v>1000</v>
      </c>
      <c r="R134" s="255" t="s">
        <v>3272</v>
      </c>
      <c r="S134" s="35" t="n">
        <v>5490</v>
      </c>
      <c r="T134" s="59" t="s">
        <v>493</v>
      </c>
      <c r="U134" s="28" t="n">
        <v>740277.48</v>
      </c>
      <c r="V134" s="60" t="n">
        <v>12.952482</v>
      </c>
      <c r="W134" s="112" t="n">
        <f aca="false">U134/V134</f>
        <v>57153.3301493876</v>
      </c>
      <c r="X134" s="112" t="n">
        <v>1233</v>
      </c>
      <c r="Y134" s="146" t="n">
        <v>2.17</v>
      </c>
      <c r="Z134" s="62" t="s">
        <v>80</v>
      </c>
      <c r="AA134" s="38" t="n">
        <v>41978</v>
      </c>
      <c r="AB134" s="38" t="n">
        <v>41973</v>
      </c>
      <c r="AC134" s="38" t="n">
        <v>41997</v>
      </c>
      <c r="AD134" s="50" t="n">
        <v>43640</v>
      </c>
      <c r="AE134" s="28" t="n">
        <f aca="false">YEAR(AD134)</f>
        <v>2019</v>
      </c>
      <c r="AF134" s="50" t="n">
        <v>43609</v>
      </c>
      <c r="AG134" s="44" t="n">
        <v>54959</v>
      </c>
      <c r="AH134" s="43" t="s">
        <v>3273</v>
      </c>
    </row>
    <row r="135" s="2" customFormat="true" ht="12.75" hidden="false" customHeight="true" outlineLevel="0" collapsed="false">
      <c r="A135" s="26" t="n">
        <v>10</v>
      </c>
      <c r="B135" s="227" t="s">
        <v>3274</v>
      </c>
      <c r="C135" s="55" t="s">
        <v>3221</v>
      </c>
      <c r="D135" s="70" t="s">
        <v>73</v>
      </c>
      <c r="E135" s="55" t="n">
        <v>6.8</v>
      </c>
      <c r="F135" s="55" t="n">
        <v>2</v>
      </c>
      <c r="G135" s="55" t="n">
        <v>158</v>
      </c>
      <c r="H135" s="55" t="n">
        <v>2015</v>
      </c>
      <c r="I135" s="55" t="n">
        <v>1451</v>
      </c>
      <c r="J135" s="55" t="s">
        <v>74</v>
      </c>
      <c r="K135" s="30" t="s">
        <v>531</v>
      </c>
      <c r="L135" s="59"/>
      <c r="M135" s="31" t="s">
        <v>532</v>
      </c>
      <c r="N135" s="32" t="s">
        <v>2944</v>
      </c>
      <c r="O135" s="70" t="s">
        <v>100</v>
      </c>
      <c r="P135" s="70" t="s">
        <v>100</v>
      </c>
      <c r="Q135" s="70" t="n">
        <v>1000</v>
      </c>
      <c r="R135" s="77" t="s">
        <v>395</v>
      </c>
      <c r="S135" s="59" t="n">
        <v>5411</v>
      </c>
      <c r="T135" s="59" t="s">
        <v>79</v>
      </c>
      <c r="U135" s="28" t="n">
        <v>413855.77</v>
      </c>
      <c r="V135" s="167" t="n">
        <v>15.646999</v>
      </c>
      <c r="W135" s="206" t="n">
        <f aca="false">U135/V135</f>
        <v>26449.5300344814</v>
      </c>
      <c r="X135" s="206" t="n">
        <v>563.99</v>
      </c>
      <c r="Y135" s="70" t="n">
        <v>2.31</v>
      </c>
      <c r="Z135" s="170" t="s">
        <v>80</v>
      </c>
      <c r="AA135" s="51" t="n">
        <v>41983</v>
      </c>
      <c r="AB135" s="51" t="n">
        <v>42104</v>
      </c>
      <c r="AC135" s="38" t="n">
        <v>42103</v>
      </c>
      <c r="AD135" s="229" t="n">
        <v>43655</v>
      </c>
      <c r="AE135" s="70" t="n">
        <f aca="false">YEAR(AD135)</f>
        <v>2019</v>
      </c>
      <c r="AF135" s="223" t="n">
        <v>43664</v>
      </c>
      <c r="AG135" s="44" t="n">
        <v>110621</v>
      </c>
      <c r="AH135" s="43" t="s">
        <v>3275</v>
      </c>
    </row>
    <row r="136" s="2" customFormat="true" ht="12.75" hidden="false" customHeight="true" outlineLevel="0" collapsed="false">
      <c r="A136" s="26" t="n">
        <v>11</v>
      </c>
      <c r="B136" s="152" t="s">
        <v>3276</v>
      </c>
      <c r="C136" s="27" t="s">
        <v>3277</v>
      </c>
      <c r="D136" s="28" t="s">
        <v>46</v>
      </c>
      <c r="E136" s="43" t="n">
        <v>7</v>
      </c>
      <c r="F136" s="43" t="n">
        <v>1.4</v>
      </c>
      <c r="G136" s="55" t="n">
        <v>123</v>
      </c>
      <c r="H136" s="55" t="n">
        <v>2015</v>
      </c>
      <c r="I136" s="55" t="n">
        <v>1451</v>
      </c>
      <c r="J136" s="43" t="s">
        <v>74</v>
      </c>
      <c r="K136" s="30" t="s">
        <v>506</v>
      </c>
      <c r="L136" s="35"/>
      <c r="M136" s="31" t="s">
        <v>507</v>
      </c>
      <c r="N136" s="32" t="s">
        <v>508</v>
      </c>
      <c r="O136" s="28" t="s">
        <v>100</v>
      </c>
      <c r="P136" s="28" t="s">
        <v>2890</v>
      </c>
      <c r="Q136" s="28" t="n">
        <v>1000</v>
      </c>
      <c r="R136" s="34" t="s">
        <v>457</v>
      </c>
      <c r="S136" s="35" t="n">
        <v>5220</v>
      </c>
      <c r="T136" s="35" t="s">
        <v>102</v>
      </c>
      <c r="U136" s="28" t="n">
        <v>666994.83</v>
      </c>
      <c r="V136" s="60" t="n">
        <v>26.358713</v>
      </c>
      <c r="W136" s="112" t="n">
        <f aca="false">U136/V136</f>
        <v>25304.5294738025</v>
      </c>
      <c r="X136" s="112" t="n">
        <v>522.92</v>
      </c>
      <c r="Y136" s="28" t="n">
        <v>2.34</v>
      </c>
      <c r="Z136" s="62" t="s">
        <v>80</v>
      </c>
      <c r="AA136" s="38" t="n">
        <v>42052</v>
      </c>
      <c r="AB136" s="38" t="n">
        <v>42118</v>
      </c>
      <c r="AC136" s="38" t="n">
        <v>42121</v>
      </c>
      <c r="AD136" s="229" t="n">
        <v>43673</v>
      </c>
      <c r="AE136" s="70" t="n">
        <f aca="false">YEAR(AD136)</f>
        <v>2019</v>
      </c>
      <c r="AF136" s="223" t="n">
        <v>43664</v>
      </c>
      <c r="AG136" s="44" t="n">
        <v>62433</v>
      </c>
      <c r="AH136" s="43" t="s">
        <v>3278</v>
      </c>
    </row>
    <row r="137" s="2" customFormat="true" ht="12.75" hidden="false" customHeight="true" outlineLevel="0" collapsed="false">
      <c r="A137" s="26" t="n">
        <v>13</v>
      </c>
      <c r="B137" s="152" t="s">
        <v>3279</v>
      </c>
      <c r="C137" s="27" t="s">
        <v>86</v>
      </c>
      <c r="D137" s="28" t="s">
        <v>73</v>
      </c>
      <c r="E137" s="43" t="n">
        <v>5.8</v>
      </c>
      <c r="F137" s="43" t="n">
        <v>1.6</v>
      </c>
      <c r="G137" s="43" t="n">
        <v>139</v>
      </c>
      <c r="H137" s="43" t="n">
        <v>2015</v>
      </c>
      <c r="I137" s="55" t="n">
        <v>1451</v>
      </c>
      <c r="J137" s="67" t="s">
        <v>87</v>
      </c>
      <c r="K137" s="30" t="s">
        <v>611</v>
      </c>
      <c r="L137" s="35"/>
      <c r="M137" s="31" t="s">
        <v>612</v>
      </c>
      <c r="N137" s="32" t="s">
        <v>289</v>
      </c>
      <c r="O137" s="28" t="s">
        <v>100</v>
      </c>
      <c r="P137" s="28" t="s">
        <v>593</v>
      </c>
      <c r="Q137" s="33" t="n">
        <v>4000</v>
      </c>
      <c r="R137" s="34" t="s">
        <v>92</v>
      </c>
      <c r="S137" s="35" t="n">
        <v>4143</v>
      </c>
      <c r="T137" s="35" t="s">
        <v>172</v>
      </c>
      <c r="U137" s="28" t="n">
        <v>473591.3</v>
      </c>
      <c r="V137" s="60" t="n">
        <v>24.820658</v>
      </c>
      <c r="W137" s="112" t="n">
        <f aca="false">U137/V137</f>
        <v>19080.5296136791</v>
      </c>
      <c r="X137" s="112" t="n">
        <v>426.15</v>
      </c>
      <c r="Y137" s="28" t="n">
        <v>2.18</v>
      </c>
      <c r="Z137" s="62" t="s">
        <v>80</v>
      </c>
      <c r="AA137" s="38" t="n">
        <v>42067</v>
      </c>
      <c r="AB137" s="38" t="n">
        <v>42216</v>
      </c>
      <c r="AC137" s="38" t="n">
        <v>42214</v>
      </c>
      <c r="AD137" s="52" t="n">
        <v>43675</v>
      </c>
      <c r="AE137" s="28" t="n">
        <f aca="false">YEAR(AD137)</f>
        <v>2019</v>
      </c>
      <c r="AF137" s="50" t="n">
        <v>43671</v>
      </c>
      <c r="AG137" s="44" t="n">
        <v>149947</v>
      </c>
      <c r="AH137" s="43" t="s">
        <v>3280</v>
      </c>
    </row>
    <row r="138" s="2" customFormat="true" ht="12.75" hidden="false" customHeight="true" outlineLevel="0" collapsed="false">
      <c r="A138" s="26" t="n">
        <v>45</v>
      </c>
      <c r="B138" s="152" t="s">
        <v>3281</v>
      </c>
      <c r="C138" s="43" t="s">
        <v>3064</v>
      </c>
      <c r="D138" s="28" t="s">
        <v>46</v>
      </c>
      <c r="E138" s="43" t="n">
        <v>5.79</v>
      </c>
      <c r="F138" s="43" t="n">
        <v>1.2</v>
      </c>
      <c r="G138" s="43" t="n">
        <v>119</v>
      </c>
      <c r="H138" s="43" t="n">
        <v>2015</v>
      </c>
      <c r="I138" s="55" t="n">
        <v>1451</v>
      </c>
      <c r="J138" s="43" t="s">
        <v>74</v>
      </c>
      <c r="K138" s="30" t="s">
        <v>1108</v>
      </c>
      <c r="L138" s="28"/>
      <c r="M138" s="31" t="s">
        <v>1109</v>
      </c>
      <c r="N138" s="32" t="s">
        <v>1090</v>
      </c>
      <c r="O138" s="28" t="s">
        <v>1003</v>
      </c>
      <c r="P138" s="28" t="s">
        <v>52</v>
      </c>
      <c r="Q138" s="28" t="n">
        <v>7014</v>
      </c>
      <c r="R138" s="34" t="s">
        <v>171</v>
      </c>
      <c r="S138" s="35" t="n">
        <v>4131</v>
      </c>
      <c r="T138" s="35" t="s">
        <v>172</v>
      </c>
      <c r="U138" s="28" t="n">
        <v>423726.59</v>
      </c>
      <c r="V138" s="60" t="n">
        <v>24.820658</v>
      </c>
      <c r="W138" s="112" t="n">
        <f aca="false">U138/V138</f>
        <v>17071.5292882243</v>
      </c>
      <c r="X138" s="112" t="n">
        <v>401.43</v>
      </c>
      <c r="Y138" s="28" t="n">
        <v>2.41</v>
      </c>
      <c r="Z138" s="62" t="s">
        <v>80</v>
      </c>
      <c r="AA138" s="38" t="n">
        <v>42067</v>
      </c>
      <c r="AB138" s="38" t="n">
        <v>42214</v>
      </c>
      <c r="AC138" s="38" t="n">
        <v>42209</v>
      </c>
      <c r="AD138" s="38" t="n">
        <v>43670</v>
      </c>
      <c r="AE138" s="28" t="n">
        <f aca="false">YEAR(AD138)</f>
        <v>2019</v>
      </c>
      <c r="AF138" s="50" t="n">
        <v>43671</v>
      </c>
      <c r="AG138" s="44" t="n">
        <v>133279</v>
      </c>
      <c r="AH138" s="43" t="s">
        <v>3282</v>
      </c>
    </row>
    <row r="139" s="2" customFormat="true" ht="12.75" hidden="false" customHeight="true" outlineLevel="0" collapsed="false">
      <c r="A139" s="26" t="n">
        <v>46</v>
      </c>
      <c r="B139" s="152" t="s">
        <v>3283</v>
      </c>
      <c r="C139" s="43" t="s">
        <v>3064</v>
      </c>
      <c r="D139" s="28" t="s">
        <v>46</v>
      </c>
      <c r="E139" s="43" t="n">
        <v>5.79</v>
      </c>
      <c r="F139" s="43" t="n">
        <v>1.2</v>
      </c>
      <c r="G139" s="43" t="n">
        <v>119</v>
      </c>
      <c r="H139" s="43" t="n">
        <v>2015</v>
      </c>
      <c r="I139" s="55" t="n">
        <v>1451</v>
      </c>
      <c r="J139" s="43" t="s">
        <v>74</v>
      </c>
      <c r="K139" s="30" t="s">
        <v>1063</v>
      </c>
      <c r="L139" s="28"/>
      <c r="M139" s="31" t="s">
        <v>1064</v>
      </c>
      <c r="N139" s="32" t="s">
        <v>2922</v>
      </c>
      <c r="O139" s="57" t="s">
        <v>218</v>
      </c>
      <c r="P139" s="28" t="s">
        <v>52</v>
      </c>
      <c r="Q139" s="28" t="n">
        <v>1200</v>
      </c>
      <c r="R139" s="34" t="s">
        <v>189</v>
      </c>
      <c r="S139" s="35" t="n">
        <v>4171</v>
      </c>
      <c r="T139" s="35" t="s">
        <v>172</v>
      </c>
      <c r="U139" s="28" t="n">
        <v>423726.59</v>
      </c>
      <c r="V139" s="60" t="n">
        <v>24.820658</v>
      </c>
      <c r="W139" s="112" t="n">
        <f aca="false">U139/V139</f>
        <v>17071.5292882243</v>
      </c>
      <c r="X139" s="112" t="n">
        <v>401.43</v>
      </c>
      <c r="Y139" s="28" t="n">
        <v>2.41</v>
      </c>
      <c r="Z139" s="62" t="s">
        <v>80</v>
      </c>
      <c r="AA139" s="38" t="n">
        <v>42067</v>
      </c>
      <c r="AB139" s="38" t="n">
        <v>42214</v>
      </c>
      <c r="AC139" s="38" t="n">
        <v>42209</v>
      </c>
      <c r="AD139" s="38" t="n">
        <v>43670</v>
      </c>
      <c r="AE139" s="28" t="n">
        <f aca="false">YEAR(AD139)</f>
        <v>2019</v>
      </c>
      <c r="AF139" s="50" t="n">
        <v>43672</v>
      </c>
      <c r="AG139" s="43" t="n">
        <v>117974</v>
      </c>
      <c r="AH139" s="43" t="s">
        <v>3284</v>
      </c>
    </row>
    <row r="140" s="2" customFormat="true" ht="12.75" hidden="false" customHeight="true" outlineLevel="0" collapsed="false">
      <c r="A140" s="26" t="n">
        <v>47</v>
      </c>
      <c r="B140" s="152" t="s">
        <v>3285</v>
      </c>
      <c r="C140" s="43" t="s">
        <v>3064</v>
      </c>
      <c r="D140" s="28" t="s">
        <v>46</v>
      </c>
      <c r="E140" s="43" t="n">
        <v>5.79</v>
      </c>
      <c r="F140" s="43" t="n">
        <v>1.2</v>
      </c>
      <c r="G140" s="43" t="n">
        <v>119</v>
      </c>
      <c r="H140" s="43" t="n">
        <v>2015</v>
      </c>
      <c r="I140" s="55" t="n">
        <v>1451</v>
      </c>
      <c r="J140" s="43" t="s">
        <v>74</v>
      </c>
      <c r="K140" s="30" t="s">
        <v>1162</v>
      </c>
      <c r="L140" s="28"/>
      <c r="M140" s="31" t="s">
        <v>1163</v>
      </c>
      <c r="N140" s="32" t="s">
        <v>1090</v>
      </c>
      <c r="O140" s="28" t="s">
        <v>52</v>
      </c>
      <c r="P140" s="28" t="s">
        <v>52</v>
      </c>
      <c r="Q140" s="28" t="n">
        <v>7015</v>
      </c>
      <c r="R140" s="34" t="s">
        <v>171</v>
      </c>
      <c r="S140" s="35" t="n">
        <v>4131</v>
      </c>
      <c r="T140" s="35" t="s">
        <v>172</v>
      </c>
      <c r="U140" s="28" t="n">
        <v>423726.59</v>
      </c>
      <c r="V140" s="60" t="n">
        <v>24.820658</v>
      </c>
      <c r="W140" s="112" t="n">
        <f aca="false">U140/V140</f>
        <v>17071.5292882243</v>
      </c>
      <c r="X140" s="112" t="n">
        <v>401.43</v>
      </c>
      <c r="Y140" s="28" t="n">
        <v>2.41</v>
      </c>
      <c r="Z140" s="62" t="s">
        <v>80</v>
      </c>
      <c r="AA140" s="38" t="n">
        <v>42067</v>
      </c>
      <c r="AB140" s="38" t="n">
        <v>42214</v>
      </c>
      <c r="AC140" s="38" t="n">
        <v>42209</v>
      </c>
      <c r="AD140" s="38" t="n">
        <v>43670</v>
      </c>
      <c r="AE140" s="28" t="n">
        <f aca="false">YEAR(AD140)</f>
        <v>2019</v>
      </c>
      <c r="AF140" s="50" t="n">
        <v>43678</v>
      </c>
      <c r="AG140" s="239" t="n">
        <v>126995</v>
      </c>
      <c r="AH140" s="81" t="s">
        <v>3286</v>
      </c>
    </row>
    <row r="141" s="2" customFormat="true" ht="12.75" hidden="false" customHeight="true" outlineLevel="0" collapsed="false">
      <c r="A141" s="26" t="n">
        <v>48</v>
      </c>
      <c r="B141" s="152" t="s">
        <v>3287</v>
      </c>
      <c r="C141" s="43" t="s">
        <v>3064</v>
      </c>
      <c r="D141" s="28" t="s">
        <v>46</v>
      </c>
      <c r="E141" s="43" t="n">
        <v>5.79</v>
      </c>
      <c r="F141" s="43" t="n">
        <v>1.2</v>
      </c>
      <c r="G141" s="43" t="n">
        <v>119</v>
      </c>
      <c r="H141" s="43" t="n">
        <v>2015</v>
      </c>
      <c r="I141" s="55" t="n">
        <v>1451</v>
      </c>
      <c r="J141" s="43" t="s">
        <v>74</v>
      </c>
      <c r="K141" s="30" t="s">
        <v>1035</v>
      </c>
      <c r="L141" s="28"/>
      <c r="M141" s="31" t="s">
        <v>1036</v>
      </c>
      <c r="N141" s="32" t="s">
        <v>1090</v>
      </c>
      <c r="O141" s="28" t="s">
        <v>52</v>
      </c>
      <c r="P141" s="28" t="s">
        <v>52</v>
      </c>
      <c r="Q141" s="28" t="n">
        <v>7015</v>
      </c>
      <c r="R141" s="34" t="s">
        <v>171</v>
      </c>
      <c r="S141" s="35" t="n">
        <v>4131</v>
      </c>
      <c r="T141" s="35" t="s">
        <v>172</v>
      </c>
      <c r="U141" s="28" t="n">
        <v>423726.59</v>
      </c>
      <c r="V141" s="60" t="n">
        <v>24.820658</v>
      </c>
      <c r="W141" s="112" t="n">
        <f aca="false">U141/V141</f>
        <v>17071.5292882243</v>
      </c>
      <c r="X141" s="112" t="n">
        <v>401.43</v>
      </c>
      <c r="Y141" s="28" t="n">
        <v>2.41</v>
      </c>
      <c r="Z141" s="62" t="s">
        <v>80</v>
      </c>
      <c r="AA141" s="38" t="n">
        <v>42067</v>
      </c>
      <c r="AB141" s="38" t="n">
        <v>42214</v>
      </c>
      <c r="AC141" s="38" t="n">
        <v>42209</v>
      </c>
      <c r="AD141" s="38" t="n">
        <v>43670</v>
      </c>
      <c r="AE141" s="28" t="n">
        <f aca="false">YEAR(AD141)</f>
        <v>2019</v>
      </c>
      <c r="AF141" s="50" t="n">
        <v>43675</v>
      </c>
      <c r="AG141" s="43" t="n">
        <v>105862</v>
      </c>
      <c r="AH141" s="81" t="s">
        <v>3288</v>
      </c>
    </row>
    <row r="142" s="2" customFormat="true" ht="12.75" hidden="false" customHeight="true" outlineLevel="0" collapsed="false">
      <c r="A142" s="26" t="n">
        <v>49</v>
      </c>
      <c r="B142" s="152" t="s">
        <v>3289</v>
      </c>
      <c r="C142" s="43" t="s">
        <v>3064</v>
      </c>
      <c r="D142" s="28" t="s">
        <v>46</v>
      </c>
      <c r="E142" s="43" t="n">
        <v>5.79</v>
      </c>
      <c r="F142" s="43" t="n">
        <v>1.2</v>
      </c>
      <c r="G142" s="43" t="n">
        <v>119</v>
      </c>
      <c r="H142" s="43" t="n">
        <v>2015</v>
      </c>
      <c r="I142" s="55" t="n">
        <v>1451</v>
      </c>
      <c r="J142" s="43" t="s">
        <v>74</v>
      </c>
      <c r="K142" s="30" t="s">
        <v>1223</v>
      </c>
      <c r="L142" s="28"/>
      <c r="M142" s="31" t="s">
        <v>1224</v>
      </c>
      <c r="N142" s="32" t="s">
        <v>1090</v>
      </c>
      <c r="O142" s="57" t="s">
        <v>218</v>
      </c>
      <c r="P142" s="28" t="s">
        <v>52</v>
      </c>
      <c r="Q142" s="28" t="n">
        <v>7010</v>
      </c>
      <c r="R142" s="34" t="s">
        <v>171</v>
      </c>
      <c r="S142" s="35" t="n">
        <v>4131</v>
      </c>
      <c r="T142" s="35" t="s">
        <v>172</v>
      </c>
      <c r="U142" s="28" t="n">
        <v>423726.59</v>
      </c>
      <c r="V142" s="60" t="n">
        <v>24.820658</v>
      </c>
      <c r="W142" s="112" t="n">
        <f aca="false">U142/V142</f>
        <v>17071.5292882243</v>
      </c>
      <c r="X142" s="112" t="n">
        <v>401.43</v>
      </c>
      <c r="Y142" s="28" t="n">
        <v>2.41</v>
      </c>
      <c r="Z142" s="62" t="s">
        <v>80</v>
      </c>
      <c r="AA142" s="38" t="n">
        <v>42067</v>
      </c>
      <c r="AB142" s="38" t="n">
        <v>42214</v>
      </c>
      <c r="AC142" s="38" t="n">
        <v>42209</v>
      </c>
      <c r="AD142" s="38" t="n">
        <v>43670</v>
      </c>
      <c r="AE142" s="28" t="n">
        <f aca="false">YEAR(AD142)</f>
        <v>2019</v>
      </c>
      <c r="AF142" s="50" t="n">
        <v>43670</v>
      </c>
      <c r="AG142" s="44" t="n">
        <v>141140</v>
      </c>
      <c r="AH142" s="81" t="s">
        <v>3290</v>
      </c>
    </row>
    <row r="143" s="2" customFormat="true" ht="12.75" hidden="false" customHeight="true" outlineLevel="0" collapsed="false">
      <c r="A143" s="26" t="n">
        <v>51</v>
      </c>
      <c r="B143" s="152" t="s">
        <v>3291</v>
      </c>
      <c r="C143" s="43" t="s">
        <v>3064</v>
      </c>
      <c r="D143" s="28" t="s">
        <v>46</v>
      </c>
      <c r="E143" s="43" t="n">
        <v>5.79</v>
      </c>
      <c r="F143" s="43" t="n">
        <v>1.2</v>
      </c>
      <c r="G143" s="43" t="n">
        <v>119</v>
      </c>
      <c r="H143" s="43" t="n">
        <v>2015</v>
      </c>
      <c r="I143" s="55" t="n">
        <v>1451</v>
      </c>
      <c r="J143" s="43" t="s">
        <v>74</v>
      </c>
      <c r="K143" s="30" t="s">
        <v>1182</v>
      </c>
      <c r="L143" s="28"/>
      <c r="M143" s="31" t="s">
        <v>1183</v>
      </c>
      <c r="N143" s="32" t="s">
        <v>1090</v>
      </c>
      <c r="O143" s="28" t="s">
        <v>1184</v>
      </c>
      <c r="P143" s="28" t="s">
        <v>52</v>
      </c>
      <c r="Q143" s="28" t="n">
        <v>7014</v>
      </c>
      <c r="R143" s="34" t="s">
        <v>171</v>
      </c>
      <c r="S143" s="35" t="n">
        <v>4131</v>
      </c>
      <c r="T143" s="35" t="s">
        <v>172</v>
      </c>
      <c r="U143" s="28" t="n">
        <v>423726.59</v>
      </c>
      <c r="V143" s="60" t="n">
        <v>24.820658</v>
      </c>
      <c r="W143" s="112" t="n">
        <f aca="false">U143/V143</f>
        <v>17071.5292882243</v>
      </c>
      <c r="X143" s="112" t="n">
        <v>401.43</v>
      </c>
      <c r="Y143" s="28" t="n">
        <v>2.41</v>
      </c>
      <c r="Z143" s="62" t="s">
        <v>80</v>
      </c>
      <c r="AA143" s="38" t="n">
        <v>42067</v>
      </c>
      <c r="AB143" s="38" t="n">
        <v>42214</v>
      </c>
      <c r="AC143" s="38" t="n">
        <v>42209</v>
      </c>
      <c r="AD143" s="38" t="n">
        <v>43670</v>
      </c>
      <c r="AE143" s="28" t="n">
        <f aca="false">YEAR(AD143)</f>
        <v>2019</v>
      </c>
      <c r="AF143" s="50" t="n">
        <v>43676</v>
      </c>
      <c r="AG143" s="43" t="n">
        <v>154156</v>
      </c>
      <c r="AH143" s="81" t="s">
        <v>3292</v>
      </c>
    </row>
    <row r="144" s="2" customFormat="true" ht="12.75" hidden="false" customHeight="true" outlineLevel="0" collapsed="false">
      <c r="A144" s="26" t="n">
        <v>52</v>
      </c>
      <c r="B144" s="152" t="s">
        <v>3293</v>
      </c>
      <c r="C144" s="67" t="s">
        <v>3064</v>
      </c>
      <c r="D144" s="28" t="s">
        <v>46</v>
      </c>
      <c r="E144" s="43" t="n">
        <v>5.79</v>
      </c>
      <c r="F144" s="43" t="n">
        <v>1.2</v>
      </c>
      <c r="G144" s="43" t="n">
        <v>119</v>
      </c>
      <c r="H144" s="43" t="n">
        <v>2015</v>
      </c>
      <c r="I144" s="55" t="n">
        <v>1451</v>
      </c>
      <c r="J144" s="67" t="s">
        <v>74</v>
      </c>
      <c r="K144" s="30" t="s">
        <v>3294</v>
      </c>
      <c r="L144" s="28"/>
      <c r="M144" s="31" t="s">
        <v>3295</v>
      </c>
      <c r="N144" s="32" t="s">
        <v>289</v>
      </c>
      <c r="O144" s="28" t="s">
        <v>899</v>
      </c>
      <c r="P144" s="28" t="s">
        <v>52</v>
      </c>
      <c r="Q144" s="28" t="n">
        <v>1200</v>
      </c>
      <c r="R144" s="34" t="s">
        <v>92</v>
      </c>
      <c r="S144" s="35" t="n">
        <v>4141</v>
      </c>
      <c r="T144" s="35" t="s">
        <v>172</v>
      </c>
      <c r="U144" s="28" t="n">
        <v>423726.59</v>
      </c>
      <c r="V144" s="60" t="n">
        <v>24.820658</v>
      </c>
      <c r="W144" s="112" t="n">
        <f aca="false">U144/V144</f>
        <v>17071.5292882243</v>
      </c>
      <c r="X144" s="112" t="n">
        <v>401.43</v>
      </c>
      <c r="Y144" s="28" t="n">
        <v>2.41</v>
      </c>
      <c r="Z144" s="62" t="s">
        <v>80</v>
      </c>
      <c r="AA144" s="38" t="n">
        <v>42067</v>
      </c>
      <c r="AB144" s="38" t="n">
        <v>42214</v>
      </c>
      <c r="AC144" s="38" t="n">
        <v>42209</v>
      </c>
      <c r="AD144" s="38" t="n">
        <v>43670</v>
      </c>
      <c r="AE144" s="28" t="n">
        <f aca="false">YEAR(AD144)</f>
        <v>2019</v>
      </c>
      <c r="AF144" s="50" t="n">
        <v>43670</v>
      </c>
      <c r="AG144" s="125" t="n">
        <v>140106</v>
      </c>
      <c r="AH144" s="43" t="s">
        <v>3296</v>
      </c>
    </row>
    <row r="145" s="2" customFormat="true" ht="12.75" hidden="false" customHeight="true" outlineLevel="0" collapsed="false">
      <c r="A145" s="26" t="n">
        <v>53</v>
      </c>
      <c r="B145" s="152" t="s">
        <v>3297</v>
      </c>
      <c r="C145" s="43" t="s">
        <v>3064</v>
      </c>
      <c r="D145" s="28" t="s">
        <v>46</v>
      </c>
      <c r="E145" s="43" t="n">
        <v>5.79</v>
      </c>
      <c r="F145" s="43" t="n">
        <v>1.2</v>
      </c>
      <c r="G145" s="43" t="n">
        <v>119</v>
      </c>
      <c r="H145" s="43" t="n">
        <v>2015</v>
      </c>
      <c r="I145" s="55" t="n">
        <v>1451</v>
      </c>
      <c r="J145" s="43" t="s">
        <v>74</v>
      </c>
      <c r="K145" s="30" t="s">
        <v>410</v>
      </c>
      <c r="L145" s="35"/>
      <c r="M145" s="31" t="s">
        <v>411</v>
      </c>
      <c r="N145" s="32" t="s">
        <v>3298</v>
      </c>
      <c r="O145" s="28" t="s">
        <v>100</v>
      </c>
      <c r="P145" s="28" t="s">
        <v>593</v>
      </c>
      <c r="Q145" s="33" t="n">
        <v>4000</v>
      </c>
      <c r="R145" s="68" t="s">
        <v>189</v>
      </c>
      <c r="S145" s="35" t="n">
        <v>4173</v>
      </c>
      <c r="T145" s="35" t="s">
        <v>172</v>
      </c>
      <c r="U145" s="28" t="n">
        <v>423726.59</v>
      </c>
      <c r="V145" s="60" t="n">
        <v>24.820658</v>
      </c>
      <c r="W145" s="112" t="n">
        <f aca="false">U145/V145</f>
        <v>17071.5292882243</v>
      </c>
      <c r="X145" s="112" t="n">
        <v>401.43</v>
      </c>
      <c r="Y145" s="28" t="n">
        <v>2.41</v>
      </c>
      <c r="Z145" s="62" t="s">
        <v>80</v>
      </c>
      <c r="AA145" s="38" t="n">
        <v>42067</v>
      </c>
      <c r="AB145" s="38" t="n">
        <v>42214</v>
      </c>
      <c r="AC145" s="38" t="n">
        <v>42209</v>
      </c>
      <c r="AD145" s="38" t="n">
        <v>43670</v>
      </c>
      <c r="AE145" s="28" t="n">
        <f aca="false">YEAR(AD145)</f>
        <v>2019</v>
      </c>
      <c r="AF145" s="43" t="s">
        <v>3299</v>
      </c>
      <c r="AG145" s="125" t="n">
        <v>122559</v>
      </c>
      <c r="AH145" s="81" t="s">
        <v>3300</v>
      </c>
    </row>
    <row r="146" s="2" customFormat="true" ht="12.75" hidden="false" customHeight="true" outlineLevel="0" collapsed="false">
      <c r="A146" s="26" t="n">
        <v>55</v>
      </c>
      <c r="B146" s="152" t="s">
        <v>3301</v>
      </c>
      <c r="C146" s="43" t="s">
        <v>3064</v>
      </c>
      <c r="D146" s="28" t="s">
        <v>46</v>
      </c>
      <c r="E146" s="43" t="n">
        <v>5.79</v>
      </c>
      <c r="F146" s="43" t="n">
        <v>1.2</v>
      </c>
      <c r="G146" s="43" t="n">
        <v>119</v>
      </c>
      <c r="H146" s="43" t="n">
        <v>2015</v>
      </c>
      <c r="I146" s="55" t="n">
        <v>1451</v>
      </c>
      <c r="J146" s="43" t="s">
        <v>74</v>
      </c>
      <c r="K146" s="30" t="s">
        <v>1216</v>
      </c>
      <c r="L146" s="28"/>
      <c r="M146" s="31" t="s">
        <v>1217</v>
      </c>
      <c r="N146" s="32" t="s">
        <v>1090</v>
      </c>
      <c r="O146" s="28" t="s">
        <v>52</v>
      </c>
      <c r="P146" s="28" t="s">
        <v>52</v>
      </c>
      <c r="Q146" s="28" t="n">
        <v>7015</v>
      </c>
      <c r="R146" s="34" t="s">
        <v>171</v>
      </c>
      <c r="S146" s="35" t="n">
        <v>4131</v>
      </c>
      <c r="T146" s="35" t="s">
        <v>172</v>
      </c>
      <c r="U146" s="28" t="n">
        <v>423726.59</v>
      </c>
      <c r="V146" s="60" t="n">
        <v>24.820658</v>
      </c>
      <c r="W146" s="112" t="n">
        <f aca="false">U146/V146</f>
        <v>17071.5292882243</v>
      </c>
      <c r="X146" s="112" t="n">
        <v>401.43</v>
      </c>
      <c r="Y146" s="28" t="n">
        <v>2.41</v>
      </c>
      <c r="Z146" s="62" t="s">
        <v>80</v>
      </c>
      <c r="AA146" s="38" t="n">
        <v>42067</v>
      </c>
      <c r="AB146" s="38" t="n">
        <v>42214</v>
      </c>
      <c r="AC146" s="38" t="n">
        <v>42209</v>
      </c>
      <c r="AD146" s="38" t="n">
        <v>43670</v>
      </c>
      <c r="AE146" s="28" t="n">
        <f aca="false">YEAR(AD146)</f>
        <v>2019</v>
      </c>
      <c r="AF146" s="50" t="n">
        <v>43675</v>
      </c>
      <c r="AG146" s="43" t="n">
        <v>127475</v>
      </c>
      <c r="AH146" s="43" t="s">
        <v>3302</v>
      </c>
    </row>
    <row r="147" s="2" customFormat="true" ht="12.75" hidden="false" customHeight="true" outlineLevel="0" collapsed="false">
      <c r="A147" s="26" t="n">
        <v>56</v>
      </c>
      <c r="B147" s="152" t="s">
        <v>3303</v>
      </c>
      <c r="C147" s="43" t="s">
        <v>3064</v>
      </c>
      <c r="D147" s="28" t="s">
        <v>46</v>
      </c>
      <c r="E147" s="43" t="n">
        <v>5.79</v>
      </c>
      <c r="F147" s="43" t="n">
        <v>1.2</v>
      </c>
      <c r="G147" s="43" t="n">
        <v>119</v>
      </c>
      <c r="H147" s="43" t="n">
        <v>2015</v>
      </c>
      <c r="I147" s="55" t="n">
        <v>1451</v>
      </c>
      <c r="J147" s="43" t="s">
        <v>74</v>
      </c>
      <c r="K147" s="30" t="s">
        <v>1169</v>
      </c>
      <c r="L147" s="28"/>
      <c r="M147" s="31" t="s">
        <v>1170</v>
      </c>
      <c r="N147" s="32" t="s">
        <v>289</v>
      </c>
      <c r="O147" s="57" t="s">
        <v>218</v>
      </c>
      <c r="P147" s="28" t="s">
        <v>52</v>
      </c>
      <c r="Q147" s="33" t="n">
        <v>1200</v>
      </c>
      <c r="R147" s="34" t="s">
        <v>92</v>
      </c>
      <c r="S147" s="35" t="n">
        <v>4141</v>
      </c>
      <c r="T147" s="35" t="s">
        <v>172</v>
      </c>
      <c r="U147" s="28" t="n">
        <v>423726.59</v>
      </c>
      <c r="V147" s="60" t="n">
        <v>24.820658</v>
      </c>
      <c r="W147" s="112" t="n">
        <f aca="false">U147/V147</f>
        <v>17071.5292882243</v>
      </c>
      <c r="X147" s="112" t="n">
        <v>401.43</v>
      </c>
      <c r="Y147" s="28" t="n">
        <v>2.41</v>
      </c>
      <c r="Z147" s="62" t="s">
        <v>80</v>
      </c>
      <c r="AA147" s="38" t="n">
        <v>42067</v>
      </c>
      <c r="AB147" s="38" t="n">
        <v>42214</v>
      </c>
      <c r="AC147" s="38" t="n">
        <v>42209</v>
      </c>
      <c r="AD147" s="38" t="n">
        <v>43670</v>
      </c>
      <c r="AE147" s="28" t="n">
        <f aca="false">YEAR(AD147)</f>
        <v>2019</v>
      </c>
      <c r="AF147" s="50" t="n">
        <v>43677</v>
      </c>
      <c r="AG147" s="125" t="n">
        <v>137769</v>
      </c>
      <c r="AH147" s="43" t="s">
        <v>3304</v>
      </c>
    </row>
    <row r="148" s="2" customFormat="true" ht="12.75" hidden="false" customHeight="true" outlineLevel="0" collapsed="false">
      <c r="A148" s="26" t="n">
        <v>57</v>
      </c>
      <c r="B148" s="152" t="s">
        <v>3305</v>
      </c>
      <c r="C148" s="43" t="s">
        <v>3064</v>
      </c>
      <c r="D148" s="28" t="s">
        <v>46</v>
      </c>
      <c r="E148" s="43" t="n">
        <v>5.79</v>
      </c>
      <c r="F148" s="43" t="n">
        <v>1.2</v>
      </c>
      <c r="G148" s="43" t="n">
        <v>119</v>
      </c>
      <c r="H148" s="43" t="n">
        <v>2015</v>
      </c>
      <c r="I148" s="55" t="n">
        <v>1451</v>
      </c>
      <c r="J148" s="43" t="s">
        <v>74</v>
      </c>
      <c r="K148" s="30" t="s">
        <v>3306</v>
      </c>
      <c r="L148" s="35"/>
      <c r="M148" s="31" t="s">
        <v>3307</v>
      </c>
      <c r="N148" s="32" t="s">
        <v>1090</v>
      </c>
      <c r="O148" s="28" t="s">
        <v>100</v>
      </c>
      <c r="P148" s="28" t="s">
        <v>593</v>
      </c>
      <c r="Q148" s="28" t="n">
        <v>7020</v>
      </c>
      <c r="R148" s="34" t="s">
        <v>171</v>
      </c>
      <c r="S148" s="35" t="n">
        <v>4133</v>
      </c>
      <c r="T148" s="35" t="s">
        <v>172</v>
      </c>
      <c r="U148" s="28" t="n">
        <v>423726.59</v>
      </c>
      <c r="V148" s="60" t="n">
        <v>24.820658</v>
      </c>
      <c r="W148" s="112" t="n">
        <f aca="false">U148/V148</f>
        <v>17071.5292882243</v>
      </c>
      <c r="X148" s="112" t="n">
        <v>401.43</v>
      </c>
      <c r="Y148" s="28" t="n">
        <v>2.41</v>
      </c>
      <c r="Z148" s="62" t="s">
        <v>80</v>
      </c>
      <c r="AA148" s="38" t="n">
        <v>42067</v>
      </c>
      <c r="AB148" s="38" t="n">
        <v>42214</v>
      </c>
      <c r="AC148" s="38" t="n">
        <v>42209</v>
      </c>
      <c r="AD148" s="38" t="n">
        <v>43670</v>
      </c>
      <c r="AE148" s="28" t="n">
        <f aca="false">YEAR(AD148)</f>
        <v>2019</v>
      </c>
      <c r="AF148" s="50" t="n">
        <v>43676</v>
      </c>
      <c r="AG148" s="43" t="n">
        <v>139995</v>
      </c>
      <c r="AH148" s="81" t="s">
        <v>3308</v>
      </c>
    </row>
    <row r="149" s="2" customFormat="true" ht="12.75" hidden="false" customHeight="true" outlineLevel="0" collapsed="false">
      <c r="A149" s="26" t="n">
        <v>58</v>
      </c>
      <c r="B149" s="152" t="s">
        <v>3309</v>
      </c>
      <c r="C149" s="43" t="s">
        <v>3064</v>
      </c>
      <c r="D149" s="28" t="s">
        <v>46</v>
      </c>
      <c r="E149" s="43" t="n">
        <v>5.79</v>
      </c>
      <c r="F149" s="43" t="n">
        <v>1.2</v>
      </c>
      <c r="G149" s="43" t="n">
        <v>119</v>
      </c>
      <c r="H149" s="43" t="n">
        <v>2015</v>
      </c>
      <c r="I149" s="55" t="n">
        <v>1451</v>
      </c>
      <c r="J149" s="43" t="s">
        <v>74</v>
      </c>
      <c r="K149" s="30" t="s">
        <v>3310</v>
      </c>
      <c r="L149" s="35"/>
      <c r="M149" s="31" t="s">
        <v>3311</v>
      </c>
      <c r="N149" s="32" t="s">
        <v>289</v>
      </c>
      <c r="O149" s="28" t="s">
        <v>100</v>
      </c>
      <c r="P149" s="28" t="s">
        <v>593</v>
      </c>
      <c r="Q149" s="28" t="n">
        <v>4000</v>
      </c>
      <c r="R149" s="34" t="s">
        <v>92</v>
      </c>
      <c r="S149" s="35" t="n">
        <v>4143</v>
      </c>
      <c r="T149" s="35" t="s">
        <v>172</v>
      </c>
      <c r="U149" s="28" t="n">
        <v>423726.59</v>
      </c>
      <c r="V149" s="60" t="n">
        <v>24.820658</v>
      </c>
      <c r="W149" s="112" t="n">
        <f aca="false">U149/V149</f>
        <v>17071.5292882243</v>
      </c>
      <c r="X149" s="112" t="n">
        <v>401.43</v>
      </c>
      <c r="Y149" s="28" t="n">
        <v>2.41</v>
      </c>
      <c r="Z149" s="62" t="s">
        <v>80</v>
      </c>
      <c r="AA149" s="38" t="n">
        <v>42067</v>
      </c>
      <c r="AB149" s="38" t="n">
        <v>42214</v>
      </c>
      <c r="AC149" s="38" t="n">
        <v>42209</v>
      </c>
      <c r="AD149" s="38" t="n">
        <v>43670</v>
      </c>
      <c r="AE149" s="28" t="n">
        <f aca="false">YEAR(AD149)</f>
        <v>2019</v>
      </c>
      <c r="AF149" s="50" t="n">
        <v>43668</v>
      </c>
      <c r="AG149" s="125" t="n">
        <v>141513</v>
      </c>
      <c r="AH149" s="43" t="s">
        <v>3312</v>
      </c>
    </row>
    <row r="150" s="2" customFormat="true" ht="12.75" hidden="false" customHeight="true" outlineLevel="0" collapsed="false">
      <c r="A150" s="26" t="n">
        <v>60</v>
      </c>
      <c r="B150" s="152" t="s">
        <v>3313</v>
      </c>
      <c r="C150" s="43" t="s">
        <v>3064</v>
      </c>
      <c r="D150" s="28" t="s">
        <v>46</v>
      </c>
      <c r="E150" s="43" t="n">
        <v>5.79</v>
      </c>
      <c r="F150" s="43" t="n">
        <v>1.2</v>
      </c>
      <c r="G150" s="43" t="n">
        <v>119</v>
      </c>
      <c r="H150" s="43" t="n">
        <v>2015</v>
      </c>
      <c r="I150" s="55" t="n">
        <v>1451</v>
      </c>
      <c r="J150" s="43" t="s">
        <v>74</v>
      </c>
      <c r="K150" s="30" t="s">
        <v>3314</v>
      </c>
      <c r="L150" s="28"/>
      <c r="M150" s="31" t="s">
        <v>3315</v>
      </c>
      <c r="N150" s="32" t="s">
        <v>1090</v>
      </c>
      <c r="O150" s="28" t="s">
        <v>681</v>
      </c>
      <c r="P150" s="28" t="s">
        <v>593</v>
      </c>
      <c r="Q150" s="33" t="n">
        <v>7031</v>
      </c>
      <c r="R150" s="34" t="s">
        <v>171</v>
      </c>
      <c r="S150" s="35" t="n">
        <v>4133</v>
      </c>
      <c r="T150" s="35" t="s">
        <v>172</v>
      </c>
      <c r="U150" s="28" t="n">
        <v>423726.59</v>
      </c>
      <c r="V150" s="60" t="n">
        <v>24.820658</v>
      </c>
      <c r="W150" s="112" t="n">
        <f aca="false">U150/V150</f>
        <v>17071.5292882243</v>
      </c>
      <c r="X150" s="112" t="n">
        <v>401.43</v>
      </c>
      <c r="Y150" s="28" t="n">
        <v>2.41</v>
      </c>
      <c r="Z150" s="62" t="s">
        <v>80</v>
      </c>
      <c r="AA150" s="38" t="n">
        <v>42067</v>
      </c>
      <c r="AB150" s="38" t="n">
        <v>42214</v>
      </c>
      <c r="AC150" s="38" t="n">
        <v>42209</v>
      </c>
      <c r="AD150" s="38" t="n">
        <v>43670</v>
      </c>
      <c r="AE150" s="28" t="n">
        <f aca="false">YEAR(AD150)</f>
        <v>2019</v>
      </c>
      <c r="AF150" s="50" t="n">
        <v>43677</v>
      </c>
      <c r="AG150" s="125" t="n">
        <v>115251</v>
      </c>
      <c r="AH150" s="43" t="s">
        <v>3316</v>
      </c>
    </row>
    <row r="151" s="2" customFormat="true" ht="12.75" hidden="false" customHeight="true" outlineLevel="0" collapsed="false">
      <c r="A151" s="26" t="n">
        <v>61</v>
      </c>
      <c r="B151" s="152" t="s">
        <v>3317</v>
      </c>
      <c r="C151" s="43" t="s">
        <v>3064</v>
      </c>
      <c r="D151" s="28" t="s">
        <v>46</v>
      </c>
      <c r="E151" s="43" t="n">
        <v>5.79</v>
      </c>
      <c r="F151" s="43" t="n">
        <v>1.2</v>
      </c>
      <c r="G151" s="43" t="n">
        <v>119</v>
      </c>
      <c r="H151" s="43" t="n">
        <v>2015</v>
      </c>
      <c r="I151" s="55" t="n">
        <v>1451</v>
      </c>
      <c r="J151" s="43" t="s">
        <v>74</v>
      </c>
      <c r="K151" s="30" t="s">
        <v>1128</v>
      </c>
      <c r="L151" s="69"/>
      <c r="M151" s="31" t="s">
        <v>1129</v>
      </c>
      <c r="N151" s="32" t="s">
        <v>2922</v>
      </c>
      <c r="O151" s="57" t="s">
        <v>100</v>
      </c>
      <c r="P151" s="28" t="s">
        <v>593</v>
      </c>
      <c r="Q151" s="57" t="n">
        <v>4000</v>
      </c>
      <c r="R151" s="58" t="s">
        <v>189</v>
      </c>
      <c r="S151" s="69" t="n">
        <v>4173</v>
      </c>
      <c r="T151" s="35" t="s">
        <v>172</v>
      </c>
      <c r="U151" s="28" t="n">
        <v>423726.59</v>
      </c>
      <c r="V151" s="60" t="n">
        <v>24.820658</v>
      </c>
      <c r="W151" s="112" t="n">
        <f aca="false">U151/V151</f>
        <v>17071.5292882243</v>
      </c>
      <c r="X151" s="112" t="n">
        <v>401.43</v>
      </c>
      <c r="Y151" s="28" t="n">
        <v>2.41</v>
      </c>
      <c r="Z151" s="62" t="s">
        <v>80</v>
      </c>
      <c r="AA151" s="38" t="n">
        <v>42067</v>
      </c>
      <c r="AB151" s="38" t="n">
        <v>42214</v>
      </c>
      <c r="AC151" s="38" t="n">
        <v>42209</v>
      </c>
      <c r="AD151" s="38" t="n">
        <v>43670</v>
      </c>
      <c r="AE151" s="28" t="n">
        <f aca="false">YEAR(AD151)</f>
        <v>2019</v>
      </c>
      <c r="AF151" s="50" t="n">
        <v>43670</v>
      </c>
      <c r="AG151" s="44" t="n">
        <v>125656</v>
      </c>
      <c r="AH151" s="81" t="s">
        <v>3318</v>
      </c>
    </row>
    <row r="152" s="2" customFormat="true" ht="12.75" hidden="false" customHeight="true" outlineLevel="0" collapsed="false">
      <c r="A152" s="26" t="n">
        <v>62</v>
      </c>
      <c r="B152" s="152" t="s">
        <v>3319</v>
      </c>
      <c r="C152" s="43" t="s">
        <v>3064</v>
      </c>
      <c r="D152" s="28" t="s">
        <v>46</v>
      </c>
      <c r="E152" s="43" t="n">
        <v>5.79</v>
      </c>
      <c r="F152" s="43" t="n">
        <v>1.2</v>
      </c>
      <c r="G152" s="43" t="n">
        <v>119</v>
      </c>
      <c r="H152" s="43" t="n">
        <v>2015</v>
      </c>
      <c r="I152" s="55" t="n">
        <v>1451</v>
      </c>
      <c r="J152" s="43" t="s">
        <v>74</v>
      </c>
      <c r="K152" s="30" t="s">
        <v>1237</v>
      </c>
      <c r="L152" s="28"/>
      <c r="M152" s="31" t="s">
        <v>1238</v>
      </c>
      <c r="N152" s="32" t="s">
        <v>1090</v>
      </c>
      <c r="O152" s="28" t="s">
        <v>1239</v>
      </c>
      <c r="P152" s="28" t="s">
        <v>52</v>
      </c>
      <c r="Q152" s="28" t="n">
        <v>7050</v>
      </c>
      <c r="R152" s="34" t="s">
        <v>171</v>
      </c>
      <c r="S152" s="35" t="n">
        <v>4131</v>
      </c>
      <c r="T152" s="35" t="s">
        <v>172</v>
      </c>
      <c r="U152" s="28" t="n">
        <v>423726.59</v>
      </c>
      <c r="V152" s="60" t="n">
        <v>24.820658</v>
      </c>
      <c r="W152" s="112" t="n">
        <f aca="false">U152/V152</f>
        <v>17071.5292882243</v>
      </c>
      <c r="X152" s="112" t="n">
        <v>401.43</v>
      </c>
      <c r="Y152" s="28" t="n">
        <v>2.41</v>
      </c>
      <c r="Z152" s="62" t="s">
        <v>80</v>
      </c>
      <c r="AA152" s="38" t="n">
        <v>42067</v>
      </c>
      <c r="AB152" s="38" t="n">
        <v>42214</v>
      </c>
      <c r="AC152" s="38" t="n">
        <v>42209</v>
      </c>
      <c r="AD152" s="38" t="n">
        <v>43670</v>
      </c>
      <c r="AE152" s="28" t="n">
        <f aca="false">YEAR(AD152)</f>
        <v>2019</v>
      </c>
      <c r="AF152" s="50" t="n">
        <v>43672</v>
      </c>
      <c r="AG152" s="44" t="n">
        <v>107134</v>
      </c>
      <c r="AH152" s="81" t="s">
        <v>3320</v>
      </c>
    </row>
    <row r="153" s="2" customFormat="true" ht="12.75" hidden="false" customHeight="true" outlineLevel="0" collapsed="false">
      <c r="A153" s="26" t="n">
        <v>63</v>
      </c>
      <c r="B153" s="152" t="s">
        <v>3321</v>
      </c>
      <c r="C153" s="43" t="s">
        <v>3064</v>
      </c>
      <c r="D153" s="28" t="s">
        <v>46</v>
      </c>
      <c r="E153" s="43" t="n">
        <v>5.79</v>
      </c>
      <c r="F153" s="43" t="n">
        <v>1.2</v>
      </c>
      <c r="G153" s="43" t="n">
        <v>119</v>
      </c>
      <c r="H153" s="43" t="n">
        <v>2015</v>
      </c>
      <c r="I153" s="55" t="n">
        <v>1451</v>
      </c>
      <c r="J153" s="43" t="s">
        <v>74</v>
      </c>
      <c r="K153" s="30" t="s">
        <v>1056</v>
      </c>
      <c r="L153" s="28"/>
      <c r="M153" s="31" t="s">
        <v>1057</v>
      </c>
      <c r="N153" s="32" t="s">
        <v>1090</v>
      </c>
      <c r="O153" s="28" t="s">
        <v>1003</v>
      </c>
      <c r="P153" s="28" t="s">
        <v>52</v>
      </c>
      <c r="Q153" s="28" t="n">
        <v>7014</v>
      </c>
      <c r="R153" s="68" t="s">
        <v>171</v>
      </c>
      <c r="S153" s="35" t="n">
        <v>4131</v>
      </c>
      <c r="T153" s="35" t="s">
        <v>172</v>
      </c>
      <c r="U153" s="28" t="n">
        <v>423726.59</v>
      </c>
      <c r="V153" s="60" t="n">
        <v>24.820658</v>
      </c>
      <c r="W153" s="112" t="n">
        <f aca="false">U153/V153</f>
        <v>17071.5292882243</v>
      </c>
      <c r="X153" s="112" t="n">
        <v>401.43</v>
      </c>
      <c r="Y153" s="28" t="n">
        <v>2.41</v>
      </c>
      <c r="Z153" s="62" t="s">
        <v>80</v>
      </c>
      <c r="AA153" s="38" t="n">
        <v>42067</v>
      </c>
      <c r="AB153" s="38" t="n">
        <v>42214</v>
      </c>
      <c r="AC153" s="38" t="n">
        <v>42209</v>
      </c>
      <c r="AD153" s="38" t="n">
        <v>43670</v>
      </c>
      <c r="AE153" s="28" t="n">
        <f aca="false">YEAR(AD153)</f>
        <v>2019</v>
      </c>
      <c r="AF153" s="50" t="n">
        <v>43672</v>
      </c>
      <c r="AG153" s="44" t="n">
        <v>114149</v>
      </c>
      <c r="AH153" s="43" t="s">
        <v>3322</v>
      </c>
    </row>
    <row r="154" s="2" customFormat="true" ht="12.75" hidden="false" customHeight="true" outlineLevel="0" collapsed="false">
      <c r="A154" s="26" t="n">
        <v>64</v>
      </c>
      <c r="B154" s="152" t="s">
        <v>3323</v>
      </c>
      <c r="C154" s="43" t="s">
        <v>3064</v>
      </c>
      <c r="D154" s="28" t="s">
        <v>46</v>
      </c>
      <c r="E154" s="43" t="n">
        <v>5.79</v>
      </c>
      <c r="F154" s="43" t="n">
        <v>1.2</v>
      </c>
      <c r="G154" s="43" t="n">
        <v>119</v>
      </c>
      <c r="H154" s="43" t="n">
        <v>2015</v>
      </c>
      <c r="I154" s="55" t="n">
        <v>1451</v>
      </c>
      <c r="J154" s="43" t="s">
        <v>74</v>
      </c>
      <c r="K154" s="30" t="s">
        <v>1154</v>
      </c>
      <c r="L154" s="27"/>
      <c r="M154" s="31" t="s">
        <v>1155</v>
      </c>
      <c r="N154" s="32" t="s">
        <v>1090</v>
      </c>
      <c r="O154" s="28" t="s">
        <v>1156</v>
      </c>
      <c r="P154" s="28" t="s">
        <v>52</v>
      </c>
      <c r="Q154" s="28" t="n">
        <v>7011</v>
      </c>
      <c r="R154" s="34" t="s">
        <v>171</v>
      </c>
      <c r="S154" s="35" t="n">
        <v>4131</v>
      </c>
      <c r="T154" s="35" t="s">
        <v>172</v>
      </c>
      <c r="U154" s="28" t="n">
        <v>423726.59</v>
      </c>
      <c r="V154" s="60" t="n">
        <v>24.820658</v>
      </c>
      <c r="W154" s="112" t="n">
        <f aca="false">U154/V154</f>
        <v>17071.5292882243</v>
      </c>
      <c r="X154" s="112" t="n">
        <v>401.43</v>
      </c>
      <c r="Y154" s="28" t="n">
        <v>2.41</v>
      </c>
      <c r="Z154" s="62" t="s">
        <v>80</v>
      </c>
      <c r="AA154" s="38" t="n">
        <v>42067</v>
      </c>
      <c r="AB154" s="38" t="n">
        <v>42214</v>
      </c>
      <c r="AC154" s="38" t="n">
        <v>42209</v>
      </c>
      <c r="AD154" s="38" t="n">
        <v>43670</v>
      </c>
      <c r="AE154" s="28" t="n">
        <f aca="false">YEAR(AD154)</f>
        <v>2019</v>
      </c>
      <c r="AF154" s="50" t="n">
        <v>43676</v>
      </c>
      <c r="AG154" s="55" t="n">
        <v>125603</v>
      </c>
      <c r="AH154" s="43" t="s">
        <v>3324</v>
      </c>
    </row>
    <row r="155" s="2" customFormat="true" ht="12.75" hidden="false" customHeight="true" outlineLevel="0" collapsed="false">
      <c r="A155" s="26" t="n">
        <v>65</v>
      </c>
      <c r="B155" s="152" t="s">
        <v>3325</v>
      </c>
      <c r="C155" s="43" t="s">
        <v>3064</v>
      </c>
      <c r="D155" s="28" t="s">
        <v>46</v>
      </c>
      <c r="E155" s="43" t="n">
        <v>5.79</v>
      </c>
      <c r="F155" s="43" t="n">
        <v>1.2</v>
      </c>
      <c r="G155" s="43" t="n">
        <v>119</v>
      </c>
      <c r="H155" s="43" t="n">
        <v>2015</v>
      </c>
      <c r="I155" s="55" t="n">
        <v>1451</v>
      </c>
      <c r="J155" s="43" t="s">
        <v>74</v>
      </c>
      <c r="K155" s="30" t="s">
        <v>3326</v>
      </c>
      <c r="L155" s="35"/>
      <c r="M155" s="31" t="s">
        <v>3327</v>
      </c>
      <c r="N155" s="32" t="s">
        <v>1090</v>
      </c>
      <c r="O155" s="28" t="s">
        <v>100</v>
      </c>
      <c r="P155" s="28" t="s">
        <v>593</v>
      </c>
      <c r="Q155" s="28" t="n">
        <v>7023</v>
      </c>
      <c r="R155" s="34" t="s">
        <v>171</v>
      </c>
      <c r="S155" s="35" t="n">
        <v>4133</v>
      </c>
      <c r="T155" s="35" t="s">
        <v>172</v>
      </c>
      <c r="U155" s="28" t="n">
        <v>423726.59</v>
      </c>
      <c r="V155" s="60" t="n">
        <v>24.820658</v>
      </c>
      <c r="W155" s="112" t="n">
        <f aca="false">U155/V155</f>
        <v>17071.5292882243</v>
      </c>
      <c r="X155" s="112" t="n">
        <v>401.43</v>
      </c>
      <c r="Y155" s="28" t="n">
        <v>2.41</v>
      </c>
      <c r="Z155" s="62" t="s">
        <v>80</v>
      </c>
      <c r="AA155" s="38" t="n">
        <v>42067</v>
      </c>
      <c r="AB155" s="38" t="n">
        <v>42214</v>
      </c>
      <c r="AC155" s="38" t="n">
        <v>42209</v>
      </c>
      <c r="AD155" s="38" t="n">
        <v>43670</v>
      </c>
      <c r="AE155" s="28" t="n">
        <f aca="false">YEAR(AD155)</f>
        <v>2019</v>
      </c>
      <c r="AF155" s="50" t="n">
        <v>43671</v>
      </c>
      <c r="AG155" s="44" t="n">
        <v>124421</v>
      </c>
      <c r="AH155" s="43" t="s">
        <v>3328</v>
      </c>
    </row>
    <row r="156" s="2" customFormat="true" ht="12.75" hidden="false" customHeight="true" outlineLevel="0" collapsed="false">
      <c r="A156" s="26" t="n">
        <v>66</v>
      </c>
      <c r="B156" s="152" t="s">
        <v>3329</v>
      </c>
      <c r="C156" s="43" t="s">
        <v>3064</v>
      </c>
      <c r="D156" s="28" t="s">
        <v>46</v>
      </c>
      <c r="E156" s="43" t="n">
        <v>5.79</v>
      </c>
      <c r="F156" s="43" t="n">
        <v>1.2</v>
      </c>
      <c r="G156" s="43" t="n">
        <v>119</v>
      </c>
      <c r="H156" s="43" t="n">
        <v>2015</v>
      </c>
      <c r="I156" s="55" t="n">
        <v>1451</v>
      </c>
      <c r="J156" s="43" t="s">
        <v>74</v>
      </c>
      <c r="K156" s="30" t="s">
        <v>1101</v>
      </c>
      <c r="L156" s="28"/>
      <c r="M156" s="31" t="s">
        <v>1102</v>
      </c>
      <c r="N156" s="32" t="s">
        <v>1090</v>
      </c>
      <c r="O156" s="57" t="s">
        <v>218</v>
      </c>
      <c r="P156" s="28" t="s">
        <v>52</v>
      </c>
      <c r="Q156" s="28" t="n">
        <v>7010</v>
      </c>
      <c r="R156" s="34" t="s">
        <v>171</v>
      </c>
      <c r="S156" s="35" t="n">
        <v>4131</v>
      </c>
      <c r="T156" s="35" t="s">
        <v>172</v>
      </c>
      <c r="U156" s="28" t="n">
        <v>423726.59</v>
      </c>
      <c r="V156" s="60" t="n">
        <v>24.820658</v>
      </c>
      <c r="W156" s="112" t="n">
        <f aca="false">U156/V156</f>
        <v>17071.5292882243</v>
      </c>
      <c r="X156" s="112" t="n">
        <v>401.43</v>
      </c>
      <c r="Y156" s="28" t="n">
        <v>2.41</v>
      </c>
      <c r="Z156" s="62" t="s">
        <v>80</v>
      </c>
      <c r="AA156" s="38" t="n">
        <v>42067</v>
      </c>
      <c r="AB156" s="38" t="n">
        <v>42214</v>
      </c>
      <c r="AC156" s="38" t="n">
        <v>42209</v>
      </c>
      <c r="AD156" s="38" t="n">
        <v>43670</v>
      </c>
      <c r="AE156" s="28" t="n">
        <f aca="false">YEAR(AD156)</f>
        <v>2019</v>
      </c>
      <c r="AF156" s="50" t="n">
        <v>43672</v>
      </c>
      <c r="AG156" s="44" t="n">
        <v>125715</v>
      </c>
      <c r="AH156" s="81" t="s">
        <v>3330</v>
      </c>
    </row>
    <row r="157" s="2" customFormat="true" ht="12.75" hidden="false" customHeight="true" outlineLevel="0" collapsed="false">
      <c r="A157" s="26" t="n">
        <v>68</v>
      </c>
      <c r="B157" s="152" t="s">
        <v>3331</v>
      </c>
      <c r="C157" s="43" t="s">
        <v>3064</v>
      </c>
      <c r="D157" s="28" t="s">
        <v>46</v>
      </c>
      <c r="E157" s="43" t="n">
        <v>5.79</v>
      </c>
      <c r="F157" s="43" t="n">
        <v>1.2</v>
      </c>
      <c r="G157" s="43" t="n">
        <v>119</v>
      </c>
      <c r="H157" s="43" t="n">
        <v>2015</v>
      </c>
      <c r="I157" s="55" t="n">
        <v>1451</v>
      </c>
      <c r="J157" s="43" t="s">
        <v>74</v>
      </c>
      <c r="K157" s="30" t="s">
        <v>1070</v>
      </c>
      <c r="L157" s="35"/>
      <c r="M157" s="31" t="s">
        <v>1071</v>
      </c>
      <c r="N157" s="32" t="s">
        <v>2922</v>
      </c>
      <c r="O157" s="28" t="s">
        <v>100</v>
      </c>
      <c r="P157" s="28" t="s">
        <v>593</v>
      </c>
      <c r="Q157" s="28" t="n">
        <v>4000</v>
      </c>
      <c r="R157" s="34" t="s">
        <v>189</v>
      </c>
      <c r="S157" s="35" t="n">
        <v>4173</v>
      </c>
      <c r="T157" s="35" t="s">
        <v>172</v>
      </c>
      <c r="U157" s="28" t="n">
        <v>423726.59</v>
      </c>
      <c r="V157" s="60" t="n">
        <v>24.820658</v>
      </c>
      <c r="W157" s="112" t="n">
        <f aca="false">U157/V157</f>
        <v>17071.5292882243</v>
      </c>
      <c r="X157" s="112" t="n">
        <v>401.43</v>
      </c>
      <c r="Y157" s="28" t="n">
        <v>2.41</v>
      </c>
      <c r="Z157" s="62" t="s">
        <v>80</v>
      </c>
      <c r="AA157" s="38" t="n">
        <v>42067</v>
      </c>
      <c r="AB157" s="38" t="n">
        <v>42214</v>
      </c>
      <c r="AC157" s="38" t="n">
        <v>42209</v>
      </c>
      <c r="AD157" s="38" t="n">
        <v>43670</v>
      </c>
      <c r="AE157" s="28" t="n">
        <f aca="false">YEAR(AD157)</f>
        <v>2019</v>
      </c>
      <c r="AF157" s="50" t="n">
        <v>43676</v>
      </c>
      <c r="AG157" s="43" t="n">
        <v>113878</v>
      </c>
      <c r="AH157" s="81" t="s">
        <v>3332</v>
      </c>
    </row>
    <row r="158" s="2" customFormat="true" ht="12.75" hidden="false" customHeight="true" outlineLevel="0" collapsed="false">
      <c r="A158" s="26" t="n">
        <v>69</v>
      </c>
      <c r="B158" s="152" t="s">
        <v>3333</v>
      </c>
      <c r="C158" s="43" t="s">
        <v>3064</v>
      </c>
      <c r="D158" s="28" t="s">
        <v>46</v>
      </c>
      <c r="E158" s="43" t="n">
        <v>5.79</v>
      </c>
      <c r="F158" s="43" t="n">
        <v>1.2</v>
      </c>
      <c r="G158" s="43" t="n">
        <v>119</v>
      </c>
      <c r="H158" s="43" t="n">
        <v>2015</v>
      </c>
      <c r="I158" s="55" t="n">
        <v>1451</v>
      </c>
      <c r="J158" s="43" t="s">
        <v>74</v>
      </c>
      <c r="K158" s="30" t="s">
        <v>3334</v>
      </c>
      <c r="L158" s="35"/>
      <c r="M158" s="31" t="s">
        <v>3335</v>
      </c>
      <c r="N158" s="32" t="s">
        <v>1090</v>
      </c>
      <c r="O158" s="28" t="s">
        <v>100</v>
      </c>
      <c r="P158" s="28" t="s">
        <v>593</v>
      </c>
      <c r="Q158" s="28" t="n">
        <v>4000</v>
      </c>
      <c r="R158" s="34" t="s">
        <v>171</v>
      </c>
      <c r="S158" s="35" t="n">
        <v>4133</v>
      </c>
      <c r="T158" s="35" t="s">
        <v>172</v>
      </c>
      <c r="U158" s="28" t="n">
        <v>423726.59</v>
      </c>
      <c r="V158" s="60" t="n">
        <v>24.820658</v>
      </c>
      <c r="W158" s="112" t="n">
        <f aca="false">U158/V158</f>
        <v>17071.5292882243</v>
      </c>
      <c r="X158" s="112" t="n">
        <v>401.43</v>
      </c>
      <c r="Y158" s="28" t="n">
        <v>2.41</v>
      </c>
      <c r="Z158" s="62" t="s">
        <v>80</v>
      </c>
      <c r="AA158" s="38" t="n">
        <v>42067</v>
      </c>
      <c r="AB158" s="38" t="n">
        <v>42214</v>
      </c>
      <c r="AC158" s="38" t="n">
        <v>42209</v>
      </c>
      <c r="AD158" s="38" t="n">
        <v>43670</v>
      </c>
      <c r="AE158" s="28" t="n">
        <f aca="false">YEAR(AD158)</f>
        <v>2019</v>
      </c>
      <c r="AF158" s="50" t="n">
        <v>43669</v>
      </c>
      <c r="AG158" s="125" t="n">
        <v>126219</v>
      </c>
      <c r="AH158" s="81" t="s">
        <v>3336</v>
      </c>
    </row>
    <row r="159" s="2" customFormat="true" ht="12.75" hidden="false" customHeight="true" outlineLevel="0" collapsed="false">
      <c r="A159" s="26" t="n">
        <v>70</v>
      </c>
      <c r="B159" s="152" t="s">
        <v>3337</v>
      </c>
      <c r="C159" s="43" t="s">
        <v>3064</v>
      </c>
      <c r="D159" s="28" t="s">
        <v>46</v>
      </c>
      <c r="E159" s="43" t="n">
        <v>5.79</v>
      </c>
      <c r="F159" s="43" t="n">
        <v>1.2</v>
      </c>
      <c r="G159" s="43" t="n">
        <v>119</v>
      </c>
      <c r="H159" s="43" t="n">
        <v>2015</v>
      </c>
      <c r="I159" s="55" t="n">
        <v>1451</v>
      </c>
      <c r="J159" s="43" t="s">
        <v>74</v>
      </c>
      <c r="K159" s="30" t="s">
        <v>3338</v>
      </c>
      <c r="L159" s="35"/>
      <c r="M159" s="31" t="s">
        <v>3339</v>
      </c>
      <c r="N159" s="32" t="s">
        <v>1090</v>
      </c>
      <c r="O159" s="28" t="s">
        <v>100</v>
      </c>
      <c r="P159" s="28" t="s">
        <v>593</v>
      </c>
      <c r="Q159" s="28" t="n">
        <v>7023</v>
      </c>
      <c r="R159" s="34" t="s">
        <v>171</v>
      </c>
      <c r="S159" s="35" t="n">
        <v>4133</v>
      </c>
      <c r="T159" s="35" t="s">
        <v>172</v>
      </c>
      <c r="U159" s="28" t="n">
        <v>423726.59</v>
      </c>
      <c r="V159" s="60" t="n">
        <v>24.820658</v>
      </c>
      <c r="W159" s="112" t="n">
        <f aca="false">U159/V159</f>
        <v>17071.5292882243</v>
      </c>
      <c r="X159" s="112" t="n">
        <v>401.43</v>
      </c>
      <c r="Y159" s="28" t="n">
        <v>2.41</v>
      </c>
      <c r="Z159" s="62" t="s">
        <v>80</v>
      </c>
      <c r="AA159" s="38" t="n">
        <v>42067</v>
      </c>
      <c r="AB159" s="38" t="n">
        <v>42214</v>
      </c>
      <c r="AC159" s="38" t="n">
        <v>42209</v>
      </c>
      <c r="AD159" s="38" t="n">
        <v>43670</v>
      </c>
      <c r="AE159" s="28" t="n">
        <f aca="false">YEAR(AD159)</f>
        <v>2019</v>
      </c>
      <c r="AF159" s="50" t="n">
        <v>43677</v>
      </c>
      <c r="AG159" s="125" t="n">
        <v>119592</v>
      </c>
      <c r="AH159" s="43" t="s">
        <v>3340</v>
      </c>
    </row>
    <row r="160" s="2" customFormat="true" ht="12.75" hidden="false" customHeight="true" outlineLevel="0" collapsed="false">
      <c r="A160" s="26" t="n">
        <v>92</v>
      </c>
      <c r="B160" s="152" t="s">
        <v>3341</v>
      </c>
      <c r="C160" s="157" t="s">
        <v>3143</v>
      </c>
      <c r="D160" s="28" t="s">
        <v>73</v>
      </c>
      <c r="E160" s="43" t="n">
        <v>12.5</v>
      </c>
      <c r="F160" s="43" t="n">
        <v>3</v>
      </c>
      <c r="G160" s="43" t="n">
        <v>193</v>
      </c>
      <c r="H160" s="43" t="n">
        <v>2014</v>
      </c>
      <c r="I160" s="55" t="n">
        <v>1451</v>
      </c>
      <c r="J160" s="43" t="s">
        <v>74</v>
      </c>
      <c r="K160" s="30" t="s">
        <v>498</v>
      </c>
      <c r="L160" s="35"/>
      <c r="M160" s="31" t="s">
        <v>499</v>
      </c>
      <c r="N160" s="32" t="s">
        <v>500</v>
      </c>
      <c r="O160" s="28" t="s">
        <v>100</v>
      </c>
      <c r="P160" s="28" t="s">
        <v>2890</v>
      </c>
      <c r="Q160" s="28" t="n">
        <v>1000</v>
      </c>
      <c r="R160" s="34" t="s">
        <v>122</v>
      </c>
      <c r="S160" s="35" t="n">
        <v>4190</v>
      </c>
      <c r="T160" s="59" t="s">
        <v>493</v>
      </c>
      <c r="U160" s="28" t="n">
        <v>1879408.54</v>
      </c>
      <c r="V160" s="60" t="n">
        <v>24.820658</v>
      </c>
      <c r="W160" s="112" t="n">
        <f aca="false">U160/V160</f>
        <v>75719.5292727534</v>
      </c>
      <c r="X160" s="112" t="n">
        <v>1557.86</v>
      </c>
      <c r="Y160" s="28" t="n">
        <v>2.56</v>
      </c>
      <c r="Z160" s="62" t="s">
        <v>80</v>
      </c>
      <c r="AA160" s="38" t="n">
        <v>42067</v>
      </c>
      <c r="AB160" s="38" t="n">
        <v>42213</v>
      </c>
      <c r="AC160" s="38" t="n">
        <v>42214</v>
      </c>
      <c r="AD160" s="50" t="n">
        <v>43675</v>
      </c>
      <c r="AE160" s="28" t="n">
        <f aca="false">YEAR(AD160)</f>
        <v>2019</v>
      </c>
      <c r="AF160" s="50" t="n">
        <v>43672</v>
      </c>
      <c r="AG160" s="125" t="n">
        <v>114588</v>
      </c>
      <c r="AH160" s="43" t="s">
        <v>3342</v>
      </c>
    </row>
    <row r="161" s="2" customFormat="true" ht="12.75" hidden="false" customHeight="true" outlineLevel="0" collapsed="false">
      <c r="A161" s="26" t="n">
        <v>45</v>
      </c>
      <c r="B161" s="256" t="s">
        <v>3343</v>
      </c>
      <c r="C161" s="43" t="s">
        <v>3064</v>
      </c>
      <c r="D161" s="28" t="s">
        <v>46</v>
      </c>
      <c r="E161" s="43" t="n">
        <v>5.79</v>
      </c>
      <c r="F161" s="43" t="n">
        <v>1.2</v>
      </c>
      <c r="G161" s="43" t="n">
        <v>119</v>
      </c>
      <c r="H161" s="43" t="n">
        <v>2015</v>
      </c>
      <c r="I161" s="55" t="n">
        <v>1451</v>
      </c>
      <c r="J161" s="43" t="s">
        <v>74</v>
      </c>
      <c r="K161" s="86" t="s">
        <v>2887</v>
      </c>
      <c r="L161" s="28"/>
      <c r="M161" s="31" t="s">
        <v>1148</v>
      </c>
      <c r="N161" s="32" t="s">
        <v>3344</v>
      </c>
      <c r="O161" s="28" t="s">
        <v>100</v>
      </c>
      <c r="P161" s="28" t="s">
        <v>2890</v>
      </c>
      <c r="Q161" s="28" t="n">
        <v>1000</v>
      </c>
      <c r="R161" s="34" t="s">
        <v>122</v>
      </c>
      <c r="S161" s="35" t="n">
        <v>4190</v>
      </c>
      <c r="T161" s="35" t="s">
        <v>172</v>
      </c>
      <c r="U161" s="28" t="n">
        <v>423726.59</v>
      </c>
      <c r="V161" s="60" t="n">
        <v>24.820658</v>
      </c>
      <c r="W161" s="112" t="n">
        <f aca="false">U161/V161</f>
        <v>17071.5292882243</v>
      </c>
      <c r="X161" s="112" t="n">
        <v>401.43</v>
      </c>
      <c r="Y161" s="28" t="n">
        <v>2.41</v>
      </c>
      <c r="Z161" s="62" t="s">
        <v>80</v>
      </c>
      <c r="AA161" s="38" t="n">
        <v>42067</v>
      </c>
      <c r="AB161" s="38" t="n">
        <v>42214</v>
      </c>
      <c r="AC161" s="38" t="n">
        <v>42209</v>
      </c>
      <c r="AD161" s="257" t="n">
        <v>43683</v>
      </c>
      <c r="AE161" s="28" t="n">
        <f aca="false">YEAR(AD161)</f>
        <v>2019</v>
      </c>
      <c r="AF161" s="50" t="n">
        <v>43683</v>
      </c>
      <c r="AG161" s="43" t="n">
        <v>111618</v>
      </c>
      <c r="AH161" s="43" t="s">
        <v>3345</v>
      </c>
    </row>
    <row r="162" s="2" customFormat="true" ht="12.75" hidden="false" customHeight="true" outlineLevel="0" collapsed="false">
      <c r="A162" s="26" t="n">
        <v>46</v>
      </c>
      <c r="B162" s="152" t="s">
        <v>3346</v>
      </c>
      <c r="C162" s="67" t="s">
        <v>3277</v>
      </c>
      <c r="D162" s="28" t="s">
        <v>46</v>
      </c>
      <c r="E162" s="43" t="n">
        <v>7</v>
      </c>
      <c r="F162" s="43" t="n">
        <v>1.4</v>
      </c>
      <c r="G162" s="43" t="n">
        <v>123</v>
      </c>
      <c r="H162" s="43" t="n">
        <v>2015</v>
      </c>
      <c r="I162" s="55" t="n">
        <v>1451</v>
      </c>
      <c r="J162" s="67" t="s">
        <v>74</v>
      </c>
      <c r="K162" s="30" t="s">
        <v>3347</v>
      </c>
      <c r="L162" s="35"/>
      <c r="M162" s="31" t="s">
        <v>3348</v>
      </c>
      <c r="N162" s="32" t="s">
        <v>3349</v>
      </c>
      <c r="O162" s="28" t="s">
        <v>100</v>
      </c>
      <c r="P162" s="28" t="s">
        <v>2890</v>
      </c>
      <c r="Q162" s="57" t="n">
        <v>1000</v>
      </c>
      <c r="R162" s="258" t="s">
        <v>3350</v>
      </c>
      <c r="S162" s="69" t="n">
        <v>5280</v>
      </c>
      <c r="T162" s="59" t="s">
        <v>421</v>
      </c>
      <c r="U162" s="28" t="n">
        <v>643488.7</v>
      </c>
      <c r="V162" s="60" t="n">
        <v>24.820658</v>
      </c>
      <c r="W162" s="112" t="n">
        <f aca="false">U162/V162</f>
        <v>25925.5294521201</v>
      </c>
      <c r="X162" s="112" t="n">
        <v>531.5</v>
      </c>
      <c r="Y162" s="28" t="n">
        <v>2.42</v>
      </c>
      <c r="Z162" s="62" t="s">
        <v>80</v>
      </c>
      <c r="AA162" s="38" t="n">
        <v>42067</v>
      </c>
      <c r="AB162" s="38" t="n">
        <v>42228</v>
      </c>
      <c r="AC162" s="38" t="n">
        <v>42229</v>
      </c>
      <c r="AD162" s="38" t="n">
        <v>43690</v>
      </c>
      <c r="AE162" s="28" t="n">
        <f aca="false">YEAR(AD162)</f>
        <v>2019</v>
      </c>
      <c r="AF162" s="50" t="n">
        <v>43690</v>
      </c>
      <c r="AG162" s="125" t="n">
        <v>94082</v>
      </c>
      <c r="AH162" s="43" t="s">
        <v>3351</v>
      </c>
    </row>
    <row r="163" s="2" customFormat="true" ht="12.75" hidden="false" customHeight="true" outlineLevel="0" collapsed="false">
      <c r="A163" s="26" t="n">
        <v>9</v>
      </c>
      <c r="B163" s="152" t="s">
        <v>3352</v>
      </c>
      <c r="C163" s="43" t="s">
        <v>3353</v>
      </c>
      <c r="D163" s="28" t="s">
        <v>46</v>
      </c>
      <c r="E163" s="43" t="n">
        <v>10.2</v>
      </c>
      <c r="F163" s="43" t="n">
        <v>1.8</v>
      </c>
      <c r="G163" s="43" t="n">
        <v>178</v>
      </c>
      <c r="H163" s="43" t="n">
        <v>2015</v>
      </c>
      <c r="I163" s="55" t="n">
        <v>1451</v>
      </c>
      <c r="J163" s="43" t="s">
        <v>74</v>
      </c>
      <c r="K163" s="30" t="s">
        <v>3354</v>
      </c>
      <c r="L163" s="35"/>
      <c r="M163" s="31" t="s">
        <v>3355</v>
      </c>
      <c r="N163" s="32" t="s">
        <v>3356</v>
      </c>
      <c r="O163" s="28" t="s">
        <v>100</v>
      </c>
      <c r="P163" s="28" t="s">
        <v>2890</v>
      </c>
      <c r="Q163" s="28" t="n">
        <v>1000</v>
      </c>
      <c r="R163" s="34" t="s">
        <v>1014</v>
      </c>
      <c r="S163" s="35" t="n">
        <v>5110</v>
      </c>
      <c r="T163" s="35" t="s">
        <v>1015</v>
      </c>
      <c r="U163" s="28" t="n">
        <v>1027116.79</v>
      </c>
      <c r="V163" s="60" t="n">
        <v>24.820658</v>
      </c>
      <c r="W163" s="112" t="n">
        <f aca="false">U163/V163</f>
        <v>41381.5294501862</v>
      </c>
      <c r="X163" s="112" t="n">
        <v>795.32</v>
      </c>
      <c r="Y163" s="28" t="n">
        <v>2.39</v>
      </c>
      <c r="Z163" s="62" t="s">
        <v>80</v>
      </c>
      <c r="AA163" s="38" t="n">
        <v>42067</v>
      </c>
      <c r="AB163" s="38" t="n">
        <v>42185</v>
      </c>
      <c r="AC163" s="38" t="n">
        <v>42185</v>
      </c>
      <c r="AD163" s="259" t="n">
        <v>43738</v>
      </c>
      <c r="AE163" s="28" t="n">
        <f aca="false">YEAR(AD163)</f>
        <v>2019</v>
      </c>
      <c r="AF163" s="50" t="n">
        <v>43684</v>
      </c>
      <c r="AG163" s="125" t="n">
        <v>82545</v>
      </c>
      <c r="AH163" s="81" t="s">
        <v>3357</v>
      </c>
    </row>
    <row r="164" s="2" customFormat="true" ht="12.75" hidden="false" customHeight="true" outlineLevel="0" collapsed="false">
      <c r="A164" s="26" t="n">
        <v>47</v>
      </c>
      <c r="B164" s="152" t="s">
        <v>3358</v>
      </c>
      <c r="C164" s="67" t="s">
        <v>3277</v>
      </c>
      <c r="D164" s="28" t="s">
        <v>46</v>
      </c>
      <c r="E164" s="43" t="n">
        <v>7</v>
      </c>
      <c r="F164" s="43" t="n">
        <v>1.4</v>
      </c>
      <c r="G164" s="43" t="n">
        <v>123</v>
      </c>
      <c r="H164" s="43" t="n">
        <v>2015</v>
      </c>
      <c r="I164" s="55" t="n">
        <v>1451</v>
      </c>
      <c r="J164" s="67" t="s">
        <v>74</v>
      </c>
      <c r="K164" s="30" t="s">
        <v>3359</v>
      </c>
      <c r="L164" s="35"/>
      <c r="M164" s="31" t="s">
        <v>3360</v>
      </c>
      <c r="N164" s="32" t="s">
        <v>3361</v>
      </c>
      <c r="O164" s="28" t="s">
        <v>52</v>
      </c>
      <c r="P164" s="28" t="s">
        <v>2890</v>
      </c>
      <c r="Q164" s="33" t="n">
        <v>1000</v>
      </c>
      <c r="R164" s="34" t="s">
        <v>405</v>
      </c>
      <c r="S164" s="35" t="n">
        <v>4290</v>
      </c>
      <c r="T164" s="59" t="s">
        <v>421</v>
      </c>
      <c r="U164" s="28" t="n">
        <v>643488.7</v>
      </c>
      <c r="V164" s="60" t="n">
        <v>24.820658</v>
      </c>
      <c r="W164" s="112" t="n">
        <f aca="false">U164/V164</f>
        <v>25925.5294521201</v>
      </c>
      <c r="X164" s="112" t="n">
        <v>531.5</v>
      </c>
      <c r="Y164" s="28" t="n">
        <v>2.46</v>
      </c>
      <c r="Z164" s="62" t="s">
        <v>80</v>
      </c>
      <c r="AA164" s="38" t="n">
        <v>42067</v>
      </c>
      <c r="AB164" s="38" t="n">
        <v>42266</v>
      </c>
      <c r="AC164" s="38" t="n">
        <v>42265</v>
      </c>
      <c r="AD164" s="38" t="n">
        <v>43726</v>
      </c>
      <c r="AE164" s="28" t="n">
        <f aca="false">YEAR(AD164)</f>
        <v>2019</v>
      </c>
      <c r="AF164" s="50" t="n">
        <v>43725</v>
      </c>
      <c r="AG164" s="40" t="n">
        <v>100411</v>
      </c>
      <c r="AH164" s="50" t="n">
        <v>43725</v>
      </c>
      <c r="AI164" s="43" t="s">
        <v>3362</v>
      </c>
    </row>
    <row r="165" s="2" customFormat="true" ht="12.75" hidden="false" customHeight="true" outlineLevel="0" collapsed="false">
      <c r="A165" s="26" t="n">
        <v>44</v>
      </c>
      <c r="B165" s="152" t="s">
        <v>3363</v>
      </c>
      <c r="C165" s="67" t="s">
        <v>2935</v>
      </c>
      <c r="D165" s="28" t="s">
        <v>46</v>
      </c>
      <c r="E165" s="43" t="n">
        <v>7</v>
      </c>
      <c r="F165" s="43" t="n">
        <v>1.4</v>
      </c>
      <c r="G165" s="43" t="n">
        <v>123</v>
      </c>
      <c r="H165" s="43" t="n">
        <v>2015</v>
      </c>
      <c r="I165" s="55" t="n">
        <v>1451</v>
      </c>
      <c r="J165" s="67" t="s">
        <v>74</v>
      </c>
      <c r="K165" s="30" t="s">
        <v>1274</v>
      </c>
      <c r="L165" s="35"/>
      <c r="M165" s="31" t="s">
        <v>1275</v>
      </c>
      <c r="N165" s="32" t="s">
        <v>1276</v>
      </c>
      <c r="O165" s="28" t="s">
        <v>60</v>
      </c>
      <c r="P165" s="28" t="s">
        <v>61</v>
      </c>
      <c r="Q165" s="33" t="n">
        <v>6000</v>
      </c>
      <c r="R165" s="34" t="s">
        <v>53</v>
      </c>
      <c r="S165" s="35" t="n">
        <v>3511</v>
      </c>
      <c r="T165" s="59" t="s">
        <v>123</v>
      </c>
      <c r="U165" s="28" t="n">
        <v>592631.18</v>
      </c>
      <c r="V165" s="60" t="n">
        <v>24.820658</v>
      </c>
      <c r="W165" s="112" t="n">
        <f aca="false">U165/V165</f>
        <v>23876.5297841822</v>
      </c>
      <c r="X165" s="112" t="n">
        <v>497.27</v>
      </c>
      <c r="Y165" s="28" t="n">
        <v>2.45</v>
      </c>
      <c r="Z165" s="62" t="s">
        <v>80</v>
      </c>
      <c r="AA165" s="38" t="n">
        <v>42067</v>
      </c>
      <c r="AB165" s="38" t="n">
        <v>42266</v>
      </c>
      <c r="AC165" s="38" t="n">
        <v>42265</v>
      </c>
      <c r="AD165" s="38" t="n">
        <v>43726</v>
      </c>
      <c r="AE165" s="28" t="n">
        <f aca="false">YEAR(AD165)</f>
        <v>2019</v>
      </c>
      <c r="AF165" s="50" t="n">
        <v>43727</v>
      </c>
      <c r="AG165" s="40" t="n">
        <v>89176</v>
      </c>
      <c r="AH165" s="50" t="n">
        <v>43727</v>
      </c>
      <c r="AI165" s="43" t="s">
        <v>3364</v>
      </c>
    </row>
    <row r="166" s="2" customFormat="true" ht="12.75" hidden="false" customHeight="true" outlineLevel="0" collapsed="false">
      <c r="A166" s="26" t="n">
        <v>62</v>
      </c>
      <c r="B166" s="152" t="s">
        <v>3365</v>
      </c>
      <c r="C166" s="43" t="s">
        <v>3353</v>
      </c>
      <c r="D166" s="28" t="s">
        <v>46</v>
      </c>
      <c r="E166" s="43" t="n">
        <v>10.2</v>
      </c>
      <c r="F166" s="43" t="n">
        <v>1.8</v>
      </c>
      <c r="G166" s="43" t="n">
        <v>178</v>
      </c>
      <c r="H166" s="43" t="n">
        <v>2015</v>
      </c>
      <c r="I166" s="55" t="n">
        <v>1451</v>
      </c>
      <c r="J166" s="43" t="s">
        <v>74</v>
      </c>
      <c r="K166" s="30" t="s">
        <v>1254</v>
      </c>
      <c r="L166" s="35"/>
      <c r="M166" s="31" t="s">
        <v>1255</v>
      </c>
      <c r="N166" s="32" t="s">
        <v>1256</v>
      </c>
      <c r="O166" s="28" t="s">
        <v>100</v>
      </c>
      <c r="P166" s="28" t="s">
        <v>2890</v>
      </c>
      <c r="Q166" s="28" t="n">
        <v>1000</v>
      </c>
      <c r="R166" s="34" t="s">
        <v>122</v>
      </c>
      <c r="S166" s="35" t="n">
        <v>4190</v>
      </c>
      <c r="T166" s="35" t="s">
        <v>102</v>
      </c>
      <c r="U166" s="28" t="n">
        <v>993062.85</v>
      </c>
      <c r="V166" s="60" t="n">
        <v>24.820658</v>
      </c>
      <c r="W166" s="112" t="n">
        <f aca="false">U166/V166</f>
        <v>40009.5295620285</v>
      </c>
      <c r="X166" s="112" t="n">
        <v>787.83</v>
      </c>
      <c r="Y166" s="28" t="n">
        <v>2.55</v>
      </c>
      <c r="Z166" s="62" t="s">
        <v>80</v>
      </c>
      <c r="AA166" s="38" t="n">
        <v>42067</v>
      </c>
      <c r="AB166" s="38" t="n">
        <v>42277</v>
      </c>
      <c r="AC166" s="38" t="n">
        <v>42277</v>
      </c>
      <c r="AD166" s="38" t="n">
        <v>43860</v>
      </c>
      <c r="AE166" s="28" t="n">
        <f aca="false">YEAR(AD166)</f>
        <v>2020</v>
      </c>
      <c r="AF166" s="50" t="n">
        <v>43738</v>
      </c>
      <c r="AG166" s="40" t="n">
        <v>78398</v>
      </c>
      <c r="AH166" s="50" t="n">
        <v>43738</v>
      </c>
      <c r="AI166" s="43" t="s">
        <v>3366</v>
      </c>
    </row>
    <row r="167" s="2" customFormat="true" ht="12.75" hidden="false" customHeight="true" outlineLevel="0" collapsed="false">
      <c r="A167" s="26" t="n">
        <v>163</v>
      </c>
      <c r="B167" s="43" t="s">
        <v>3367</v>
      </c>
      <c r="C167" s="43" t="s">
        <v>3353</v>
      </c>
      <c r="D167" s="28" t="s">
        <v>46</v>
      </c>
      <c r="E167" s="43" t="n">
        <v>10.2</v>
      </c>
      <c r="F167" s="43" t="n">
        <v>1.8</v>
      </c>
      <c r="G167" s="43" t="n">
        <v>178</v>
      </c>
      <c r="H167" s="43" t="n">
        <v>2015</v>
      </c>
      <c r="I167" s="55" t="n">
        <v>1451</v>
      </c>
      <c r="J167" s="43" t="s">
        <v>74</v>
      </c>
      <c r="K167" s="86" t="s">
        <v>2887</v>
      </c>
      <c r="L167" s="35"/>
      <c r="M167" s="31" t="s">
        <v>2869</v>
      </c>
      <c r="N167" s="32" t="s">
        <v>3356</v>
      </c>
      <c r="O167" s="57" t="s">
        <v>100</v>
      </c>
      <c r="P167" s="57" t="s">
        <v>2890</v>
      </c>
      <c r="Q167" s="57" t="n">
        <v>1000</v>
      </c>
      <c r="R167" s="34" t="s">
        <v>1014</v>
      </c>
      <c r="S167" s="69" t="n">
        <v>5110</v>
      </c>
      <c r="T167" s="35" t="s">
        <v>3368</v>
      </c>
      <c r="U167" s="28" t="n">
        <v>959008.9</v>
      </c>
      <c r="V167" s="60" t="n">
        <v>24.820658</v>
      </c>
      <c r="W167" s="112" t="n">
        <f aca="false">U167/V167</f>
        <v>38637.5292709806</v>
      </c>
      <c r="X167" s="112" t="n">
        <v>752.48</v>
      </c>
      <c r="Y167" s="28" t="n">
        <v>2.65</v>
      </c>
      <c r="Z167" s="62" t="s">
        <v>80</v>
      </c>
      <c r="AA167" s="38" t="n">
        <v>42292</v>
      </c>
      <c r="AB167" s="38" t="n">
        <v>42338</v>
      </c>
      <c r="AC167" s="38" t="n">
        <v>42341</v>
      </c>
      <c r="AD167" s="38" t="n">
        <v>43893</v>
      </c>
      <c r="AE167" s="57" t="n">
        <f aca="false">YEAR(AD167)</f>
        <v>2020</v>
      </c>
      <c r="AF167" s="50" t="n">
        <v>43801</v>
      </c>
      <c r="AG167" s="40"/>
      <c r="AH167" s="43"/>
      <c r="AI167" s="43" t="s">
        <v>3369</v>
      </c>
    </row>
    <row r="168" s="2" customFormat="true" ht="12.75" hidden="false" customHeight="true" outlineLevel="0" collapsed="false">
      <c r="A168" s="26" t="n">
        <v>60</v>
      </c>
      <c r="B168" s="43" t="s">
        <v>3370</v>
      </c>
      <c r="C168" s="43" t="s">
        <v>3353</v>
      </c>
      <c r="D168" s="28" t="s">
        <v>46</v>
      </c>
      <c r="E168" s="43" t="n">
        <v>10.2</v>
      </c>
      <c r="F168" s="43" t="n">
        <v>1.8</v>
      </c>
      <c r="G168" s="43" t="n">
        <v>178</v>
      </c>
      <c r="H168" s="43" t="n">
        <v>2016</v>
      </c>
      <c r="I168" s="55" t="n">
        <v>1451</v>
      </c>
      <c r="J168" s="43" t="s">
        <v>74</v>
      </c>
      <c r="K168" s="30" t="s">
        <v>3371</v>
      </c>
      <c r="L168" s="35"/>
      <c r="M168" s="31" t="s">
        <v>3372</v>
      </c>
      <c r="N168" s="32" t="s">
        <v>3373</v>
      </c>
      <c r="O168" s="28" t="s">
        <v>100</v>
      </c>
      <c r="P168" s="28" t="s">
        <v>2890</v>
      </c>
      <c r="Q168" s="33" t="n">
        <v>1000</v>
      </c>
      <c r="R168" s="34" t="s">
        <v>457</v>
      </c>
      <c r="S168" s="35" t="n">
        <v>5220</v>
      </c>
      <c r="T168" s="35" t="s">
        <v>102</v>
      </c>
      <c r="U168" s="28" t="n">
        <v>920015.65</v>
      </c>
      <c r="V168" s="60" t="n">
        <v>24.820658</v>
      </c>
      <c r="W168" s="112" t="n">
        <f aca="false">U168/V168</f>
        <v>37066.5294207752</v>
      </c>
      <c r="X168" s="112" t="n">
        <v>787.83</v>
      </c>
      <c r="Y168" s="28" t="n">
        <v>2.53</v>
      </c>
      <c r="Z168" s="62" t="s">
        <v>80</v>
      </c>
      <c r="AA168" s="38" t="n">
        <v>42067</v>
      </c>
      <c r="AB168" s="38" t="n">
        <v>42391</v>
      </c>
      <c r="AC168" s="38" t="n">
        <v>42390</v>
      </c>
      <c r="AD168" s="50" t="n">
        <v>44033</v>
      </c>
      <c r="AE168" s="28" t="n">
        <f aca="false">YEAR(AD168)</f>
        <v>2020</v>
      </c>
      <c r="AF168" s="50" t="n">
        <v>43921</v>
      </c>
      <c r="AG168" s="40"/>
      <c r="AH168" s="43"/>
      <c r="AI168" s="43" t="s">
        <v>3374</v>
      </c>
    </row>
    <row r="169" s="2" customFormat="true" ht="12.75" hidden="false" customHeight="true" outlineLevel="0" collapsed="false">
      <c r="A169" s="26" t="n">
        <v>8</v>
      </c>
      <c r="B169" s="152" t="s">
        <v>3375</v>
      </c>
      <c r="C169" s="27" t="s">
        <v>2941</v>
      </c>
      <c r="D169" s="28" t="s">
        <v>46</v>
      </c>
      <c r="E169" s="43" t="n">
        <v>7</v>
      </c>
      <c r="F169" s="43" t="n">
        <v>1.4</v>
      </c>
      <c r="G169" s="43" t="n">
        <v>123</v>
      </c>
      <c r="H169" s="43" t="n">
        <v>2015</v>
      </c>
      <c r="I169" s="55" t="n">
        <v>1451</v>
      </c>
      <c r="J169" s="43" t="s">
        <v>74</v>
      </c>
      <c r="K169" s="30" t="s">
        <v>1307</v>
      </c>
      <c r="L169" s="35"/>
      <c r="M169" s="31" t="s">
        <v>1308</v>
      </c>
      <c r="N169" s="32" t="s">
        <v>3376</v>
      </c>
      <c r="O169" s="28" t="s">
        <v>100</v>
      </c>
      <c r="P169" s="28" t="s">
        <v>2890</v>
      </c>
      <c r="Q169" s="28" t="n">
        <v>1000</v>
      </c>
      <c r="R169" s="34" t="s">
        <v>1311</v>
      </c>
      <c r="S169" s="35" t="n">
        <v>4140</v>
      </c>
      <c r="T169" s="59" t="s">
        <v>123</v>
      </c>
      <c r="U169" s="28" t="n">
        <v>291683.81</v>
      </c>
      <c r="V169" s="60" t="n">
        <v>12.952482</v>
      </c>
      <c r="W169" s="112" t="n">
        <f aca="false">U169/V169</f>
        <v>22519.5302336649</v>
      </c>
      <c r="X169" s="112" t="n">
        <v>470.3</v>
      </c>
      <c r="Y169" s="28" t="n">
        <v>2.19</v>
      </c>
      <c r="Z169" s="62" t="s">
        <v>80</v>
      </c>
      <c r="AA169" s="38" t="n">
        <v>41978</v>
      </c>
      <c r="AB169" s="38" t="n">
        <v>42016</v>
      </c>
      <c r="AC169" s="38" t="n">
        <v>42048</v>
      </c>
      <c r="AE169" s="28" t="n">
        <f aca="false">YEAR(AF169)</f>
        <v>2020</v>
      </c>
      <c r="AF169" s="260" t="n">
        <v>43997</v>
      </c>
      <c r="AG169" s="203" t="n">
        <v>166206</v>
      </c>
      <c r="AI169" s="43" t="s">
        <v>3377</v>
      </c>
    </row>
    <row r="170" s="2" customFormat="true" ht="12.75" hidden="false" customHeight="true" outlineLevel="0" collapsed="false">
      <c r="A170" s="26" t="n">
        <v>39</v>
      </c>
      <c r="B170" s="74" t="s">
        <v>3378</v>
      </c>
      <c r="C170" s="43" t="s">
        <v>3064</v>
      </c>
      <c r="D170" s="28" t="s">
        <v>46</v>
      </c>
      <c r="E170" s="43" t="n">
        <v>5.79</v>
      </c>
      <c r="F170" s="43" t="n">
        <v>1.2</v>
      </c>
      <c r="G170" s="43" t="n">
        <v>119</v>
      </c>
      <c r="H170" s="43" t="n">
        <v>2015</v>
      </c>
      <c r="I170" s="55" t="n">
        <v>1451</v>
      </c>
      <c r="J170" s="43" t="s">
        <v>74</v>
      </c>
      <c r="K170" s="86" t="s">
        <v>2887</v>
      </c>
      <c r="L170" s="28"/>
      <c r="M170" s="31" t="s">
        <v>1231</v>
      </c>
      <c r="N170" s="32" t="s">
        <v>1090</v>
      </c>
      <c r="O170" s="28" t="s">
        <v>100</v>
      </c>
      <c r="P170" s="57" t="s">
        <v>2896</v>
      </c>
      <c r="Q170" s="87" t="n">
        <v>7061</v>
      </c>
      <c r="R170" s="58" t="s">
        <v>171</v>
      </c>
      <c r="S170" s="69" t="n">
        <v>4136</v>
      </c>
      <c r="T170" s="35" t="s">
        <v>172</v>
      </c>
      <c r="U170" s="28" t="n">
        <v>423726.59</v>
      </c>
      <c r="V170" s="60" t="n">
        <v>24.820658</v>
      </c>
      <c r="W170" s="112" t="n">
        <f aca="false">U170/V170</f>
        <v>17071.5292882243</v>
      </c>
      <c r="X170" s="112" t="n">
        <v>401.43</v>
      </c>
      <c r="Y170" s="28" t="n">
        <v>2.41</v>
      </c>
      <c r="Z170" s="62" t="s">
        <v>80</v>
      </c>
      <c r="AA170" s="38" t="n">
        <v>42067</v>
      </c>
      <c r="AB170" s="38" t="n">
        <v>42214</v>
      </c>
      <c r="AC170" s="38" t="n">
        <v>42209</v>
      </c>
      <c r="AD170" s="38" t="n">
        <v>44036</v>
      </c>
      <c r="AE170" s="28" t="n">
        <f aca="false">YEAR(AD170)</f>
        <v>2020</v>
      </c>
      <c r="AF170" s="260" t="n">
        <v>43994</v>
      </c>
      <c r="AG170" s="40" t="n">
        <v>75490</v>
      </c>
      <c r="AH170" s="55"/>
      <c r="AI170" s="43" t="s">
        <v>3379</v>
      </c>
    </row>
    <row r="171" s="2" customFormat="true" ht="12.75" hidden="false" customHeight="true" outlineLevel="0" collapsed="false">
      <c r="A171" s="26" t="n">
        <v>40</v>
      </c>
      <c r="B171" s="74" t="s">
        <v>3380</v>
      </c>
      <c r="C171" s="43" t="s">
        <v>3064</v>
      </c>
      <c r="D171" s="28" t="s">
        <v>46</v>
      </c>
      <c r="E171" s="43" t="n">
        <v>5.79</v>
      </c>
      <c r="F171" s="43" t="n">
        <v>1.2</v>
      </c>
      <c r="G171" s="43" t="n">
        <v>119</v>
      </c>
      <c r="H171" s="43" t="n">
        <v>2015</v>
      </c>
      <c r="I171" s="55" t="n">
        <v>1451</v>
      </c>
      <c r="J171" s="43" t="s">
        <v>74</v>
      </c>
      <c r="K171" s="86" t="s">
        <v>2887</v>
      </c>
      <c r="L171" s="35"/>
      <c r="M171" s="31" t="s">
        <v>3068</v>
      </c>
      <c r="N171" s="32" t="s">
        <v>1090</v>
      </c>
      <c r="O171" s="28" t="s">
        <v>100</v>
      </c>
      <c r="P171" s="28" t="s">
        <v>593</v>
      </c>
      <c r="Q171" s="28" t="n">
        <v>4000</v>
      </c>
      <c r="R171" s="34" t="s">
        <v>171</v>
      </c>
      <c r="S171" s="35" t="n">
        <v>4133</v>
      </c>
      <c r="T171" s="35" t="s">
        <v>172</v>
      </c>
      <c r="U171" s="28" t="n">
        <v>423726.59</v>
      </c>
      <c r="V171" s="60" t="n">
        <v>24.820658</v>
      </c>
      <c r="W171" s="112" t="n">
        <f aca="false">U171/V171</f>
        <v>17071.5292882243</v>
      </c>
      <c r="X171" s="112" t="n">
        <v>401.43</v>
      </c>
      <c r="Y171" s="28" t="n">
        <v>2.41</v>
      </c>
      <c r="Z171" s="62" t="s">
        <v>80</v>
      </c>
      <c r="AA171" s="38" t="n">
        <v>42067</v>
      </c>
      <c r="AB171" s="38" t="n">
        <v>42214</v>
      </c>
      <c r="AC171" s="38" t="n">
        <v>42209</v>
      </c>
      <c r="AD171" s="38" t="n">
        <v>44036</v>
      </c>
      <c r="AE171" s="28" t="n">
        <f aca="false">YEAR(AD171)</f>
        <v>2020</v>
      </c>
      <c r="AF171" s="260" t="n">
        <v>43994</v>
      </c>
      <c r="AG171" s="40" t="n">
        <v>117215</v>
      </c>
      <c r="AH171" s="43"/>
      <c r="AI171" s="81" t="s">
        <v>3381</v>
      </c>
    </row>
    <row r="172" s="2" customFormat="true" ht="12.75" hidden="false" customHeight="true" outlineLevel="0" collapsed="false">
      <c r="A172" s="26" t="n">
        <v>32</v>
      </c>
      <c r="B172" s="74" t="s">
        <v>3382</v>
      </c>
      <c r="C172" s="43" t="s">
        <v>2997</v>
      </c>
      <c r="D172" s="28" t="s">
        <v>73</v>
      </c>
      <c r="E172" s="43" t="n">
        <v>5.36</v>
      </c>
      <c r="F172" s="43" t="n">
        <v>1.6</v>
      </c>
      <c r="G172" s="43" t="n">
        <v>112</v>
      </c>
      <c r="H172" s="43" t="n">
        <v>2015</v>
      </c>
      <c r="I172" s="55" t="n">
        <v>1451</v>
      </c>
      <c r="J172" s="43" t="s">
        <v>74</v>
      </c>
      <c r="K172" s="30" t="s">
        <v>1745</v>
      </c>
      <c r="L172" s="35"/>
      <c r="M172" s="31" t="s">
        <v>1746</v>
      </c>
      <c r="N172" s="32" t="s">
        <v>1717</v>
      </c>
      <c r="O172" s="28" t="s">
        <v>180</v>
      </c>
      <c r="P172" s="28" t="s">
        <v>2903</v>
      </c>
      <c r="Q172" s="33" t="n">
        <v>7033</v>
      </c>
      <c r="R172" s="34" t="s">
        <v>171</v>
      </c>
      <c r="S172" s="35" t="s">
        <v>2966</v>
      </c>
      <c r="T172" s="59" t="s">
        <v>123</v>
      </c>
      <c r="U172" s="28" t="n">
        <v>440182.69</v>
      </c>
      <c r="V172" s="60" t="n">
        <v>24.820658</v>
      </c>
      <c r="W172" s="112" t="n">
        <f aca="false">U172/V172</f>
        <v>17734.529439147</v>
      </c>
      <c r="X172" s="112" t="n">
        <v>402.79</v>
      </c>
      <c r="Y172" s="28" t="n">
        <v>2.43</v>
      </c>
      <c r="Z172" s="62" t="s">
        <v>80</v>
      </c>
      <c r="AA172" s="38" t="n">
        <v>42067</v>
      </c>
      <c r="AB172" s="38" t="n">
        <v>42265</v>
      </c>
      <c r="AC172" s="38" t="n">
        <v>42268</v>
      </c>
      <c r="AD172" s="38" t="n">
        <v>44013</v>
      </c>
      <c r="AE172" s="28" t="n">
        <f aca="false">YEAR(AD172)</f>
        <v>2020</v>
      </c>
      <c r="AF172" s="260" t="n">
        <v>44013</v>
      </c>
      <c r="AG172" s="40" t="n">
        <v>130647</v>
      </c>
      <c r="AH172" s="43"/>
      <c r="AI172" s="81" t="s">
        <v>3383</v>
      </c>
    </row>
    <row r="173" s="2" customFormat="true" ht="12.75" hidden="false" customHeight="true" outlineLevel="0" collapsed="false">
      <c r="A173" s="26" t="n">
        <v>33</v>
      </c>
      <c r="B173" s="74" t="s">
        <v>3384</v>
      </c>
      <c r="C173" s="43" t="s">
        <v>2997</v>
      </c>
      <c r="D173" s="28" t="s">
        <v>73</v>
      </c>
      <c r="E173" s="43" t="n">
        <v>5.36</v>
      </c>
      <c r="F173" s="43" t="n">
        <v>1.6</v>
      </c>
      <c r="G173" s="43" t="n">
        <v>112</v>
      </c>
      <c r="H173" s="43" t="n">
        <v>2015</v>
      </c>
      <c r="I173" s="55" t="n">
        <v>1451</v>
      </c>
      <c r="J173" s="43" t="s">
        <v>74</v>
      </c>
      <c r="K173" s="30" t="s">
        <v>1861</v>
      </c>
      <c r="L173" s="35"/>
      <c r="M173" s="31" t="s">
        <v>1862</v>
      </c>
      <c r="N173" s="32" t="s">
        <v>1717</v>
      </c>
      <c r="O173" s="28" t="s">
        <v>681</v>
      </c>
      <c r="P173" s="28" t="s">
        <v>2903</v>
      </c>
      <c r="Q173" s="33" t="n">
        <v>7031</v>
      </c>
      <c r="R173" s="34" t="s">
        <v>171</v>
      </c>
      <c r="S173" s="69" t="s">
        <v>2904</v>
      </c>
      <c r="T173" s="59" t="s">
        <v>123</v>
      </c>
      <c r="U173" s="28" t="n">
        <v>440182.69</v>
      </c>
      <c r="V173" s="60" t="n">
        <v>24.820658</v>
      </c>
      <c r="W173" s="112" t="n">
        <f aca="false">U173/V173</f>
        <v>17734.529439147</v>
      </c>
      <c r="X173" s="112" t="n">
        <v>402.79</v>
      </c>
      <c r="Y173" s="28" t="n">
        <v>2.43</v>
      </c>
      <c r="Z173" s="62" t="s">
        <v>80</v>
      </c>
      <c r="AA173" s="38" t="n">
        <v>42067</v>
      </c>
      <c r="AB173" s="38" t="n">
        <v>42265</v>
      </c>
      <c r="AC173" s="38" t="n">
        <v>42268</v>
      </c>
      <c r="AD173" s="38" t="n">
        <v>44013</v>
      </c>
      <c r="AE173" s="28" t="n">
        <f aca="false">YEAR(AD173)</f>
        <v>2020</v>
      </c>
      <c r="AF173" s="260" t="n">
        <v>44013</v>
      </c>
      <c r="AG173" s="40" t="n">
        <v>147527</v>
      </c>
      <c r="AH173" s="43"/>
      <c r="AI173" s="81" t="s">
        <v>3385</v>
      </c>
    </row>
    <row r="174" s="2" customFormat="true" ht="12.75" hidden="false" customHeight="true" outlineLevel="0" collapsed="false">
      <c r="A174" s="26" t="n">
        <v>9</v>
      </c>
      <c r="B174" s="74" t="s">
        <v>3386</v>
      </c>
      <c r="C174" s="43" t="s">
        <v>2997</v>
      </c>
      <c r="D174" s="28" t="s">
        <v>73</v>
      </c>
      <c r="E174" s="43" t="n">
        <v>5.36</v>
      </c>
      <c r="F174" s="43" t="n">
        <v>1.6</v>
      </c>
      <c r="G174" s="43" t="n">
        <v>112</v>
      </c>
      <c r="H174" s="43" t="n">
        <v>2015</v>
      </c>
      <c r="I174" s="55" t="n">
        <v>1451</v>
      </c>
      <c r="J174" s="43" t="s">
        <v>74</v>
      </c>
      <c r="K174" s="30" t="s">
        <v>1913</v>
      </c>
      <c r="L174" s="82"/>
      <c r="M174" s="31" t="s">
        <v>1914</v>
      </c>
      <c r="N174" s="32" t="s">
        <v>1717</v>
      </c>
      <c r="O174" s="28" t="s">
        <v>1239</v>
      </c>
      <c r="P174" s="28" t="s">
        <v>52</v>
      </c>
      <c r="Q174" s="28" t="n">
        <v>7050</v>
      </c>
      <c r="R174" s="34" t="s">
        <v>171</v>
      </c>
      <c r="S174" s="35" t="n">
        <v>4131</v>
      </c>
      <c r="T174" s="59" t="s">
        <v>123</v>
      </c>
      <c r="U174" s="28" t="n">
        <v>440182.69</v>
      </c>
      <c r="V174" s="60" t="n">
        <v>24.820658</v>
      </c>
      <c r="W174" s="112" t="n">
        <f aca="false">U174/V174</f>
        <v>17734.529439147</v>
      </c>
      <c r="X174" s="112" t="n">
        <v>402.79</v>
      </c>
      <c r="Y174" s="28" t="n">
        <v>2.43</v>
      </c>
      <c r="Z174" s="62" t="s">
        <v>80</v>
      </c>
      <c r="AA174" s="38" t="n">
        <v>42067</v>
      </c>
      <c r="AB174" s="38" t="n">
        <v>42265</v>
      </c>
      <c r="AC174" s="38" t="n">
        <v>42268</v>
      </c>
      <c r="AD174" s="38" t="n">
        <v>44013</v>
      </c>
      <c r="AE174" s="28" t="n">
        <f aca="false">YEAR(AD174)</f>
        <v>2020</v>
      </c>
      <c r="AF174" s="260" t="n">
        <v>44013</v>
      </c>
      <c r="AG174" s="40" t="n">
        <v>184156</v>
      </c>
      <c r="AH174" s="43"/>
      <c r="AI174" s="81" t="s">
        <v>3387</v>
      </c>
    </row>
    <row r="175" s="2" customFormat="true" ht="12.75" hidden="false" customHeight="true" outlineLevel="0" collapsed="false">
      <c r="A175" s="26" t="n">
        <v>12</v>
      </c>
      <c r="B175" s="74" t="s">
        <v>3388</v>
      </c>
      <c r="C175" s="43" t="s">
        <v>2997</v>
      </c>
      <c r="D175" s="28" t="s">
        <v>73</v>
      </c>
      <c r="E175" s="43" t="n">
        <v>5.36</v>
      </c>
      <c r="F175" s="43" t="n">
        <v>1.6</v>
      </c>
      <c r="G175" s="43" t="n">
        <v>112</v>
      </c>
      <c r="H175" s="43" t="n">
        <v>2015</v>
      </c>
      <c r="I175" s="55" t="n">
        <v>1451</v>
      </c>
      <c r="J175" s="43" t="s">
        <v>74</v>
      </c>
      <c r="K175" s="30" t="s">
        <v>1738</v>
      </c>
      <c r="L175" s="35"/>
      <c r="M175" s="31" t="s">
        <v>1739</v>
      </c>
      <c r="N175" s="32" t="s">
        <v>1717</v>
      </c>
      <c r="O175" s="57" t="s">
        <v>3389</v>
      </c>
      <c r="P175" s="28" t="s">
        <v>2923</v>
      </c>
      <c r="Q175" s="28" t="n">
        <v>7052</v>
      </c>
      <c r="R175" s="68" t="s">
        <v>171</v>
      </c>
      <c r="S175" s="35" t="n">
        <v>4134</v>
      </c>
      <c r="T175" s="59" t="s">
        <v>123</v>
      </c>
      <c r="U175" s="28" t="n">
        <v>440182.69</v>
      </c>
      <c r="V175" s="60" t="n">
        <v>24.820658</v>
      </c>
      <c r="W175" s="112" t="n">
        <f aca="false">U175/V175</f>
        <v>17734.529439147</v>
      </c>
      <c r="X175" s="112" t="n">
        <v>402.79</v>
      </c>
      <c r="Y175" s="28" t="n">
        <v>2.43</v>
      </c>
      <c r="Z175" s="62" t="s">
        <v>80</v>
      </c>
      <c r="AA175" s="38" t="n">
        <v>42067</v>
      </c>
      <c r="AB175" s="38" t="n">
        <v>42265</v>
      </c>
      <c r="AC175" s="38" t="n">
        <v>42268</v>
      </c>
      <c r="AD175" s="38" t="n">
        <v>44013</v>
      </c>
      <c r="AE175" s="28" t="n">
        <f aca="false">YEAR(AD175)</f>
        <v>2020</v>
      </c>
      <c r="AF175" s="260" t="n">
        <v>44013</v>
      </c>
      <c r="AG175" s="40" t="n">
        <v>142697</v>
      </c>
      <c r="AH175" s="43"/>
      <c r="AI175" s="81" t="s">
        <v>3390</v>
      </c>
    </row>
    <row r="176" s="2" customFormat="true" ht="12.75" hidden="false" customHeight="true" outlineLevel="0" collapsed="false">
      <c r="A176" s="26" t="n">
        <v>23</v>
      </c>
      <c r="B176" s="74" t="s">
        <v>3391</v>
      </c>
      <c r="C176" s="43" t="s">
        <v>2997</v>
      </c>
      <c r="D176" s="28" t="s">
        <v>73</v>
      </c>
      <c r="E176" s="43" t="n">
        <v>5.36</v>
      </c>
      <c r="F176" s="43" t="n">
        <v>1.6</v>
      </c>
      <c r="G176" s="43" t="n">
        <v>112</v>
      </c>
      <c r="H176" s="43" t="n">
        <v>2015</v>
      </c>
      <c r="I176" s="55" t="n">
        <v>1451</v>
      </c>
      <c r="J176" s="43" t="s">
        <v>74</v>
      </c>
      <c r="K176" s="30" t="s">
        <v>3392</v>
      </c>
      <c r="L176" s="35"/>
      <c r="M176" s="31" t="s">
        <v>3393</v>
      </c>
      <c r="N176" s="32" t="s">
        <v>1717</v>
      </c>
      <c r="O176" s="28" t="s">
        <v>100</v>
      </c>
      <c r="P176" s="28" t="s">
        <v>593</v>
      </c>
      <c r="Q176" s="33" t="n">
        <v>4000</v>
      </c>
      <c r="R176" s="58" t="s">
        <v>171</v>
      </c>
      <c r="S176" s="35" t="n">
        <v>4133</v>
      </c>
      <c r="T176" s="59" t="s">
        <v>123</v>
      </c>
      <c r="U176" s="28" t="n">
        <v>440182.69</v>
      </c>
      <c r="V176" s="60" t="n">
        <v>24.820658</v>
      </c>
      <c r="W176" s="112" t="n">
        <f aca="false">U176/V176</f>
        <v>17734.529439147</v>
      </c>
      <c r="X176" s="112" t="n">
        <v>402.79</v>
      </c>
      <c r="Y176" s="28" t="n">
        <v>2.43</v>
      </c>
      <c r="Z176" s="62" t="s">
        <v>80</v>
      </c>
      <c r="AA176" s="38" t="n">
        <v>42067</v>
      </c>
      <c r="AB176" s="38" t="n">
        <v>42265</v>
      </c>
      <c r="AC176" s="38" t="n">
        <v>42268</v>
      </c>
      <c r="AD176" s="38" t="n">
        <v>44013</v>
      </c>
      <c r="AE176" s="28" t="n">
        <f aca="false">YEAR(AD176)</f>
        <v>2020</v>
      </c>
      <c r="AF176" s="260" t="n">
        <v>44013</v>
      </c>
      <c r="AG176" s="40" t="n">
        <v>145805</v>
      </c>
      <c r="AH176" s="43"/>
      <c r="AI176" s="81" t="s">
        <v>3394</v>
      </c>
    </row>
    <row r="177" s="2" customFormat="true" ht="12.75" hidden="false" customHeight="true" outlineLevel="0" collapsed="false">
      <c r="A177" s="26" t="n">
        <v>19</v>
      </c>
      <c r="B177" s="74" t="s">
        <v>3395</v>
      </c>
      <c r="C177" s="43" t="s">
        <v>2997</v>
      </c>
      <c r="D177" s="28" t="s">
        <v>73</v>
      </c>
      <c r="E177" s="43" t="n">
        <v>5.36</v>
      </c>
      <c r="F177" s="43" t="n">
        <v>1.6</v>
      </c>
      <c r="G177" s="43" t="n">
        <v>112</v>
      </c>
      <c r="H177" s="43" t="n">
        <v>2015</v>
      </c>
      <c r="I177" s="55" t="n">
        <v>1451</v>
      </c>
      <c r="J177" s="43" t="s">
        <v>74</v>
      </c>
      <c r="K177" s="30" t="s">
        <v>1891</v>
      </c>
      <c r="L177" s="35"/>
      <c r="M177" s="31" t="s">
        <v>1892</v>
      </c>
      <c r="N177" s="32" t="s">
        <v>1717</v>
      </c>
      <c r="O177" s="28" t="s">
        <v>52</v>
      </c>
      <c r="P177" s="28" t="s">
        <v>52</v>
      </c>
      <c r="Q177" s="33" t="n">
        <v>7015</v>
      </c>
      <c r="R177" s="34" t="s">
        <v>171</v>
      </c>
      <c r="S177" s="35" t="n">
        <v>4131</v>
      </c>
      <c r="T177" s="59" t="s">
        <v>123</v>
      </c>
      <c r="U177" s="28" t="n">
        <v>440182.69</v>
      </c>
      <c r="V177" s="60" t="n">
        <v>24.820658</v>
      </c>
      <c r="W177" s="112" t="n">
        <f aca="false">U177/V177</f>
        <v>17734.529439147</v>
      </c>
      <c r="X177" s="112" t="n">
        <v>402.79</v>
      </c>
      <c r="Y177" s="28" t="n">
        <v>2.43</v>
      </c>
      <c r="Z177" s="62" t="s">
        <v>80</v>
      </c>
      <c r="AA177" s="38" t="n">
        <v>42067</v>
      </c>
      <c r="AB177" s="38" t="n">
        <v>42265</v>
      </c>
      <c r="AC177" s="38" t="n">
        <v>42268</v>
      </c>
      <c r="AD177" s="38" t="n">
        <v>44014</v>
      </c>
      <c r="AE177" s="28" t="n">
        <f aca="false">YEAR(AD177)</f>
        <v>2020</v>
      </c>
      <c r="AF177" s="260" t="n">
        <v>44014</v>
      </c>
      <c r="AG177" s="40" t="n">
        <v>136651</v>
      </c>
      <c r="AH177" s="43"/>
      <c r="AI177" s="81" t="s">
        <v>3396</v>
      </c>
    </row>
    <row r="178" s="2" customFormat="true" ht="12.75" hidden="false" customHeight="true" outlineLevel="0" collapsed="false">
      <c r="A178" s="26" t="n">
        <v>34</v>
      </c>
      <c r="B178" s="74" t="s">
        <v>3397</v>
      </c>
      <c r="C178" s="43" t="s">
        <v>2997</v>
      </c>
      <c r="D178" s="28" t="s">
        <v>73</v>
      </c>
      <c r="E178" s="43" t="n">
        <v>5.36</v>
      </c>
      <c r="F178" s="43" t="n">
        <v>1.6</v>
      </c>
      <c r="G178" s="43" t="n">
        <v>112</v>
      </c>
      <c r="H178" s="43" t="n">
        <v>2015</v>
      </c>
      <c r="I178" s="55" t="n">
        <v>1451</v>
      </c>
      <c r="J178" s="43" t="s">
        <v>74</v>
      </c>
      <c r="K178" s="30" t="s">
        <v>1905</v>
      </c>
      <c r="L178" s="69"/>
      <c r="M178" s="31" t="s">
        <v>1906</v>
      </c>
      <c r="N178" s="32" t="s">
        <v>3398</v>
      </c>
      <c r="O178" s="28" t="s">
        <v>100</v>
      </c>
      <c r="P178" s="28" t="s">
        <v>2890</v>
      </c>
      <c r="Q178" s="28" t="n">
        <v>1000</v>
      </c>
      <c r="R178" s="34" t="s">
        <v>92</v>
      </c>
      <c r="S178" s="35" t="n">
        <v>4140</v>
      </c>
      <c r="T178" s="59" t="s">
        <v>123</v>
      </c>
      <c r="U178" s="28" t="n">
        <v>440182.69</v>
      </c>
      <c r="V178" s="60" t="n">
        <v>24.820658</v>
      </c>
      <c r="W178" s="112" t="n">
        <f aca="false">U178/V178</f>
        <v>17734.529439147</v>
      </c>
      <c r="X178" s="112" t="n">
        <v>402.79</v>
      </c>
      <c r="Y178" s="28" t="n">
        <v>2.43</v>
      </c>
      <c r="Z178" s="62" t="s">
        <v>80</v>
      </c>
      <c r="AA178" s="38" t="n">
        <v>42067</v>
      </c>
      <c r="AB178" s="38" t="n">
        <v>42265</v>
      </c>
      <c r="AC178" s="38" t="n">
        <v>42268</v>
      </c>
      <c r="AD178" s="38" t="n">
        <v>44014</v>
      </c>
      <c r="AE178" s="28" t="n">
        <f aca="false">YEAR(AD178)</f>
        <v>2020</v>
      </c>
      <c r="AF178" s="260" t="n">
        <v>44014</v>
      </c>
      <c r="AG178" s="40" t="n">
        <v>109546</v>
      </c>
      <c r="AH178" s="43"/>
      <c r="AI178" s="81" t="s">
        <v>3399</v>
      </c>
    </row>
    <row r="179" s="2" customFormat="true" ht="12.75" hidden="false" customHeight="true" outlineLevel="0" collapsed="false">
      <c r="A179" s="26" t="n">
        <v>22</v>
      </c>
      <c r="B179" s="74" t="s">
        <v>3400</v>
      </c>
      <c r="C179" s="43" t="s">
        <v>2997</v>
      </c>
      <c r="D179" s="28" t="s">
        <v>73</v>
      </c>
      <c r="E179" s="43" t="n">
        <v>5.36</v>
      </c>
      <c r="F179" s="43" t="n">
        <v>1.6</v>
      </c>
      <c r="G179" s="43" t="n">
        <v>112</v>
      </c>
      <c r="H179" s="43" t="n">
        <v>2015</v>
      </c>
      <c r="I179" s="55" t="n">
        <v>1451</v>
      </c>
      <c r="J179" s="43" t="s">
        <v>74</v>
      </c>
      <c r="K179" s="30" t="s">
        <v>1805</v>
      </c>
      <c r="L179" s="35"/>
      <c r="M179" s="31" t="s">
        <v>1806</v>
      </c>
      <c r="N179" s="32" t="s">
        <v>1717</v>
      </c>
      <c r="O179" s="57" t="s">
        <v>928</v>
      </c>
      <c r="P179" s="57" t="s">
        <v>2903</v>
      </c>
      <c r="Q179" s="87" t="n">
        <v>7072</v>
      </c>
      <c r="R179" s="58" t="s">
        <v>171</v>
      </c>
      <c r="S179" s="69" t="s">
        <v>2904</v>
      </c>
      <c r="T179" s="59" t="s">
        <v>123</v>
      </c>
      <c r="U179" s="28" t="n">
        <v>440182.69</v>
      </c>
      <c r="V179" s="60" t="n">
        <v>24.820658</v>
      </c>
      <c r="W179" s="112" t="n">
        <f aca="false">U179/V179</f>
        <v>17734.529439147</v>
      </c>
      <c r="X179" s="112" t="n">
        <v>402.79</v>
      </c>
      <c r="Y179" s="28" t="n">
        <v>2.43</v>
      </c>
      <c r="Z179" s="62" t="s">
        <v>80</v>
      </c>
      <c r="AA179" s="38" t="n">
        <v>42067</v>
      </c>
      <c r="AB179" s="38" t="n">
        <v>42265</v>
      </c>
      <c r="AC179" s="38" t="n">
        <v>42268</v>
      </c>
      <c r="AD179" s="38" t="n">
        <v>44014</v>
      </c>
      <c r="AE179" s="28" t="n">
        <f aca="false">YEAR(AD179)</f>
        <v>2020</v>
      </c>
      <c r="AF179" s="260" t="n">
        <v>44014</v>
      </c>
      <c r="AG179" s="40" t="n">
        <v>130940</v>
      </c>
      <c r="AH179" s="43"/>
      <c r="AI179" s="81" t="s">
        <v>3401</v>
      </c>
    </row>
    <row r="180" s="2" customFormat="true" ht="12.75" hidden="false" customHeight="true" outlineLevel="0" collapsed="false">
      <c r="A180" s="26" t="n">
        <v>25</v>
      </c>
      <c r="B180" s="74" t="s">
        <v>3402</v>
      </c>
      <c r="C180" s="43" t="s">
        <v>2997</v>
      </c>
      <c r="D180" s="28" t="s">
        <v>73</v>
      </c>
      <c r="E180" s="43" t="n">
        <v>5.36</v>
      </c>
      <c r="F180" s="43" t="n">
        <v>1.6</v>
      </c>
      <c r="G180" s="43" t="n">
        <v>112</v>
      </c>
      <c r="H180" s="43" t="n">
        <v>2015</v>
      </c>
      <c r="I180" s="55" t="n">
        <v>1451</v>
      </c>
      <c r="J180" s="43" t="s">
        <v>74</v>
      </c>
      <c r="K180" s="30" t="s">
        <v>1798</v>
      </c>
      <c r="L180" s="35"/>
      <c r="M180" s="31" t="s">
        <v>1799</v>
      </c>
      <c r="N180" s="32" t="s">
        <v>1717</v>
      </c>
      <c r="O180" s="28" t="s">
        <v>197</v>
      </c>
      <c r="P180" s="28" t="s">
        <v>2923</v>
      </c>
      <c r="Q180" s="33" t="n">
        <v>7042</v>
      </c>
      <c r="R180" s="34" t="s">
        <v>171</v>
      </c>
      <c r="S180" s="35" t="n">
        <v>4134</v>
      </c>
      <c r="T180" s="59" t="s">
        <v>123</v>
      </c>
      <c r="U180" s="28" t="n">
        <v>440182.69</v>
      </c>
      <c r="V180" s="60" t="n">
        <v>24.820658</v>
      </c>
      <c r="W180" s="112" t="n">
        <f aca="false">U180/V180</f>
        <v>17734.529439147</v>
      </c>
      <c r="X180" s="112" t="n">
        <v>402.79</v>
      </c>
      <c r="Y180" s="28" t="n">
        <v>2.43</v>
      </c>
      <c r="Z180" s="62" t="s">
        <v>80</v>
      </c>
      <c r="AA180" s="38" t="n">
        <v>42067</v>
      </c>
      <c r="AB180" s="38" t="n">
        <v>42265</v>
      </c>
      <c r="AC180" s="38" t="n">
        <v>42268</v>
      </c>
      <c r="AD180" s="38" t="n">
        <v>44011</v>
      </c>
      <c r="AE180" s="28" t="n">
        <f aca="false">YEAR(AD180)</f>
        <v>2020</v>
      </c>
      <c r="AF180" s="260" t="n">
        <v>44012</v>
      </c>
      <c r="AG180" s="40" t="n">
        <v>179018</v>
      </c>
      <c r="AH180" s="43"/>
      <c r="AI180" s="81" t="s">
        <v>3403</v>
      </c>
    </row>
    <row r="181" s="2" customFormat="true" ht="12.75" hidden="false" customHeight="true" outlineLevel="0" collapsed="false">
      <c r="A181" s="26" t="n">
        <v>28</v>
      </c>
      <c r="B181" s="74" t="s">
        <v>3404</v>
      </c>
      <c r="C181" s="43" t="s">
        <v>2997</v>
      </c>
      <c r="D181" s="28" t="s">
        <v>73</v>
      </c>
      <c r="E181" s="43" t="n">
        <v>5.36</v>
      </c>
      <c r="F181" s="43" t="n">
        <v>1.6</v>
      </c>
      <c r="G181" s="43" t="n">
        <v>112</v>
      </c>
      <c r="H181" s="43" t="n">
        <v>2015</v>
      </c>
      <c r="I181" s="55" t="n">
        <v>1451</v>
      </c>
      <c r="J181" s="43" t="s">
        <v>74</v>
      </c>
      <c r="K181" s="30" t="s">
        <v>3405</v>
      </c>
      <c r="L181" s="35"/>
      <c r="M181" s="31" t="s">
        <v>3406</v>
      </c>
      <c r="N181" s="32" t="s">
        <v>3407</v>
      </c>
      <c r="O181" s="28" t="s">
        <v>928</v>
      </c>
      <c r="P181" s="28" t="s">
        <v>2903</v>
      </c>
      <c r="Q181" s="28" t="n">
        <v>6000</v>
      </c>
      <c r="R181" s="34" t="s">
        <v>92</v>
      </c>
      <c r="S181" s="35" t="s">
        <v>3021</v>
      </c>
      <c r="T181" s="59" t="s">
        <v>123</v>
      </c>
      <c r="U181" s="28" t="n">
        <v>440182.69</v>
      </c>
      <c r="V181" s="60" t="n">
        <v>24.820658</v>
      </c>
      <c r="W181" s="112" t="n">
        <f aca="false">U181/V181</f>
        <v>17734.529439147</v>
      </c>
      <c r="X181" s="112" t="n">
        <v>402.79</v>
      </c>
      <c r="Y181" s="28" t="n">
        <v>2.43</v>
      </c>
      <c r="Z181" s="62" t="s">
        <v>80</v>
      </c>
      <c r="AA181" s="38" t="n">
        <v>42067</v>
      </c>
      <c r="AB181" s="38" t="n">
        <v>42265</v>
      </c>
      <c r="AC181" s="38" t="n">
        <v>42268</v>
      </c>
      <c r="AD181" s="38" t="n">
        <v>44011</v>
      </c>
      <c r="AE181" s="28" t="n">
        <f aca="false">YEAR(AD181)</f>
        <v>2020</v>
      </c>
      <c r="AF181" s="260" t="n">
        <v>44012</v>
      </c>
      <c r="AG181" s="40" t="n">
        <v>161852</v>
      </c>
      <c r="AH181" s="43"/>
      <c r="AI181" s="81" t="s">
        <v>3408</v>
      </c>
    </row>
    <row r="182" s="2" customFormat="true" ht="12.75" hidden="false" customHeight="true" outlineLevel="0" collapsed="false">
      <c r="A182" s="26" t="n">
        <v>26</v>
      </c>
      <c r="B182" s="74" t="s">
        <v>3409</v>
      </c>
      <c r="C182" s="43" t="s">
        <v>2997</v>
      </c>
      <c r="D182" s="28" t="s">
        <v>73</v>
      </c>
      <c r="E182" s="43" t="n">
        <v>5.36</v>
      </c>
      <c r="F182" s="43" t="n">
        <v>1.6</v>
      </c>
      <c r="G182" s="43" t="n">
        <v>112</v>
      </c>
      <c r="H182" s="43" t="n">
        <v>2015</v>
      </c>
      <c r="I182" s="55" t="n">
        <v>1451</v>
      </c>
      <c r="J182" s="43" t="s">
        <v>74</v>
      </c>
      <c r="K182" s="30" t="s">
        <v>3410</v>
      </c>
      <c r="L182" s="69"/>
      <c r="M182" s="31" t="s">
        <v>3411</v>
      </c>
      <c r="N182" s="32" t="s">
        <v>1777</v>
      </c>
      <c r="O182" s="57" t="s">
        <v>52</v>
      </c>
      <c r="P182" s="57" t="s">
        <v>52</v>
      </c>
      <c r="Q182" s="87" t="n">
        <v>1000</v>
      </c>
      <c r="R182" s="58" t="s">
        <v>405</v>
      </c>
      <c r="S182" s="69" t="n">
        <v>4231</v>
      </c>
      <c r="T182" s="69" t="n">
        <v>5</v>
      </c>
      <c r="U182" s="28" t="n">
        <v>440182.69</v>
      </c>
      <c r="V182" s="60" t="n">
        <v>24.820658</v>
      </c>
      <c r="W182" s="112" t="n">
        <f aca="false">U182/V182</f>
        <v>17734.529439147</v>
      </c>
      <c r="X182" s="112" t="n">
        <v>402.79</v>
      </c>
      <c r="Y182" s="28" t="n">
        <v>2.43</v>
      </c>
      <c r="Z182" s="62" t="s">
        <v>80</v>
      </c>
      <c r="AA182" s="38" t="n">
        <v>42067</v>
      </c>
      <c r="AB182" s="38" t="n">
        <v>42265</v>
      </c>
      <c r="AC182" s="38" t="n">
        <v>42268</v>
      </c>
      <c r="AD182" s="38" t="n">
        <v>44011</v>
      </c>
      <c r="AE182" s="28" t="n">
        <f aca="false">YEAR(AD182)</f>
        <v>2020</v>
      </c>
      <c r="AF182" s="260" t="n">
        <v>44012</v>
      </c>
      <c r="AG182" s="40" t="n">
        <v>146081</v>
      </c>
      <c r="AH182" s="43"/>
      <c r="AI182" s="81" t="s">
        <v>3412</v>
      </c>
    </row>
    <row r="183" s="2" customFormat="true" ht="12.75" hidden="false" customHeight="true" outlineLevel="0" collapsed="false">
      <c r="A183" s="26" t="n">
        <v>15</v>
      </c>
      <c r="B183" s="74" t="s">
        <v>3413</v>
      </c>
      <c r="C183" s="43" t="s">
        <v>2997</v>
      </c>
      <c r="D183" s="28" t="s">
        <v>73</v>
      </c>
      <c r="E183" s="43" t="n">
        <v>5.36</v>
      </c>
      <c r="F183" s="43" t="n">
        <v>1.6</v>
      </c>
      <c r="G183" s="43" t="n">
        <v>112</v>
      </c>
      <c r="H183" s="43" t="n">
        <v>2015</v>
      </c>
      <c r="I183" s="55" t="n">
        <v>1451</v>
      </c>
      <c r="J183" s="43" t="s">
        <v>74</v>
      </c>
      <c r="K183" s="30" t="s">
        <v>1715</v>
      </c>
      <c r="L183" s="35"/>
      <c r="M183" s="31" t="s">
        <v>1716</v>
      </c>
      <c r="N183" s="32" t="s">
        <v>1717</v>
      </c>
      <c r="O183" s="28" t="s">
        <v>1350</v>
      </c>
      <c r="P183" s="28" t="s">
        <v>61</v>
      </c>
      <c r="Q183" s="33" t="n">
        <v>7082</v>
      </c>
      <c r="R183" s="34" t="s">
        <v>171</v>
      </c>
      <c r="S183" s="35" t="n">
        <v>4138</v>
      </c>
      <c r="T183" s="59" t="s">
        <v>123</v>
      </c>
      <c r="U183" s="28" t="n">
        <v>440182.69</v>
      </c>
      <c r="V183" s="60" t="n">
        <v>24.820658</v>
      </c>
      <c r="W183" s="112" t="n">
        <f aca="false">U183/V183</f>
        <v>17734.529439147</v>
      </c>
      <c r="X183" s="112" t="n">
        <v>402.79</v>
      </c>
      <c r="Y183" s="28" t="n">
        <v>2.43</v>
      </c>
      <c r="Z183" s="62" t="s">
        <v>80</v>
      </c>
      <c r="AA183" s="38" t="n">
        <v>42067</v>
      </c>
      <c r="AB183" s="38" t="n">
        <v>42265</v>
      </c>
      <c r="AC183" s="38" t="n">
        <v>42268</v>
      </c>
      <c r="AD183" s="38" t="n">
        <v>44008</v>
      </c>
      <c r="AE183" s="28" t="n">
        <f aca="false">YEAR(AD183)</f>
        <v>2020</v>
      </c>
      <c r="AF183" s="260" t="n">
        <v>44008</v>
      </c>
      <c r="AG183" s="40" t="n">
        <v>146463</v>
      </c>
      <c r="AH183" s="43"/>
      <c r="AI183" s="81" t="s">
        <v>3414</v>
      </c>
    </row>
    <row r="184" s="2" customFormat="true" ht="12.75" hidden="false" customHeight="true" outlineLevel="0" collapsed="false">
      <c r="A184" s="26" t="n">
        <v>17</v>
      </c>
      <c r="B184" s="74" t="s">
        <v>3415</v>
      </c>
      <c r="C184" s="43" t="s">
        <v>2997</v>
      </c>
      <c r="D184" s="28" t="s">
        <v>73</v>
      </c>
      <c r="E184" s="43" t="n">
        <v>5.36</v>
      </c>
      <c r="F184" s="43" t="n">
        <v>1.6</v>
      </c>
      <c r="G184" s="43" t="n">
        <v>112</v>
      </c>
      <c r="H184" s="43" t="n">
        <v>2015</v>
      </c>
      <c r="I184" s="55" t="n">
        <v>1451</v>
      </c>
      <c r="J184" s="43" t="s">
        <v>74</v>
      </c>
      <c r="K184" s="151" t="s">
        <v>1268</v>
      </c>
      <c r="L184" s="35"/>
      <c r="M184" s="31" t="s">
        <v>1269</v>
      </c>
      <c r="N184" s="32" t="s">
        <v>3398</v>
      </c>
      <c r="O184" s="57" t="s">
        <v>218</v>
      </c>
      <c r="P184" s="28" t="s">
        <v>52</v>
      </c>
      <c r="Q184" s="33" t="n">
        <v>1200</v>
      </c>
      <c r="R184" s="34" t="s">
        <v>189</v>
      </c>
      <c r="S184" s="35" t="n">
        <v>4171</v>
      </c>
      <c r="T184" s="59" t="s">
        <v>123</v>
      </c>
      <c r="U184" s="28" t="n">
        <v>440182.69</v>
      </c>
      <c r="V184" s="60" t="n">
        <v>24.820658</v>
      </c>
      <c r="W184" s="112" t="n">
        <f aca="false">U184/V184</f>
        <v>17734.529439147</v>
      </c>
      <c r="X184" s="112" t="n">
        <v>402.79</v>
      </c>
      <c r="Y184" s="28" t="n">
        <v>2.43</v>
      </c>
      <c r="Z184" s="62" t="s">
        <v>80</v>
      </c>
      <c r="AA184" s="38" t="n">
        <v>42067</v>
      </c>
      <c r="AB184" s="38" t="n">
        <v>42265</v>
      </c>
      <c r="AC184" s="38" t="n">
        <v>42268</v>
      </c>
      <c r="AD184" s="38" t="n">
        <v>44008</v>
      </c>
      <c r="AE184" s="28" t="n">
        <f aca="false">YEAR(AD184)</f>
        <v>2020</v>
      </c>
      <c r="AF184" s="260" t="n">
        <v>44008</v>
      </c>
      <c r="AG184" s="40" t="n">
        <v>129480</v>
      </c>
      <c r="AH184" s="43"/>
      <c r="AI184" s="81" t="s">
        <v>3416</v>
      </c>
    </row>
    <row r="185" s="1" customFormat="true" ht="12.75" hidden="false" customHeight="true" outlineLevel="0" collapsed="false">
      <c r="A185" s="26" t="n">
        <v>37</v>
      </c>
      <c r="B185" s="74" t="s">
        <v>3417</v>
      </c>
      <c r="C185" s="26" t="s">
        <v>2997</v>
      </c>
      <c r="D185" s="57" t="s">
        <v>73</v>
      </c>
      <c r="E185" s="26" t="n">
        <v>5.36</v>
      </c>
      <c r="F185" s="26" t="n">
        <v>1.6</v>
      </c>
      <c r="G185" s="43" t="n">
        <v>112</v>
      </c>
      <c r="H185" s="26" t="n">
        <v>2015</v>
      </c>
      <c r="I185" s="55" t="n">
        <v>1451</v>
      </c>
      <c r="J185" s="26" t="s">
        <v>74</v>
      </c>
      <c r="K185" s="30" t="s">
        <v>3418</v>
      </c>
      <c r="L185" s="69"/>
      <c r="M185" s="31" t="s">
        <v>3419</v>
      </c>
      <c r="N185" s="32" t="s">
        <v>1700</v>
      </c>
      <c r="O185" s="57" t="s">
        <v>100</v>
      </c>
      <c r="P185" s="28" t="s">
        <v>2890</v>
      </c>
      <c r="Q185" s="87" t="n">
        <v>1000</v>
      </c>
      <c r="R185" s="261" t="s">
        <v>405</v>
      </c>
      <c r="S185" s="69" t="n">
        <v>3480</v>
      </c>
      <c r="T185" s="69" t="n">
        <v>5</v>
      </c>
      <c r="U185" s="57" t="n">
        <v>440182.69</v>
      </c>
      <c r="V185" s="140" t="n">
        <v>24.820658</v>
      </c>
      <c r="W185" s="141" t="n">
        <f aca="false">U185/V185</f>
        <v>17734.529439147</v>
      </c>
      <c r="X185" s="141" t="n">
        <v>402.79</v>
      </c>
      <c r="Y185" s="57" t="n">
        <v>2.43</v>
      </c>
      <c r="Z185" s="62" t="s">
        <v>80</v>
      </c>
      <c r="AA185" s="143" t="n">
        <v>42067</v>
      </c>
      <c r="AB185" s="143" t="n">
        <v>42265</v>
      </c>
      <c r="AC185" s="143" t="n">
        <v>42268</v>
      </c>
      <c r="AD185" s="38" t="n">
        <v>44008</v>
      </c>
      <c r="AE185" s="57" t="n">
        <f aca="false">YEAR(AD185)</f>
        <v>2020</v>
      </c>
      <c r="AF185" s="260" t="n">
        <v>44008</v>
      </c>
      <c r="AG185" s="40" t="n">
        <v>82583</v>
      </c>
      <c r="AH185" s="26"/>
      <c r="AI185" s="262" t="s">
        <v>3420</v>
      </c>
    </row>
    <row r="186" s="2" customFormat="true" ht="12.75" hidden="false" customHeight="true" outlineLevel="0" collapsed="false">
      <c r="A186" s="26" t="n">
        <v>13</v>
      </c>
      <c r="B186" s="74" t="s">
        <v>3421</v>
      </c>
      <c r="C186" s="43" t="s">
        <v>2997</v>
      </c>
      <c r="D186" s="28" t="s">
        <v>73</v>
      </c>
      <c r="E186" s="43" t="n">
        <v>5.36</v>
      </c>
      <c r="F186" s="43" t="n">
        <v>1.6</v>
      </c>
      <c r="G186" s="43" t="n">
        <v>112</v>
      </c>
      <c r="H186" s="43" t="n">
        <v>2015</v>
      </c>
      <c r="I186" s="55" t="n">
        <v>1451</v>
      </c>
      <c r="J186" s="43" t="s">
        <v>74</v>
      </c>
      <c r="K186" s="30" t="s">
        <v>1819</v>
      </c>
      <c r="L186" s="69"/>
      <c r="M186" s="31" t="s">
        <v>1820</v>
      </c>
      <c r="N186" s="32" t="s">
        <v>1717</v>
      </c>
      <c r="O186" s="28" t="s">
        <v>60</v>
      </c>
      <c r="P186" s="28" t="s">
        <v>61</v>
      </c>
      <c r="Q186" s="231" t="n">
        <v>7081</v>
      </c>
      <c r="R186" s="34" t="s">
        <v>171</v>
      </c>
      <c r="S186" s="35" t="n">
        <v>4138</v>
      </c>
      <c r="T186" s="59" t="s">
        <v>123</v>
      </c>
      <c r="U186" s="28" t="n">
        <v>440182.69</v>
      </c>
      <c r="V186" s="60" t="n">
        <v>24.820658</v>
      </c>
      <c r="W186" s="112" t="n">
        <f aca="false">U186/V186</f>
        <v>17734.529439147</v>
      </c>
      <c r="X186" s="112" t="n">
        <v>402.79</v>
      </c>
      <c r="Y186" s="28" t="n">
        <v>2.43</v>
      </c>
      <c r="Z186" s="62" t="s">
        <v>80</v>
      </c>
      <c r="AA186" s="38" t="n">
        <v>42067</v>
      </c>
      <c r="AB186" s="38" t="n">
        <v>42265</v>
      </c>
      <c r="AC186" s="38" t="n">
        <v>42268</v>
      </c>
      <c r="AD186" s="38" t="n">
        <v>44007</v>
      </c>
      <c r="AE186" s="28" t="n">
        <f aca="false">YEAR(AD186)</f>
        <v>2020</v>
      </c>
      <c r="AF186" s="260" t="n">
        <v>44007</v>
      </c>
      <c r="AG186" s="40" t="n">
        <v>133650</v>
      </c>
      <c r="AH186" s="43"/>
      <c r="AI186" s="81" t="s">
        <v>3422</v>
      </c>
    </row>
    <row r="187" s="2" customFormat="true" ht="12.75" hidden="false" customHeight="true" outlineLevel="0" collapsed="false">
      <c r="A187" s="26" t="n">
        <v>38</v>
      </c>
      <c r="B187" s="74" t="s">
        <v>3423</v>
      </c>
      <c r="C187" s="43" t="s">
        <v>2997</v>
      </c>
      <c r="D187" s="28" t="s">
        <v>73</v>
      </c>
      <c r="E187" s="43" t="n">
        <v>5.36</v>
      </c>
      <c r="F187" s="43" t="n">
        <v>1.6</v>
      </c>
      <c r="G187" s="43" t="n">
        <v>112</v>
      </c>
      <c r="H187" s="43" t="n">
        <v>2015</v>
      </c>
      <c r="I187" s="55" t="n">
        <v>1451</v>
      </c>
      <c r="J187" s="43" t="s">
        <v>74</v>
      </c>
      <c r="K187" s="30" t="s">
        <v>3424</v>
      </c>
      <c r="L187" s="35"/>
      <c r="M187" s="31" t="s">
        <v>3425</v>
      </c>
      <c r="N187" s="32" t="s">
        <v>1777</v>
      </c>
      <c r="O187" s="28" t="s">
        <v>100</v>
      </c>
      <c r="P187" s="28" t="s">
        <v>100</v>
      </c>
      <c r="Q187" s="28" t="n">
        <v>4000</v>
      </c>
      <c r="R187" s="261" t="s">
        <v>405</v>
      </c>
      <c r="S187" s="28" t="n">
        <v>4232</v>
      </c>
      <c r="T187" s="69" t="n">
        <v>5</v>
      </c>
      <c r="U187" s="28" t="n">
        <v>440182.69</v>
      </c>
      <c r="V187" s="60" t="n">
        <v>24.820658</v>
      </c>
      <c r="W187" s="112" t="n">
        <f aca="false">U187/V187</f>
        <v>17734.529439147</v>
      </c>
      <c r="X187" s="112" t="n">
        <v>402.79</v>
      </c>
      <c r="Y187" s="28" t="n">
        <v>2.43</v>
      </c>
      <c r="Z187" s="62" t="s">
        <v>80</v>
      </c>
      <c r="AA187" s="38" t="n">
        <v>42067</v>
      </c>
      <c r="AB187" s="38" t="n">
        <v>42265</v>
      </c>
      <c r="AC187" s="38" t="n">
        <v>42268</v>
      </c>
      <c r="AD187" s="38" t="n">
        <v>44007</v>
      </c>
      <c r="AE187" s="28" t="n">
        <f aca="false">YEAR(AD187)</f>
        <v>2020</v>
      </c>
      <c r="AF187" s="260" t="n">
        <v>44007</v>
      </c>
      <c r="AG187" s="40" t="n">
        <v>118306</v>
      </c>
      <c r="AH187" s="43"/>
      <c r="AI187" s="81" t="s">
        <v>3426</v>
      </c>
    </row>
    <row r="188" s="2" customFormat="true" ht="12.75" hidden="false" customHeight="true" outlineLevel="0" collapsed="false">
      <c r="A188" s="26" t="n">
        <v>30</v>
      </c>
      <c r="B188" s="74" t="s">
        <v>3427</v>
      </c>
      <c r="C188" s="43" t="s">
        <v>2997</v>
      </c>
      <c r="D188" s="28" t="s">
        <v>73</v>
      </c>
      <c r="E188" s="43" t="n">
        <v>5.36</v>
      </c>
      <c r="F188" s="43" t="n">
        <v>1.6</v>
      </c>
      <c r="G188" s="43" t="n">
        <v>112</v>
      </c>
      <c r="H188" s="43" t="n">
        <v>2015</v>
      </c>
      <c r="I188" s="55" t="n">
        <v>1451</v>
      </c>
      <c r="J188" s="43" t="s">
        <v>74</v>
      </c>
      <c r="K188" s="30" t="s">
        <v>1826</v>
      </c>
      <c r="L188" s="35"/>
      <c r="M188" s="31" t="s">
        <v>1827</v>
      </c>
      <c r="N188" s="32" t="s">
        <v>1717</v>
      </c>
      <c r="O188" s="28" t="s">
        <v>373</v>
      </c>
      <c r="P188" s="28" t="s">
        <v>2923</v>
      </c>
      <c r="Q188" s="33" t="n">
        <v>7032</v>
      </c>
      <c r="R188" s="34" t="s">
        <v>171</v>
      </c>
      <c r="S188" s="35" t="n">
        <v>4134</v>
      </c>
      <c r="T188" s="59" t="s">
        <v>123</v>
      </c>
      <c r="U188" s="28" t="n">
        <v>440182.69</v>
      </c>
      <c r="V188" s="60" t="n">
        <v>24.820658</v>
      </c>
      <c r="W188" s="112" t="n">
        <f aca="false">U188/V188</f>
        <v>17734.529439147</v>
      </c>
      <c r="X188" s="112" t="n">
        <v>402.79</v>
      </c>
      <c r="Y188" s="28" t="n">
        <v>2.43</v>
      </c>
      <c r="Z188" s="62" t="s">
        <v>80</v>
      </c>
      <c r="AA188" s="38" t="n">
        <v>42067</v>
      </c>
      <c r="AB188" s="38" t="n">
        <v>42265</v>
      </c>
      <c r="AC188" s="38" t="n">
        <v>42268</v>
      </c>
      <c r="AD188" s="38" t="n">
        <v>44004</v>
      </c>
      <c r="AE188" s="28" t="n">
        <f aca="false">YEAR(AD188)</f>
        <v>2020</v>
      </c>
      <c r="AF188" s="260" t="n">
        <v>44004</v>
      </c>
      <c r="AG188" s="40" t="n">
        <v>109370</v>
      </c>
      <c r="AH188" s="43"/>
      <c r="AI188" s="81" t="s">
        <v>3428</v>
      </c>
    </row>
    <row r="189" s="2" customFormat="true" ht="12.75" hidden="false" customHeight="true" outlineLevel="0" collapsed="false">
      <c r="A189" s="26" t="n">
        <v>10</v>
      </c>
      <c r="B189" s="74" t="s">
        <v>3429</v>
      </c>
      <c r="C189" s="43" t="s">
        <v>2997</v>
      </c>
      <c r="D189" s="28" t="s">
        <v>73</v>
      </c>
      <c r="E189" s="43" t="n">
        <v>5.36</v>
      </c>
      <c r="F189" s="43" t="n">
        <v>1.6</v>
      </c>
      <c r="G189" s="43" t="n">
        <v>112</v>
      </c>
      <c r="H189" s="43" t="n">
        <v>2015</v>
      </c>
      <c r="I189" s="55" t="n">
        <v>1451</v>
      </c>
      <c r="J189" s="43" t="s">
        <v>74</v>
      </c>
      <c r="K189" s="30" t="s">
        <v>1840</v>
      </c>
      <c r="L189" s="82"/>
      <c r="M189" s="31" t="s">
        <v>1841</v>
      </c>
      <c r="N189" s="32" t="s">
        <v>1717</v>
      </c>
      <c r="O189" s="28" t="s">
        <v>100</v>
      </c>
      <c r="P189" s="28" t="s">
        <v>593</v>
      </c>
      <c r="Q189" s="28" t="n">
        <v>7020</v>
      </c>
      <c r="R189" s="34" t="s">
        <v>171</v>
      </c>
      <c r="S189" s="35" t="n">
        <v>4133</v>
      </c>
      <c r="T189" s="59" t="s">
        <v>123</v>
      </c>
      <c r="U189" s="28" t="n">
        <v>440182.69</v>
      </c>
      <c r="V189" s="60" t="n">
        <v>24.820658</v>
      </c>
      <c r="W189" s="112" t="n">
        <f aca="false">U189/V189</f>
        <v>17734.529439147</v>
      </c>
      <c r="X189" s="112" t="n">
        <v>402.79</v>
      </c>
      <c r="Y189" s="28" t="n">
        <v>2.43</v>
      </c>
      <c r="Z189" s="62" t="s">
        <v>80</v>
      </c>
      <c r="AA189" s="38" t="n">
        <v>42067</v>
      </c>
      <c r="AB189" s="38" t="n">
        <v>42265</v>
      </c>
      <c r="AC189" s="38" t="n">
        <v>42268</v>
      </c>
      <c r="AD189" s="38" t="n">
        <v>44005</v>
      </c>
      <c r="AE189" s="28" t="n">
        <f aca="false">YEAR(AD189)</f>
        <v>2020</v>
      </c>
      <c r="AF189" s="260" t="n">
        <v>44005</v>
      </c>
      <c r="AG189" s="40" t="n">
        <v>164911</v>
      </c>
      <c r="AH189" s="43"/>
      <c r="AI189" s="81" t="s">
        <v>3430</v>
      </c>
    </row>
    <row r="190" s="2" customFormat="true" ht="12.75" hidden="false" customHeight="true" outlineLevel="0" collapsed="false">
      <c r="A190" s="26" t="n">
        <v>20</v>
      </c>
      <c r="B190" s="74" t="s">
        <v>3431</v>
      </c>
      <c r="C190" s="43" t="s">
        <v>2997</v>
      </c>
      <c r="D190" s="28" t="s">
        <v>73</v>
      </c>
      <c r="E190" s="43" t="n">
        <v>5.36</v>
      </c>
      <c r="F190" s="43" t="n">
        <v>1.6</v>
      </c>
      <c r="G190" s="43" t="n">
        <v>112</v>
      </c>
      <c r="H190" s="43" t="n">
        <v>2015</v>
      </c>
      <c r="I190" s="55" t="n">
        <v>1451</v>
      </c>
      <c r="J190" s="43" t="s">
        <v>74</v>
      </c>
      <c r="K190" s="30" t="s">
        <v>1854</v>
      </c>
      <c r="L190" s="35"/>
      <c r="M190" s="31" t="s">
        <v>1855</v>
      </c>
      <c r="N190" s="32" t="s">
        <v>3407</v>
      </c>
      <c r="O190" s="28" t="s">
        <v>100</v>
      </c>
      <c r="P190" s="28" t="s">
        <v>593</v>
      </c>
      <c r="Q190" s="33" t="n">
        <v>4000</v>
      </c>
      <c r="R190" s="34" t="s">
        <v>92</v>
      </c>
      <c r="S190" s="35" t="n">
        <v>4143</v>
      </c>
      <c r="T190" s="59" t="s">
        <v>123</v>
      </c>
      <c r="U190" s="28" t="n">
        <v>440182.69</v>
      </c>
      <c r="V190" s="60" t="n">
        <v>24.820658</v>
      </c>
      <c r="W190" s="112" t="n">
        <f aca="false">U190/V190</f>
        <v>17734.529439147</v>
      </c>
      <c r="X190" s="112" t="n">
        <v>402.79</v>
      </c>
      <c r="Y190" s="28" t="n">
        <v>2.43</v>
      </c>
      <c r="Z190" s="62" t="s">
        <v>80</v>
      </c>
      <c r="AA190" s="38" t="n">
        <v>42067</v>
      </c>
      <c r="AB190" s="38" t="n">
        <v>42265</v>
      </c>
      <c r="AC190" s="38" t="n">
        <v>42268</v>
      </c>
      <c r="AD190" s="38" t="n">
        <v>44005</v>
      </c>
      <c r="AE190" s="28" t="n">
        <f aca="false">YEAR(AD190)</f>
        <v>2020</v>
      </c>
      <c r="AF190" s="260" t="n">
        <v>44005</v>
      </c>
      <c r="AG190" s="40" t="n">
        <v>137916</v>
      </c>
      <c r="AH190" s="43"/>
      <c r="AI190" s="81" t="s">
        <v>3432</v>
      </c>
    </row>
    <row r="191" s="2" customFormat="true" ht="12.75" hidden="false" customHeight="true" outlineLevel="0" collapsed="false">
      <c r="A191" s="26" t="n">
        <v>24</v>
      </c>
      <c r="B191" s="74" t="s">
        <v>3433</v>
      </c>
      <c r="C191" s="43" t="s">
        <v>2997</v>
      </c>
      <c r="D191" s="28" t="s">
        <v>73</v>
      </c>
      <c r="E191" s="43" t="n">
        <v>5.36</v>
      </c>
      <c r="F191" s="43" t="n">
        <v>1.6</v>
      </c>
      <c r="G191" s="43" t="n">
        <v>112</v>
      </c>
      <c r="H191" s="43" t="n">
        <v>2015</v>
      </c>
      <c r="I191" s="55" t="n">
        <v>1451</v>
      </c>
      <c r="J191" s="43" t="s">
        <v>74</v>
      </c>
      <c r="K191" s="30" t="s">
        <v>1723</v>
      </c>
      <c r="L191" s="69"/>
      <c r="M191" s="126" t="s">
        <v>1724</v>
      </c>
      <c r="N191" s="32" t="s">
        <v>3398</v>
      </c>
      <c r="O191" s="28" t="s">
        <v>197</v>
      </c>
      <c r="P191" s="28" t="s">
        <v>2923</v>
      </c>
      <c r="Q191" s="33" t="n">
        <v>1000</v>
      </c>
      <c r="R191" s="34" t="s">
        <v>189</v>
      </c>
      <c r="S191" s="35" t="n">
        <v>4174</v>
      </c>
      <c r="T191" s="59" t="s">
        <v>123</v>
      </c>
      <c r="U191" s="28" t="n">
        <v>440182.69</v>
      </c>
      <c r="V191" s="60" t="n">
        <v>24.820658</v>
      </c>
      <c r="W191" s="112" t="n">
        <f aca="false">U191/V191</f>
        <v>17734.529439147</v>
      </c>
      <c r="X191" s="112" t="n">
        <v>402.79</v>
      </c>
      <c r="Y191" s="28" t="n">
        <v>2.43</v>
      </c>
      <c r="Z191" s="62" t="s">
        <v>80</v>
      </c>
      <c r="AA191" s="38" t="n">
        <v>42067</v>
      </c>
      <c r="AB191" s="38" t="n">
        <v>42265</v>
      </c>
      <c r="AC191" s="38" t="n">
        <v>42268</v>
      </c>
      <c r="AD191" s="38" t="n">
        <v>44021</v>
      </c>
      <c r="AE191" s="28" t="n">
        <f aca="false">YEAR(AD191)</f>
        <v>2020</v>
      </c>
      <c r="AF191" s="260" t="n">
        <v>44020</v>
      </c>
      <c r="AG191" s="40" t="n">
        <v>122365</v>
      </c>
      <c r="AH191" s="43"/>
      <c r="AI191" s="81" t="s">
        <v>3434</v>
      </c>
    </row>
    <row r="192" s="2" customFormat="true" ht="12.75" hidden="false" customHeight="true" outlineLevel="0" collapsed="false">
      <c r="A192" s="26" t="n">
        <v>35</v>
      </c>
      <c r="B192" s="74" t="s">
        <v>3435</v>
      </c>
      <c r="C192" s="43" t="s">
        <v>2997</v>
      </c>
      <c r="D192" s="28" t="s">
        <v>73</v>
      </c>
      <c r="E192" s="43" t="n">
        <v>5.36</v>
      </c>
      <c r="F192" s="43" t="n">
        <v>1.6</v>
      </c>
      <c r="G192" s="43" t="n">
        <v>112</v>
      </c>
      <c r="H192" s="43" t="n">
        <v>2015</v>
      </c>
      <c r="I192" s="55" t="n">
        <v>1451</v>
      </c>
      <c r="J192" s="43" t="s">
        <v>74</v>
      </c>
      <c r="K192" s="86" t="s">
        <v>2887</v>
      </c>
      <c r="L192" s="35"/>
      <c r="M192" s="31" t="s">
        <v>3436</v>
      </c>
      <c r="N192" s="32" t="s">
        <v>1717</v>
      </c>
      <c r="O192" s="28" t="s">
        <v>343</v>
      </c>
      <c r="P192" s="28" t="s">
        <v>2896</v>
      </c>
      <c r="Q192" s="33" t="n">
        <v>7063</v>
      </c>
      <c r="R192" s="34" t="s">
        <v>171</v>
      </c>
      <c r="S192" s="35" t="n">
        <v>4136</v>
      </c>
      <c r="T192" s="59" t="s">
        <v>123</v>
      </c>
      <c r="U192" s="28" t="n">
        <v>440182.69</v>
      </c>
      <c r="V192" s="60" t="n">
        <v>24.820658</v>
      </c>
      <c r="W192" s="112" t="n">
        <f aca="false">U192/V192</f>
        <v>17734.529439147</v>
      </c>
      <c r="X192" s="112" t="n">
        <v>402.79</v>
      </c>
      <c r="Y192" s="28" t="n">
        <v>2.43</v>
      </c>
      <c r="Z192" s="62" t="s">
        <v>80</v>
      </c>
      <c r="AA192" s="38" t="n">
        <v>42067</v>
      </c>
      <c r="AB192" s="38" t="n">
        <v>42265</v>
      </c>
      <c r="AC192" s="38" t="n">
        <v>42268</v>
      </c>
      <c r="AD192" s="38" t="n">
        <v>44021</v>
      </c>
      <c r="AE192" s="28" t="n">
        <f aca="false">YEAR(AD192)</f>
        <v>2020</v>
      </c>
      <c r="AF192" s="260" t="n">
        <v>44021</v>
      </c>
      <c r="AG192" s="40" t="n">
        <v>70214</v>
      </c>
      <c r="AH192" s="43"/>
      <c r="AI192" s="81" t="s">
        <v>3437</v>
      </c>
    </row>
    <row r="193" s="2" customFormat="true" ht="12.75" hidden="false" customHeight="true" outlineLevel="0" collapsed="false">
      <c r="A193" s="26" t="n">
        <v>11</v>
      </c>
      <c r="B193" s="74" t="s">
        <v>3438</v>
      </c>
      <c r="C193" s="43" t="s">
        <v>2997</v>
      </c>
      <c r="D193" s="28" t="s">
        <v>73</v>
      </c>
      <c r="E193" s="43" t="n">
        <v>5.36</v>
      </c>
      <c r="F193" s="43" t="n">
        <v>1.6</v>
      </c>
      <c r="G193" s="43" t="n">
        <v>112</v>
      </c>
      <c r="H193" s="43" t="n">
        <v>2015</v>
      </c>
      <c r="I193" s="55" t="n">
        <v>1451</v>
      </c>
      <c r="J193" s="43" t="s">
        <v>74</v>
      </c>
      <c r="K193" s="30" t="s">
        <v>1698</v>
      </c>
      <c r="L193" s="82"/>
      <c r="M193" s="31" t="s">
        <v>1699</v>
      </c>
      <c r="N193" s="32" t="s">
        <v>3439</v>
      </c>
      <c r="O193" s="28" t="s">
        <v>60</v>
      </c>
      <c r="P193" s="28" t="s">
        <v>61</v>
      </c>
      <c r="Q193" s="28" t="n">
        <v>6000</v>
      </c>
      <c r="R193" s="34" t="s">
        <v>1330</v>
      </c>
      <c r="S193" s="35" t="n">
        <v>3489</v>
      </c>
      <c r="T193" s="35" t="n">
        <v>5</v>
      </c>
      <c r="U193" s="28" t="n">
        <v>440182.69</v>
      </c>
      <c r="V193" s="60" t="n">
        <v>24.820658</v>
      </c>
      <c r="W193" s="112" t="n">
        <f aca="false">U193/V193</f>
        <v>17734.529439147</v>
      </c>
      <c r="X193" s="112" t="n">
        <v>402.79</v>
      </c>
      <c r="Y193" s="28" t="n">
        <v>2.43</v>
      </c>
      <c r="Z193" s="62" t="s">
        <v>80</v>
      </c>
      <c r="AA193" s="38" t="n">
        <v>42067</v>
      </c>
      <c r="AB193" s="38" t="n">
        <v>42265</v>
      </c>
      <c r="AC193" s="38" t="n">
        <v>42268</v>
      </c>
      <c r="AD193" s="38" t="n">
        <v>44019</v>
      </c>
      <c r="AE193" s="28" t="n">
        <f aca="false">YEAR(AD193)</f>
        <v>2020</v>
      </c>
      <c r="AF193" s="260" t="n">
        <v>44019</v>
      </c>
      <c r="AG193" s="40" t="n">
        <v>137378</v>
      </c>
      <c r="AH193" s="43"/>
      <c r="AI193" s="81" t="s">
        <v>3440</v>
      </c>
    </row>
    <row r="194" s="2" customFormat="true" ht="12.75" hidden="false" customHeight="true" outlineLevel="0" collapsed="false">
      <c r="A194" s="26" t="n">
        <v>16</v>
      </c>
      <c r="B194" s="74" t="s">
        <v>3441</v>
      </c>
      <c r="C194" s="43" t="s">
        <v>2997</v>
      </c>
      <c r="D194" s="28" t="s">
        <v>73</v>
      </c>
      <c r="E194" s="43" t="n">
        <v>5.36</v>
      </c>
      <c r="F194" s="43" t="n">
        <v>1.6</v>
      </c>
      <c r="G194" s="43" t="n">
        <v>112</v>
      </c>
      <c r="H194" s="43" t="n">
        <v>2015</v>
      </c>
      <c r="I194" s="55" t="n">
        <v>1451</v>
      </c>
      <c r="J194" s="43" t="s">
        <v>74</v>
      </c>
      <c r="K194" s="30" t="s">
        <v>1760</v>
      </c>
      <c r="L194" s="35"/>
      <c r="M194" s="31" t="s">
        <v>1761</v>
      </c>
      <c r="N194" s="32" t="s">
        <v>1732</v>
      </c>
      <c r="O194" s="28" t="s">
        <v>52</v>
      </c>
      <c r="P194" s="28" t="s">
        <v>52</v>
      </c>
      <c r="Q194" s="33" t="n">
        <v>9000</v>
      </c>
      <c r="R194" s="34" t="s">
        <v>171</v>
      </c>
      <c r="S194" s="35" t="n">
        <v>4191</v>
      </c>
      <c r="T194" s="59" t="s">
        <v>123</v>
      </c>
      <c r="U194" s="28" t="n">
        <v>440182.69</v>
      </c>
      <c r="V194" s="60" t="n">
        <v>24.820658</v>
      </c>
      <c r="W194" s="112" t="n">
        <f aca="false">U194/V194</f>
        <v>17734.529439147</v>
      </c>
      <c r="X194" s="112" t="n">
        <v>402.79</v>
      </c>
      <c r="Y194" s="28" t="n">
        <v>2.43</v>
      </c>
      <c r="Z194" s="62" t="s">
        <v>80</v>
      </c>
      <c r="AA194" s="38" t="n">
        <v>42067</v>
      </c>
      <c r="AB194" s="38" t="n">
        <v>42265</v>
      </c>
      <c r="AC194" s="38" t="n">
        <v>42268</v>
      </c>
      <c r="AD194" s="38" t="n">
        <v>44019</v>
      </c>
      <c r="AE194" s="28" t="n">
        <f aca="false">YEAR(AD194)</f>
        <v>2020</v>
      </c>
      <c r="AF194" s="260" t="n">
        <v>44019</v>
      </c>
      <c r="AG194" s="40" t="n">
        <v>100931</v>
      </c>
      <c r="AH194" s="43"/>
      <c r="AI194" s="81" t="s">
        <v>3442</v>
      </c>
    </row>
    <row r="195" s="2" customFormat="true" ht="12.75" hidden="false" customHeight="true" outlineLevel="0" collapsed="false">
      <c r="A195" s="26" t="n">
        <v>27</v>
      </c>
      <c r="B195" s="74" t="s">
        <v>3443</v>
      </c>
      <c r="C195" s="43" t="s">
        <v>2997</v>
      </c>
      <c r="D195" s="28" t="s">
        <v>73</v>
      </c>
      <c r="E195" s="43" t="n">
        <v>5.36</v>
      </c>
      <c r="F195" s="43" t="n">
        <v>1.6</v>
      </c>
      <c r="G195" s="43" t="n">
        <v>112</v>
      </c>
      <c r="H195" s="43" t="n">
        <v>2015</v>
      </c>
      <c r="I195" s="55" t="n">
        <v>1451</v>
      </c>
      <c r="J195" s="43" t="s">
        <v>74</v>
      </c>
      <c r="K195" s="30" t="s">
        <v>1898</v>
      </c>
      <c r="L195" s="35"/>
      <c r="M195" s="31" t="s">
        <v>1899</v>
      </c>
      <c r="N195" s="32" t="s">
        <v>1717</v>
      </c>
      <c r="O195" s="28" t="s">
        <v>942</v>
      </c>
      <c r="P195" s="226" t="s">
        <v>2903</v>
      </c>
      <c r="Q195" s="231" t="n">
        <v>7073</v>
      </c>
      <c r="R195" s="68" t="s">
        <v>171</v>
      </c>
      <c r="S195" s="35" t="s">
        <v>2904</v>
      </c>
      <c r="T195" s="59" t="s">
        <v>123</v>
      </c>
      <c r="U195" s="28" t="n">
        <v>440182.69</v>
      </c>
      <c r="V195" s="60" t="n">
        <v>24.820658</v>
      </c>
      <c r="W195" s="112" t="n">
        <f aca="false">U195/V195</f>
        <v>17734.529439147</v>
      </c>
      <c r="X195" s="112" t="n">
        <v>402.79</v>
      </c>
      <c r="Y195" s="28" t="n">
        <v>2.43</v>
      </c>
      <c r="Z195" s="62" t="s">
        <v>80</v>
      </c>
      <c r="AA195" s="38" t="n">
        <v>42067</v>
      </c>
      <c r="AB195" s="38" t="n">
        <v>42265</v>
      </c>
      <c r="AC195" s="38" t="n">
        <v>42268</v>
      </c>
      <c r="AD195" s="38" t="n">
        <v>44019</v>
      </c>
      <c r="AE195" s="28" t="n">
        <f aca="false">YEAR(AD195)</f>
        <v>2020</v>
      </c>
      <c r="AF195" s="260" t="n">
        <v>44019</v>
      </c>
      <c r="AG195" s="40" t="n">
        <v>157543</v>
      </c>
      <c r="AH195" s="43"/>
      <c r="AI195" s="81" t="s">
        <v>3444</v>
      </c>
    </row>
    <row r="196" s="2" customFormat="true" ht="12.75" hidden="false" customHeight="true" outlineLevel="0" collapsed="false">
      <c r="A196" s="26" t="n">
        <v>29</v>
      </c>
      <c r="B196" s="74" t="s">
        <v>3445</v>
      </c>
      <c r="C196" s="43" t="s">
        <v>2997</v>
      </c>
      <c r="D196" s="28" t="s">
        <v>73</v>
      </c>
      <c r="E196" s="43" t="n">
        <v>5.36</v>
      </c>
      <c r="F196" s="43" t="n">
        <v>1.6</v>
      </c>
      <c r="G196" s="43" t="n">
        <v>112</v>
      </c>
      <c r="H196" s="43" t="n">
        <v>2015</v>
      </c>
      <c r="I196" s="55" t="n">
        <v>1451</v>
      </c>
      <c r="J196" s="43" t="s">
        <v>74</v>
      </c>
      <c r="K196" s="30" t="s">
        <v>1784</v>
      </c>
      <c r="L196" s="35"/>
      <c r="M196" s="31" t="s">
        <v>1785</v>
      </c>
      <c r="N196" s="32" t="s">
        <v>1717</v>
      </c>
      <c r="O196" s="28" t="s">
        <v>689</v>
      </c>
      <c r="P196" s="28" t="s">
        <v>61</v>
      </c>
      <c r="Q196" s="138" t="n">
        <v>7070</v>
      </c>
      <c r="R196" s="34" t="s">
        <v>171</v>
      </c>
      <c r="S196" s="35" t="n">
        <v>4138</v>
      </c>
      <c r="T196" s="59" t="s">
        <v>123</v>
      </c>
      <c r="U196" s="28" t="n">
        <v>440182.69</v>
      </c>
      <c r="V196" s="60" t="n">
        <v>24.820658</v>
      </c>
      <c r="W196" s="112" t="n">
        <f aca="false">U196/V196</f>
        <v>17734.529439147</v>
      </c>
      <c r="X196" s="112" t="n">
        <v>402.79</v>
      </c>
      <c r="Y196" s="28" t="n">
        <v>2.43</v>
      </c>
      <c r="Z196" s="62" t="s">
        <v>80</v>
      </c>
      <c r="AA196" s="38" t="n">
        <v>42067</v>
      </c>
      <c r="AB196" s="38" t="n">
        <v>42265</v>
      </c>
      <c r="AC196" s="38" t="n">
        <v>42268</v>
      </c>
      <c r="AD196" s="38" t="n">
        <v>44019</v>
      </c>
      <c r="AE196" s="28" t="n">
        <f aca="false">YEAR(AD196)</f>
        <v>2020</v>
      </c>
      <c r="AF196" s="260" t="n">
        <v>44019</v>
      </c>
      <c r="AG196" s="40" t="n">
        <v>143115</v>
      </c>
      <c r="AH196" s="43"/>
      <c r="AI196" s="81" t="s">
        <v>3446</v>
      </c>
    </row>
    <row r="197" s="2" customFormat="true" ht="12.75" hidden="false" customHeight="true" outlineLevel="0" collapsed="false">
      <c r="A197" s="26" t="n">
        <v>36</v>
      </c>
      <c r="B197" s="74" t="s">
        <v>3447</v>
      </c>
      <c r="C197" s="43" t="s">
        <v>2997</v>
      </c>
      <c r="D197" s="28" t="s">
        <v>73</v>
      </c>
      <c r="E197" s="43" t="n">
        <v>5.36</v>
      </c>
      <c r="F197" s="43" t="n">
        <v>1.6</v>
      </c>
      <c r="G197" s="43" t="n">
        <v>112</v>
      </c>
      <c r="H197" s="43" t="n">
        <v>2015</v>
      </c>
      <c r="I197" s="55" t="n">
        <v>1451</v>
      </c>
      <c r="J197" s="43" t="s">
        <v>74</v>
      </c>
      <c r="K197" s="30" t="s">
        <v>1730</v>
      </c>
      <c r="L197" s="35"/>
      <c r="M197" s="31" t="s">
        <v>1731</v>
      </c>
      <c r="N197" s="32" t="s">
        <v>1732</v>
      </c>
      <c r="O197" s="28" t="s">
        <v>142</v>
      </c>
      <c r="P197" s="28" t="s">
        <v>2896</v>
      </c>
      <c r="Q197" s="33" t="n">
        <v>9000</v>
      </c>
      <c r="R197" s="34" t="s">
        <v>144</v>
      </c>
      <c r="S197" s="35" t="n">
        <v>4196</v>
      </c>
      <c r="T197" s="59" t="s">
        <v>123</v>
      </c>
      <c r="U197" s="28" t="n">
        <v>440182.69</v>
      </c>
      <c r="V197" s="60" t="n">
        <v>24.820658</v>
      </c>
      <c r="W197" s="112" t="n">
        <f aca="false">U197/V197</f>
        <v>17734.529439147</v>
      </c>
      <c r="X197" s="112" t="n">
        <v>402.79</v>
      </c>
      <c r="Y197" s="28" t="n">
        <v>2.43</v>
      </c>
      <c r="Z197" s="62" t="s">
        <v>80</v>
      </c>
      <c r="AA197" s="38" t="n">
        <v>42067</v>
      </c>
      <c r="AB197" s="38" t="n">
        <v>42265</v>
      </c>
      <c r="AC197" s="38" t="n">
        <v>42268</v>
      </c>
      <c r="AD197" s="38" t="n">
        <v>44019</v>
      </c>
      <c r="AE197" s="28" t="n">
        <f aca="false">YEAR(AD197)</f>
        <v>2020</v>
      </c>
      <c r="AF197" s="260" t="n">
        <v>44019</v>
      </c>
      <c r="AG197" s="40" t="n">
        <v>142952</v>
      </c>
      <c r="AH197" s="43"/>
      <c r="AI197" s="81" t="s">
        <v>3448</v>
      </c>
    </row>
    <row r="198" s="2" customFormat="true" ht="12.75" hidden="false" customHeight="true" outlineLevel="0" collapsed="false">
      <c r="A198" s="26" t="n">
        <v>31</v>
      </c>
      <c r="B198" s="74" t="s">
        <v>3449</v>
      </c>
      <c r="C198" s="43" t="s">
        <v>2997</v>
      </c>
      <c r="D198" s="28" t="s">
        <v>73</v>
      </c>
      <c r="E198" s="43" t="n">
        <v>5.36</v>
      </c>
      <c r="F198" s="43" t="n">
        <v>1.6</v>
      </c>
      <c r="G198" s="43" t="n">
        <v>112</v>
      </c>
      <c r="H198" s="43" t="n">
        <v>2015</v>
      </c>
      <c r="I198" s="55" t="n">
        <v>1451</v>
      </c>
      <c r="J198" s="43" t="s">
        <v>74</v>
      </c>
      <c r="K198" s="30" t="s">
        <v>1884</v>
      </c>
      <c r="L198" s="35"/>
      <c r="M198" s="31" t="s">
        <v>1885</v>
      </c>
      <c r="N198" s="32" t="s">
        <v>1717</v>
      </c>
      <c r="O198" s="28" t="s">
        <v>606</v>
      </c>
      <c r="P198" s="28" t="s">
        <v>593</v>
      </c>
      <c r="Q198" s="33" t="n">
        <v>7030</v>
      </c>
      <c r="R198" s="34" t="s">
        <v>171</v>
      </c>
      <c r="S198" s="35" t="n">
        <v>4133</v>
      </c>
      <c r="T198" s="59" t="s">
        <v>123</v>
      </c>
      <c r="U198" s="28" t="n">
        <v>440182.69</v>
      </c>
      <c r="V198" s="60" t="n">
        <v>24.820658</v>
      </c>
      <c r="W198" s="112" t="n">
        <f aca="false">U198/V198</f>
        <v>17734.529439147</v>
      </c>
      <c r="X198" s="112" t="n">
        <v>402.79</v>
      </c>
      <c r="Y198" s="28" t="n">
        <v>2.43</v>
      </c>
      <c r="Z198" s="62" t="s">
        <v>80</v>
      </c>
      <c r="AA198" s="38" t="n">
        <v>42067</v>
      </c>
      <c r="AB198" s="38" t="n">
        <v>42265</v>
      </c>
      <c r="AC198" s="38" t="n">
        <v>42268</v>
      </c>
      <c r="AD198" s="38" t="n">
        <v>44019</v>
      </c>
      <c r="AE198" s="28" t="n">
        <f aca="false">YEAR(AD198)</f>
        <v>2020</v>
      </c>
      <c r="AF198" s="260" t="n">
        <v>44019</v>
      </c>
      <c r="AG198" s="40" t="n">
        <v>120395</v>
      </c>
      <c r="AH198" s="43"/>
      <c r="AI198" s="81" t="s">
        <v>3450</v>
      </c>
    </row>
    <row r="199" s="2" customFormat="true" ht="12.75" hidden="false" customHeight="true" outlineLevel="0" collapsed="false">
      <c r="A199" s="26" t="n">
        <v>21</v>
      </c>
      <c r="B199" s="74" t="s">
        <v>3451</v>
      </c>
      <c r="C199" s="43" t="s">
        <v>2997</v>
      </c>
      <c r="D199" s="28" t="s">
        <v>73</v>
      </c>
      <c r="E199" s="43" t="n">
        <v>5.36</v>
      </c>
      <c r="F199" s="43" t="n">
        <v>1.6</v>
      </c>
      <c r="G199" s="43" t="n">
        <v>112</v>
      </c>
      <c r="H199" s="43" t="n">
        <v>2015</v>
      </c>
      <c r="I199" s="55" t="n">
        <v>1451</v>
      </c>
      <c r="J199" s="43" t="s">
        <v>74</v>
      </c>
      <c r="K199" s="30" t="s">
        <v>1791</v>
      </c>
      <c r="L199" s="35"/>
      <c r="M199" s="31" t="s">
        <v>1792</v>
      </c>
      <c r="N199" s="32" t="s">
        <v>3398</v>
      </c>
      <c r="O199" s="57" t="s">
        <v>142</v>
      </c>
      <c r="P199" s="57" t="s">
        <v>2896</v>
      </c>
      <c r="Q199" s="87" t="n">
        <v>1000</v>
      </c>
      <c r="R199" s="58" t="s">
        <v>189</v>
      </c>
      <c r="S199" s="69" t="n">
        <v>4176</v>
      </c>
      <c r="T199" s="59" t="s">
        <v>123</v>
      </c>
      <c r="U199" s="28" t="n">
        <v>440182.69</v>
      </c>
      <c r="V199" s="60" t="n">
        <v>24.820658</v>
      </c>
      <c r="W199" s="112" t="n">
        <f aca="false">U199/V199</f>
        <v>17734.529439147</v>
      </c>
      <c r="X199" s="112" t="n">
        <v>402.79</v>
      </c>
      <c r="Y199" s="28" t="n">
        <v>2.43</v>
      </c>
      <c r="Z199" s="62" t="s">
        <v>80</v>
      </c>
      <c r="AA199" s="38" t="n">
        <v>42067</v>
      </c>
      <c r="AB199" s="38" t="n">
        <v>42265</v>
      </c>
      <c r="AC199" s="38" t="n">
        <v>42268</v>
      </c>
      <c r="AD199" s="38" t="n">
        <v>44019</v>
      </c>
      <c r="AE199" s="28" t="n">
        <f aca="false">YEAR(AD199)</f>
        <v>2020</v>
      </c>
      <c r="AF199" s="260" t="n">
        <v>44019</v>
      </c>
      <c r="AG199" s="40" t="n">
        <v>160459</v>
      </c>
      <c r="AH199" s="43"/>
      <c r="AI199" s="81" t="s">
        <v>3452</v>
      </c>
    </row>
    <row r="200" s="2" customFormat="true" ht="12.75" hidden="false" customHeight="true" outlineLevel="0" collapsed="false">
      <c r="A200" s="26" t="n">
        <v>18</v>
      </c>
      <c r="B200" s="74" t="s">
        <v>3453</v>
      </c>
      <c r="C200" s="43" t="s">
        <v>2997</v>
      </c>
      <c r="D200" s="28" t="s">
        <v>73</v>
      </c>
      <c r="E200" s="43" t="n">
        <v>5.36</v>
      </c>
      <c r="F200" s="43" t="n">
        <v>1.6</v>
      </c>
      <c r="G200" s="43" t="n">
        <v>112</v>
      </c>
      <c r="H200" s="43" t="n">
        <v>2015</v>
      </c>
      <c r="I200" s="55" t="n">
        <v>1451</v>
      </c>
      <c r="J200" s="43" t="s">
        <v>74</v>
      </c>
      <c r="K200" s="30" t="s">
        <v>1707</v>
      </c>
      <c r="L200" s="35"/>
      <c r="M200" s="31" t="s">
        <v>1708</v>
      </c>
      <c r="N200" s="32" t="s">
        <v>3407</v>
      </c>
      <c r="O200" s="28" t="s">
        <v>52</v>
      </c>
      <c r="P200" s="28" t="s">
        <v>52</v>
      </c>
      <c r="Q200" s="33" t="n">
        <v>1000</v>
      </c>
      <c r="R200" s="34" t="s">
        <v>92</v>
      </c>
      <c r="S200" s="35" t="n">
        <v>4141</v>
      </c>
      <c r="T200" s="59" t="s">
        <v>123</v>
      </c>
      <c r="U200" s="28" t="n">
        <v>440182.69</v>
      </c>
      <c r="V200" s="60" t="n">
        <v>24.820658</v>
      </c>
      <c r="W200" s="112" t="n">
        <f aca="false">U200/V200</f>
        <v>17734.529439147</v>
      </c>
      <c r="X200" s="112" t="n">
        <v>402.79</v>
      </c>
      <c r="Y200" s="28" t="n">
        <v>2.43</v>
      </c>
      <c r="Z200" s="62" t="s">
        <v>80</v>
      </c>
      <c r="AA200" s="38" t="n">
        <v>42067</v>
      </c>
      <c r="AB200" s="38" t="n">
        <v>42265</v>
      </c>
      <c r="AC200" s="38" t="n">
        <v>42268</v>
      </c>
      <c r="AD200" s="38" t="n">
        <v>44015</v>
      </c>
      <c r="AE200" s="28" t="n">
        <f aca="false">YEAR(AD200)</f>
        <v>2020</v>
      </c>
      <c r="AF200" s="260" t="n">
        <v>44018</v>
      </c>
      <c r="AG200" s="40" t="n">
        <v>158285</v>
      </c>
      <c r="AH200" s="43"/>
      <c r="AI200" s="81" t="s">
        <v>3454</v>
      </c>
    </row>
    <row r="201" s="2" customFormat="true" ht="12.75" hidden="false" customHeight="true" outlineLevel="0" collapsed="false">
      <c r="A201" s="26" t="n">
        <v>158</v>
      </c>
      <c r="B201" s="74" t="s">
        <v>3455</v>
      </c>
      <c r="C201" s="67" t="s">
        <v>2935</v>
      </c>
      <c r="D201" s="28" t="s">
        <v>46</v>
      </c>
      <c r="E201" s="43" t="n">
        <v>7</v>
      </c>
      <c r="F201" s="43" t="n">
        <v>1.4</v>
      </c>
      <c r="G201" s="43" t="n">
        <v>123</v>
      </c>
      <c r="H201" s="43" t="n">
        <v>2016</v>
      </c>
      <c r="I201" s="55" t="n">
        <v>1451</v>
      </c>
      <c r="J201" s="67" t="s">
        <v>74</v>
      </c>
      <c r="K201" s="30" t="s">
        <v>1868</v>
      </c>
      <c r="L201" s="122"/>
      <c r="M201" s="31" t="s">
        <v>1869</v>
      </c>
      <c r="N201" s="32" t="s">
        <v>1276</v>
      </c>
      <c r="O201" s="57" t="s">
        <v>100</v>
      </c>
      <c r="P201" s="57" t="s">
        <v>100</v>
      </c>
      <c r="Q201" s="87" t="n">
        <v>4000</v>
      </c>
      <c r="R201" s="58" t="s">
        <v>53</v>
      </c>
      <c r="S201" s="69" t="n">
        <v>3511</v>
      </c>
      <c r="T201" s="59" t="s">
        <v>123</v>
      </c>
      <c r="U201" s="28" t="n">
        <v>483210.15</v>
      </c>
      <c r="V201" s="60" t="n">
        <v>21.44881</v>
      </c>
      <c r="W201" s="112" t="n">
        <f aca="false">U201/V201</f>
        <v>22528.5295547865</v>
      </c>
      <c r="X201" s="112" t="n">
        <v>474.3</v>
      </c>
      <c r="Y201" s="28" t="n">
        <v>2.54</v>
      </c>
      <c r="Z201" s="62" t="s">
        <v>80</v>
      </c>
      <c r="AA201" s="38" t="n">
        <v>42243</v>
      </c>
      <c r="AB201" s="38" t="n">
        <v>42390</v>
      </c>
      <c r="AC201" s="38" t="n">
        <v>42390</v>
      </c>
      <c r="AD201" s="50" t="n">
        <v>44019</v>
      </c>
      <c r="AE201" s="57" t="n">
        <f aca="false">YEAR(AD201)</f>
        <v>2020</v>
      </c>
      <c r="AF201" s="260" t="n">
        <v>44019</v>
      </c>
      <c r="AG201" s="40" t="n">
        <v>123646</v>
      </c>
      <c r="AH201" s="43"/>
      <c r="AI201" s="43" t="s">
        <v>3456</v>
      </c>
    </row>
    <row r="202" s="2" customFormat="true" ht="12.75" hidden="false" customHeight="true" outlineLevel="0" collapsed="false">
      <c r="A202" s="26" t="n">
        <v>159</v>
      </c>
      <c r="B202" s="74" t="s">
        <v>3457</v>
      </c>
      <c r="C202" s="67" t="s">
        <v>2935</v>
      </c>
      <c r="D202" s="28" t="s">
        <v>46</v>
      </c>
      <c r="E202" s="43" t="n">
        <v>7</v>
      </c>
      <c r="F202" s="43" t="n">
        <v>1.4</v>
      </c>
      <c r="G202" s="43" t="n">
        <v>123</v>
      </c>
      <c r="H202" s="43" t="n">
        <v>2016</v>
      </c>
      <c r="I202" s="55" t="n">
        <v>1451</v>
      </c>
      <c r="J202" s="67" t="s">
        <v>74</v>
      </c>
      <c r="K202" s="30" t="s">
        <v>3458</v>
      </c>
      <c r="L202" s="69"/>
      <c r="M202" s="31" t="s">
        <v>3459</v>
      </c>
      <c r="N202" s="32" t="s">
        <v>1769</v>
      </c>
      <c r="O202" s="57" t="s">
        <v>100</v>
      </c>
      <c r="P202" s="57" t="s">
        <v>2890</v>
      </c>
      <c r="Q202" s="87" t="n">
        <v>1000</v>
      </c>
      <c r="R202" s="58" t="s">
        <v>1330</v>
      </c>
      <c r="S202" s="69" t="n">
        <v>3490</v>
      </c>
      <c r="T202" s="59" t="s">
        <v>123</v>
      </c>
      <c r="U202" s="28" t="n">
        <v>483210.15</v>
      </c>
      <c r="V202" s="60" t="n">
        <v>21.44881</v>
      </c>
      <c r="W202" s="112" t="n">
        <f aca="false">U202/V202</f>
        <v>22528.5295547865</v>
      </c>
      <c r="X202" s="112" t="n">
        <v>474.3</v>
      </c>
      <c r="Y202" s="28" t="n">
        <v>2.54</v>
      </c>
      <c r="Z202" s="62" t="s">
        <v>80</v>
      </c>
      <c r="AA202" s="38" t="n">
        <v>42243</v>
      </c>
      <c r="AB202" s="38" t="n">
        <v>42390</v>
      </c>
      <c r="AC202" s="38" t="n">
        <v>42390</v>
      </c>
      <c r="AD202" s="38" t="n">
        <v>44021</v>
      </c>
      <c r="AE202" s="57" t="n">
        <f aca="false">YEAR(AD202)</f>
        <v>2020</v>
      </c>
      <c r="AF202" s="260" t="n">
        <v>44020</v>
      </c>
      <c r="AG202" s="40" t="n">
        <v>68602</v>
      </c>
      <c r="AH202" s="43"/>
      <c r="AI202" s="43" t="s">
        <v>3460</v>
      </c>
    </row>
    <row r="203" s="2" customFormat="true" ht="12.75" hidden="false" customHeight="true" outlineLevel="0" collapsed="false">
      <c r="A203" s="26" t="n">
        <v>215</v>
      </c>
      <c r="B203" s="74" t="s">
        <v>3461</v>
      </c>
      <c r="C203" s="157" t="s">
        <v>3462</v>
      </c>
      <c r="D203" s="57" t="s">
        <v>73</v>
      </c>
      <c r="E203" s="26" t="n">
        <v>5.5</v>
      </c>
      <c r="F203" s="26" t="n">
        <v>1.6</v>
      </c>
      <c r="G203" s="26" t="n">
        <v>95</v>
      </c>
      <c r="H203" s="26" t="n">
        <v>2016</v>
      </c>
      <c r="I203" s="55" t="n">
        <v>1451</v>
      </c>
      <c r="J203" s="26" t="s">
        <v>74</v>
      </c>
      <c r="K203" s="30" t="s">
        <v>1317</v>
      </c>
      <c r="L203" s="69"/>
      <c r="M203" s="31" t="s">
        <v>1318</v>
      </c>
      <c r="N203" s="32" t="s">
        <v>3463</v>
      </c>
      <c r="O203" s="93" t="s">
        <v>100</v>
      </c>
      <c r="P203" s="57" t="s">
        <v>2890</v>
      </c>
      <c r="Q203" s="87" t="n">
        <v>1000</v>
      </c>
      <c r="R203" s="58" t="s">
        <v>457</v>
      </c>
      <c r="S203" s="69" t="n">
        <v>5210</v>
      </c>
      <c r="T203" s="59" t="s">
        <v>123</v>
      </c>
      <c r="U203" s="28" t="n">
        <v>507431.05</v>
      </c>
      <c r="V203" s="60" t="n">
        <v>25.196137</v>
      </c>
      <c r="W203" s="112" t="n">
        <f aca="false">U203/V203</f>
        <v>20139.2399954009</v>
      </c>
      <c r="X203" s="112" t="n">
        <v>447.17</v>
      </c>
      <c r="Y203" s="28" t="n">
        <v>2.81</v>
      </c>
      <c r="Z203" s="62" t="s">
        <v>80</v>
      </c>
      <c r="AA203" s="38" t="n">
        <v>42501</v>
      </c>
      <c r="AB203" s="38" t="n">
        <v>42565</v>
      </c>
      <c r="AC203" s="38" t="n">
        <v>42557</v>
      </c>
      <c r="AD203" s="38" t="n">
        <v>44020</v>
      </c>
      <c r="AE203" s="57" t="n">
        <f aca="false">YEAR(AD203)</f>
        <v>2020</v>
      </c>
      <c r="AF203" s="260" t="n">
        <v>44020</v>
      </c>
      <c r="AG203" s="40" t="n">
        <v>93642</v>
      </c>
      <c r="AH203" s="43"/>
      <c r="AI203" s="43" t="s">
        <v>3464</v>
      </c>
    </row>
    <row r="204" s="2" customFormat="true" ht="12.75" hidden="false" customHeight="true" outlineLevel="0" collapsed="false">
      <c r="A204" s="26" t="n">
        <v>6</v>
      </c>
      <c r="B204" s="74" t="s">
        <v>3465</v>
      </c>
      <c r="C204" s="27" t="s">
        <v>2941</v>
      </c>
      <c r="D204" s="28" t="s">
        <v>46</v>
      </c>
      <c r="E204" s="43" t="n">
        <v>7</v>
      </c>
      <c r="F204" s="43" t="n">
        <v>1.4</v>
      </c>
      <c r="G204" s="43" t="n">
        <v>123</v>
      </c>
      <c r="H204" s="43" t="n">
        <v>2015</v>
      </c>
      <c r="I204" s="55" t="n">
        <v>1451</v>
      </c>
      <c r="J204" s="43" t="s">
        <v>74</v>
      </c>
      <c r="K204" s="30" t="s">
        <v>1293</v>
      </c>
      <c r="L204" s="28"/>
      <c r="M204" s="31" t="s">
        <v>1294</v>
      </c>
      <c r="N204" s="32" t="s">
        <v>3466</v>
      </c>
      <c r="O204" s="28" t="s">
        <v>313</v>
      </c>
      <c r="P204" s="28" t="s">
        <v>2903</v>
      </c>
      <c r="Q204" s="57" t="n">
        <v>6000</v>
      </c>
      <c r="R204" s="34" t="s">
        <v>189</v>
      </c>
      <c r="S204" s="35" t="s">
        <v>3467</v>
      </c>
      <c r="T204" s="59" t="s">
        <v>123</v>
      </c>
      <c r="U204" s="28" t="n">
        <v>291683.81</v>
      </c>
      <c r="V204" s="60" t="n">
        <v>12.952482</v>
      </c>
      <c r="W204" s="112" t="n">
        <f aca="false">U204/V204</f>
        <v>22519.5302336649</v>
      </c>
      <c r="X204" s="112" t="n">
        <v>470.3</v>
      </c>
      <c r="Y204" s="28" t="n">
        <v>2.19</v>
      </c>
      <c r="Z204" s="62" t="s">
        <v>80</v>
      </c>
      <c r="AA204" s="38" t="n">
        <v>41978</v>
      </c>
      <c r="AB204" s="38" t="n">
        <v>42016</v>
      </c>
      <c r="AC204" s="38" t="n">
        <v>42048</v>
      </c>
      <c r="AD204" s="260" t="n">
        <v>43994</v>
      </c>
      <c r="AE204" s="28" t="n">
        <f aca="false">YEAR(AD204)</f>
        <v>2020</v>
      </c>
      <c r="AF204" s="260" t="n">
        <v>44012</v>
      </c>
      <c r="AG204" s="203"/>
      <c r="AI204" s="43" t="s">
        <v>3468</v>
      </c>
    </row>
    <row r="205" s="1" customFormat="true" ht="12.75" hidden="false" customHeight="true" outlineLevel="0" collapsed="false">
      <c r="A205" s="26" t="n">
        <v>7</v>
      </c>
      <c r="B205" s="74" t="s">
        <v>3469</v>
      </c>
      <c r="C205" s="157" t="s">
        <v>2941</v>
      </c>
      <c r="D205" s="57" t="s">
        <v>46</v>
      </c>
      <c r="E205" s="26" t="n">
        <v>7</v>
      </c>
      <c r="F205" s="26" t="n">
        <v>1.4</v>
      </c>
      <c r="G205" s="43" t="n">
        <v>123</v>
      </c>
      <c r="H205" s="26" t="n">
        <v>2015</v>
      </c>
      <c r="I205" s="120" t="n">
        <v>1451</v>
      </c>
      <c r="J205" s="26" t="s">
        <v>74</v>
      </c>
      <c r="K205" s="30" t="s">
        <v>3470</v>
      </c>
      <c r="L205" s="35"/>
      <c r="M205" s="31" t="s">
        <v>3471</v>
      </c>
      <c r="N205" s="32" t="s">
        <v>3472</v>
      </c>
      <c r="O205" s="28" t="s">
        <v>100</v>
      </c>
      <c r="P205" s="28" t="s">
        <v>2890</v>
      </c>
      <c r="Q205" s="28" t="n">
        <v>1000</v>
      </c>
      <c r="R205" s="34" t="s">
        <v>122</v>
      </c>
      <c r="S205" s="35" t="n">
        <v>4190</v>
      </c>
      <c r="T205" s="35" t="s">
        <v>123</v>
      </c>
      <c r="U205" s="57" t="n">
        <v>291683.81</v>
      </c>
      <c r="V205" s="140" t="n">
        <v>12.952482</v>
      </c>
      <c r="W205" s="141" t="n">
        <f aca="false">U205/V205</f>
        <v>22519.5302336649</v>
      </c>
      <c r="X205" s="141" t="n">
        <v>470.3</v>
      </c>
      <c r="Y205" s="57" t="n">
        <v>2.19</v>
      </c>
      <c r="Z205" s="62" t="s">
        <v>80</v>
      </c>
      <c r="AA205" s="143" t="n">
        <v>41978</v>
      </c>
      <c r="AB205" s="143" t="n">
        <v>42016</v>
      </c>
      <c r="AC205" s="143" t="n">
        <v>42048</v>
      </c>
      <c r="AD205" s="229" t="n">
        <v>43995</v>
      </c>
      <c r="AE205" s="57" t="n">
        <f aca="false">YEAR(AD205)</f>
        <v>2020</v>
      </c>
      <c r="AF205" s="260" t="n">
        <v>44001</v>
      </c>
      <c r="AG205" s="203" t="n">
        <v>124847</v>
      </c>
      <c r="AI205" s="26" t="s">
        <v>3473</v>
      </c>
    </row>
    <row r="206" s="2" customFormat="true" ht="12.75" hidden="false" customHeight="true" outlineLevel="0" collapsed="false">
      <c r="A206" s="26" t="n">
        <v>139</v>
      </c>
      <c r="B206" s="74" t="s">
        <v>3474</v>
      </c>
      <c r="C206" s="67" t="s">
        <v>3064</v>
      </c>
      <c r="D206" s="28" t="s">
        <v>46</v>
      </c>
      <c r="E206" s="43" t="n">
        <v>5.79</v>
      </c>
      <c r="F206" s="43" t="n">
        <v>1.2</v>
      </c>
      <c r="G206" s="43" t="n">
        <v>119</v>
      </c>
      <c r="H206" s="43" t="n">
        <v>2016</v>
      </c>
      <c r="I206" s="55" t="n">
        <v>1451</v>
      </c>
      <c r="J206" s="67" t="s">
        <v>74</v>
      </c>
      <c r="K206" s="30" t="s">
        <v>3475</v>
      </c>
      <c r="L206" s="57"/>
      <c r="M206" s="31" t="s">
        <v>3476</v>
      </c>
      <c r="N206" s="32" t="s">
        <v>1090</v>
      </c>
      <c r="O206" s="57" t="s">
        <v>2684</v>
      </c>
      <c r="P206" s="57" t="s">
        <v>2896</v>
      </c>
      <c r="Q206" s="87" t="n">
        <v>7060</v>
      </c>
      <c r="R206" s="58" t="s">
        <v>171</v>
      </c>
      <c r="S206" s="69" t="n">
        <v>4136</v>
      </c>
      <c r="T206" s="35" t="s">
        <v>172</v>
      </c>
      <c r="U206" s="235" t="n">
        <v>345036.92</v>
      </c>
      <c r="V206" s="60" t="n">
        <v>21.44881</v>
      </c>
      <c r="W206" s="112" t="n">
        <f aca="false">U206/V206</f>
        <v>16086.5297422095</v>
      </c>
      <c r="X206" s="112" t="n">
        <v>377</v>
      </c>
      <c r="Y206" s="146" t="n">
        <v>2.52</v>
      </c>
      <c r="Z206" s="62" t="s">
        <v>80</v>
      </c>
      <c r="AA206" s="38" t="n">
        <v>42242</v>
      </c>
      <c r="AB206" s="38" t="n">
        <v>42391</v>
      </c>
      <c r="AC206" s="38" t="n">
        <v>42394</v>
      </c>
      <c r="AD206" s="38" t="n">
        <v>44008</v>
      </c>
      <c r="AE206" s="28" t="n">
        <f aca="false">YEAR(AD206)</f>
        <v>2020</v>
      </c>
      <c r="AF206" s="260" t="n">
        <v>44008</v>
      </c>
      <c r="AG206" s="40" t="n">
        <v>154448</v>
      </c>
      <c r="AH206" s="43"/>
      <c r="AI206" s="43" t="s">
        <v>3477</v>
      </c>
    </row>
    <row r="207" s="2" customFormat="true" ht="12.75" hidden="false" customHeight="true" outlineLevel="0" collapsed="false">
      <c r="A207" s="26" t="n">
        <v>100</v>
      </c>
      <c r="B207" s="74" t="s">
        <v>3478</v>
      </c>
      <c r="C207" s="67" t="s">
        <v>3064</v>
      </c>
      <c r="D207" s="28" t="s">
        <v>46</v>
      </c>
      <c r="E207" s="43" t="n">
        <v>5.79</v>
      </c>
      <c r="F207" s="43" t="n">
        <v>1.2</v>
      </c>
      <c r="G207" s="43" t="n">
        <v>119</v>
      </c>
      <c r="H207" s="43" t="n">
        <v>2015</v>
      </c>
      <c r="I207" s="55" t="n">
        <v>1451</v>
      </c>
      <c r="J207" s="67" t="s">
        <v>74</v>
      </c>
      <c r="K207" s="30" t="s">
        <v>3479</v>
      </c>
      <c r="L207" s="35"/>
      <c r="M207" s="31" t="s">
        <v>3480</v>
      </c>
      <c r="N207" s="32" t="s">
        <v>289</v>
      </c>
      <c r="O207" s="28" t="s">
        <v>689</v>
      </c>
      <c r="P207" s="28" t="s">
        <v>61</v>
      </c>
      <c r="Q207" s="28" t="n">
        <v>7070</v>
      </c>
      <c r="R207" s="58" t="s">
        <v>171</v>
      </c>
      <c r="S207" s="35" t="n">
        <v>4138</v>
      </c>
      <c r="T207" s="35" t="s">
        <v>172</v>
      </c>
      <c r="U207" s="28" t="n">
        <v>359687.45</v>
      </c>
      <c r="V207" s="60" t="n">
        <v>21.44881</v>
      </c>
      <c r="W207" s="112" t="n">
        <f aca="false">U207/V207</f>
        <v>16769.576027761</v>
      </c>
      <c r="X207" s="112" t="n">
        <v>389</v>
      </c>
      <c r="Y207" s="28" t="n">
        <v>2.64</v>
      </c>
      <c r="Z207" s="62" t="s">
        <v>80</v>
      </c>
      <c r="AA207" s="38" t="n">
        <v>42276</v>
      </c>
      <c r="AB207" s="38" t="n">
        <v>42295</v>
      </c>
      <c r="AC207" s="38" t="n">
        <v>42317</v>
      </c>
      <c r="AD207" s="50" t="n">
        <v>44000</v>
      </c>
      <c r="AE207" s="28" t="n">
        <f aca="false">YEAR(AD207)</f>
        <v>2020</v>
      </c>
      <c r="AF207" s="260" t="n">
        <v>44000</v>
      </c>
      <c r="AG207" s="40" t="n">
        <v>140784</v>
      </c>
      <c r="AH207" s="43"/>
      <c r="AI207" s="43" t="s">
        <v>3481</v>
      </c>
    </row>
    <row r="208" s="2" customFormat="true" ht="12.75" hidden="false" customHeight="true" outlineLevel="0" collapsed="false">
      <c r="A208" s="26" t="n">
        <v>41</v>
      </c>
      <c r="B208" s="74" t="s">
        <v>3482</v>
      </c>
      <c r="C208" s="43" t="s">
        <v>3064</v>
      </c>
      <c r="D208" s="28" t="s">
        <v>46</v>
      </c>
      <c r="E208" s="43" t="n">
        <v>5.79</v>
      </c>
      <c r="F208" s="43" t="n">
        <v>1.2</v>
      </c>
      <c r="G208" s="43" t="n">
        <v>119</v>
      </c>
      <c r="H208" s="43" t="n">
        <v>2015</v>
      </c>
      <c r="I208" s="55" t="n">
        <v>1451</v>
      </c>
      <c r="J208" s="43" t="s">
        <v>74</v>
      </c>
      <c r="K208" s="30" t="s">
        <v>1337</v>
      </c>
      <c r="L208" s="35"/>
      <c r="M208" s="31" t="s">
        <v>1338</v>
      </c>
      <c r="N208" s="32" t="s">
        <v>3483</v>
      </c>
      <c r="O208" s="28" t="s">
        <v>100</v>
      </c>
      <c r="P208" s="28" t="s">
        <v>593</v>
      </c>
      <c r="Q208" s="28" t="n">
        <v>4000</v>
      </c>
      <c r="R208" s="34" t="s">
        <v>351</v>
      </c>
      <c r="S208" s="35" t="n">
        <v>4173</v>
      </c>
      <c r="T208" s="35" t="s">
        <v>172</v>
      </c>
      <c r="U208" s="28" t="n">
        <v>423726.59</v>
      </c>
      <c r="V208" s="60" t="n">
        <v>24.820658</v>
      </c>
      <c r="W208" s="112" t="n">
        <f aca="false">U208/V208</f>
        <v>17071.5292882243</v>
      </c>
      <c r="X208" s="112" t="n">
        <v>401.43</v>
      </c>
      <c r="Y208" s="28" t="n">
        <v>2.41</v>
      </c>
      <c r="Z208" s="62" t="s">
        <v>80</v>
      </c>
      <c r="AA208" s="38" t="n">
        <v>42067</v>
      </c>
      <c r="AB208" s="38" t="n">
        <v>42214</v>
      </c>
      <c r="AC208" s="38" t="n">
        <v>42209</v>
      </c>
      <c r="AD208" s="38" t="n">
        <v>44013</v>
      </c>
      <c r="AE208" s="28" t="n">
        <f aca="false">YEAR(AD208)</f>
        <v>2020</v>
      </c>
      <c r="AF208" s="260" t="n">
        <v>44013</v>
      </c>
      <c r="AG208" s="40" t="n">
        <v>141590</v>
      </c>
      <c r="AH208" s="43"/>
      <c r="AI208" s="43" t="s">
        <v>3484</v>
      </c>
    </row>
    <row r="209" s="2" customFormat="true" ht="12.75" hidden="false" customHeight="true" outlineLevel="0" collapsed="false">
      <c r="A209" s="26" t="n">
        <v>42</v>
      </c>
      <c r="B209" s="74" t="s">
        <v>3485</v>
      </c>
      <c r="C209" s="43" t="s">
        <v>3064</v>
      </c>
      <c r="D209" s="28" t="s">
        <v>46</v>
      </c>
      <c r="E209" s="43" t="n">
        <v>5.79</v>
      </c>
      <c r="F209" s="43" t="n">
        <v>1.2</v>
      </c>
      <c r="G209" s="43" t="n">
        <v>119</v>
      </c>
      <c r="H209" s="43" t="n">
        <v>2015</v>
      </c>
      <c r="I209" s="55" t="n">
        <v>1451</v>
      </c>
      <c r="J209" s="43" t="s">
        <v>74</v>
      </c>
      <c r="K209" s="30" t="s">
        <v>3486</v>
      </c>
      <c r="L209" s="35"/>
      <c r="M209" s="31" t="s">
        <v>3487</v>
      </c>
      <c r="N209" s="32" t="s">
        <v>3488</v>
      </c>
      <c r="O209" s="28" t="s">
        <v>100</v>
      </c>
      <c r="P209" s="28" t="s">
        <v>2890</v>
      </c>
      <c r="Q209" s="28" t="n">
        <v>1000</v>
      </c>
      <c r="R209" s="34" t="s">
        <v>122</v>
      </c>
      <c r="S209" s="35" t="n">
        <v>4170</v>
      </c>
      <c r="T209" s="35" t="s">
        <v>172</v>
      </c>
      <c r="U209" s="28" t="n">
        <v>423726.59</v>
      </c>
      <c r="V209" s="60" t="n">
        <v>24.820658</v>
      </c>
      <c r="W209" s="112" t="n">
        <f aca="false">U209/V209</f>
        <v>17071.5292882243</v>
      </c>
      <c r="X209" s="112" t="n">
        <v>401.43</v>
      </c>
      <c r="Y209" s="28" t="n">
        <v>2.41</v>
      </c>
      <c r="Z209" s="62" t="s">
        <v>80</v>
      </c>
      <c r="AA209" s="38" t="n">
        <v>42067</v>
      </c>
      <c r="AB209" s="38" t="n">
        <v>42214</v>
      </c>
      <c r="AC209" s="38" t="n">
        <v>42209</v>
      </c>
      <c r="AD209" s="38" t="n">
        <v>44014</v>
      </c>
      <c r="AE209" s="28" t="n">
        <f aca="false">YEAR(AD209)</f>
        <v>2020</v>
      </c>
      <c r="AF209" s="260" t="n">
        <v>44014</v>
      </c>
      <c r="AG209" s="40" t="n">
        <v>135233</v>
      </c>
      <c r="AH209" s="43"/>
      <c r="AI209" s="81" t="s">
        <v>3489</v>
      </c>
    </row>
    <row r="210" s="2" customFormat="true" ht="12.75" hidden="false" customHeight="true" outlineLevel="0" collapsed="false">
      <c r="A210" s="26" t="n">
        <v>43</v>
      </c>
      <c r="B210" s="74" t="s">
        <v>3490</v>
      </c>
      <c r="C210" s="43" t="s">
        <v>3064</v>
      </c>
      <c r="D210" s="28" t="s">
        <v>46</v>
      </c>
      <c r="E210" s="43" t="n">
        <v>5.79</v>
      </c>
      <c r="F210" s="43" t="n">
        <v>1.2</v>
      </c>
      <c r="G210" s="43" t="n">
        <v>119</v>
      </c>
      <c r="H210" s="43" t="n">
        <v>2015</v>
      </c>
      <c r="I210" s="55" t="n">
        <v>1451</v>
      </c>
      <c r="J210" s="43" t="s">
        <v>74</v>
      </c>
      <c r="K210" s="30" t="s">
        <v>1210</v>
      </c>
      <c r="L210" s="35"/>
      <c r="M210" s="31" t="s">
        <v>1211</v>
      </c>
      <c r="N210" s="32" t="s">
        <v>289</v>
      </c>
      <c r="O210" s="28" t="s">
        <v>100</v>
      </c>
      <c r="P210" s="28" t="s">
        <v>593</v>
      </c>
      <c r="Q210" s="28" t="n">
        <v>4000</v>
      </c>
      <c r="R210" s="34" t="s">
        <v>92</v>
      </c>
      <c r="S210" s="35" t="n">
        <v>4143</v>
      </c>
      <c r="T210" s="35" t="s">
        <v>172</v>
      </c>
      <c r="U210" s="28" t="n">
        <v>423726.59</v>
      </c>
      <c r="V210" s="60" t="n">
        <v>24.820658</v>
      </c>
      <c r="W210" s="112" t="n">
        <f aca="false">U210/V210</f>
        <v>17071.5292882243</v>
      </c>
      <c r="X210" s="112" t="n">
        <v>401.43</v>
      </c>
      <c r="Y210" s="28" t="n">
        <v>2.41</v>
      </c>
      <c r="Z210" s="62" t="s">
        <v>80</v>
      </c>
      <c r="AA210" s="38" t="n">
        <v>42067</v>
      </c>
      <c r="AB210" s="38" t="n">
        <v>42214</v>
      </c>
      <c r="AC210" s="38" t="n">
        <v>42209</v>
      </c>
      <c r="AD210" s="38" t="n">
        <v>44013</v>
      </c>
      <c r="AE210" s="28" t="n">
        <f aca="false">YEAR(AD210)</f>
        <v>2020</v>
      </c>
      <c r="AF210" s="260" t="n">
        <v>44013</v>
      </c>
      <c r="AG210" s="40" t="n">
        <v>134874</v>
      </c>
      <c r="AH210" s="43"/>
      <c r="AI210" s="81" t="s">
        <v>3491</v>
      </c>
    </row>
    <row r="211" s="2" customFormat="true" ht="12.75" hidden="false" customHeight="true" outlineLevel="0" collapsed="false">
      <c r="A211" s="26" t="n">
        <v>67</v>
      </c>
      <c r="B211" s="74" t="s">
        <v>3492</v>
      </c>
      <c r="C211" s="67" t="s">
        <v>3064</v>
      </c>
      <c r="D211" s="28" t="s">
        <v>46</v>
      </c>
      <c r="E211" s="43" t="n">
        <v>5.79</v>
      </c>
      <c r="F211" s="43" t="n">
        <v>1.2</v>
      </c>
      <c r="G211" s="43" t="n">
        <v>119</v>
      </c>
      <c r="H211" s="43" t="n">
        <v>2015</v>
      </c>
      <c r="I211" s="55" t="n">
        <v>1451</v>
      </c>
      <c r="J211" s="67" t="s">
        <v>74</v>
      </c>
      <c r="K211" s="30" t="s">
        <v>3493</v>
      </c>
      <c r="L211" s="82"/>
      <c r="M211" s="31" t="s">
        <v>3494</v>
      </c>
      <c r="N211" s="32" t="s">
        <v>1090</v>
      </c>
      <c r="O211" s="28" t="s">
        <v>899</v>
      </c>
      <c r="P211" s="28" t="s">
        <v>52</v>
      </c>
      <c r="Q211" s="33" t="n">
        <v>7012</v>
      </c>
      <c r="R211" s="34" t="s">
        <v>171</v>
      </c>
      <c r="S211" s="35" t="n">
        <v>4131</v>
      </c>
      <c r="T211" s="35" t="s">
        <v>172</v>
      </c>
      <c r="U211" s="28" t="n">
        <v>423726.59</v>
      </c>
      <c r="V211" s="60" t="n">
        <v>24.820658</v>
      </c>
      <c r="W211" s="112" t="n">
        <f aca="false">U211/V211</f>
        <v>17071.5292882243</v>
      </c>
      <c r="X211" s="112" t="n">
        <v>401.43</v>
      </c>
      <c r="Y211" s="28" t="n">
        <v>2.44</v>
      </c>
      <c r="Z211" s="62" t="s">
        <v>80</v>
      </c>
      <c r="AA211" s="38" t="n">
        <v>42067</v>
      </c>
      <c r="AB211" s="38" t="n">
        <v>42265</v>
      </c>
      <c r="AC211" s="38" t="n">
        <v>42265</v>
      </c>
      <c r="AD211" s="38" t="n">
        <v>44008</v>
      </c>
      <c r="AE211" s="28" t="n">
        <f aca="false">YEAR(AD211)</f>
        <v>2020</v>
      </c>
      <c r="AF211" s="260" t="n">
        <v>44008</v>
      </c>
      <c r="AG211" s="40" t="n">
        <v>147658</v>
      </c>
      <c r="AH211" s="43"/>
      <c r="AI211" s="43" t="s">
        <v>3495</v>
      </c>
    </row>
    <row r="212" s="2" customFormat="true" ht="12.75" hidden="false" customHeight="true" outlineLevel="0" collapsed="false">
      <c r="A212" s="26" t="n">
        <v>74</v>
      </c>
      <c r="B212" s="74" t="s">
        <v>3496</v>
      </c>
      <c r="C212" s="67" t="s">
        <v>3064</v>
      </c>
      <c r="D212" s="28" t="s">
        <v>46</v>
      </c>
      <c r="E212" s="43" t="n">
        <v>5.79</v>
      </c>
      <c r="F212" s="43" t="n">
        <v>1.2</v>
      </c>
      <c r="G212" s="43" t="n">
        <v>119</v>
      </c>
      <c r="H212" s="43" t="n">
        <v>2015</v>
      </c>
      <c r="I212" s="55" t="n">
        <v>1451</v>
      </c>
      <c r="J212" s="67" t="s">
        <v>74</v>
      </c>
      <c r="K212" s="30" t="s">
        <v>1415</v>
      </c>
      <c r="L212" s="82"/>
      <c r="M212" s="31" t="s">
        <v>1416</v>
      </c>
      <c r="N212" s="32" t="s">
        <v>1090</v>
      </c>
      <c r="O212" s="28" t="s">
        <v>942</v>
      </c>
      <c r="P212" s="28" t="s">
        <v>2903</v>
      </c>
      <c r="Q212" s="33" t="n">
        <v>7073</v>
      </c>
      <c r="R212" s="68" t="s">
        <v>171</v>
      </c>
      <c r="S212" s="35" t="s">
        <v>2904</v>
      </c>
      <c r="T212" s="35" t="s">
        <v>172</v>
      </c>
      <c r="U212" s="28" t="n">
        <v>423726.59</v>
      </c>
      <c r="V212" s="60" t="n">
        <v>24.820658</v>
      </c>
      <c r="W212" s="112" t="n">
        <f aca="false">U212/V212</f>
        <v>17071.5292882243</v>
      </c>
      <c r="X212" s="112" t="n">
        <v>401.43</v>
      </c>
      <c r="Y212" s="28" t="n">
        <v>2.44</v>
      </c>
      <c r="Z212" s="62" t="s">
        <v>80</v>
      </c>
      <c r="AA212" s="38" t="n">
        <v>42067</v>
      </c>
      <c r="AB212" s="38" t="n">
        <v>42265</v>
      </c>
      <c r="AC212" s="38" t="n">
        <v>42265</v>
      </c>
      <c r="AD212" s="38" t="n">
        <v>44006</v>
      </c>
      <c r="AE212" s="28" t="n">
        <f aca="false">YEAR(AD212)</f>
        <v>2020</v>
      </c>
      <c r="AF212" s="260" t="n">
        <v>44007</v>
      </c>
      <c r="AG212" s="40" t="n">
        <v>123577</v>
      </c>
      <c r="AH212" s="43"/>
      <c r="AI212" s="43" t="s">
        <v>3497</v>
      </c>
    </row>
    <row r="213" s="2" customFormat="true" ht="12.75" hidden="false" customHeight="true" outlineLevel="0" collapsed="false">
      <c r="A213" s="26" t="n">
        <v>75</v>
      </c>
      <c r="B213" s="74" t="s">
        <v>3498</v>
      </c>
      <c r="C213" s="67" t="s">
        <v>3064</v>
      </c>
      <c r="D213" s="28" t="s">
        <v>46</v>
      </c>
      <c r="E213" s="43" t="n">
        <v>5.79</v>
      </c>
      <c r="F213" s="43" t="n">
        <v>1.2</v>
      </c>
      <c r="G213" s="43" t="n">
        <v>119</v>
      </c>
      <c r="H213" s="43" t="n">
        <v>2015</v>
      </c>
      <c r="I213" s="55" t="n">
        <v>1451</v>
      </c>
      <c r="J213" s="67" t="s">
        <v>74</v>
      </c>
      <c r="K213" s="30" t="s">
        <v>604</v>
      </c>
      <c r="L213" s="69"/>
      <c r="M213" s="31" t="s">
        <v>605</v>
      </c>
      <c r="N213" s="32" t="s">
        <v>2922</v>
      </c>
      <c r="O213" s="57" t="s">
        <v>606</v>
      </c>
      <c r="P213" s="57" t="s">
        <v>593</v>
      </c>
      <c r="Q213" s="87" t="n">
        <v>4000</v>
      </c>
      <c r="R213" s="58" t="s">
        <v>189</v>
      </c>
      <c r="S213" s="69" t="n">
        <v>4173</v>
      </c>
      <c r="T213" s="35" t="s">
        <v>172</v>
      </c>
      <c r="U213" s="28" t="n">
        <v>423726.59</v>
      </c>
      <c r="V213" s="60" t="n">
        <v>24.820658</v>
      </c>
      <c r="W213" s="112" t="n">
        <f aca="false">U213/V213</f>
        <v>17071.5292882243</v>
      </c>
      <c r="X213" s="112" t="n">
        <v>401.43</v>
      </c>
      <c r="Y213" s="28" t="n">
        <v>2.44</v>
      </c>
      <c r="Z213" s="62" t="s">
        <v>80</v>
      </c>
      <c r="AA213" s="38" t="n">
        <v>42067</v>
      </c>
      <c r="AB213" s="38" t="n">
        <v>42265</v>
      </c>
      <c r="AC213" s="38" t="n">
        <v>42265</v>
      </c>
      <c r="AD213" s="38" t="n">
        <v>44006</v>
      </c>
      <c r="AE213" s="28" t="n">
        <f aca="false">YEAR(AD213)</f>
        <v>2020</v>
      </c>
      <c r="AF213" s="260" t="n">
        <v>44007</v>
      </c>
      <c r="AG213" s="40" t="n">
        <v>153558</v>
      </c>
      <c r="AH213" s="43"/>
      <c r="AI213" s="43" t="s">
        <v>3499</v>
      </c>
    </row>
    <row r="214" s="2" customFormat="true" ht="12.75" hidden="false" customHeight="true" outlineLevel="0" collapsed="false">
      <c r="A214" s="26" t="n">
        <v>77</v>
      </c>
      <c r="B214" s="74" t="s">
        <v>3500</v>
      </c>
      <c r="C214" s="67" t="s">
        <v>3064</v>
      </c>
      <c r="D214" s="28" t="s">
        <v>46</v>
      </c>
      <c r="E214" s="43" t="n">
        <v>5.79</v>
      </c>
      <c r="F214" s="43" t="n">
        <v>1.2</v>
      </c>
      <c r="G214" s="43" t="n">
        <v>119</v>
      </c>
      <c r="H214" s="43" t="n">
        <v>2015</v>
      </c>
      <c r="I214" s="55" t="n">
        <v>1451</v>
      </c>
      <c r="J214" s="67" t="s">
        <v>74</v>
      </c>
      <c r="K214" s="30" t="s">
        <v>1436</v>
      </c>
      <c r="L214" s="82"/>
      <c r="M214" s="31" t="s">
        <v>1437</v>
      </c>
      <c r="N214" s="32" t="s">
        <v>976</v>
      </c>
      <c r="O214" s="28" t="s">
        <v>60</v>
      </c>
      <c r="P214" s="48" t="s">
        <v>61</v>
      </c>
      <c r="Q214" s="83" t="n">
        <v>6000</v>
      </c>
      <c r="R214" s="34" t="s">
        <v>405</v>
      </c>
      <c r="S214" s="35" t="n">
        <v>3489</v>
      </c>
      <c r="T214" s="35" t="s">
        <v>172</v>
      </c>
      <c r="U214" s="28" t="n">
        <v>423726.59</v>
      </c>
      <c r="V214" s="60" t="n">
        <v>24.820658</v>
      </c>
      <c r="W214" s="112" t="n">
        <f aca="false">U214/V214</f>
        <v>17071.5292882243</v>
      </c>
      <c r="X214" s="112" t="n">
        <v>401.43</v>
      </c>
      <c r="Y214" s="28" t="n">
        <v>2.44</v>
      </c>
      <c r="Z214" s="62" t="s">
        <v>80</v>
      </c>
      <c r="AA214" s="38" t="n">
        <v>42067</v>
      </c>
      <c r="AB214" s="38" t="n">
        <v>42265</v>
      </c>
      <c r="AC214" s="38" t="n">
        <v>42265</v>
      </c>
      <c r="AD214" s="38" t="n">
        <v>44019</v>
      </c>
      <c r="AE214" s="28" t="n">
        <f aca="false">YEAR(AD214)</f>
        <v>2020</v>
      </c>
      <c r="AF214" s="260" t="n">
        <v>44019</v>
      </c>
      <c r="AG214" s="40" t="n">
        <v>130166</v>
      </c>
      <c r="AH214" s="43"/>
      <c r="AI214" s="43" t="s">
        <v>3501</v>
      </c>
    </row>
    <row r="215" s="2" customFormat="true" ht="12.75" hidden="false" customHeight="true" outlineLevel="0" collapsed="false">
      <c r="A215" s="26" t="n">
        <v>78</v>
      </c>
      <c r="B215" s="74" t="s">
        <v>3502</v>
      </c>
      <c r="C215" s="67" t="s">
        <v>3064</v>
      </c>
      <c r="D215" s="28" t="s">
        <v>46</v>
      </c>
      <c r="E215" s="43" t="n">
        <v>5.79</v>
      </c>
      <c r="F215" s="43" t="n">
        <v>1.2</v>
      </c>
      <c r="G215" s="43" t="n">
        <v>119</v>
      </c>
      <c r="H215" s="43" t="n">
        <v>2015</v>
      </c>
      <c r="I215" s="55" t="n">
        <v>1451</v>
      </c>
      <c r="J215" s="67" t="s">
        <v>74</v>
      </c>
      <c r="K215" s="30" t="s">
        <v>1372</v>
      </c>
      <c r="L215" s="82"/>
      <c r="M215" s="31" t="s">
        <v>1373</v>
      </c>
      <c r="N215" s="32" t="s">
        <v>976</v>
      </c>
      <c r="O215" s="28" t="s">
        <v>52</v>
      </c>
      <c r="P215" s="28" t="s">
        <v>52</v>
      </c>
      <c r="Q215" s="33" t="n">
        <v>1000</v>
      </c>
      <c r="R215" s="34" t="s">
        <v>405</v>
      </c>
      <c r="S215" s="35" t="n">
        <v>3489</v>
      </c>
      <c r="T215" s="35" t="s">
        <v>172</v>
      </c>
      <c r="U215" s="28" t="n">
        <v>423726.59</v>
      </c>
      <c r="V215" s="60" t="n">
        <v>24.820658</v>
      </c>
      <c r="W215" s="112" t="n">
        <f aca="false">U215/V215</f>
        <v>17071.5292882243</v>
      </c>
      <c r="X215" s="112" t="n">
        <v>401.43</v>
      </c>
      <c r="Y215" s="28" t="n">
        <v>2.44</v>
      </c>
      <c r="Z215" s="62" t="s">
        <v>80</v>
      </c>
      <c r="AA215" s="38" t="n">
        <v>42067</v>
      </c>
      <c r="AB215" s="38" t="n">
        <v>42265</v>
      </c>
      <c r="AC215" s="38" t="n">
        <v>42265</v>
      </c>
      <c r="AD215" s="38" t="n">
        <v>44019</v>
      </c>
      <c r="AE215" s="28" t="n">
        <f aca="false">YEAR(AD215)</f>
        <v>2020</v>
      </c>
      <c r="AF215" s="260" t="n">
        <v>44019</v>
      </c>
      <c r="AG215" s="40" t="n">
        <v>128190</v>
      </c>
      <c r="AH215" s="43"/>
      <c r="AI215" s="43" t="s">
        <v>3503</v>
      </c>
    </row>
    <row r="216" s="2" customFormat="true" ht="12.75" hidden="false" customHeight="true" outlineLevel="0" collapsed="false">
      <c r="A216" s="26" t="n">
        <v>80</v>
      </c>
      <c r="B216" s="74" t="s">
        <v>3504</v>
      </c>
      <c r="C216" s="67" t="s">
        <v>3064</v>
      </c>
      <c r="D216" s="28" t="s">
        <v>46</v>
      </c>
      <c r="E216" s="43" t="n">
        <v>5.79</v>
      </c>
      <c r="F216" s="43" t="n">
        <v>1.2</v>
      </c>
      <c r="G216" s="43" t="n">
        <v>119</v>
      </c>
      <c r="H216" s="43" t="n">
        <v>2015</v>
      </c>
      <c r="I216" s="55" t="n">
        <v>1451</v>
      </c>
      <c r="J216" s="67" t="s">
        <v>74</v>
      </c>
      <c r="K216" s="30" t="s">
        <v>3505</v>
      </c>
      <c r="L216" s="82"/>
      <c r="M216" s="31" t="s">
        <v>3506</v>
      </c>
      <c r="N216" s="32" t="s">
        <v>1090</v>
      </c>
      <c r="O216" s="28" t="s">
        <v>237</v>
      </c>
      <c r="P216" s="28" t="s">
        <v>2923</v>
      </c>
      <c r="Q216" s="33" t="n">
        <v>7052</v>
      </c>
      <c r="R216" s="34" t="s">
        <v>171</v>
      </c>
      <c r="S216" s="35" t="n">
        <v>4134</v>
      </c>
      <c r="T216" s="35" t="s">
        <v>172</v>
      </c>
      <c r="U216" s="28" t="n">
        <v>423726.59</v>
      </c>
      <c r="V216" s="60" t="n">
        <v>24.820658</v>
      </c>
      <c r="W216" s="112" t="n">
        <f aca="false">U216/V216</f>
        <v>17071.5292882243</v>
      </c>
      <c r="X216" s="112" t="n">
        <v>401.43</v>
      </c>
      <c r="Y216" s="28" t="n">
        <v>2.44</v>
      </c>
      <c r="Z216" s="62" t="s">
        <v>80</v>
      </c>
      <c r="AA216" s="38" t="n">
        <v>42067</v>
      </c>
      <c r="AB216" s="38" t="n">
        <v>42265</v>
      </c>
      <c r="AC216" s="38" t="n">
        <v>42265</v>
      </c>
      <c r="AD216" s="38" t="n">
        <v>44019</v>
      </c>
      <c r="AE216" s="28" t="n">
        <f aca="false">YEAR(AD216)</f>
        <v>2020</v>
      </c>
      <c r="AF216" s="260" t="n">
        <v>44019</v>
      </c>
      <c r="AG216" s="40" t="n">
        <v>172668</v>
      </c>
      <c r="AH216" s="43"/>
      <c r="AI216" s="43" t="s">
        <v>3507</v>
      </c>
    </row>
    <row r="217" s="2" customFormat="true" ht="12.75" hidden="false" customHeight="true" outlineLevel="0" collapsed="false">
      <c r="A217" s="26" t="n">
        <v>81</v>
      </c>
      <c r="B217" s="74" t="s">
        <v>3508</v>
      </c>
      <c r="C217" s="67" t="s">
        <v>3064</v>
      </c>
      <c r="D217" s="28" t="s">
        <v>46</v>
      </c>
      <c r="E217" s="43" t="n">
        <v>5.79</v>
      </c>
      <c r="F217" s="43" t="n">
        <v>1.2</v>
      </c>
      <c r="G217" s="43" t="n">
        <v>119</v>
      </c>
      <c r="H217" s="43" t="n">
        <v>2015</v>
      </c>
      <c r="I217" s="55" t="n">
        <v>1451</v>
      </c>
      <c r="J217" s="67" t="s">
        <v>74</v>
      </c>
      <c r="K217" s="30" t="s">
        <v>1457</v>
      </c>
      <c r="L217" s="82"/>
      <c r="M217" s="31" t="s">
        <v>1458</v>
      </c>
      <c r="N217" s="32" t="s">
        <v>2922</v>
      </c>
      <c r="O217" s="28" t="s">
        <v>928</v>
      </c>
      <c r="P217" s="28" t="s">
        <v>2903</v>
      </c>
      <c r="Q217" s="33" t="n">
        <v>6000</v>
      </c>
      <c r="R217" s="34" t="s">
        <v>189</v>
      </c>
      <c r="S217" s="35" t="s">
        <v>3467</v>
      </c>
      <c r="T217" s="35" t="s">
        <v>172</v>
      </c>
      <c r="U217" s="28" t="n">
        <v>423726.59</v>
      </c>
      <c r="V217" s="60" t="n">
        <v>24.820658</v>
      </c>
      <c r="W217" s="112" t="n">
        <f aca="false">U217/V217</f>
        <v>17071.5292882243</v>
      </c>
      <c r="X217" s="112" t="n">
        <v>401.43</v>
      </c>
      <c r="Y217" s="28" t="n">
        <v>2.44</v>
      </c>
      <c r="Z217" s="62" t="s">
        <v>80</v>
      </c>
      <c r="AA217" s="38" t="n">
        <v>42067</v>
      </c>
      <c r="AB217" s="38" t="n">
        <v>42265</v>
      </c>
      <c r="AC217" s="38" t="n">
        <v>42265</v>
      </c>
      <c r="AD217" s="38" t="n">
        <v>44019</v>
      </c>
      <c r="AE217" s="28" t="n">
        <f aca="false">YEAR(AD217)</f>
        <v>2020</v>
      </c>
      <c r="AF217" s="260" t="n">
        <v>44019</v>
      </c>
      <c r="AG217" s="40" t="n">
        <v>126666</v>
      </c>
      <c r="AH217" s="43"/>
      <c r="AI217" s="43" t="s">
        <v>3509</v>
      </c>
    </row>
    <row r="218" s="2" customFormat="true" ht="12.75" hidden="false" customHeight="true" outlineLevel="0" collapsed="false">
      <c r="A218" s="26" t="n">
        <v>70</v>
      </c>
      <c r="B218" s="74" t="s">
        <v>3510</v>
      </c>
      <c r="C218" s="67" t="s">
        <v>3064</v>
      </c>
      <c r="D218" s="28" t="s">
        <v>46</v>
      </c>
      <c r="E218" s="43" t="n">
        <v>5.79</v>
      </c>
      <c r="F218" s="43" t="n">
        <v>1.2</v>
      </c>
      <c r="G218" s="43" t="n">
        <v>119</v>
      </c>
      <c r="H218" s="43" t="n">
        <v>2015</v>
      </c>
      <c r="I218" s="55" t="n">
        <v>1451</v>
      </c>
      <c r="J218" s="67" t="s">
        <v>74</v>
      </c>
      <c r="K218" s="30" t="s">
        <v>3511</v>
      </c>
      <c r="L218" s="82"/>
      <c r="M218" s="31" t="s">
        <v>3512</v>
      </c>
      <c r="N218" s="32" t="s">
        <v>168</v>
      </c>
      <c r="O218" s="28" t="s">
        <v>326</v>
      </c>
      <c r="P218" s="28" t="s">
        <v>52</v>
      </c>
      <c r="Q218" s="33" t="n">
        <v>9000</v>
      </c>
      <c r="R218" s="34" t="s">
        <v>92</v>
      </c>
      <c r="S218" s="35" t="n">
        <v>4131</v>
      </c>
      <c r="T218" s="35" t="s">
        <v>172</v>
      </c>
      <c r="U218" s="28" t="n">
        <v>423726.59</v>
      </c>
      <c r="V218" s="60" t="n">
        <v>24.820658</v>
      </c>
      <c r="W218" s="112" t="n">
        <f aca="false">U218/V218</f>
        <v>17071.5292882243</v>
      </c>
      <c r="X218" s="112" t="n">
        <v>401.43</v>
      </c>
      <c r="Y218" s="28" t="n">
        <v>2.44</v>
      </c>
      <c r="Z218" s="62" t="s">
        <v>80</v>
      </c>
      <c r="AA218" s="38" t="n">
        <v>42067</v>
      </c>
      <c r="AB218" s="38" t="n">
        <v>42265</v>
      </c>
      <c r="AC218" s="38" t="n">
        <v>42265</v>
      </c>
      <c r="AD218" s="38" t="n">
        <v>44019</v>
      </c>
      <c r="AE218" s="28" t="n">
        <f aca="false">YEAR(AD218)</f>
        <v>2020</v>
      </c>
      <c r="AF218" s="260" t="n">
        <v>44019</v>
      </c>
      <c r="AG218" s="40" t="n">
        <v>107806</v>
      </c>
      <c r="AH218" s="43"/>
      <c r="AI218" s="43" t="s">
        <v>3513</v>
      </c>
    </row>
    <row r="219" s="2" customFormat="true" ht="12.75" hidden="false" customHeight="true" outlineLevel="0" collapsed="false">
      <c r="A219" s="26" t="n">
        <v>72</v>
      </c>
      <c r="B219" s="74" t="s">
        <v>3514</v>
      </c>
      <c r="C219" s="67" t="s">
        <v>3064</v>
      </c>
      <c r="D219" s="28" t="s">
        <v>46</v>
      </c>
      <c r="E219" s="43" t="n">
        <v>5.79</v>
      </c>
      <c r="F219" s="43" t="n">
        <v>1.2</v>
      </c>
      <c r="G219" s="43" t="n">
        <v>119</v>
      </c>
      <c r="H219" s="43" t="n">
        <v>2015</v>
      </c>
      <c r="I219" s="55" t="n">
        <v>1451</v>
      </c>
      <c r="J219" s="67" t="s">
        <v>74</v>
      </c>
      <c r="K219" s="30" t="s">
        <v>3515</v>
      </c>
      <c r="L219" s="82"/>
      <c r="M219" s="31" t="s">
        <v>3516</v>
      </c>
      <c r="N219" s="32" t="s">
        <v>1090</v>
      </c>
      <c r="O219" s="28" t="s">
        <v>335</v>
      </c>
      <c r="P219" s="28" t="s">
        <v>2923</v>
      </c>
      <c r="Q219" s="33" t="n">
        <v>7040</v>
      </c>
      <c r="R219" s="34" t="s">
        <v>171</v>
      </c>
      <c r="S219" s="35" t="n">
        <v>4134</v>
      </c>
      <c r="T219" s="35" t="s">
        <v>172</v>
      </c>
      <c r="U219" s="28" t="n">
        <v>423726.59</v>
      </c>
      <c r="V219" s="60" t="n">
        <v>24.820658</v>
      </c>
      <c r="W219" s="112" t="n">
        <f aca="false">U219/V219</f>
        <v>17071.5292882243</v>
      </c>
      <c r="X219" s="112" t="n">
        <v>401.43</v>
      </c>
      <c r="Y219" s="28" t="n">
        <v>2.44</v>
      </c>
      <c r="Z219" s="62" t="s">
        <v>80</v>
      </c>
      <c r="AA219" s="38" t="n">
        <v>42067</v>
      </c>
      <c r="AB219" s="38" t="n">
        <v>42265</v>
      </c>
      <c r="AC219" s="38" t="n">
        <v>42265</v>
      </c>
      <c r="AD219" s="38" t="n">
        <v>44019</v>
      </c>
      <c r="AE219" s="28" t="n">
        <f aca="false">YEAR(AD219)</f>
        <v>2020</v>
      </c>
      <c r="AF219" s="260" t="n">
        <v>44018</v>
      </c>
      <c r="AG219" s="40" t="n">
        <v>119314</v>
      </c>
      <c r="AH219" s="43"/>
      <c r="AI219" s="43" t="s">
        <v>3517</v>
      </c>
    </row>
    <row r="220" s="2" customFormat="true" ht="12.75" hidden="false" customHeight="true" outlineLevel="0" collapsed="false">
      <c r="A220" s="26" t="n">
        <v>101</v>
      </c>
      <c r="B220" s="74" t="s">
        <v>3518</v>
      </c>
      <c r="C220" s="67" t="s">
        <v>3064</v>
      </c>
      <c r="D220" s="28" t="s">
        <v>46</v>
      </c>
      <c r="E220" s="43" t="n">
        <v>5.79</v>
      </c>
      <c r="F220" s="43" t="n">
        <v>1.2</v>
      </c>
      <c r="G220" s="43" t="n">
        <v>119</v>
      </c>
      <c r="H220" s="43" t="n">
        <v>2015</v>
      </c>
      <c r="I220" s="55" t="n">
        <v>1451</v>
      </c>
      <c r="J220" s="67" t="s">
        <v>74</v>
      </c>
      <c r="K220" s="30" t="s">
        <v>3519</v>
      </c>
      <c r="L220" s="69"/>
      <c r="M220" s="31" t="s">
        <v>3520</v>
      </c>
      <c r="N220" s="32" t="s">
        <v>1090</v>
      </c>
      <c r="O220" s="57" t="s">
        <v>373</v>
      </c>
      <c r="P220" s="28" t="s">
        <v>2923</v>
      </c>
      <c r="Q220" s="103" t="n">
        <v>7032</v>
      </c>
      <c r="R220" s="58" t="s">
        <v>171</v>
      </c>
      <c r="S220" s="35" t="n">
        <v>4134</v>
      </c>
      <c r="T220" s="35" t="s">
        <v>172</v>
      </c>
      <c r="U220" s="235" t="n">
        <v>359686.45</v>
      </c>
      <c r="V220" s="60" t="n">
        <v>21.44881</v>
      </c>
      <c r="W220" s="112" t="n">
        <f aca="false">U220/V220</f>
        <v>16769.5294051278</v>
      </c>
      <c r="X220" s="112" t="n">
        <v>389</v>
      </c>
      <c r="Y220" s="146" t="s">
        <v>3521</v>
      </c>
      <c r="Z220" s="62" t="s">
        <v>80</v>
      </c>
      <c r="AA220" s="38" t="n">
        <v>42242</v>
      </c>
      <c r="AB220" s="38" t="n">
        <v>42312</v>
      </c>
      <c r="AC220" s="38" t="n">
        <v>42317</v>
      </c>
      <c r="AD220" s="38" t="n">
        <v>44014</v>
      </c>
      <c r="AE220" s="28" t="n">
        <f aca="false">YEAR(AD220)</f>
        <v>2020</v>
      </c>
      <c r="AF220" s="260" t="n">
        <v>44014</v>
      </c>
      <c r="AG220" s="40" t="n">
        <v>135964</v>
      </c>
      <c r="AH220" s="43"/>
      <c r="AI220" s="43" t="s">
        <v>3522</v>
      </c>
    </row>
    <row r="221" s="2" customFormat="true" ht="12.75" hidden="false" customHeight="true" outlineLevel="0" collapsed="false">
      <c r="A221" s="26" t="n">
        <v>102</v>
      </c>
      <c r="B221" s="74" t="s">
        <v>3523</v>
      </c>
      <c r="C221" s="67" t="s">
        <v>3064</v>
      </c>
      <c r="D221" s="28" t="s">
        <v>46</v>
      </c>
      <c r="E221" s="43" t="n">
        <v>5.79</v>
      </c>
      <c r="F221" s="43" t="n">
        <v>1.2</v>
      </c>
      <c r="G221" s="43" t="n">
        <v>119</v>
      </c>
      <c r="H221" s="43" t="n">
        <v>2015</v>
      </c>
      <c r="I221" s="55" t="n">
        <v>1451</v>
      </c>
      <c r="J221" s="67" t="s">
        <v>74</v>
      </c>
      <c r="K221" s="30" t="s">
        <v>1986</v>
      </c>
      <c r="L221" s="69"/>
      <c r="M221" s="31" t="s">
        <v>1987</v>
      </c>
      <c r="N221" s="32" t="s">
        <v>289</v>
      </c>
      <c r="O221" s="93" t="s">
        <v>1988</v>
      </c>
      <c r="P221" s="93" t="s">
        <v>2903</v>
      </c>
      <c r="Q221" s="93" t="n">
        <v>6000</v>
      </c>
      <c r="R221" s="115" t="s">
        <v>92</v>
      </c>
      <c r="S221" s="69" t="s">
        <v>3021</v>
      </c>
      <c r="T221" s="35" t="s">
        <v>172</v>
      </c>
      <c r="U221" s="235" t="n">
        <v>359686.45</v>
      </c>
      <c r="V221" s="60" t="n">
        <v>21.44881</v>
      </c>
      <c r="W221" s="112" t="n">
        <f aca="false">U221/V221</f>
        <v>16769.5294051278</v>
      </c>
      <c r="X221" s="112" t="n">
        <v>389</v>
      </c>
      <c r="Y221" s="146" t="s">
        <v>3521</v>
      </c>
      <c r="Z221" s="62" t="s">
        <v>80</v>
      </c>
      <c r="AA221" s="38" t="n">
        <v>42242</v>
      </c>
      <c r="AB221" s="38" t="n">
        <v>42312</v>
      </c>
      <c r="AC221" s="38" t="n">
        <v>42317</v>
      </c>
      <c r="AD221" s="38" t="n">
        <v>44011</v>
      </c>
      <c r="AE221" s="28" t="n">
        <f aca="false">YEAR(AD221)</f>
        <v>2020</v>
      </c>
      <c r="AF221" s="260" t="n">
        <v>44012</v>
      </c>
      <c r="AG221" s="40" t="n">
        <v>154043</v>
      </c>
      <c r="AH221" s="43"/>
      <c r="AI221" s="43" t="s">
        <v>3524</v>
      </c>
    </row>
    <row r="222" s="2" customFormat="true" ht="12.75" hidden="false" customHeight="true" outlineLevel="0" collapsed="false">
      <c r="A222" s="26" t="n">
        <v>103</v>
      </c>
      <c r="B222" s="74" t="s">
        <v>3525</v>
      </c>
      <c r="C222" s="67" t="s">
        <v>3064</v>
      </c>
      <c r="D222" s="28" t="s">
        <v>46</v>
      </c>
      <c r="E222" s="43" t="n">
        <v>5.79</v>
      </c>
      <c r="F222" s="43" t="n">
        <v>1.2</v>
      </c>
      <c r="G222" s="43" t="n">
        <v>119</v>
      </c>
      <c r="H222" s="43" t="n">
        <v>2015</v>
      </c>
      <c r="I222" s="55" t="n">
        <v>1451</v>
      </c>
      <c r="J222" s="67" t="s">
        <v>74</v>
      </c>
      <c r="K222" s="86" t="s">
        <v>2887</v>
      </c>
      <c r="L222" s="69"/>
      <c r="M222" s="126" t="s">
        <v>1724</v>
      </c>
      <c r="N222" s="32" t="s">
        <v>1090</v>
      </c>
      <c r="O222" s="263" t="s">
        <v>197</v>
      </c>
      <c r="P222" s="57" t="s">
        <v>2923</v>
      </c>
      <c r="Q222" s="87" t="n">
        <v>7042</v>
      </c>
      <c r="R222" s="58" t="s">
        <v>171</v>
      </c>
      <c r="S222" s="69" t="n">
        <v>4134</v>
      </c>
      <c r="T222" s="35" t="s">
        <v>172</v>
      </c>
      <c r="U222" s="235" t="n">
        <v>359686.45</v>
      </c>
      <c r="V222" s="60" t="n">
        <v>21.44881</v>
      </c>
      <c r="W222" s="112" t="n">
        <f aca="false">U222/V222</f>
        <v>16769.5294051278</v>
      </c>
      <c r="X222" s="112" t="n">
        <v>389</v>
      </c>
      <c r="Y222" s="146" t="s">
        <v>3521</v>
      </c>
      <c r="Z222" s="62" t="s">
        <v>80</v>
      </c>
      <c r="AA222" s="38" t="n">
        <v>42242</v>
      </c>
      <c r="AB222" s="38" t="n">
        <v>42312</v>
      </c>
      <c r="AC222" s="38" t="n">
        <v>42317</v>
      </c>
      <c r="AD222" s="38" t="n">
        <v>44011</v>
      </c>
      <c r="AE222" s="28" t="n">
        <f aca="false">YEAR(AD222)</f>
        <v>2020</v>
      </c>
      <c r="AF222" s="260" t="n">
        <v>44012</v>
      </c>
      <c r="AG222" s="40" t="n">
        <v>135004</v>
      </c>
      <c r="AH222" s="43"/>
      <c r="AI222" s="43" t="s">
        <v>3526</v>
      </c>
    </row>
    <row r="223" s="2" customFormat="true" ht="12.75" hidden="false" customHeight="true" outlineLevel="0" collapsed="false">
      <c r="A223" s="26" t="n">
        <v>106</v>
      </c>
      <c r="B223" s="74" t="s">
        <v>3527</v>
      </c>
      <c r="C223" s="67" t="s">
        <v>3064</v>
      </c>
      <c r="D223" s="28" t="s">
        <v>46</v>
      </c>
      <c r="E223" s="43" t="n">
        <v>5.79</v>
      </c>
      <c r="F223" s="43" t="n">
        <v>1.2</v>
      </c>
      <c r="G223" s="43" t="n">
        <v>119</v>
      </c>
      <c r="H223" s="43" t="n">
        <v>2015</v>
      </c>
      <c r="I223" s="55" t="n">
        <v>1451</v>
      </c>
      <c r="J223" s="67" t="s">
        <v>74</v>
      </c>
      <c r="K223" s="30" t="s">
        <v>3528</v>
      </c>
      <c r="L223" s="69"/>
      <c r="M223" s="31" t="s">
        <v>3529</v>
      </c>
      <c r="N223" s="32" t="s">
        <v>1090</v>
      </c>
      <c r="O223" s="57" t="s">
        <v>942</v>
      </c>
      <c r="P223" s="57" t="s">
        <v>2903</v>
      </c>
      <c r="Q223" s="87" t="n">
        <v>7073</v>
      </c>
      <c r="R223" s="58" t="s">
        <v>171</v>
      </c>
      <c r="S223" s="69" t="s">
        <v>2904</v>
      </c>
      <c r="T223" s="35" t="s">
        <v>172</v>
      </c>
      <c r="U223" s="235" t="n">
        <v>359686.45</v>
      </c>
      <c r="V223" s="60" t="n">
        <v>21.44881</v>
      </c>
      <c r="W223" s="112" t="n">
        <f aca="false">U223/V223</f>
        <v>16769.5294051278</v>
      </c>
      <c r="X223" s="112" t="n">
        <v>389</v>
      </c>
      <c r="Y223" s="146" t="s">
        <v>3521</v>
      </c>
      <c r="Z223" s="62" t="s">
        <v>80</v>
      </c>
      <c r="AA223" s="38" t="n">
        <v>42242</v>
      </c>
      <c r="AB223" s="38" t="n">
        <v>42312</v>
      </c>
      <c r="AC223" s="38" t="n">
        <v>42317</v>
      </c>
      <c r="AD223" s="50" t="n">
        <v>44000</v>
      </c>
      <c r="AE223" s="28" t="n">
        <f aca="false">YEAR(AD223)</f>
        <v>2020</v>
      </c>
      <c r="AF223" s="260" t="n">
        <v>44012</v>
      </c>
      <c r="AG223" s="40"/>
      <c r="AH223" s="43"/>
      <c r="AI223" s="43" t="s">
        <v>3530</v>
      </c>
    </row>
    <row r="224" s="2" customFormat="true" ht="12.75" hidden="false" customHeight="true" outlineLevel="0" collapsed="false">
      <c r="A224" s="26" t="n">
        <v>105</v>
      </c>
      <c r="B224" s="74" t="s">
        <v>3531</v>
      </c>
      <c r="C224" s="67" t="s">
        <v>3064</v>
      </c>
      <c r="D224" s="28" t="s">
        <v>46</v>
      </c>
      <c r="E224" s="43" t="n">
        <v>5.79</v>
      </c>
      <c r="F224" s="43" t="n">
        <v>1.2</v>
      </c>
      <c r="G224" s="43" t="n">
        <v>119</v>
      </c>
      <c r="H224" s="43" t="n">
        <v>2015</v>
      </c>
      <c r="I224" s="55" t="n">
        <v>1451</v>
      </c>
      <c r="J224" s="67" t="s">
        <v>74</v>
      </c>
      <c r="K224" s="30" t="s">
        <v>3532</v>
      </c>
      <c r="L224" s="69"/>
      <c r="M224" s="126" t="s">
        <v>1944</v>
      </c>
      <c r="N224" s="32" t="s">
        <v>1090</v>
      </c>
      <c r="O224" s="57" t="s">
        <v>1350</v>
      </c>
      <c r="P224" s="57" t="s">
        <v>61</v>
      </c>
      <c r="Q224" s="87" t="n">
        <v>7082</v>
      </c>
      <c r="R224" s="58" t="s">
        <v>171</v>
      </c>
      <c r="S224" s="69" t="n">
        <v>4138</v>
      </c>
      <c r="T224" s="35" t="s">
        <v>172</v>
      </c>
      <c r="U224" s="235" t="n">
        <v>359686.45</v>
      </c>
      <c r="V224" s="60" t="n">
        <v>21.44881</v>
      </c>
      <c r="W224" s="112" t="n">
        <f aca="false">U224/V224</f>
        <v>16769.5294051278</v>
      </c>
      <c r="X224" s="112" t="n">
        <v>389</v>
      </c>
      <c r="Y224" s="146" t="s">
        <v>3521</v>
      </c>
      <c r="Z224" s="62" t="s">
        <v>80</v>
      </c>
      <c r="AA224" s="38" t="n">
        <v>42242</v>
      </c>
      <c r="AB224" s="38" t="n">
        <v>42312</v>
      </c>
      <c r="AC224" s="38" t="n">
        <v>42317</v>
      </c>
      <c r="AD224" s="38" t="n">
        <v>44019</v>
      </c>
      <c r="AE224" s="28" t="n">
        <f aca="false">YEAR(AD224)</f>
        <v>2020</v>
      </c>
      <c r="AF224" s="260" t="n">
        <v>44019</v>
      </c>
      <c r="AG224" s="40" t="n">
        <v>128672</v>
      </c>
      <c r="AH224" s="43"/>
      <c r="AI224" s="43" t="s">
        <v>3533</v>
      </c>
    </row>
    <row r="225" s="2" customFormat="true" ht="12.75" hidden="false" customHeight="true" outlineLevel="0" collapsed="false">
      <c r="A225" s="26" t="n">
        <v>107</v>
      </c>
      <c r="B225" s="74" t="s">
        <v>3534</v>
      </c>
      <c r="C225" s="67" t="s">
        <v>3064</v>
      </c>
      <c r="D225" s="28" t="s">
        <v>46</v>
      </c>
      <c r="E225" s="43" t="n">
        <v>5.79</v>
      </c>
      <c r="F225" s="43" t="n">
        <v>1.2</v>
      </c>
      <c r="G225" s="43" t="n">
        <v>119</v>
      </c>
      <c r="H225" s="43" t="n">
        <v>2015</v>
      </c>
      <c r="I225" s="55" t="n">
        <v>1451</v>
      </c>
      <c r="J225" s="67" t="s">
        <v>74</v>
      </c>
      <c r="K225" s="30" t="s">
        <v>3535</v>
      </c>
      <c r="L225" s="69"/>
      <c r="M225" s="31" t="s">
        <v>1349</v>
      </c>
      <c r="N225" s="32" t="s">
        <v>168</v>
      </c>
      <c r="O225" s="57" t="s">
        <v>1350</v>
      </c>
      <c r="P225" s="57" t="s">
        <v>61</v>
      </c>
      <c r="Q225" s="87" t="n">
        <v>9000</v>
      </c>
      <c r="R225" s="58" t="s">
        <v>171</v>
      </c>
      <c r="S225" s="69" t="n">
        <v>4138</v>
      </c>
      <c r="T225" s="35" t="s">
        <v>172</v>
      </c>
      <c r="U225" s="235" t="n">
        <v>359686.45</v>
      </c>
      <c r="V225" s="60" t="n">
        <v>21.44881</v>
      </c>
      <c r="W225" s="112" t="n">
        <f aca="false">U225/V225</f>
        <v>16769.5294051278</v>
      </c>
      <c r="X225" s="112" t="n">
        <v>389</v>
      </c>
      <c r="Y225" s="146" t="s">
        <v>3521</v>
      </c>
      <c r="Z225" s="62" t="s">
        <v>80</v>
      </c>
      <c r="AA225" s="38" t="n">
        <v>42242</v>
      </c>
      <c r="AB225" s="38" t="n">
        <v>42312</v>
      </c>
      <c r="AC225" s="38" t="n">
        <v>42317</v>
      </c>
      <c r="AD225" s="38" t="n">
        <v>44019</v>
      </c>
      <c r="AE225" s="28" t="n">
        <f aca="false">YEAR(AD225)</f>
        <v>2020</v>
      </c>
      <c r="AF225" s="260" t="n">
        <v>44019</v>
      </c>
      <c r="AG225" s="40" t="n">
        <v>114024</v>
      </c>
      <c r="AH225" s="43"/>
      <c r="AI225" s="43" t="s">
        <v>3536</v>
      </c>
    </row>
    <row r="226" s="2" customFormat="true" ht="12.75" hidden="false" customHeight="true" outlineLevel="0" collapsed="false">
      <c r="A226" s="26" t="n">
        <v>111</v>
      </c>
      <c r="B226" s="74" t="s">
        <v>3537</v>
      </c>
      <c r="C226" s="67" t="s">
        <v>3064</v>
      </c>
      <c r="D226" s="28" t="s">
        <v>46</v>
      </c>
      <c r="E226" s="43" t="n">
        <v>5.79</v>
      </c>
      <c r="F226" s="43" t="n">
        <v>1.2</v>
      </c>
      <c r="G226" s="43" t="n">
        <v>119</v>
      </c>
      <c r="H226" s="43" t="n">
        <v>2015</v>
      </c>
      <c r="I226" s="55" t="n">
        <v>1451</v>
      </c>
      <c r="J226" s="67" t="s">
        <v>74</v>
      </c>
      <c r="K226" s="30" t="s">
        <v>2579</v>
      </c>
      <c r="L226" s="69"/>
      <c r="M226" s="31" t="s">
        <v>2580</v>
      </c>
      <c r="N226" s="32" t="s">
        <v>1090</v>
      </c>
      <c r="O226" s="192" t="s">
        <v>732</v>
      </c>
      <c r="P226" s="57" t="s">
        <v>61</v>
      </c>
      <c r="Q226" s="87" t="n">
        <v>7080</v>
      </c>
      <c r="R226" s="58" t="s">
        <v>171</v>
      </c>
      <c r="S226" s="69" t="n">
        <v>4138</v>
      </c>
      <c r="T226" s="35" t="s">
        <v>172</v>
      </c>
      <c r="U226" s="235" t="n">
        <v>359686.45</v>
      </c>
      <c r="V226" s="60" t="n">
        <v>21.44881</v>
      </c>
      <c r="W226" s="112" t="n">
        <f aca="false">U226/V226</f>
        <v>16769.5294051278</v>
      </c>
      <c r="X226" s="112" t="n">
        <v>389</v>
      </c>
      <c r="Y226" s="146" t="s">
        <v>3521</v>
      </c>
      <c r="Z226" s="62" t="s">
        <v>80</v>
      </c>
      <c r="AA226" s="38" t="n">
        <v>42242</v>
      </c>
      <c r="AB226" s="38" t="n">
        <v>42312</v>
      </c>
      <c r="AC226" s="38" t="n">
        <v>42317</v>
      </c>
      <c r="AD226" s="50" t="n">
        <v>44001</v>
      </c>
      <c r="AE226" s="28" t="n">
        <f aca="false">YEAR(AD226)</f>
        <v>2020</v>
      </c>
      <c r="AF226" s="260" t="n">
        <v>44001</v>
      </c>
      <c r="AG226" s="40" t="n">
        <v>143139</v>
      </c>
      <c r="AH226" s="43"/>
      <c r="AI226" s="43" t="s">
        <v>3538</v>
      </c>
    </row>
    <row r="227" s="2" customFormat="true" ht="12.75" hidden="false" customHeight="true" outlineLevel="0" collapsed="false">
      <c r="A227" s="26" t="n">
        <v>114</v>
      </c>
      <c r="B227" s="74" t="s">
        <v>3539</v>
      </c>
      <c r="C227" s="67" t="s">
        <v>3064</v>
      </c>
      <c r="D227" s="28" t="s">
        <v>46</v>
      </c>
      <c r="E227" s="43" t="n">
        <v>5.79</v>
      </c>
      <c r="F227" s="43" t="n">
        <v>1.2</v>
      </c>
      <c r="G227" s="43" t="n">
        <v>119</v>
      </c>
      <c r="H227" s="43" t="n">
        <v>2015</v>
      </c>
      <c r="I227" s="55" t="n">
        <v>1451</v>
      </c>
      <c r="J227" s="67" t="s">
        <v>74</v>
      </c>
      <c r="K227" s="30" t="s">
        <v>2031</v>
      </c>
      <c r="L227" s="69"/>
      <c r="M227" s="31" t="s">
        <v>2032</v>
      </c>
      <c r="N227" s="32" t="s">
        <v>1090</v>
      </c>
      <c r="O227" s="57" t="s">
        <v>52</v>
      </c>
      <c r="P227" s="57" t="s">
        <v>52</v>
      </c>
      <c r="Q227" s="87" t="n">
        <v>7015</v>
      </c>
      <c r="R227" s="58" t="s">
        <v>171</v>
      </c>
      <c r="S227" s="69" t="n">
        <v>4131</v>
      </c>
      <c r="T227" s="35" t="s">
        <v>172</v>
      </c>
      <c r="U227" s="235" t="n">
        <v>359686.45</v>
      </c>
      <c r="V227" s="60" t="n">
        <v>21.44881</v>
      </c>
      <c r="W227" s="112" t="n">
        <f aca="false">U227/V227</f>
        <v>16769.5294051278</v>
      </c>
      <c r="X227" s="112" t="n">
        <v>389</v>
      </c>
      <c r="Y227" s="146" t="s">
        <v>3521</v>
      </c>
      <c r="Z227" s="62" t="s">
        <v>80</v>
      </c>
      <c r="AA227" s="38" t="n">
        <v>42242</v>
      </c>
      <c r="AB227" s="38" t="n">
        <v>42312</v>
      </c>
      <c r="AC227" s="38" t="n">
        <v>42317</v>
      </c>
      <c r="AD227" s="38" t="n">
        <v>44019</v>
      </c>
      <c r="AE227" s="28" t="n">
        <f aca="false">YEAR(AD227)</f>
        <v>2020</v>
      </c>
      <c r="AF227" s="260" t="n">
        <v>44018</v>
      </c>
      <c r="AG227" s="40" t="n">
        <v>125784</v>
      </c>
      <c r="AH227" s="43"/>
      <c r="AI227" s="43" t="s">
        <v>3540</v>
      </c>
    </row>
    <row r="228" s="2" customFormat="true" ht="12.75" hidden="false" customHeight="true" outlineLevel="0" collapsed="false">
      <c r="A228" s="26" t="n">
        <v>116</v>
      </c>
      <c r="B228" s="74" t="s">
        <v>3541</v>
      </c>
      <c r="C228" s="67" t="s">
        <v>3064</v>
      </c>
      <c r="D228" s="28" t="s">
        <v>46</v>
      </c>
      <c r="E228" s="43" t="n">
        <v>5.79</v>
      </c>
      <c r="F228" s="43" t="n">
        <v>1.2</v>
      </c>
      <c r="G228" s="43" t="n">
        <v>119</v>
      </c>
      <c r="H228" s="43" t="n">
        <v>2015</v>
      </c>
      <c r="I228" s="55" t="n">
        <v>1451</v>
      </c>
      <c r="J228" s="67" t="s">
        <v>74</v>
      </c>
      <c r="K228" s="30" t="s">
        <v>3542</v>
      </c>
      <c r="L228" s="69"/>
      <c r="M228" s="31" t="s">
        <v>3543</v>
      </c>
      <c r="N228" s="32" t="s">
        <v>1090</v>
      </c>
      <c r="O228" s="57" t="s">
        <v>373</v>
      </c>
      <c r="P228" s="28" t="s">
        <v>2923</v>
      </c>
      <c r="Q228" s="103" t="n">
        <v>7032</v>
      </c>
      <c r="R228" s="34" t="s">
        <v>189</v>
      </c>
      <c r="S228" s="35" t="n">
        <v>4174</v>
      </c>
      <c r="T228" s="35" t="s">
        <v>172</v>
      </c>
      <c r="U228" s="235" t="n">
        <v>359686.45</v>
      </c>
      <c r="V228" s="60" t="n">
        <v>21.44881</v>
      </c>
      <c r="W228" s="112" t="n">
        <f aca="false">U228/V228</f>
        <v>16769.5294051278</v>
      </c>
      <c r="X228" s="112" t="n">
        <v>389</v>
      </c>
      <c r="Y228" s="146" t="s">
        <v>3521</v>
      </c>
      <c r="Z228" s="62" t="s">
        <v>80</v>
      </c>
      <c r="AA228" s="38" t="n">
        <v>42242</v>
      </c>
      <c r="AB228" s="38" t="n">
        <v>42312</v>
      </c>
      <c r="AC228" s="38" t="n">
        <v>42317</v>
      </c>
      <c r="AD228" s="50" t="n">
        <v>44004</v>
      </c>
      <c r="AE228" s="28" t="n">
        <f aca="false">YEAR(AD228)</f>
        <v>2020</v>
      </c>
      <c r="AF228" s="260" t="n">
        <v>44004</v>
      </c>
      <c r="AG228" s="40" t="n">
        <v>123269</v>
      </c>
      <c r="AH228" s="43"/>
      <c r="AI228" s="43" t="s">
        <v>3544</v>
      </c>
    </row>
    <row r="229" s="2" customFormat="true" ht="12.75" hidden="false" customHeight="true" outlineLevel="0" collapsed="false">
      <c r="A229" s="26" t="n">
        <v>117</v>
      </c>
      <c r="B229" s="74" t="s">
        <v>3545</v>
      </c>
      <c r="C229" s="67" t="s">
        <v>3064</v>
      </c>
      <c r="D229" s="28" t="s">
        <v>46</v>
      </c>
      <c r="E229" s="43" t="n">
        <v>5.79</v>
      </c>
      <c r="F229" s="43" t="n">
        <v>1.2</v>
      </c>
      <c r="G229" s="43" t="n">
        <v>119</v>
      </c>
      <c r="H229" s="43" t="n">
        <v>2015</v>
      </c>
      <c r="I229" s="55" t="n">
        <v>1451</v>
      </c>
      <c r="J229" s="67" t="s">
        <v>74</v>
      </c>
      <c r="K229" s="30" t="s">
        <v>2068</v>
      </c>
      <c r="L229" s="122"/>
      <c r="M229" s="31" t="s">
        <v>2069</v>
      </c>
      <c r="N229" s="32" t="s">
        <v>289</v>
      </c>
      <c r="O229" s="28" t="s">
        <v>1239</v>
      </c>
      <c r="P229" s="28" t="s">
        <v>52</v>
      </c>
      <c r="Q229" s="33" t="n">
        <v>7050</v>
      </c>
      <c r="R229" s="34" t="s">
        <v>92</v>
      </c>
      <c r="S229" s="35" t="n">
        <v>4131</v>
      </c>
      <c r="T229" s="35" t="s">
        <v>172</v>
      </c>
      <c r="U229" s="235" t="n">
        <v>359686.45</v>
      </c>
      <c r="V229" s="60" t="n">
        <v>21.44881</v>
      </c>
      <c r="W229" s="112" t="n">
        <f aca="false">U229/V229</f>
        <v>16769.5294051278</v>
      </c>
      <c r="X229" s="112" t="n">
        <v>389</v>
      </c>
      <c r="Y229" s="146" t="s">
        <v>3521</v>
      </c>
      <c r="Z229" s="62" t="s">
        <v>80</v>
      </c>
      <c r="AA229" s="38" t="n">
        <v>42242</v>
      </c>
      <c r="AB229" s="38" t="n">
        <v>42312</v>
      </c>
      <c r="AC229" s="38" t="n">
        <v>42317</v>
      </c>
      <c r="AD229" s="50" t="n">
        <v>44004</v>
      </c>
      <c r="AE229" s="28" t="n">
        <f aca="false">YEAR(AD229)</f>
        <v>2020</v>
      </c>
      <c r="AF229" s="260" t="n">
        <v>44004</v>
      </c>
      <c r="AG229" s="40" t="n">
        <v>142382</v>
      </c>
      <c r="AH229" s="43"/>
      <c r="AI229" s="43" t="s">
        <v>3546</v>
      </c>
    </row>
    <row r="230" s="2" customFormat="true" ht="12.75" hidden="false" customHeight="true" outlineLevel="0" collapsed="false">
      <c r="A230" s="26" t="n">
        <v>104</v>
      </c>
      <c r="B230" s="74" t="s">
        <v>3547</v>
      </c>
      <c r="C230" s="67" t="s">
        <v>3064</v>
      </c>
      <c r="D230" s="28" t="s">
        <v>46</v>
      </c>
      <c r="E230" s="43" t="n">
        <v>5.79</v>
      </c>
      <c r="F230" s="43" t="n">
        <v>1.2</v>
      </c>
      <c r="G230" s="43" t="n">
        <v>119</v>
      </c>
      <c r="H230" s="43" t="n">
        <v>2015</v>
      </c>
      <c r="I230" s="55" t="n">
        <v>1451</v>
      </c>
      <c r="J230" s="67" t="s">
        <v>74</v>
      </c>
      <c r="K230" s="30" t="s">
        <v>3548</v>
      </c>
      <c r="L230" s="5"/>
      <c r="M230" s="126" t="s">
        <v>3549</v>
      </c>
      <c r="N230" s="32" t="s">
        <v>1090</v>
      </c>
      <c r="O230" s="57" t="s">
        <v>60</v>
      </c>
      <c r="P230" s="57" t="s">
        <v>61</v>
      </c>
      <c r="Q230" s="87" t="n">
        <v>7081</v>
      </c>
      <c r="R230" s="58" t="s">
        <v>171</v>
      </c>
      <c r="S230" s="69" t="n">
        <v>4138</v>
      </c>
      <c r="T230" s="35" t="s">
        <v>172</v>
      </c>
      <c r="U230" s="235" t="n">
        <v>359686.45</v>
      </c>
      <c r="V230" s="60" t="n">
        <v>21.44881</v>
      </c>
      <c r="W230" s="112" t="n">
        <f aca="false">U230/V230</f>
        <v>16769.5294051278</v>
      </c>
      <c r="X230" s="112" t="n">
        <v>389</v>
      </c>
      <c r="Y230" s="146" t="s">
        <v>3521</v>
      </c>
      <c r="Z230" s="62" t="s">
        <v>80</v>
      </c>
      <c r="AA230" s="38" t="n">
        <v>42242</v>
      </c>
      <c r="AB230" s="38" t="n">
        <v>42312</v>
      </c>
      <c r="AC230" s="38" t="n">
        <v>42317</v>
      </c>
      <c r="AD230" s="50" t="n">
        <v>43999</v>
      </c>
      <c r="AE230" s="28" t="n">
        <f aca="false">YEAR(AD230)</f>
        <v>2020</v>
      </c>
      <c r="AF230" s="260" t="n">
        <v>44000</v>
      </c>
      <c r="AG230" s="40" t="n">
        <v>135744</v>
      </c>
      <c r="AH230" s="43"/>
      <c r="AI230" s="43" t="s">
        <v>3550</v>
      </c>
    </row>
    <row r="231" s="2" customFormat="true" ht="12.75" hidden="false" customHeight="true" outlineLevel="0" collapsed="false">
      <c r="A231" s="26" t="n">
        <v>109</v>
      </c>
      <c r="B231" s="74" t="s">
        <v>3551</v>
      </c>
      <c r="C231" s="67" t="s">
        <v>3064</v>
      </c>
      <c r="D231" s="28" t="s">
        <v>46</v>
      </c>
      <c r="E231" s="43" t="n">
        <v>5.79</v>
      </c>
      <c r="F231" s="43" t="n">
        <v>1.2</v>
      </c>
      <c r="G231" s="43" t="n">
        <v>119</v>
      </c>
      <c r="H231" s="43" t="n">
        <v>2015</v>
      </c>
      <c r="I231" s="55" t="n">
        <v>1451</v>
      </c>
      <c r="J231" s="67" t="s">
        <v>74</v>
      </c>
      <c r="K231" s="30" t="s">
        <v>774</v>
      </c>
      <c r="L231" s="69"/>
      <c r="M231" s="31" t="s">
        <v>775</v>
      </c>
      <c r="N231" s="32" t="s">
        <v>289</v>
      </c>
      <c r="O231" s="57" t="s">
        <v>169</v>
      </c>
      <c r="P231" s="57" t="s">
        <v>61</v>
      </c>
      <c r="Q231" s="87" t="n">
        <v>7083</v>
      </c>
      <c r="R231" s="34" t="s">
        <v>92</v>
      </c>
      <c r="S231" s="69" t="n">
        <v>4138</v>
      </c>
      <c r="T231" s="35" t="s">
        <v>172</v>
      </c>
      <c r="U231" s="235" t="n">
        <v>359686.45</v>
      </c>
      <c r="V231" s="60" t="n">
        <v>21.44881</v>
      </c>
      <c r="W231" s="112" t="n">
        <f aca="false">U231/V231</f>
        <v>16769.5294051278</v>
      </c>
      <c r="X231" s="112" t="n">
        <v>389</v>
      </c>
      <c r="Y231" s="146" t="s">
        <v>3521</v>
      </c>
      <c r="Z231" s="62" t="s">
        <v>80</v>
      </c>
      <c r="AA231" s="38" t="n">
        <v>42242</v>
      </c>
      <c r="AB231" s="38" t="n">
        <v>42312</v>
      </c>
      <c r="AC231" s="38" t="n">
        <v>42317</v>
      </c>
      <c r="AD231" s="50" t="n">
        <v>44000</v>
      </c>
      <c r="AE231" s="28" t="n">
        <f aca="false">YEAR(AD231)</f>
        <v>2020</v>
      </c>
      <c r="AF231" s="260" t="n">
        <v>44000</v>
      </c>
      <c r="AG231" s="40" t="n">
        <v>147812</v>
      </c>
      <c r="AH231" s="43"/>
      <c r="AI231" s="43" t="s">
        <v>3552</v>
      </c>
    </row>
    <row r="232" s="2" customFormat="true" ht="12.75" hidden="false" customHeight="true" outlineLevel="0" collapsed="false">
      <c r="A232" s="26" t="n">
        <v>112</v>
      </c>
      <c r="B232" s="74" t="s">
        <v>3553</v>
      </c>
      <c r="C232" s="67" t="s">
        <v>3064</v>
      </c>
      <c r="D232" s="28" t="s">
        <v>46</v>
      </c>
      <c r="E232" s="43" t="n">
        <v>5.79</v>
      </c>
      <c r="F232" s="43" t="n">
        <v>1.2</v>
      </c>
      <c r="G232" s="43" t="n">
        <v>119</v>
      </c>
      <c r="H232" s="43" t="n">
        <v>2015</v>
      </c>
      <c r="I232" s="55" t="n">
        <v>1451</v>
      </c>
      <c r="J232" s="67" t="s">
        <v>74</v>
      </c>
      <c r="K232" s="30" t="s">
        <v>1965</v>
      </c>
      <c r="L232" s="69"/>
      <c r="M232" s="31" t="s">
        <v>1966</v>
      </c>
      <c r="N232" s="32" t="s">
        <v>1090</v>
      </c>
      <c r="O232" s="57" t="s">
        <v>60</v>
      </c>
      <c r="P232" s="57" t="s">
        <v>61</v>
      </c>
      <c r="Q232" s="87" t="n">
        <v>7081</v>
      </c>
      <c r="R232" s="58" t="s">
        <v>171</v>
      </c>
      <c r="S232" s="69" t="n">
        <v>4138</v>
      </c>
      <c r="T232" s="35" t="s">
        <v>172</v>
      </c>
      <c r="U232" s="235" t="n">
        <v>359686.45</v>
      </c>
      <c r="V232" s="60" t="n">
        <v>21.44881</v>
      </c>
      <c r="W232" s="112" t="n">
        <f aca="false">U232/V232</f>
        <v>16769.5294051278</v>
      </c>
      <c r="X232" s="112" t="n">
        <v>389</v>
      </c>
      <c r="Y232" s="146" t="s">
        <v>3521</v>
      </c>
      <c r="Z232" s="62" t="s">
        <v>80</v>
      </c>
      <c r="AA232" s="38" t="n">
        <v>42242</v>
      </c>
      <c r="AB232" s="38" t="n">
        <v>42312</v>
      </c>
      <c r="AC232" s="38" t="n">
        <v>42317</v>
      </c>
      <c r="AD232" s="50" t="n">
        <v>44000</v>
      </c>
      <c r="AE232" s="28" t="n">
        <f aca="false">YEAR(AD232)</f>
        <v>2020</v>
      </c>
      <c r="AF232" s="260" t="n">
        <v>44000</v>
      </c>
      <c r="AG232" s="40" t="n">
        <v>134119</v>
      </c>
      <c r="AH232" s="43"/>
      <c r="AI232" s="43" t="s">
        <v>3554</v>
      </c>
    </row>
    <row r="233" s="2" customFormat="true" ht="12.75" hidden="false" customHeight="true" outlineLevel="0" collapsed="false">
      <c r="A233" s="26" t="n">
        <v>108</v>
      </c>
      <c r="B233" s="74" t="s">
        <v>3555</v>
      </c>
      <c r="C233" s="67" t="s">
        <v>3064</v>
      </c>
      <c r="D233" s="28" t="s">
        <v>46</v>
      </c>
      <c r="E233" s="43" t="n">
        <v>5.79</v>
      </c>
      <c r="F233" s="43" t="n">
        <v>1.2</v>
      </c>
      <c r="G233" s="43" t="n">
        <v>119</v>
      </c>
      <c r="H233" s="43" t="n">
        <v>2015</v>
      </c>
      <c r="I233" s="55" t="n">
        <v>1451</v>
      </c>
      <c r="J233" s="67" t="s">
        <v>74</v>
      </c>
      <c r="K233" s="30" t="s">
        <v>1979</v>
      </c>
      <c r="L233" s="69"/>
      <c r="M233" s="31" t="s">
        <v>1980</v>
      </c>
      <c r="N233" s="32" t="s">
        <v>1090</v>
      </c>
      <c r="O233" s="57" t="s">
        <v>60</v>
      </c>
      <c r="P233" s="57" t="s">
        <v>61</v>
      </c>
      <c r="Q233" s="87" t="n">
        <v>7081</v>
      </c>
      <c r="R233" s="58" t="s">
        <v>171</v>
      </c>
      <c r="S233" s="69" t="n">
        <v>4138</v>
      </c>
      <c r="T233" s="35" t="s">
        <v>172</v>
      </c>
      <c r="U233" s="235" t="n">
        <v>359686.45</v>
      </c>
      <c r="V233" s="60" t="n">
        <v>21.44881</v>
      </c>
      <c r="W233" s="112" t="n">
        <f aca="false">U233/V233</f>
        <v>16769.5294051278</v>
      </c>
      <c r="X233" s="112" t="n">
        <v>389</v>
      </c>
      <c r="Y233" s="146" t="s">
        <v>3521</v>
      </c>
      <c r="Z233" s="62" t="s">
        <v>80</v>
      </c>
      <c r="AA233" s="38" t="n">
        <v>42242</v>
      </c>
      <c r="AB233" s="38" t="n">
        <v>42312</v>
      </c>
      <c r="AC233" s="38" t="n">
        <v>42317</v>
      </c>
      <c r="AD233" s="50" t="n">
        <v>44000</v>
      </c>
      <c r="AE233" s="28" t="n">
        <f aca="false">YEAR(AD233)</f>
        <v>2020</v>
      </c>
      <c r="AF233" s="260" t="n">
        <v>44000</v>
      </c>
      <c r="AG233" s="40" t="n">
        <v>131816</v>
      </c>
      <c r="AH233" s="43"/>
      <c r="AI233" s="43" t="s">
        <v>3556</v>
      </c>
    </row>
    <row r="234" s="2" customFormat="true" ht="12.75" hidden="false" customHeight="true" outlineLevel="0" collapsed="false">
      <c r="A234" s="26" t="n">
        <v>28</v>
      </c>
      <c r="B234" s="74" t="s">
        <v>3557</v>
      </c>
      <c r="C234" s="67" t="s">
        <v>3064</v>
      </c>
      <c r="D234" s="28" t="s">
        <v>46</v>
      </c>
      <c r="E234" s="43" t="n">
        <v>5.79</v>
      </c>
      <c r="F234" s="43" t="n">
        <v>1.2</v>
      </c>
      <c r="G234" s="43" t="n">
        <v>119</v>
      </c>
      <c r="H234" s="43" t="n">
        <v>2015</v>
      </c>
      <c r="I234" s="55" t="n">
        <v>1451</v>
      </c>
      <c r="J234" s="67" t="s">
        <v>74</v>
      </c>
      <c r="K234" s="30" t="s">
        <v>1450</v>
      </c>
      <c r="L234" s="82"/>
      <c r="M234" s="31" t="s">
        <v>1451</v>
      </c>
      <c r="N234" s="32" t="s">
        <v>289</v>
      </c>
      <c r="O234" s="28" t="s">
        <v>942</v>
      </c>
      <c r="P234" s="28" t="s">
        <v>2903</v>
      </c>
      <c r="Q234" s="33" t="n">
        <v>6000</v>
      </c>
      <c r="R234" s="34" t="s">
        <v>171</v>
      </c>
      <c r="S234" s="35" t="s">
        <v>3021</v>
      </c>
      <c r="T234" s="35" t="s">
        <v>172</v>
      </c>
      <c r="U234" s="28" t="n">
        <v>423726.59</v>
      </c>
      <c r="V234" s="60" t="n">
        <v>24.820658</v>
      </c>
      <c r="W234" s="112" t="n">
        <f aca="false">U234/V234</f>
        <v>17071.5292882243</v>
      </c>
      <c r="X234" s="112" t="n">
        <v>401.43</v>
      </c>
      <c r="Y234" s="28" t="n">
        <v>2.44</v>
      </c>
      <c r="Z234" s="62" t="s">
        <v>80</v>
      </c>
      <c r="AA234" s="38" t="n">
        <v>42067</v>
      </c>
      <c r="AB234" s="38" t="n">
        <v>42265</v>
      </c>
      <c r="AC234" s="38" t="n">
        <v>42265</v>
      </c>
      <c r="AD234" s="38" t="n">
        <v>44006</v>
      </c>
      <c r="AE234" s="28" t="n">
        <f aca="false">YEAR(AD234)</f>
        <v>2020</v>
      </c>
      <c r="AF234" s="260" t="n">
        <v>44006</v>
      </c>
      <c r="AG234" s="63" t="n">
        <v>108374</v>
      </c>
      <c r="AH234" s="43"/>
      <c r="AI234" s="43" t="s">
        <v>3558</v>
      </c>
      <c r="AJ234" s="43"/>
      <c r="AK234" s="43"/>
      <c r="AL234" s="43"/>
      <c r="AM234" s="43"/>
      <c r="AN234" s="43"/>
    </row>
    <row r="235" s="2" customFormat="true" ht="12.75" hidden="false" customHeight="true" outlineLevel="0" collapsed="false">
      <c r="A235" s="26" t="n">
        <v>29</v>
      </c>
      <c r="B235" s="74" t="s">
        <v>3559</v>
      </c>
      <c r="C235" s="67" t="s">
        <v>3064</v>
      </c>
      <c r="D235" s="28" t="s">
        <v>46</v>
      </c>
      <c r="E235" s="43" t="n">
        <v>5.79</v>
      </c>
      <c r="F235" s="43" t="n">
        <v>1.2</v>
      </c>
      <c r="G235" s="43" t="n">
        <v>119</v>
      </c>
      <c r="H235" s="43" t="n">
        <v>2015</v>
      </c>
      <c r="I235" s="55" t="n">
        <v>1451</v>
      </c>
      <c r="J235" s="67" t="s">
        <v>74</v>
      </c>
      <c r="K235" s="30" t="s">
        <v>1464</v>
      </c>
      <c r="L235" s="82"/>
      <c r="M235" s="31" t="s">
        <v>1465</v>
      </c>
      <c r="N235" s="32" t="s">
        <v>1090</v>
      </c>
      <c r="O235" s="28" t="s">
        <v>899</v>
      </c>
      <c r="P235" s="28" t="s">
        <v>52</v>
      </c>
      <c r="Q235" s="33" t="n">
        <v>7012</v>
      </c>
      <c r="R235" s="34" t="s">
        <v>171</v>
      </c>
      <c r="S235" s="35" t="n">
        <v>4131</v>
      </c>
      <c r="T235" s="35" t="s">
        <v>172</v>
      </c>
      <c r="U235" s="28" t="n">
        <v>423726.59</v>
      </c>
      <c r="V235" s="60" t="n">
        <v>24.820658</v>
      </c>
      <c r="W235" s="112" t="n">
        <f aca="false">U235/V235</f>
        <v>17071.5292882243</v>
      </c>
      <c r="X235" s="112" t="n">
        <v>401.43</v>
      </c>
      <c r="Y235" s="28" t="n">
        <v>2.44</v>
      </c>
      <c r="Z235" s="62" t="s">
        <v>80</v>
      </c>
      <c r="AA235" s="38" t="n">
        <v>42067</v>
      </c>
      <c r="AB235" s="38" t="n">
        <v>42265</v>
      </c>
      <c r="AC235" s="38" t="n">
        <v>42265</v>
      </c>
      <c r="AD235" s="38" t="n">
        <v>44006</v>
      </c>
      <c r="AE235" s="28" t="n">
        <f aca="false">YEAR(AD235)</f>
        <v>2020</v>
      </c>
      <c r="AF235" s="260" t="n">
        <v>44006</v>
      </c>
      <c r="AG235" s="63" t="n">
        <v>128248</v>
      </c>
      <c r="AH235" s="43"/>
      <c r="AI235" s="43" t="s">
        <v>3560</v>
      </c>
      <c r="AJ235" s="43"/>
      <c r="AK235" s="43"/>
      <c r="AL235" s="43"/>
      <c r="AM235" s="43"/>
      <c r="AN235" s="43"/>
    </row>
    <row r="236" s="2" customFormat="true" ht="12.75" hidden="false" customHeight="true" outlineLevel="0" collapsed="false">
      <c r="A236" s="26" t="n">
        <v>31</v>
      </c>
      <c r="B236" s="74" t="s">
        <v>3561</v>
      </c>
      <c r="C236" s="67" t="s">
        <v>3064</v>
      </c>
      <c r="D236" s="28" t="s">
        <v>46</v>
      </c>
      <c r="E236" s="43" t="n">
        <v>5.79</v>
      </c>
      <c r="F236" s="43" t="n">
        <v>1.2</v>
      </c>
      <c r="G236" s="43" t="n">
        <v>119</v>
      </c>
      <c r="H236" s="43" t="n">
        <v>2015</v>
      </c>
      <c r="I236" s="55" t="n">
        <v>1451</v>
      </c>
      <c r="J236" s="67" t="s">
        <v>74</v>
      </c>
      <c r="K236" s="30" t="s">
        <v>1847</v>
      </c>
      <c r="L236" s="57"/>
      <c r="M236" s="31" t="s">
        <v>1848</v>
      </c>
      <c r="N236" s="32" t="s">
        <v>3344</v>
      </c>
      <c r="O236" s="28" t="s">
        <v>142</v>
      </c>
      <c r="P236" s="28" t="s">
        <v>2896</v>
      </c>
      <c r="Q236" s="87" t="n">
        <v>1000</v>
      </c>
      <c r="R236" s="58" t="s">
        <v>122</v>
      </c>
      <c r="S236" s="69" t="n">
        <v>4190</v>
      </c>
      <c r="T236" s="35" t="s">
        <v>172</v>
      </c>
      <c r="U236" s="28" t="n">
        <v>423726.59</v>
      </c>
      <c r="V236" s="60" t="n">
        <v>24.820658</v>
      </c>
      <c r="W236" s="112" t="n">
        <f aca="false">U236/V236</f>
        <v>17071.5292882243</v>
      </c>
      <c r="X236" s="112" t="n">
        <v>401.43</v>
      </c>
      <c r="Y236" s="28" t="n">
        <v>2.44</v>
      </c>
      <c r="Z236" s="62" t="s">
        <v>80</v>
      </c>
      <c r="AA236" s="38" t="n">
        <v>42067</v>
      </c>
      <c r="AB236" s="38" t="n">
        <v>42265</v>
      </c>
      <c r="AC236" s="38" t="n">
        <v>42265</v>
      </c>
      <c r="AD236" s="38" t="n">
        <v>44006</v>
      </c>
      <c r="AE236" s="28" t="n">
        <f aca="false">YEAR(AD236)</f>
        <v>2020</v>
      </c>
      <c r="AF236" s="260" t="n">
        <v>44006</v>
      </c>
      <c r="AG236" s="63" t="n">
        <v>132076</v>
      </c>
      <c r="AH236" s="43"/>
      <c r="AI236" s="43" t="s">
        <v>3562</v>
      </c>
      <c r="AJ236" s="43"/>
      <c r="AK236" s="43"/>
      <c r="AL236" s="43"/>
      <c r="AM236" s="43"/>
      <c r="AN236" s="43"/>
    </row>
    <row r="237" s="2" customFormat="true" ht="12.75" hidden="false" customHeight="true" outlineLevel="0" collapsed="false">
      <c r="A237" s="26" t="n">
        <v>32</v>
      </c>
      <c r="B237" s="74" t="s">
        <v>3563</v>
      </c>
      <c r="C237" s="67" t="s">
        <v>3064</v>
      </c>
      <c r="D237" s="28" t="s">
        <v>46</v>
      </c>
      <c r="E237" s="43" t="n">
        <v>5.79</v>
      </c>
      <c r="F237" s="43" t="n">
        <v>1.2</v>
      </c>
      <c r="G237" s="43" t="n">
        <v>119</v>
      </c>
      <c r="H237" s="43" t="n">
        <v>2015</v>
      </c>
      <c r="I237" s="55" t="n">
        <v>1451</v>
      </c>
      <c r="J237" s="67" t="s">
        <v>74</v>
      </c>
      <c r="K237" s="30" t="s">
        <v>3564</v>
      </c>
      <c r="L237" s="82"/>
      <c r="M237" s="31" t="s">
        <v>3565</v>
      </c>
      <c r="N237" s="32" t="s">
        <v>1090</v>
      </c>
      <c r="O237" s="28" t="s">
        <v>942</v>
      </c>
      <c r="P237" s="28" t="s">
        <v>2903</v>
      </c>
      <c r="Q237" s="33" t="n">
        <v>7073</v>
      </c>
      <c r="R237" s="34" t="s">
        <v>171</v>
      </c>
      <c r="S237" s="35" t="s">
        <v>2904</v>
      </c>
      <c r="T237" s="35" t="s">
        <v>172</v>
      </c>
      <c r="U237" s="28" t="n">
        <v>423726.59</v>
      </c>
      <c r="V237" s="60" t="n">
        <v>24.820658</v>
      </c>
      <c r="W237" s="112" t="n">
        <f aca="false">U237/V237</f>
        <v>17071.5292882243</v>
      </c>
      <c r="X237" s="112" t="n">
        <v>401.43</v>
      </c>
      <c r="Y237" s="28" t="n">
        <v>2.44</v>
      </c>
      <c r="Z237" s="62" t="s">
        <v>80</v>
      </c>
      <c r="AA237" s="38" t="n">
        <v>42067</v>
      </c>
      <c r="AB237" s="38" t="n">
        <v>42265</v>
      </c>
      <c r="AC237" s="38" t="n">
        <v>42265</v>
      </c>
      <c r="AD237" s="38" t="n">
        <v>44006</v>
      </c>
      <c r="AE237" s="28" t="n">
        <f aca="false">YEAR(AD237)</f>
        <v>2020</v>
      </c>
      <c r="AF237" s="260" t="n">
        <v>44006</v>
      </c>
      <c r="AG237" s="63" t="n">
        <v>138689</v>
      </c>
      <c r="AH237" s="43"/>
      <c r="AI237" s="43" t="s">
        <v>3566</v>
      </c>
      <c r="AJ237" s="43"/>
      <c r="AK237" s="43"/>
      <c r="AL237" s="43"/>
      <c r="AM237" s="43"/>
      <c r="AN237" s="43"/>
    </row>
    <row r="238" s="2" customFormat="true" ht="12.75" hidden="false" customHeight="true" outlineLevel="0" collapsed="false">
      <c r="A238" s="26" t="n">
        <v>35</v>
      </c>
      <c r="B238" s="74" t="s">
        <v>3567</v>
      </c>
      <c r="C238" s="67" t="s">
        <v>3064</v>
      </c>
      <c r="D238" s="28" t="s">
        <v>46</v>
      </c>
      <c r="E238" s="43" t="n">
        <v>5.79</v>
      </c>
      <c r="F238" s="43" t="n">
        <v>1.2</v>
      </c>
      <c r="G238" s="43" t="n">
        <v>119</v>
      </c>
      <c r="H238" s="43" t="n">
        <v>2015</v>
      </c>
      <c r="I238" s="55" t="n">
        <v>1451</v>
      </c>
      <c r="J238" s="67" t="s">
        <v>74</v>
      </c>
      <c r="K238" s="30" t="s">
        <v>1471</v>
      </c>
      <c r="L238" s="82"/>
      <c r="M238" s="31" t="s">
        <v>1472</v>
      </c>
      <c r="N238" s="32" t="s">
        <v>1090</v>
      </c>
      <c r="O238" s="28" t="s">
        <v>142</v>
      </c>
      <c r="P238" s="28" t="s">
        <v>2896</v>
      </c>
      <c r="Q238" s="33" t="n">
        <v>7061</v>
      </c>
      <c r="R238" s="34" t="s">
        <v>171</v>
      </c>
      <c r="S238" s="35" t="n">
        <v>4136</v>
      </c>
      <c r="T238" s="35" t="s">
        <v>172</v>
      </c>
      <c r="U238" s="28" t="n">
        <v>423726.59</v>
      </c>
      <c r="V238" s="60" t="n">
        <v>24.820658</v>
      </c>
      <c r="W238" s="112" t="n">
        <f aca="false">U238/V238</f>
        <v>17071.5292882243</v>
      </c>
      <c r="X238" s="112" t="n">
        <v>401.43</v>
      </c>
      <c r="Y238" s="28" t="n">
        <v>2.44</v>
      </c>
      <c r="Z238" s="62" t="s">
        <v>80</v>
      </c>
      <c r="AA238" s="38" t="n">
        <v>42067</v>
      </c>
      <c r="AB238" s="38" t="n">
        <v>42265</v>
      </c>
      <c r="AC238" s="38" t="n">
        <v>42265</v>
      </c>
      <c r="AD238" s="38" t="n">
        <v>44006</v>
      </c>
      <c r="AE238" s="28" t="n">
        <f aca="false">YEAR(AD238)</f>
        <v>2020</v>
      </c>
      <c r="AF238" s="260" t="n">
        <v>44006</v>
      </c>
      <c r="AG238" s="63" t="n">
        <v>133348</v>
      </c>
      <c r="AH238" s="43"/>
      <c r="AI238" s="43" t="s">
        <v>3568</v>
      </c>
      <c r="AJ238" s="43"/>
      <c r="AK238" s="43"/>
      <c r="AL238" s="43"/>
      <c r="AM238" s="43"/>
      <c r="AN238" s="43"/>
    </row>
    <row r="239" s="2" customFormat="true" ht="12.75" hidden="false" customHeight="true" outlineLevel="0" collapsed="false">
      <c r="A239" s="26" t="n">
        <v>33</v>
      </c>
      <c r="B239" s="74" t="s">
        <v>3569</v>
      </c>
      <c r="C239" s="67" t="s">
        <v>3064</v>
      </c>
      <c r="D239" s="28" t="s">
        <v>46</v>
      </c>
      <c r="E239" s="43" t="n">
        <v>5.79</v>
      </c>
      <c r="F239" s="43" t="n">
        <v>1.2</v>
      </c>
      <c r="G239" s="43" t="n">
        <v>119</v>
      </c>
      <c r="H239" s="43" t="n">
        <v>2015</v>
      </c>
      <c r="I239" s="55" t="n">
        <v>1451</v>
      </c>
      <c r="J239" s="67" t="s">
        <v>74</v>
      </c>
      <c r="K239" s="30" t="s">
        <v>1357</v>
      </c>
      <c r="L239" s="28"/>
      <c r="M239" s="31" t="s">
        <v>1358</v>
      </c>
      <c r="N239" s="32" t="s">
        <v>168</v>
      </c>
      <c r="O239" s="28" t="s">
        <v>313</v>
      </c>
      <c r="P239" s="28" t="s">
        <v>2903</v>
      </c>
      <c r="Q239" s="33" t="n">
        <v>9000</v>
      </c>
      <c r="R239" s="34" t="s">
        <v>171</v>
      </c>
      <c r="S239" s="35" t="s">
        <v>2904</v>
      </c>
      <c r="T239" s="35" t="s">
        <v>172</v>
      </c>
      <c r="U239" s="28" t="n">
        <v>423726.59</v>
      </c>
      <c r="V239" s="60" t="n">
        <v>24.820658</v>
      </c>
      <c r="W239" s="112" t="n">
        <f aca="false">U239/V239</f>
        <v>17071.5292882243</v>
      </c>
      <c r="X239" s="112" t="n">
        <v>401.43</v>
      </c>
      <c r="Y239" s="28" t="n">
        <v>2.44</v>
      </c>
      <c r="Z239" s="62" t="s">
        <v>80</v>
      </c>
      <c r="AA239" s="38" t="n">
        <v>42067</v>
      </c>
      <c r="AB239" s="38" t="n">
        <v>42265</v>
      </c>
      <c r="AC239" s="38" t="n">
        <v>42265</v>
      </c>
      <c r="AD239" s="38" t="n">
        <v>44014</v>
      </c>
      <c r="AE239" s="28" t="n">
        <f aca="false">YEAR(AD239)</f>
        <v>2020</v>
      </c>
      <c r="AF239" s="260" t="n">
        <v>44014</v>
      </c>
      <c r="AG239" s="63" t="n">
        <v>136059</v>
      </c>
      <c r="AH239" s="43"/>
      <c r="AI239" s="43" t="s">
        <v>3570</v>
      </c>
      <c r="AJ239" s="43"/>
      <c r="AK239" s="43"/>
      <c r="AL239" s="43"/>
      <c r="AM239" s="43"/>
      <c r="AN239" s="43"/>
    </row>
    <row r="240" s="2" customFormat="true" ht="12.75" hidden="false" customHeight="true" outlineLevel="0" collapsed="false">
      <c r="A240" s="26" t="n">
        <v>30</v>
      </c>
      <c r="B240" s="74" t="s">
        <v>3571</v>
      </c>
      <c r="C240" s="67" t="s">
        <v>3064</v>
      </c>
      <c r="D240" s="28" t="s">
        <v>46</v>
      </c>
      <c r="E240" s="43" t="n">
        <v>5.79</v>
      </c>
      <c r="F240" s="43" t="n">
        <v>1.2</v>
      </c>
      <c r="G240" s="43" t="n">
        <v>119</v>
      </c>
      <c r="H240" s="43" t="n">
        <v>2015</v>
      </c>
      <c r="I240" s="55" t="n">
        <v>1451</v>
      </c>
      <c r="J240" s="67" t="s">
        <v>74</v>
      </c>
      <c r="K240" s="30" t="s">
        <v>1422</v>
      </c>
      <c r="L240" s="82"/>
      <c r="M240" s="31" t="s">
        <v>1423</v>
      </c>
      <c r="N240" s="32" t="s">
        <v>1090</v>
      </c>
      <c r="O240" s="28" t="s">
        <v>606</v>
      </c>
      <c r="P240" s="28" t="s">
        <v>593</v>
      </c>
      <c r="Q240" s="33" t="n">
        <v>7030</v>
      </c>
      <c r="R240" s="34" t="s">
        <v>171</v>
      </c>
      <c r="S240" s="35" t="n">
        <v>4133</v>
      </c>
      <c r="T240" s="35" t="s">
        <v>172</v>
      </c>
      <c r="U240" s="28" t="n">
        <v>423726.59</v>
      </c>
      <c r="V240" s="60" t="n">
        <v>24.820658</v>
      </c>
      <c r="W240" s="112" t="n">
        <f aca="false">U240/V240</f>
        <v>17071.5292882243</v>
      </c>
      <c r="X240" s="112" t="n">
        <v>401.43</v>
      </c>
      <c r="Y240" s="28" t="n">
        <v>2.44</v>
      </c>
      <c r="Z240" s="62" t="s">
        <v>80</v>
      </c>
      <c r="AA240" s="38" t="n">
        <v>42067</v>
      </c>
      <c r="AB240" s="38" t="n">
        <v>42265</v>
      </c>
      <c r="AC240" s="38" t="n">
        <v>42265</v>
      </c>
      <c r="AD240" s="38" t="n">
        <v>44014</v>
      </c>
      <c r="AE240" s="28" t="n">
        <f aca="false">YEAR(AD240)</f>
        <v>2020</v>
      </c>
      <c r="AF240" s="260" t="n">
        <v>44014</v>
      </c>
      <c r="AG240" s="63" t="n">
        <v>141206</v>
      </c>
      <c r="AH240" s="43"/>
      <c r="AI240" s="43" t="s">
        <v>3572</v>
      </c>
      <c r="AJ240" s="43"/>
      <c r="AK240" s="43"/>
      <c r="AL240" s="43"/>
      <c r="AM240" s="43"/>
      <c r="AN240" s="43"/>
    </row>
    <row r="241" s="2" customFormat="true" ht="12.75" hidden="false" customHeight="true" outlineLevel="0" collapsed="false">
      <c r="A241" s="26" t="n">
        <v>8</v>
      </c>
      <c r="B241" s="74" t="s">
        <v>3573</v>
      </c>
      <c r="C241" s="67" t="s">
        <v>2935</v>
      </c>
      <c r="D241" s="28" t="s">
        <v>46</v>
      </c>
      <c r="E241" s="43" t="n">
        <v>7</v>
      </c>
      <c r="F241" s="43" t="n">
        <v>1.4</v>
      </c>
      <c r="G241" s="43" t="n">
        <v>123</v>
      </c>
      <c r="H241" s="43" t="n">
        <v>2015</v>
      </c>
      <c r="I241" s="55" t="n">
        <v>1451</v>
      </c>
      <c r="J241" s="67" t="s">
        <v>74</v>
      </c>
      <c r="K241" s="30" t="s">
        <v>2293</v>
      </c>
      <c r="L241" s="35"/>
      <c r="M241" s="31" t="s">
        <v>2295</v>
      </c>
      <c r="N241" s="32" t="s">
        <v>1276</v>
      </c>
      <c r="O241" s="48" t="s">
        <v>52</v>
      </c>
      <c r="P241" s="57" t="s">
        <v>52</v>
      </c>
      <c r="Q241" s="83" t="n">
        <v>1000</v>
      </c>
      <c r="R241" s="34" t="s">
        <v>53</v>
      </c>
      <c r="S241" s="35" t="n">
        <v>3511</v>
      </c>
      <c r="T241" s="59" t="s">
        <v>123</v>
      </c>
      <c r="U241" s="28" t="n">
        <v>592631.18</v>
      </c>
      <c r="V241" s="60" t="n">
        <v>24.820658</v>
      </c>
      <c r="W241" s="112" t="n">
        <f aca="false">U241/V241</f>
        <v>23876.5297841822</v>
      </c>
      <c r="X241" s="112" t="n">
        <v>497.27</v>
      </c>
      <c r="Y241" s="28" t="n">
        <v>2.45</v>
      </c>
      <c r="Z241" s="62" t="s">
        <v>80</v>
      </c>
      <c r="AA241" s="38" t="n">
        <v>42067</v>
      </c>
      <c r="AB241" s="38" t="n">
        <v>42266</v>
      </c>
      <c r="AC241" s="38" t="n">
        <v>42265</v>
      </c>
      <c r="AD241" s="38" t="n">
        <v>44026</v>
      </c>
      <c r="AE241" s="28" t="n">
        <f aca="false">YEAR(AD241)</f>
        <v>2020</v>
      </c>
      <c r="AF241" s="260" t="n">
        <v>44026</v>
      </c>
      <c r="AG241" s="63" t="n">
        <v>83932</v>
      </c>
      <c r="AH241" s="43"/>
      <c r="AI241" s="43" t="s">
        <v>3574</v>
      </c>
      <c r="AJ241" s="43"/>
      <c r="AK241" s="43"/>
      <c r="AL241" s="43"/>
      <c r="AM241" s="43"/>
      <c r="AN241" s="43"/>
    </row>
    <row r="242" s="2" customFormat="true" ht="12.75" hidden="false" customHeight="true" outlineLevel="0" collapsed="false">
      <c r="A242" s="26" t="n">
        <v>9</v>
      </c>
      <c r="B242" s="264" t="s">
        <v>3575</v>
      </c>
      <c r="C242" s="43" t="s">
        <v>3221</v>
      </c>
      <c r="D242" s="28" t="s">
        <v>73</v>
      </c>
      <c r="E242" s="43" t="n">
        <v>6.8</v>
      </c>
      <c r="F242" s="43" t="n">
        <v>2</v>
      </c>
      <c r="G242" s="55" t="n">
        <v>158</v>
      </c>
      <c r="H242" s="43" t="n">
        <v>2015</v>
      </c>
      <c r="I242" s="55" t="n">
        <v>1451</v>
      </c>
      <c r="J242" s="43" t="s">
        <v>74</v>
      </c>
      <c r="K242" s="86" t="s">
        <v>2887</v>
      </c>
      <c r="L242" s="35"/>
      <c r="M242" s="31" t="s">
        <v>3576</v>
      </c>
      <c r="N242" s="32" t="s">
        <v>1248</v>
      </c>
      <c r="O242" s="28" t="s">
        <v>100</v>
      </c>
      <c r="P242" s="28" t="s">
        <v>100</v>
      </c>
      <c r="Q242" s="33" t="n">
        <v>1000</v>
      </c>
      <c r="R242" s="34" t="s">
        <v>395</v>
      </c>
      <c r="S242" s="35" t="n">
        <v>5411</v>
      </c>
      <c r="T242" s="59" t="s">
        <v>79</v>
      </c>
      <c r="U242" s="28" t="n">
        <v>682754.98</v>
      </c>
      <c r="V242" s="60" t="n">
        <v>24.820658</v>
      </c>
      <c r="W242" s="112" t="n">
        <f aca="false">U242/V242</f>
        <v>27507.5294136038</v>
      </c>
      <c r="X242" s="112" t="n">
        <v>597.36</v>
      </c>
      <c r="Y242" s="28" t="n">
        <v>2.47</v>
      </c>
      <c r="Z242" s="62" t="s">
        <v>80</v>
      </c>
      <c r="AA242" s="38" t="n">
        <v>42067</v>
      </c>
      <c r="AB242" s="38" t="n">
        <v>42272</v>
      </c>
      <c r="AC242" s="38" t="n">
        <v>42272</v>
      </c>
      <c r="AD242" s="38" t="n">
        <v>44014</v>
      </c>
      <c r="AE242" s="28" t="n">
        <f aca="false">YEAR(AD242)</f>
        <v>2020</v>
      </c>
      <c r="AF242" s="260" t="n">
        <v>44014</v>
      </c>
      <c r="AG242" s="63" t="n">
        <v>124355</v>
      </c>
      <c r="AH242" s="43"/>
      <c r="AI242" s="43" t="s">
        <v>3577</v>
      </c>
      <c r="AJ242" s="43"/>
      <c r="AK242" s="43"/>
      <c r="AL242" s="43"/>
      <c r="AM242" s="43"/>
      <c r="AN242" s="43"/>
    </row>
    <row r="243" s="2" customFormat="true" ht="12.75" hidden="false" customHeight="true" outlineLevel="0" collapsed="false">
      <c r="A243" s="26" t="n">
        <v>38</v>
      </c>
      <c r="B243" s="74" t="s">
        <v>3578</v>
      </c>
      <c r="C243" s="67" t="s">
        <v>3064</v>
      </c>
      <c r="D243" s="28" t="s">
        <v>46</v>
      </c>
      <c r="E243" s="43" t="n">
        <v>5.79</v>
      </c>
      <c r="F243" s="43" t="n">
        <v>1.2</v>
      </c>
      <c r="G243" s="43" t="n">
        <v>119</v>
      </c>
      <c r="H243" s="43" t="n">
        <v>2015</v>
      </c>
      <c r="I243" s="55" t="n">
        <v>1451</v>
      </c>
      <c r="J243" s="67" t="s">
        <v>74</v>
      </c>
      <c r="K243" s="30" t="s">
        <v>2139</v>
      </c>
      <c r="L243" s="35"/>
      <c r="M243" s="31" t="s">
        <v>2140</v>
      </c>
      <c r="N243" s="32" t="s">
        <v>1090</v>
      </c>
      <c r="O243" s="57" t="s">
        <v>2141</v>
      </c>
      <c r="P243" s="28" t="s">
        <v>52</v>
      </c>
      <c r="Q243" s="241" t="n">
        <v>7050</v>
      </c>
      <c r="R243" s="34" t="s">
        <v>171</v>
      </c>
      <c r="S243" s="35" t="n">
        <v>4131</v>
      </c>
      <c r="T243" s="35" t="s">
        <v>172</v>
      </c>
      <c r="U243" s="28" t="n">
        <v>366163.99</v>
      </c>
      <c r="V243" s="60" t="n">
        <v>21.44881</v>
      </c>
      <c r="W243" s="112" t="n">
        <f aca="false">U243/V243</f>
        <v>17071.5293762218</v>
      </c>
      <c r="X243" s="112" t="n">
        <v>401.42</v>
      </c>
      <c r="Y243" s="28" t="n">
        <v>2.48</v>
      </c>
      <c r="Z243" s="62" t="s">
        <v>80</v>
      </c>
      <c r="AA243" s="38" t="n">
        <v>42193</v>
      </c>
      <c r="AB243" s="38" t="n">
        <v>42295</v>
      </c>
      <c r="AC243" s="38" t="n">
        <v>42292</v>
      </c>
      <c r="AD243" s="50" t="n">
        <v>44026</v>
      </c>
      <c r="AE243" s="28" t="n">
        <f aca="false">YEAR(AD243)</f>
        <v>2020</v>
      </c>
      <c r="AF243" s="265" t="n">
        <v>44026</v>
      </c>
      <c r="AG243" s="63" t="n">
        <v>132272</v>
      </c>
      <c r="AH243" s="43"/>
      <c r="AI243" s="43" t="s">
        <v>3579</v>
      </c>
      <c r="AJ243" s="43"/>
      <c r="AK243" s="43"/>
      <c r="AL243" s="43"/>
      <c r="AM243" s="43"/>
      <c r="AN243" s="43"/>
    </row>
    <row r="244" s="2" customFormat="true" ht="12.75" hidden="false" customHeight="true" outlineLevel="0" collapsed="false">
      <c r="A244" s="26" t="n">
        <v>36</v>
      </c>
      <c r="B244" s="74" t="s">
        <v>3580</v>
      </c>
      <c r="C244" s="67" t="s">
        <v>3064</v>
      </c>
      <c r="D244" s="28" t="s">
        <v>46</v>
      </c>
      <c r="E244" s="43" t="n">
        <v>5.79</v>
      </c>
      <c r="F244" s="43" t="n">
        <v>1.2</v>
      </c>
      <c r="G244" s="43" t="n">
        <v>119</v>
      </c>
      <c r="H244" s="43" t="n">
        <v>2015</v>
      </c>
      <c r="I244" s="55" t="n">
        <v>1451</v>
      </c>
      <c r="J244" s="67" t="s">
        <v>74</v>
      </c>
      <c r="K244" s="30" t="s">
        <v>2125</v>
      </c>
      <c r="L244" s="35"/>
      <c r="M244" s="31" t="s">
        <v>2126</v>
      </c>
      <c r="N244" s="32" t="s">
        <v>1090</v>
      </c>
      <c r="O244" s="28" t="s">
        <v>899</v>
      </c>
      <c r="P244" s="28" t="s">
        <v>52</v>
      </c>
      <c r="Q244" s="33" t="n">
        <v>7012</v>
      </c>
      <c r="R244" s="34" t="s">
        <v>171</v>
      </c>
      <c r="S244" s="35" t="n">
        <v>4131</v>
      </c>
      <c r="T244" s="35" t="s">
        <v>172</v>
      </c>
      <c r="U244" s="28" t="n">
        <v>366163.99</v>
      </c>
      <c r="V244" s="60" t="n">
        <v>21.44881</v>
      </c>
      <c r="W244" s="112" t="n">
        <f aca="false">U244/V244</f>
        <v>17071.5293762218</v>
      </c>
      <c r="X244" s="112" t="n">
        <v>401.42</v>
      </c>
      <c r="Y244" s="28" t="n">
        <v>2.48</v>
      </c>
      <c r="Z244" s="62" t="s">
        <v>80</v>
      </c>
      <c r="AA244" s="38" t="n">
        <v>42193</v>
      </c>
      <c r="AB244" s="38" t="n">
        <v>42295</v>
      </c>
      <c r="AC244" s="38" t="n">
        <v>42292</v>
      </c>
      <c r="AD244" s="50" t="n">
        <v>44031</v>
      </c>
      <c r="AE244" s="28" t="n">
        <f aca="false">YEAR(AD244)</f>
        <v>2020</v>
      </c>
      <c r="AF244" s="265" t="n">
        <v>44032</v>
      </c>
      <c r="AG244" s="63" t="n">
        <v>152328</v>
      </c>
      <c r="AH244" s="43"/>
      <c r="AI244" s="43" t="s">
        <v>3581</v>
      </c>
      <c r="AJ244" s="43"/>
      <c r="AK244" s="43"/>
      <c r="AL244" s="43"/>
      <c r="AM244" s="43"/>
      <c r="AN244" s="43"/>
    </row>
    <row r="245" s="2" customFormat="true" ht="12.75" hidden="false" customHeight="true" outlineLevel="0" collapsed="false">
      <c r="A245" s="26" t="n">
        <v>52</v>
      </c>
      <c r="B245" s="74" t="s">
        <v>3582</v>
      </c>
      <c r="C245" s="67" t="s">
        <v>3064</v>
      </c>
      <c r="D245" s="28" t="s">
        <v>46</v>
      </c>
      <c r="E245" s="43" t="n">
        <v>5.79</v>
      </c>
      <c r="F245" s="43" t="n">
        <v>1.2</v>
      </c>
      <c r="G245" s="43" t="n">
        <v>119</v>
      </c>
      <c r="H245" s="43" t="n">
        <v>2015</v>
      </c>
      <c r="I245" s="55" t="n">
        <v>1451</v>
      </c>
      <c r="J245" s="67" t="s">
        <v>74</v>
      </c>
      <c r="K245" s="30" t="s">
        <v>2168</v>
      </c>
      <c r="L245" s="35"/>
      <c r="M245" s="31" t="s">
        <v>2169</v>
      </c>
      <c r="N245" s="32" t="s">
        <v>289</v>
      </c>
      <c r="O245" s="28" t="s">
        <v>60</v>
      </c>
      <c r="P245" s="28" t="s">
        <v>61</v>
      </c>
      <c r="Q245" s="33" t="n">
        <v>6000</v>
      </c>
      <c r="R245" s="34" t="s">
        <v>92</v>
      </c>
      <c r="S245" s="35" t="n">
        <v>4148</v>
      </c>
      <c r="T245" s="35" t="s">
        <v>172</v>
      </c>
      <c r="U245" s="28" t="n">
        <v>366163.99</v>
      </c>
      <c r="V245" s="60" t="n">
        <v>21.44881</v>
      </c>
      <c r="W245" s="112" t="n">
        <f aca="false">U245/V245</f>
        <v>17071.5293762218</v>
      </c>
      <c r="X245" s="112" t="n">
        <v>401.42</v>
      </c>
      <c r="Y245" s="28" t="n">
        <v>2.48</v>
      </c>
      <c r="Z245" s="62" t="s">
        <v>80</v>
      </c>
      <c r="AA245" s="38" t="n">
        <v>42193</v>
      </c>
      <c r="AB245" s="38" t="n">
        <v>42295</v>
      </c>
      <c r="AC245" s="38" t="n">
        <v>42292</v>
      </c>
      <c r="AD245" s="50" t="n">
        <v>44027</v>
      </c>
      <c r="AE245" s="28" t="n">
        <f aca="false">YEAR(AD245)</f>
        <v>2020</v>
      </c>
      <c r="AF245" s="265" t="n">
        <v>44027</v>
      </c>
      <c r="AG245" s="63" t="n">
        <v>134192</v>
      </c>
      <c r="AH245" s="43"/>
      <c r="AI245" s="43" t="s">
        <v>3583</v>
      </c>
      <c r="AJ245" s="43"/>
      <c r="AK245" s="43"/>
      <c r="AL245" s="43"/>
      <c r="AM245" s="43"/>
      <c r="AN245" s="43"/>
    </row>
    <row r="246" s="2" customFormat="true" ht="12.75" hidden="false" customHeight="true" outlineLevel="0" collapsed="false">
      <c r="A246" s="26" t="n">
        <v>50</v>
      </c>
      <c r="B246" s="152" t="s">
        <v>3584</v>
      </c>
      <c r="C246" s="67" t="s">
        <v>3064</v>
      </c>
      <c r="D246" s="28" t="s">
        <v>46</v>
      </c>
      <c r="E246" s="43" t="n">
        <v>5.79</v>
      </c>
      <c r="F246" s="43" t="n">
        <v>1.2</v>
      </c>
      <c r="G246" s="43" t="n">
        <v>119</v>
      </c>
      <c r="H246" s="43" t="n">
        <v>2015</v>
      </c>
      <c r="I246" s="55" t="n">
        <v>1451</v>
      </c>
      <c r="J246" s="67" t="s">
        <v>74</v>
      </c>
      <c r="K246" s="30" t="s">
        <v>3585</v>
      </c>
      <c r="L246" s="35"/>
      <c r="M246" s="31" t="s">
        <v>3586</v>
      </c>
      <c r="N246" s="32" t="s">
        <v>2922</v>
      </c>
      <c r="O246" s="28" t="s">
        <v>60</v>
      </c>
      <c r="P246" s="28" t="s">
        <v>61</v>
      </c>
      <c r="Q246" s="33" t="n">
        <v>6000</v>
      </c>
      <c r="R246" s="68" t="s">
        <v>189</v>
      </c>
      <c r="S246" s="35" t="n">
        <v>4178</v>
      </c>
      <c r="T246" s="35" t="s">
        <v>172</v>
      </c>
      <c r="U246" s="28" t="n">
        <v>366163.99</v>
      </c>
      <c r="V246" s="60" t="n">
        <v>21.44881</v>
      </c>
      <c r="W246" s="112" t="n">
        <f aca="false">U246/V246</f>
        <v>17071.5293762218</v>
      </c>
      <c r="X246" s="112" t="n">
        <v>401.42</v>
      </c>
      <c r="Y246" s="28" t="n">
        <v>2.48</v>
      </c>
      <c r="Z246" s="62" t="s">
        <v>80</v>
      </c>
      <c r="AA246" s="38" t="n">
        <v>42193</v>
      </c>
      <c r="AB246" s="38" t="n">
        <v>42295</v>
      </c>
      <c r="AC246" s="38" t="n">
        <v>42292</v>
      </c>
      <c r="AD246" s="50" t="n">
        <v>44028</v>
      </c>
      <c r="AE246" s="28" t="n">
        <f aca="false">YEAR(AD246)</f>
        <v>2020</v>
      </c>
      <c r="AF246" s="265" t="n">
        <v>44028</v>
      </c>
      <c r="AG246" s="63" t="n">
        <v>141757</v>
      </c>
      <c r="AH246" s="43"/>
      <c r="AI246" s="43" t="s">
        <v>3587</v>
      </c>
      <c r="AJ246" s="43"/>
      <c r="AK246" s="43"/>
      <c r="AL246" s="43"/>
      <c r="AM246" s="43"/>
      <c r="AN246" s="43"/>
    </row>
    <row r="247" s="2" customFormat="true" ht="12.75" hidden="false" customHeight="true" outlineLevel="0" collapsed="false">
      <c r="A247" s="26" t="n">
        <v>45</v>
      </c>
      <c r="B247" s="74" t="s">
        <v>3588</v>
      </c>
      <c r="C247" s="67" t="s">
        <v>3064</v>
      </c>
      <c r="D247" s="28" t="s">
        <v>46</v>
      </c>
      <c r="E247" s="43" t="n">
        <v>5.79</v>
      </c>
      <c r="F247" s="43" t="n">
        <v>1.2</v>
      </c>
      <c r="G247" s="43" t="n">
        <v>119</v>
      </c>
      <c r="H247" s="43" t="n">
        <v>2015</v>
      </c>
      <c r="I247" s="55" t="n">
        <v>1451</v>
      </c>
      <c r="J247" s="67" t="s">
        <v>74</v>
      </c>
      <c r="K247" s="30" t="s">
        <v>3589</v>
      </c>
      <c r="L247" s="35"/>
      <c r="M247" s="31" t="s">
        <v>3590</v>
      </c>
      <c r="N247" s="32" t="s">
        <v>1090</v>
      </c>
      <c r="O247" s="28" t="s">
        <v>3591</v>
      </c>
      <c r="P247" s="28" t="s">
        <v>2923</v>
      </c>
      <c r="Q247" s="33" t="n">
        <v>7043</v>
      </c>
      <c r="R247" s="34" t="s">
        <v>171</v>
      </c>
      <c r="S247" s="35" t="n">
        <v>4134</v>
      </c>
      <c r="T247" s="35" t="s">
        <v>172</v>
      </c>
      <c r="U247" s="28" t="n">
        <v>366163.99</v>
      </c>
      <c r="V247" s="60" t="n">
        <v>21.44881</v>
      </c>
      <c r="W247" s="112" t="n">
        <f aca="false">U247/V247</f>
        <v>17071.5293762218</v>
      </c>
      <c r="X247" s="112" t="n">
        <v>401.42</v>
      </c>
      <c r="Y247" s="28" t="n">
        <v>2.48</v>
      </c>
      <c r="Z247" s="62" t="s">
        <v>80</v>
      </c>
      <c r="AA247" s="38" t="n">
        <v>42193</v>
      </c>
      <c r="AB247" s="38" t="n">
        <v>42295</v>
      </c>
      <c r="AC247" s="38" t="n">
        <v>42292</v>
      </c>
      <c r="AD247" s="50" t="n">
        <v>44032</v>
      </c>
      <c r="AE247" s="28" t="n">
        <f aca="false">YEAR(AD247)</f>
        <v>2020</v>
      </c>
      <c r="AF247" s="265" t="n">
        <v>44032</v>
      </c>
      <c r="AG247" s="63" t="n">
        <v>158200</v>
      </c>
      <c r="AH247" s="43"/>
      <c r="AI247" s="43" t="s">
        <v>3592</v>
      </c>
      <c r="AJ247" s="43"/>
      <c r="AK247" s="43"/>
      <c r="AL247" s="43"/>
      <c r="AM247" s="43"/>
      <c r="AN247" s="43"/>
    </row>
    <row r="248" s="2" customFormat="true" ht="12.75" hidden="false" customHeight="true" outlineLevel="0" collapsed="false">
      <c r="A248" s="26" t="n">
        <v>46</v>
      </c>
      <c r="B248" s="152" t="s">
        <v>3593</v>
      </c>
      <c r="C248" s="67" t="s">
        <v>3064</v>
      </c>
      <c r="D248" s="28" t="s">
        <v>46</v>
      </c>
      <c r="E248" s="43" t="n">
        <v>5.79</v>
      </c>
      <c r="F248" s="43" t="n">
        <v>1.2</v>
      </c>
      <c r="G248" s="43" t="n">
        <v>119</v>
      </c>
      <c r="H248" s="43" t="n">
        <v>2015</v>
      </c>
      <c r="I248" s="55" t="n">
        <v>1451</v>
      </c>
      <c r="J248" s="67" t="s">
        <v>74</v>
      </c>
      <c r="K248" s="30" t="s">
        <v>2090</v>
      </c>
      <c r="L248" s="35"/>
      <c r="M248" s="31" t="s">
        <v>2091</v>
      </c>
      <c r="N248" s="32" t="s">
        <v>1090</v>
      </c>
      <c r="O248" s="57" t="s">
        <v>313</v>
      </c>
      <c r="P248" s="28" t="s">
        <v>2903</v>
      </c>
      <c r="Q248" s="33" t="n">
        <v>7071</v>
      </c>
      <c r="R248" s="68" t="s">
        <v>171</v>
      </c>
      <c r="S248" s="35" t="s">
        <v>2904</v>
      </c>
      <c r="T248" s="35" t="s">
        <v>172</v>
      </c>
      <c r="U248" s="28" t="n">
        <v>366163.99</v>
      </c>
      <c r="V248" s="60" t="n">
        <v>21.44881</v>
      </c>
      <c r="W248" s="112" t="n">
        <f aca="false">U248/V248</f>
        <v>17071.5293762218</v>
      </c>
      <c r="X248" s="112" t="n">
        <v>401.42</v>
      </c>
      <c r="Y248" s="28" t="n">
        <v>2.48</v>
      </c>
      <c r="Z248" s="62" t="s">
        <v>80</v>
      </c>
      <c r="AA248" s="38" t="n">
        <v>42193</v>
      </c>
      <c r="AB248" s="38" t="n">
        <v>42295</v>
      </c>
      <c r="AC248" s="38" t="n">
        <v>42292</v>
      </c>
      <c r="AD248" s="50" t="n">
        <v>44058</v>
      </c>
      <c r="AE248" s="28" t="n">
        <f aca="false">YEAR(AD248)</f>
        <v>2020</v>
      </c>
      <c r="AF248" s="265" t="n">
        <v>44020</v>
      </c>
      <c r="AG248" s="63"/>
      <c r="AH248" s="43"/>
      <c r="AI248" s="43" t="s">
        <v>3594</v>
      </c>
      <c r="AJ248" s="43"/>
      <c r="AK248" s="43"/>
      <c r="AL248" s="43"/>
      <c r="AM248" s="43"/>
      <c r="AN248" s="43"/>
    </row>
    <row r="249" s="2" customFormat="true" ht="12.75" hidden="false" customHeight="true" outlineLevel="0" collapsed="false">
      <c r="A249" s="26" t="n">
        <v>54</v>
      </c>
      <c r="B249" s="74" t="s">
        <v>3595</v>
      </c>
      <c r="C249" s="67" t="s">
        <v>3064</v>
      </c>
      <c r="D249" s="28" t="s">
        <v>46</v>
      </c>
      <c r="E249" s="43" t="n">
        <v>5.79</v>
      </c>
      <c r="F249" s="43" t="n">
        <v>1.2</v>
      </c>
      <c r="G249" s="43" t="n">
        <v>119</v>
      </c>
      <c r="H249" s="43" t="n">
        <v>2015</v>
      </c>
      <c r="I249" s="55" t="n">
        <v>1451</v>
      </c>
      <c r="J249" s="67" t="s">
        <v>74</v>
      </c>
      <c r="K249" s="30" t="s">
        <v>2008</v>
      </c>
      <c r="L249" s="69"/>
      <c r="M249" s="31" t="s">
        <v>2009</v>
      </c>
      <c r="N249" s="32" t="s">
        <v>1090</v>
      </c>
      <c r="O249" s="57" t="s">
        <v>689</v>
      </c>
      <c r="P249" s="28" t="s">
        <v>61</v>
      </c>
      <c r="Q249" s="87" t="n">
        <v>7070</v>
      </c>
      <c r="R249" s="58" t="s">
        <v>171</v>
      </c>
      <c r="S249" s="35" t="n">
        <v>4138</v>
      </c>
      <c r="T249" s="35" t="s">
        <v>172</v>
      </c>
      <c r="U249" s="235" t="n">
        <v>359686.45</v>
      </c>
      <c r="V249" s="60" t="n">
        <v>21.44881</v>
      </c>
      <c r="W249" s="112" t="n">
        <f aca="false">U249/V249</f>
        <v>16769.5294051278</v>
      </c>
      <c r="X249" s="112" t="n">
        <v>389</v>
      </c>
      <c r="Y249" s="146" t="s">
        <v>3521</v>
      </c>
      <c r="Z249" s="62" t="s">
        <v>80</v>
      </c>
      <c r="AA249" s="38" t="n">
        <v>42242</v>
      </c>
      <c r="AB249" s="38" t="n">
        <v>42312</v>
      </c>
      <c r="AC249" s="38" t="n">
        <v>42317</v>
      </c>
      <c r="AD249" s="38" t="n">
        <v>44006</v>
      </c>
      <c r="AE249" s="28" t="n">
        <f aca="false">YEAR(AD249)</f>
        <v>2020</v>
      </c>
      <c r="AF249" s="265" t="n">
        <v>44006</v>
      </c>
      <c r="AG249" s="63" t="n">
        <v>142236</v>
      </c>
      <c r="AH249" s="43"/>
      <c r="AI249" s="43" t="s">
        <v>3596</v>
      </c>
      <c r="AJ249" s="43"/>
      <c r="AK249" s="43"/>
      <c r="AL249" s="43"/>
      <c r="AM249" s="43"/>
      <c r="AN249" s="43"/>
    </row>
    <row r="250" s="2" customFormat="true" ht="12.75" hidden="false" customHeight="true" outlineLevel="0" collapsed="false">
      <c r="A250" s="26" t="n">
        <v>53</v>
      </c>
      <c r="B250" s="74" t="s">
        <v>3597</v>
      </c>
      <c r="C250" s="67" t="s">
        <v>3064</v>
      </c>
      <c r="D250" s="28" t="s">
        <v>46</v>
      </c>
      <c r="E250" s="43" t="n">
        <v>5.79</v>
      </c>
      <c r="F250" s="43" t="n">
        <v>1.2</v>
      </c>
      <c r="G250" s="43" t="n">
        <v>119</v>
      </c>
      <c r="H250" s="43" t="n">
        <v>2015</v>
      </c>
      <c r="I250" s="55" t="n">
        <v>1451</v>
      </c>
      <c r="J250" s="67" t="s">
        <v>74</v>
      </c>
      <c r="K250" s="30" t="s">
        <v>3598</v>
      </c>
      <c r="L250" s="35"/>
      <c r="M250" s="31" t="s">
        <v>3599</v>
      </c>
      <c r="N250" s="32" t="s">
        <v>1090</v>
      </c>
      <c r="O250" s="28" t="s">
        <v>60</v>
      </c>
      <c r="P250" s="28" t="s">
        <v>61</v>
      </c>
      <c r="Q250" s="28" t="n">
        <v>7084</v>
      </c>
      <c r="R250" s="58" t="s">
        <v>171</v>
      </c>
      <c r="S250" s="28" t="n">
        <v>4138</v>
      </c>
      <c r="T250" s="35" t="s">
        <v>172</v>
      </c>
      <c r="U250" s="28" t="n">
        <v>359686.45</v>
      </c>
      <c r="V250" s="60" t="n">
        <v>21.44881</v>
      </c>
      <c r="W250" s="112" t="n">
        <f aca="false">U250/V250</f>
        <v>16769.5294051278</v>
      </c>
      <c r="X250" s="112" t="n">
        <v>389</v>
      </c>
      <c r="Y250" s="28" t="n">
        <v>2.64</v>
      </c>
      <c r="Z250" s="62" t="s">
        <v>80</v>
      </c>
      <c r="AA250" s="38" t="n">
        <v>42276</v>
      </c>
      <c r="AB250" s="38" t="n">
        <v>42295</v>
      </c>
      <c r="AC250" s="38" t="n">
        <v>42317</v>
      </c>
      <c r="AD250" s="38" t="n">
        <v>44019</v>
      </c>
      <c r="AE250" s="28" t="n">
        <f aca="false">YEAR(AD250)</f>
        <v>2020</v>
      </c>
      <c r="AF250" s="265" t="n">
        <v>44019</v>
      </c>
      <c r="AG250" s="63" t="n">
        <v>136119</v>
      </c>
      <c r="AH250" s="43"/>
      <c r="AI250" s="43" t="s">
        <v>3600</v>
      </c>
      <c r="AJ250" s="43"/>
      <c r="AK250" s="43"/>
      <c r="AL250" s="43"/>
      <c r="AM250" s="43"/>
      <c r="AN250" s="43"/>
    </row>
    <row r="251" s="2" customFormat="true" ht="12.75" hidden="false" customHeight="true" outlineLevel="0" collapsed="false">
      <c r="A251" s="26" t="n">
        <v>151</v>
      </c>
      <c r="B251" s="74" t="s">
        <v>3601</v>
      </c>
      <c r="C251" s="43" t="s">
        <v>445</v>
      </c>
      <c r="D251" s="57" t="s">
        <v>73</v>
      </c>
      <c r="E251" s="26" t="n">
        <v>5.5</v>
      </c>
      <c r="F251" s="26" t="n">
        <v>1.6</v>
      </c>
      <c r="G251" s="26" t="n">
        <v>95</v>
      </c>
      <c r="H251" s="26" t="n">
        <v>2016</v>
      </c>
      <c r="I251" s="55" t="n">
        <v>1451</v>
      </c>
      <c r="J251" s="26" t="s">
        <v>74</v>
      </c>
      <c r="K251" s="30" t="s">
        <v>3602</v>
      </c>
      <c r="L251" s="69"/>
      <c r="M251" s="31" t="s">
        <v>1327</v>
      </c>
      <c r="N251" s="32" t="s">
        <v>1328</v>
      </c>
      <c r="O251" s="93" t="s">
        <v>100</v>
      </c>
      <c r="P251" s="57" t="s">
        <v>2890</v>
      </c>
      <c r="Q251" s="87" t="n">
        <v>1000</v>
      </c>
      <c r="R251" s="58" t="s">
        <v>1330</v>
      </c>
      <c r="S251" s="69" t="n">
        <v>3490</v>
      </c>
      <c r="T251" s="59" t="s">
        <v>421</v>
      </c>
      <c r="U251" s="28" t="n">
        <v>553691.15</v>
      </c>
      <c r="V251" s="60" t="n">
        <v>25.196137</v>
      </c>
      <c r="W251" s="112" t="n">
        <f aca="false">U251/V251</f>
        <v>21975.2396964662</v>
      </c>
      <c r="X251" s="112" t="n">
        <v>488.32</v>
      </c>
      <c r="Y251" s="28" t="n">
        <v>2.82</v>
      </c>
      <c r="Z251" s="62" t="s">
        <v>80</v>
      </c>
      <c r="AA251" s="38" t="n">
        <v>42501</v>
      </c>
      <c r="AB251" s="38" t="n">
        <v>42565</v>
      </c>
      <c r="AC251" s="38" t="n">
        <v>42557</v>
      </c>
      <c r="AD251" s="50" t="n">
        <v>44021</v>
      </c>
      <c r="AE251" s="57" t="n">
        <f aca="false">YEAR(AD251)</f>
        <v>2020</v>
      </c>
      <c r="AF251" s="265" t="n">
        <v>44021</v>
      </c>
      <c r="AG251" s="63" t="n">
        <v>54917</v>
      </c>
      <c r="AH251" s="43"/>
      <c r="AI251" s="43" t="s">
        <v>3603</v>
      </c>
      <c r="AJ251" s="43"/>
      <c r="AK251" s="43"/>
      <c r="AL251" s="43"/>
      <c r="AM251" s="43"/>
      <c r="AN251" s="43"/>
    </row>
    <row r="252" s="2" customFormat="true" ht="12.75" hidden="false" customHeight="true" outlineLevel="0" collapsed="false">
      <c r="A252" s="26" t="n">
        <v>38</v>
      </c>
      <c r="B252" s="152" t="s">
        <v>3604</v>
      </c>
      <c r="C252" s="67" t="s">
        <v>3064</v>
      </c>
      <c r="D252" s="28" t="s">
        <v>46</v>
      </c>
      <c r="E252" s="43" t="n">
        <v>5.79</v>
      </c>
      <c r="F252" s="43" t="n">
        <v>1.2</v>
      </c>
      <c r="G252" s="43" t="n">
        <v>119</v>
      </c>
      <c r="H252" s="43" t="n">
        <v>2015</v>
      </c>
      <c r="I252" s="55" t="n">
        <v>1451</v>
      </c>
      <c r="J252" s="67" t="s">
        <v>74</v>
      </c>
      <c r="K252" s="30" t="s">
        <v>2061</v>
      </c>
      <c r="L252" s="69"/>
      <c r="M252" s="31" t="s">
        <v>2062</v>
      </c>
      <c r="N252" s="32" t="s">
        <v>2922</v>
      </c>
      <c r="O252" s="57" t="s">
        <v>754</v>
      </c>
      <c r="P252" s="57" t="s">
        <v>2923</v>
      </c>
      <c r="Q252" s="87" t="n">
        <v>1000</v>
      </c>
      <c r="R252" s="58" t="s">
        <v>189</v>
      </c>
      <c r="S252" s="69" t="n">
        <v>4174</v>
      </c>
      <c r="T252" s="35" t="s">
        <v>172</v>
      </c>
      <c r="U252" s="235" t="n">
        <v>359686.45</v>
      </c>
      <c r="V252" s="60" t="n">
        <v>21.44881</v>
      </c>
      <c r="W252" s="112" t="n">
        <f aca="false">U252/V252</f>
        <v>16769.5294051278</v>
      </c>
      <c r="X252" s="112" t="n">
        <v>389</v>
      </c>
      <c r="Y252" s="146" t="s">
        <v>3521</v>
      </c>
      <c r="Z252" s="62" t="s">
        <v>80</v>
      </c>
      <c r="AA252" s="38" t="n">
        <v>42242</v>
      </c>
      <c r="AB252" s="38" t="n">
        <v>42312</v>
      </c>
      <c r="AC252" s="38" t="n">
        <v>42317</v>
      </c>
      <c r="AD252" s="50" t="n">
        <v>44052</v>
      </c>
      <c r="AE252" s="28" t="n">
        <f aca="false">YEAR(AD252)</f>
        <v>2020</v>
      </c>
      <c r="AF252" s="265" t="n">
        <v>44033</v>
      </c>
      <c r="AG252" s="63" t="n">
        <v>153303</v>
      </c>
      <c r="AH252" s="43"/>
      <c r="AI252" s="43" t="s">
        <v>3605</v>
      </c>
      <c r="AJ252" s="43"/>
      <c r="AK252" s="43"/>
      <c r="AL252" s="43"/>
      <c r="AM252" s="43"/>
      <c r="AN252" s="43"/>
    </row>
    <row r="253" s="2" customFormat="true" ht="12.75" hidden="false" customHeight="true" outlineLevel="0" collapsed="false">
      <c r="A253" s="26" t="n">
        <v>7</v>
      </c>
      <c r="B253" s="152" t="s">
        <v>3606</v>
      </c>
      <c r="C253" s="67" t="s">
        <v>2935</v>
      </c>
      <c r="D253" s="28" t="s">
        <v>46</v>
      </c>
      <c r="E253" s="43" t="n">
        <v>7</v>
      </c>
      <c r="F253" s="43" t="n">
        <v>1.4</v>
      </c>
      <c r="G253" s="43" t="n">
        <v>123</v>
      </c>
      <c r="H253" s="43" t="n">
        <v>2015</v>
      </c>
      <c r="I253" s="55" t="n">
        <v>1451</v>
      </c>
      <c r="J253" s="67" t="s">
        <v>74</v>
      </c>
      <c r="K253" s="30" t="s">
        <v>2197</v>
      </c>
      <c r="L253" s="35"/>
      <c r="M253" s="31" t="s">
        <v>2198</v>
      </c>
      <c r="N253" s="32" t="s">
        <v>2478</v>
      </c>
      <c r="O253" s="28" t="s">
        <v>100</v>
      </c>
      <c r="P253" s="28" t="s">
        <v>2890</v>
      </c>
      <c r="Q253" s="33" t="n">
        <v>1000</v>
      </c>
      <c r="R253" s="34" t="s">
        <v>3607</v>
      </c>
      <c r="S253" s="35" t="n">
        <v>4170</v>
      </c>
      <c r="T253" s="59" t="s">
        <v>123</v>
      </c>
      <c r="U253" s="28" t="n">
        <v>592631.18</v>
      </c>
      <c r="V253" s="60" t="n">
        <v>24.820658</v>
      </c>
      <c r="W253" s="112" t="n">
        <f aca="false">U253/V253</f>
        <v>23876.5297841822</v>
      </c>
      <c r="X253" s="112" t="n">
        <v>497.27</v>
      </c>
      <c r="Y253" s="28" t="n">
        <v>2.45</v>
      </c>
      <c r="Z253" s="62" t="s">
        <v>80</v>
      </c>
      <c r="AA253" s="38" t="n">
        <v>42067</v>
      </c>
      <c r="AB253" s="38" t="n">
        <v>42266</v>
      </c>
      <c r="AC253" s="38" t="n">
        <v>42265</v>
      </c>
      <c r="AD253" s="38" t="n">
        <v>44033</v>
      </c>
      <c r="AE253" s="28" t="n">
        <f aca="false">YEAR(AD253)</f>
        <v>2020</v>
      </c>
      <c r="AF253" s="265" t="n">
        <v>44033</v>
      </c>
      <c r="AG253" s="63" t="n">
        <v>90168</v>
      </c>
      <c r="AH253" s="43"/>
      <c r="AI253" s="43" t="s">
        <v>3608</v>
      </c>
      <c r="AJ253" s="43"/>
      <c r="AK253" s="43"/>
      <c r="AL253" s="43"/>
      <c r="AM253" s="43"/>
      <c r="AN253" s="43"/>
    </row>
    <row r="254" s="2" customFormat="true" ht="12.75" hidden="false" customHeight="true" outlineLevel="0" collapsed="false">
      <c r="A254" s="26" t="n">
        <v>27</v>
      </c>
      <c r="B254" s="152" t="s">
        <v>3609</v>
      </c>
      <c r="C254" s="67" t="s">
        <v>3064</v>
      </c>
      <c r="D254" s="28" t="s">
        <v>46</v>
      </c>
      <c r="E254" s="43" t="n">
        <v>5.79</v>
      </c>
      <c r="F254" s="43" t="n">
        <v>1.2</v>
      </c>
      <c r="G254" s="43" t="n">
        <v>119</v>
      </c>
      <c r="H254" s="43" t="n">
        <v>2015</v>
      </c>
      <c r="I254" s="55" t="n">
        <v>1451</v>
      </c>
      <c r="J254" s="67" t="s">
        <v>74</v>
      </c>
      <c r="K254" s="30" t="s">
        <v>2175</v>
      </c>
      <c r="L254" s="35"/>
      <c r="M254" s="31" t="s">
        <v>2176</v>
      </c>
      <c r="N254" s="32" t="s">
        <v>1090</v>
      </c>
      <c r="O254" s="28" t="s">
        <v>2177</v>
      </c>
      <c r="P254" s="28" t="s">
        <v>2896</v>
      </c>
      <c r="Q254" s="33" t="n">
        <v>7063</v>
      </c>
      <c r="R254" s="34" t="s">
        <v>171</v>
      </c>
      <c r="S254" s="35" t="n">
        <v>4136</v>
      </c>
      <c r="T254" s="35" t="s">
        <v>172</v>
      </c>
      <c r="U254" s="28" t="n">
        <v>366163.99</v>
      </c>
      <c r="V254" s="60" t="n">
        <v>21.44881</v>
      </c>
      <c r="W254" s="112" t="n">
        <f aca="false">U254/V254</f>
        <v>17071.5293762218</v>
      </c>
      <c r="X254" s="112" t="n">
        <v>401.42</v>
      </c>
      <c r="Y254" s="28" t="n">
        <v>2.48</v>
      </c>
      <c r="Z254" s="62" t="s">
        <v>80</v>
      </c>
      <c r="AA254" s="38" t="n">
        <v>42193</v>
      </c>
      <c r="AB254" s="38" t="n">
        <v>42295</v>
      </c>
      <c r="AC254" s="38" t="n">
        <v>42292</v>
      </c>
      <c r="AD254" s="50" t="n">
        <v>44033</v>
      </c>
      <c r="AE254" s="28" t="n">
        <f aca="false">YEAR(AD254)</f>
        <v>2020</v>
      </c>
      <c r="AF254" s="265" t="n">
        <v>44033</v>
      </c>
      <c r="AG254" s="63" t="n">
        <v>148319</v>
      </c>
      <c r="AH254" s="43"/>
      <c r="AI254" s="43" t="s">
        <v>3610</v>
      </c>
      <c r="AJ254" s="43"/>
      <c r="AK254" s="43"/>
      <c r="AL254" s="43"/>
      <c r="AM254" s="43"/>
      <c r="AN254" s="43"/>
    </row>
    <row r="255" s="2" customFormat="true" ht="12.75" hidden="false" customHeight="true" outlineLevel="0" collapsed="false">
      <c r="A255" s="26" t="n">
        <v>29</v>
      </c>
      <c r="B255" s="152" t="s">
        <v>3611</v>
      </c>
      <c r="C255" s="67" t="s">
        <v>3064</v>
      </c>
      <c r="D255" s="28" t="s">
        <v>46</v>
      </c>
      <c r="E255" s="43" t="n">
        <v>5.79</v>
      </c>
      <c r="F255" s="43" t="n">
        <v>1.2</v>
      </c>
      <c r="G255" s="43" t="n">
        <v>119</v>
      </c>
      <c r="H255" s="43" t="n">
        <v>2015</v>
      </c>
      <c r="I255" s="55" t="n">
        <v>1451</v>
      </c>
      <c r="J255" s="67" t="s">
        <v>74</v>
      </c>
      <c r="K255" s="30" t="s">
        <v>2118</v>
      </c>
      <c r="L255" s="35"/>
      <c r="M255" s="31" t="s">
        <v>2119</v>
      </c>
      <c r="N255" s="32" t="s">
        <v>289</v>
      </c>
      <c r="O255" s="28" t="s">
        <v>52</v>
      </c>
      <c r="P255" s="28" t="s">
        <v>52</v>
      </c>
      <c r="Q255" s="33" t="n">
        <v>7011</v>
      </c>
      <c r="R255" s="34" t="s">
        <v>171</v>
      </c>
      <c r="S255" s="35" t="n">
        <v>4141</v>
      </c>
      <c r="T255" s="35" t="s">
        <v>172</v>
      </c>
      <c r="U255" s="28" t="n">
        <v>366163.99</v>
      </c>
      <c r="V255" s="60" t="n">
        <v>21.44881</v>
      </c>
      <c r="W255" s="112" t="n">
        <f aca="false">U255/V255</f>
        <v>17071.5293762218</v>
      </c>
      <c r="X255" s="112" t="n">
        <v>401.42</v>
      </c>
      <c r="Y255" s="28" t="n">
        <v>2.48</v>
      </c>
      <c r="Z255" s="62" t="s">
        <v>80</v>
      </c>
      <c r="AA255" s="38" t="n">
        <v>42193</v>
      </c>
      <c r="AB255" s="38" t="n">
        <v>42295</v>
      </c>
      <c r="AC255" s="38" t="n">
        <v>42292</v>
      </c>
      <c r="AD255" s="50" t="n">
        <v>44033</v>
      </c>
      <c r="AE255" s="28" t="n">
        <f aca="false">YEAR(AD255)</f>
        <v>2020</v>
      </c>
      <c r="AF255" s="265" t="n">
        <v>44033</v>
      </c>
      <c r="AG255" s="63" t="n">
        <v>137416</v>
      </c>
      <c r="AH255" s="43"/>
      <c r="AI255" s="43" t="s">
        <v>3612</v>
      </c>
      <c r="AJ255" s="43"/>
      <c r="AK255" s="43"/>
      <c r="AL255" s="43"/>
      <c r="AM255" s="43"/>
      <c r="AN255" s="43"/>
    </row>
    <row r="256" s="2" customFormat="true" ht="12.75" hidden="false" customHeight="true" outlineLevel="0" collapsed="false">
      <c r="A256" s="26" t="n">
        <v>30</v>
      </c>
      <c r="B256" s="152" t="s">
        <v>3613</v>
      </c>
      <c r="C256" s="67" t="s">
        <v>3064</v>
      </c>
      <c r="D256" s="28" t="s">
        <v>46</v>
      </c>
      <c r="E256" s="43" t="n">
        <v>5.79</v>
      </c>
      <c r="F256" s="43" t="n">
        <v>1.2</v>
      </c>
      <c r="G256" s="43" t="n">
        <v>119</v>
      </c>
      <c r="H256" s="43" t="n">
        <v>2015</v>
      </c>
      <c r="I256" s="55" t="n">
        <v>1451</v>
      </c>
      <c r="J256" s="67" t="s">
        <v>74</v>
      </c>
      <c r="K256" s="30" t="s">
        <v>2111</v>
      </c>
      <c r="L256" s="35"/>
      <c r="M256" s="31" t="s">
        <v>2112</v>
      </c>
      <c r="N256" s="32" t="s">
        <v>1090</v>
      </c>
      <c r="O256" s="28" t="s">
        <v>169</v>
      </c>
      <c r="P256" s="28" t="s">
        <v>61</v>
      </c>
      <c r="Q256" s="33" t="n">
        <v>7083</v>
      </c>
      <c r="R256" s="34" t="s">
        <v>171</v>
      </c>
      <c r="S256" s="35" t="n">
        <v>4138</v>
      </c>
      <c r="T256" s="35" t="s">
        <v>172</v>
      </c>
      <c r="U256" s="28" t="n">
        <v>366163.99</v>
      </c>
      <c r="V256" s="60" t="n">
        <v>21.44881</v>
      </c>
      <c r="W256" s="112" t="n">
        <f aca="false">U256/V256</f>
        <v>17071.5293762218</v>
      </c>
      <c r="X256" s="112" t="n">
        <v>401.42</v>
      </c>
      <c r="Y256" s="28" t="n">
        <v>2.48</v>
      </c>
      <c r="Z256" s="62" t="s">
        <v>80</v>
      </c>
      <c r="AA256" s="38" t="n">
        <v>42193</v>
      </c>
      <c r="AB256" s="38" t="n">
        <v>42295</v>
      </c>
      <c r="AC256" s="38" t="n">
        <v>42292</v>
      </c>
      <c r="AD256" s="50" t="n">
        <v>44033</v>
      </c>
      <c r="AE256" s="28" t="n">
        <f aca="false">YEAR(AD256)</f>
        <v>2020</v>
      </c>
      <c r="AF256" s="265" t="n">
        <v>44033</v>
      </c>
      <c r="AG256" s="63" t="n">
        <v>140980</v>
      </c>
      <c r="AH256" s="43"/>
      <c r="AI256" s="43" t="s">
        <v>3614</v>
      </c>
      <c r="AJ256" s="43"/>
      <c r="AK256" s="43"/>
      <c r="AL256" s="43"/>
      <c r="AM256" s="43"/>
      <c r="AN256" s="43"/>
    </row>
    <row r="257" s="2" customFormat="true" ht="12.75" hidden="false" customHeight="true" outlineLevel="0" collapsed="false">
      <c r="A257" s="26" t="n">
        <v>31</v>
      </c>
      <c r="B257" s="152" t="s">
        <v>3615</v>
      </c>
      <c r="C257" s="67" t="s">
        <v>3064</v>
      </c>
      <c r="D257" s="28" t="s">
        <v>46</v>
      </c>
      <c r="E257" s="43" t="n">
        <v>5.79</v>
      </c>
      <c r="F257" s="43" t="n">
        <v>1.2</v>
      </c>
      <c r="G257" s="43" t="n">
        <v>119</v>
      </c>
      <c r="H257" s="43" t="n">
        <v>2015</v>
      </c>
      <c r="I257" s="55" t="n">
        <v>1451</v>
      </c>
      <c r="J257" s="67" t="s">
        <v>74</v>
      </c>
      <c r="K257" s="30" t="s">
        <v>3616</v>
      </c>
      <c r="L257" s="35"/>
      <c r="M257" s="31" t="s">
        <v>3617</v>
      </c>
      <c r="N257" s="32" t="s">
        <v>1090</v>
      </c>
      <c r="O257" s="127" t="s">
        <v>3014</v>
      </c>
      <c r="P257" s="28" t="s">
        <v>61</v>
      </c>
      <c r="Q257" s="33" t="n">
        <v>7082</v>
      </c>
      <c r="R257" s="34" t="s">
        <v>171</v>
      </c>
      <c r="S257" s="35" t="n">
        <v>4138</v>
      </c>
      <c r="T257" s="35" t="s">
        <v>172</v>
      </c>
      <c r="U257" s="28" t="n">
        <v>366163.99</v>
      </c>
      <c r="V257" s="60" t="n">
        <v>21.44881</v>
      </c>
      <c r="W257" s="112" t="n">
        <f aca="false">U257/V257</f>
        <v>17071.5293762218</v>
      </c>
      <c r="X257" s="112" t="n">
        <v>401.42</v>
      </c>
      <c r="Y257" s="28" t="n">
        <v>2.48</v>
      </c>
      <c r="Z257" s="62" t="s">
        <v>80</v>
      </c>
      <c r="AA257" s="38" t="n">
        <v>42193</v>
      </c>
      <c r="AB257" s="38" t="n">
        <v>42295</v>
      </c>
      <c r="AC257" s="38" t="n">
        <v>42292</v>
      </c>
      <c r="AD257" s="50" t="n">
        <v>44033</v>
      </c>
      <c r="AE257" s="28" t="n">
        <f aca="false">YEAR(AD257)</f>
        <v>2020</v>
      </c>
      <c r="AF257" s="265" t="n">
        <v>44033</v>
      </c>
      <c r="AG257" s="63" t="n">
        <v>134546</v>
      </c>
      <c r="AH257" s="43"/>
      <c r="AI257" s="43" t="s">
        <v>3618</v>
      </c>
      <c r="AJ257" s="43"/>
      <c r="AK257" s="43"/>
      <c r="AL257" s="43"/>
      <c r="AM257" s="43"/>
      <c r="AN257" s="43"/>
    </row>
    <row r="258" s="2" customFormat="true" ht="12.75" hidden="false" customHeight="true" outlineLevel="0" collapsed="false">
      <c r="A258" s="26" t="n">
        <v>32</v>
      </c>
      <c r="B258" s="152" t="s">
        <v>3619</v>
      </c>
      <c r="C258" s="67" t="s">
        <v>3064</v>
      </c>
      <c r="D258" s="28" t="s">
        <v>46</v>
      </c>
      <c r="E258" s="43" t="n">
        <v>5.79</v>
      </c>
      <c r="F258" s="43" t="n">
        <v>1.2</v>
      </c>
      <c r="G258" s="43" t="n">
        <v>119</v>
      </c>
      <c r="H258" s="43" t="n">
        <v>2015</v>
      </c>
      <c r="I258" s="55" t="n">
        <v>1451</v>
      </c>
      <c r="J258" s="67" t="s">
        <v>74</v>
      </c>
      <c r="K258" s="30" t="s">
        <v>2104</v>
      </c>
      <c r="L258" s="35"/>
      <c r="M258" s="31" t="s">
        <v>2105</v>
      </c>
      <c r="N258" s="32" t="s">
        <v>1090</v>
      </c>
      <c r="O258" s="28" t="s">
        <v>60</v>
      </c>
      <c r="P258" s="28" t="s">
        <v>61</v>
      </c>
      <c r="Q258" s="33" t="n">
        <v>7081</v>
      </c>
      <c r="R258" s="34" t="s">
        <v>171</v>
      </c>
      <c r="S258" s="35" t="n">
        <v>4138</v>
      </c>
      <c r="T258" s="35" t="s">
        <v>172</v>
      </c>
      <c r="U258" s="28" t="n">
        <v>366163.99</v>
      </c>
      <c r="V258" s="60" t="n">
        <v>21.44881</v>
      </c>
      <c r="W258" s="112" t="n">
        <f aca="false">U258/V258</f>
        <v>17071.5293762218</v>
      </c>
      <c r="X258" s="112" t="n">
        <v>401.42</v>
      </c>
      <c r="Y258" s="28" t="n">
        <v>2.48</v>
      </c>
      <c r="Z258" s="62" t="s">
        <v>80</v>
      </c>
      <c r="AA258" s="38" t="n">
        <v>42193</v>
      </c>
      <c r="AB258" s="38" t="n">
        <v>42295</v>
      </c>
      <c r="AC258" s="38" t="n">
        <v>42292</v>
      </c>
      <c r="AD258" s="50" t="n">
        <v>44033</v>
      </c>
      <c r="AE258" s="28" t="n">
        <f aca="false">YEAR(AD258)</f>
        <v>2020</v>
      </c>
      <c r="AF258" s="265" t="n">
        <v>44033</v>
      </c>
      <c r="AG258" s="63" t="n">
        <v>114774</v>
      </c>
      <c r="AH258" s="43"/>
      <c r="AI258" s="43" t="s">
        <v>3620</v>
      </c>
      <c r="AJ258" s="43"/>
      <c r="AK258" s="43"/>
      <c r="AL258" s="43"/>
      <c r="AM258" s="43"/>
      <c r="AN258" s="43"/>
    </row>
    <row r="259" s="2" customFormat="true" ht="12.75" hidden="false" customHeight="true" outlineLevel="0" collapsed="false">
      <c r="A259" s="26" t="n">
        <v>33</v>
      </c>
      <c r="B259" s="152" t="s">
        <v>3621</v>
      </c>
      <c r="C259" s="67" t="s">
        <v>3064</v>
      </c>
      <c r="D259" s="28" t="s">
        <v>46</v>
      </c>
      <c r="E259" s="43" t="n">
        <v>5.79</v>
      </c>
      <c r="F259" s="43" t="n">
        <v>1.2</v>
      </c>
      <c r="G259" s="43" t="n">
        <v>119</v>
      </c>
      <c r="H259" s="43" t="n">
        <v>2015</v>
      </c>
      <c r="I259" s="55" t="n">
        <v>1451</v>
      </c>
      <c r="J259" s="67" t="s">
        <v>74</v>
      </c>
      <c r="K259" s="30" t="s">
        <v>2075</v>
      </c>
      <c r="L259" s="69"/>
      <c r="M259" s="31" t="s">
        <v>2076</v>
      </c>
      <c r="N259" s="32" t="s">
        <v>1090</v>
      </c>
      <c r="O259" s="28" t="s">
        <v>60</v>
      </c>
      <c r="P259" s="28" t="s">
        <v>61</v>
      </c>
      <c r="Q259" s="87" t="n">
        <v>7084</v>
      </c>
      <c r="R259" s="58" t="s">
        <v>171</v>
      </c>
      <c r="S259" s="69" t="n">
        <v>4138</v>
      </c>
      <c r="T259" s="35" t="s">
        <v>172</v>
      </c>
      <c r="U259" s="28" t="n">
        <v>366163.99</v>
      </c>
      <c r="V259" s="60" t="n">
        <v>21.44881</v>
      </c>
      <c r="W259" s="112" t="n">
        <f aca="false">U259/V259</f>
        <v>17071.5293762218</v>
      </c>
      <c r="X259" s="112" t="n">
        <v>401.42</v>
      </c>
      <c r="Y259" s="28" t="n">
        <v>2.48</v>
      </c>
      <c r="Z259" s="62" t="s">
        <v>80</v>
      </c>
      <c r="AA259" s="38" t="n">
        <v>42193</v>
      </c>
      <c r="AB259" s="38" t="n">
        <v>42295</v>
      </c>
      <c r="AC259" s="38" t="n">
        <v>42292</v>
      </c>
      <c r="AD259" s="50" t="n">
        <v>44033</v>
      </c>
      <c r="AE259" s="28" t="n">
        <f aca="false">YEAR(AD259)</f>
        <v>2020</v>
      </c>
      <c r="AF259" s="265" t="n">
        <v>44033</v>
      </c>
      <c r="AG259" s="63" t="n">
        <v>189370</v>
      </c>
      <c r="AH259" s="43"/>
      <c r="AI259" s="43" t="s">
        <v>3622</v>
      </c>
      <c r="AJ259" s="43"/>
      <c r="AK259" s="43"/>
      <c r="AL259" s="43"/>
      <c r="AM259" s="43"/>
      <c r="AN259" s="43"/>
    </row>
    <row r="260" s="2" customFormat="true" ht="12.75" hidden="false" customHeight="true" outlineLevel="0" collapsed="false">
      <c r="A260" s="26" t="n">
        <v>34</v>
      </c>
      <c r="B260" s="152" t="s">
        <v>3623</v>
      </c>
      <c r="C260" s="67" t="s">
        <v>3064</v>
      </c>
      <c r="D260" s="28" t="s">
        <v>46</v>
      </c>
      <c r="E260" s="43" t="n">
        <v>5.79</v>
      </c>
      <c r="F260" s="43" t="n">
        <v>1.2</v>
      </c>
      <c r="G260" s="43" t="n">
        <v>119</v>
      </c>
      <c r="H260" s="43" t="n">
        <v>2015</v>
      </c>
      <c r="I260" s="55" t="n">
        <v>1451</v>
      </c>
      <c r="J260" s="67" t="s">
        <v>74</v>
      </c>
      <c r="K260" s="254" t="s">
        <v>2161</v>
      </c>
      <c r="L260" s="35"/>
      <c r="M260" s="31" t="s">
        <v>2162</v>
      </c>
      <c r="N260" s="32" t="s">
        <v>2922</v>
      </c>
      <c r="O260" s="28" t="s">
        <v>326</v>
      </c>
      <c r="P260" s="28" t="s">
        <v>52</v>
      </c>
      <c r="Q260" s="33" t="n">
        <v>1000</v>
      </c>
      <c r="R260" s="34" t="s">
        <v>189</v>
      </c>
      <c r="S260" s="35" t="n">
        <v>4171</v>
      </c>
      <c r="T260" s="35" t="s">
        <v>172</v>
      </c>
      <c r="U260" s="28" t="n">
        <v>366163.99</v>
      </c>
      <c r="V260" s="60" t="n">
        <v>21.44881</v>
      </c>
      <c r="W260" s="112" t="n">
        <f aca="false">U260/V260</f>
        <v>17071.5293762218</v>
      </c>
      <c r="X260" s="112" t="n">
        <v>401.42</v>
      </c>
      <c r="Y260" s="28" t="n">
        <v>2.48</v>
      </c>
      <c r="Z260" s="62" t="s">
        <v>80</v>
      </c>
      <c r="AA260" s="38" t="n">
        <v>42193</v>
      </c>
      <c r="AB260" s="38" t="n">
        <v>42295</v>
      </c>
      <c r="AC260" s="38" t="n">
        <v>42292</v>
      </c>
      <c r="AD260" s="50" t="n">
        <v>44033</v>
      </c>
      <c r="AE260" s="28" t="n">
        <f aca="false">YEAR(AD260)</f>
        <v>2020</v>
      </c>
      <c r="AF260" s="265" t="n">
        <v>44033</v>
      </c>
      <c r="AG260" s="63" t="n">
        <v>153396</v>
      </c>
      <c r="AH260" s="43"/>
      <c r="AI260" s="43" t="s">
        <v>3624</v>
      </c>
      <c r="AJ260" s="43"/>
      <c r="AK260" s="43"/>
      <c r="AL260" s="43"/>
      <c r="AM260" s="43"/>
      <c r="AN260" s="43"/>
    </row>
    <row r="261" s="2" customFormat="true" ht="12.75" hidden="false" customHeight="true" outlineLevel="0" collapsed="false">
      <c r="A261" s="26" t="n">
        <v>35</v>
      </c>
      <c r="B261" s="152" t="s">
        <v>3625</v>
      </c>
      <c r="C261" s="67" t="s">
        <v>3064</v>
      </c>
      <c r="D261" s="28" t="s">
        <v>46</v>
      </c>
      <c r="E261" s="43" t="n">
        <v>5.79</v>
      </c>
      <c r="F261" s="43" t="n">
        <v>1.2</v>
      </c>
      <c r="G261" s="43" t="n">
        <v>119</v>
      </c>
      <c r="H261" s="43" t="n">
        <v>2015</v>
      </c>
      <c r="I261" s="55" t="n">
        <v>1451</v>
      </c>
      <c r="J261" s="67" t="s">
        <v>74</v>
      </c>
      <c r="K261" s="30" t="s">
        <v>2097</v>
      </c>
      <c r="L261" s="35"/>
      <c r="M261" s="31" t="s">
        <v>2098</v>
      </c>
      <c r="N261" s="32" t="s">
        <v>1090</v>
      </c>
      <c r="O261" s="28" t="s">
        <v>313</v>
      </c>
      <c r="P261" s="28" t="s">
        <v>2903</v>
      </c>
      <c r="Q261" s="33" t="n">
        <v>7071</v>
      </c>
      <c r="R261" s="34" t="s">
        <v>171</v>
      </c>
      <c r="S261" s="35" t="s">
        <v>2904</v>
      </c>
      <c r="T261" s="35" t="s">
        <v>172</v>
      </c>
      <c r="U261" s="28" t="n">
        <v>366163.99</v>
      </c>
      <c r="V261" s="60" t="n">
        <v>21.44881</v>
      </c>
      <c r="W261" s="112" t="n">
        <f aca="false">U261/V261</f>
        <v>17071.5293762218</v>
      </c>
      <c r="X261" s="112" t="n">
        <v>401.42</v>
      </c>
      <c r="Y261" s="28" t="n">
        <v>2.48</v>
      </c>
      <c r="Z261" s="62" t="s">
        <v>80</v>
      </c>
      <c r="AA261" s="38" t="n">
        <v>42193</v>
      </c>
      <c r="AB261" s="38" t="n">
        <v>42295</v>
      </c>
      <c r="AC261" s="38" t="n">
        <v>42292</v>
      </c>
      <c r="AD261" s="50" t="n">
        <v>44033</v>
      </c>
      <c r="AE261" s="28" t="n">
        <f aca="false">YEAR(AD261)</f>
        <v>2020</v>
      </c>
      <c r="AF261" s="265" t="n">
        <v>44033</v>
      </c>
      <c r="AG261" s="63" t="n">
        <v>126808</v>
      </c>
      <c r="AH261" s="43"/>
      <c r="AI261" s="43" t="s">
        <v>3626</v>
      </c>
      <c r="AJ261" s="43"/>
      <c r="AK261" s="43"/>
      <c r="AL261" s="43"/>
      <c r="AM261" s="43"/>
      <c r="AN261" s="43"/>
    </row>
    <row r="262" s="2" customFormat="true" ht="12.75" hidden="false" customHeight="true" outlineLevel="0" collapsed="false">
      <c r="A262" s="26" t="n">
        <v>36</v>
      </c>
      <c r="B262" s="152" t="s">
        <v>3627</v>
      </c>
      <c r="C262" s="67" t="s">
        <v>3064</v>
      </c>
      <c r="D262" s="28" t="s">
        <v>46</v>
      </c>
      <c r="E262" s="43" t="n">
        <v>5.79</v>
      </c>
      <c r="F262" s="43" t="n">
        <v>1.2</v>
      </c>
      <c r="G262" s="43" t="n">
        <v>119</v>
      </c>
      <c r="H262" s="43" t="n">
        <v>2015</v>
      </c>
      <c r="I262" s="55" t="n">
        <v>1451</v>
      </c>
      <c r="J262" s="67" t="s">
        <v>74</v>
      </c>
      <c r="K262" s="30" t="s">
        <v>3628</v>
      </c>
      <c r="L262" s="35"/>
      <c r="M262" s="31" t="s">
        <v>3629</v>
      </c>
      <c r="N262" s="32" t="s">
        <v>168</v>
      </c>
      <c r="O262" s="28" t="s">
        <v>60</v>
      </c>
      <c r="P262" s="28" t="s">
        <v>61</v>
      </c>
      <c r="Q262" s="33" t="n">
        <v>9000</v>
      </c>
      <c r="R262" s="34" t="s">
        <v>171</v>
      </c>
      <c r="S262" s="35" t="n">
        <v>4138</v>
      </c>
      <c r="T262" s="35" t="s">
        <v>172</v>
      </c>
      <c r="U262" s="28" t="n">
        <v>366163.99</v>
      </c>
      <c r="V262" s="60" t="n">
        <v>21.44881</v>
      </c>
      <c r="W262" s="112" t="n">
        <f aca="false">U262/V262</f>
        <v>17071.5293762218</v>
      </c>
      <c r="X262" s="112" t="n">
        <v>401.42</v>
      </c>
      <c r="Y262" s="28" t="n">
        <v>2.48</v>
      </c>
      <c r="Z262" s="62" t="s">
        <v>80</v>
      </c>
      <c r="AA262" s="38" t="n">
        <v>42193</v>
      </c>
      <c r="AB262" s="38" t="n">
        <v>42295</v>
      </c>
      <c r="AC262" s="38" t="n">
        <v>42292</v>
      </c>
      <c r="AD262" s="50" t="n">
        <v>44033</v>
      </c>
      <c r="AE262" s="28" t="n">
        <f aca="false">YEAR(AD262)</f>
        <v>2020</v>
      </c>
      <c r="AF262" s="265" t="n">
        <v>44033</v>
      </c>
      <c r="AG262" s="63" t="n">
        <v>121179</v>
      </c>
      <c r="AH262" s="43"/>
      <c r="AI262" s="43" t="s">
        <v>3630</v>
      </c>
      <c r="AJ262" s="43"/>
      <c r="AK262" s="43"/>
      <c r="AL262" s="43"/>
      <c r="AM262" s="43"/>
      <c r="AN262" s="43"/>
    </row>
    <row r="263" s="2" customFormat="true" ht="12.75" hidden="false" customHeight="true" outlineLevel="0" collapsed="false">
      <c r="A263" s="26" t="n">
        <v>37</v>
      </c>
      <c r="B263" s="152" t="s">
        <v>3631</v>
      </c>
      <c r="C263" s="67" t="s">
        <v>3064</v>
      </c>
      <c r="D263" s="28" t="s">
        <v>46</v>
      </c>
      <c r="E263" s="43" t="n">
        <v>5.79</v>
      </c>
      <c r="F263" s="43" t="n">
        <v>1.2</v>
      </c>
      <c r="G263" s="43" t="n">
        <v>119</v>
      </c>
      <c r="H263" s="43" t="n">
        <v>2015</v>
      </c>
      <c r="I263" s="55" t="n">
        <v>1451</v>
      </c>
      <c r="J263" s="67" t="s">
        <v>74</v>
      </c>
      <c r="K263" s="30" t="s">
        <v>3632</v>
      </c>
      <c r="L263" s="35"/>
      <c r="M263" s="31" t="s">
        <v>3633</v>
      </c>
      <c r="N263" s="32" t="s">
        <v>3298</v>
      </c>
      <c r="O263" s="28" t="s">
        <v>142</v>
      </c>
      <c r="P263" s="28" t="s">
        <v>2896</v>
      </c>
      <c r="Q263" s="33" t="n">
        <v>1000</v>
      </c>
      <c r="R263" s="34" t="s">
        <v>189</v>
      </c>
      <c r="S263" s="35" t="n">
        <v>4176</v>
      </c>
      <c r="T263" s="35" t="s">
        <v>172</v>
      </c>
      <c r="U263" s="28" t="n">
        <v>366163.99</v>
      </c>
      <c r="V263" s="60" t="n">
        <v>21.44881</v>
      </c>
      <c r="W263" s="112" t="n">
        <f aca="false">U263/V263</f>
        <v>17071.5293762218</v>
      </c>
      <c r="X263" s="112" t="n">
        <v>401.42</v>
      </c>
      <c r="Y263" s="28" t="n">
        <v>2.48</v>
      </c>
      <c r="Z263" s="62" t="s">
        <v>80</v>
      </c>
      <c r="AA263" s="38" t="n">
        <v>42193</v>
      </c>
      <c r="AB263" s="38" t="n">
        <v>42295</v>
      </c>
      <c r="AC263" s="38" t="n">
        <v>42292</v>
      </c>
      <c r="AD263" s="50" t="n">
        <v>44033</v>
      </c>
      <c r="AE263" s="28" t="n">
        <f aca="false">YEAR(AD263)</f>
        <v>2020</v>
      </c>
      <c r="AF263" s="265" t="n">
        <v>44033</v>
      </c>
      <c r="AG263" s="63" t="n">
        <v>136540</v>
      </c>
      <c r="AH263" s="43"/>
      <c r="AI263" s="43" t="s">
        <v>3634</v>
      </c>
      <c r="AJ263" s="43"/>
      <c r="AK263" s="43"/>
      <c r="AL263" s="43"/>
      <c r="AM263" s="43"/>
      <c r="AN263" s="43"/>
    </row>
    <row r="264" s="2" customFormat="true" ht="12" hidden="false" customHeight="true" outlineLevel="0" collapsed="false">
      <c r="A264" s="26" t="n">
        <v>25</v>
      </c>
      <c r="B264" s="74" t="s">
        <v>3635</v>
      </c>
      <c r="C264" s="67" t="s">
        <v>3064</v>
      </c>
      <c r="D264" s="28" t="s">
        <v>46</v>
      </c>
      <c r="E264" s="43" t="n">
        <v>5.79</v>
      </c>
      <c r="F264" s="43" t="n">
        <v>1.2</v>
      </c>
      <c r="G264" s="43" t="n">
        <v>119</v>
      </c>
      <c r="H264" s="43" t="n">
        <v>2015</v>
      </c>
      <c r="I264" s="55" t="n">
        <v>1451</v>
      </c>
      <c r="J264" s="67" t="s">
        <v>74</v>
      </c>
      <c r="K264" s="30" t="s">
        <v>1443</v>
      </c>
      <c r="L264" s="82"/>
      <c r="M264" s="31" t="s">
        <v>1444</v>
      </c>
      <c r="N264" s="32" t="s">
        <v>1090</v>
      </c>
      <c r="O264" s="28" t="s">
        <v>313</v>
      </c>
      <c r="P264" s="28" t="s">
        <v>2903</v>
      </c>
      <c r="Q264" s="33" t="n">
        <v>7072</v>
      </c>
      <c r="R264" s="68" t="s">
        <v>171</v>
      </c>
      <c r="S264" s="35" t="s">
        <v>2904</v>
      </c>
      <c r="T264" s="35" t="s">
        <v>172</v>
      </c>
      <c r="U264" s="28" t="n">
        <v>423726.59</v>
      </c>
      <c r="V264" s="60" t="n">
        <v>24.820658</v>
      </c>
      <c r="W264" s="112" t="n">
        <f aca="false">U264/V264</f>
        <v>17071.5292882243</v>
      </c>
      <c r="X264" s="112" t="n">
        <v>401.43</v>
      </c>
      <c r="Y264" s="28" t="n">
        <v>2.44</v>
      </c>
      <c r="Z264" s="62" t="s">
        <v>80</v>
      </c>
      <c r="AA264" s="38" t="n">
        <v>42067</v>
      </c>
      <c r="AB264" s="38" t="n">
        <v>42265</v>
      </c>
      <c r="AC264" s="38" t="n">
        <v>42265</v>
      </c>
      <c r="AD264" s="38" t="n">
        <v>44011</v>
      </c>
      <c r="AE264" s="28" t="n">
        <f aca="false">YEAR(AD264)</f>
        <v>2020</v>
      </c>
      <c r="AF264" s="265" t="n">
        <v>44042</v>
      </c>
      <c r="AG264" s="63" t="n">
        <v>127262</v>
      </c>
      <c r="AH264" s="43"/>
      <c r="AI264" s="43" t="s">
        <v>3636</v>
      </c>
      <c r="AJ264" s="43"/>
      <c r="AK264" s="43"/>
      <c r="AL264" s="43"/>
      <c r="AM264" s="43"/>
      <c r="AN264" s="43"/>
    </row>
    <row r="265" s="2" customFormat="true" ht="12.75" hidden="false" customHeight="true" outlineLevel="0" collapsed="false">
      <c r="A265" s="26" t="n">
        <v>26</v>
      </c>
      <c r="B265" s="74" t="s">
        <v>3637</v>
      </c>
      <c r="C265" s="67" t="s">
        <v>3064</v>
      </c>
      <c r="D265" s="28" t="s">
        <v>46</v>
      </c>
      <c r="E265" s="43" t="n">
        <v>5.79</v>
      </c>
      <c r="F265" s="43" t="n">
        <v>1.2</v>
      </c>
      <c r="G265" s="43" t="n">
        <v>119</v>
      </c>
      <c r="H265" s="43" t="n">
        <v>2015</v>
      </c>
      <c r="I265" s="55" t="n">
        <v>1451</v>
      </c>
      <c r="J265" s="67" t="s">
        <v>74</v>
      </c>
      <c r="K265" s="151" t="s">
        <v>2154</v>
      </c>
      <c r="L265" s="35"/>
      <c r="M265" s="31" t="s">
        <v>2155</v>
      </c>
      <c r="N265" s="32" t="s">
        <v>1090</v>
      </c>
      <c r="O265" s="28" t="s">
        <v>52</v>
      </c>
      <c r="P265" s="28" t="s">
        <v>52</v>
      </c>
      <c r="Q265" s="33" t="n">
        <v>7015</v>
      </c>
      <c r="R265" s="34" t="s">
        <v>171</v>
      </c>
      <c r="S265" s="35" t="n">
        <v>4131</v>
      </c>
      <c r="T265" s="35" t="s">
        <v>172</v>
      </c>
      <c r="U265" s="28" t="n">
        <v>366163.99</v>
      </c>
      <c r="V265" s="60" t="n">
        <v>21.44881</v>
      </c>
      <c r="W265" s="112" t="n">
        <f aca="false">U265/V265</f>
        <v>17071.5293762218</v>
      </c>
      <c r="X265" s="112" t="n">
        <v>401.42</v>
      </c>
      <c r="Y265" s="28" t="n">
        <v>2.48</v>
      </c>
      <c r="Z265" s="62" t="s">
        <v>80</v>
      </c>
      <c r="AA265" s="38" t="n">
        <v>42193</v>
      </c>
      <c r="AB265" s="38" t="n">
        <v>42295</v>
      </c>
      <c r="AC265" s="38" t="n">
        <v>42292</v>
      </c>
      <c r="AD265" s="50" t="n">
        <v>44034</v>
      </c>
      <c r="AE265" s="28" t="n">
        <f aca="false">YEAR(AD265)</f>
        <v>2020</v>
      </c>
      <c r="AF265" s="265" t="n">
        <v>44034</v>
      </c>
      <c r="AG265" s="63" t="n">
        <v>122519</v>
      </c>
      <c r="AH265" s="43"/>
      <c r="AI265" s="43" t="s">
        <v>3638</v>
      </c>
      <c r="AJ265" s="43"/>
      <c r="AK265" s="43"/>
      <c r="AL265" s="43"/>
      <c r="AM265" s="43"/>
      <c r="AN265" s="43"/>
    </row>
    <row r="266" s="2" customFormat="true" ht="12.75" hidden="false" customHeight="true" outlineLevel="0" collapsed="false">
      <c r="A266" s="26" t="n">
        <v>61</v>
      </c>
      <c r="B266" s="152" t="s">
        <v>3639</v>
      </c>
      <c r="C266" s="67" t="s">
        <v>3064</v>
      </c>
      <c r="D266" s="28" t="s">
        <v>46</v>
      </c>
      <c r="E266" s="43" t="n">
        <v>5.79</v>
      </c>
      <c r="F266" s="43" t="n">
        <v>1.2</v>
      </c>
      <c r="G266" s="43" t="n">
        <v>119</v>
      </c>
      <c r="H266" s="43" t="n">
        <v>2016</v>
      </c>
      <c r="I266" s="55" t="n">
        <v>1451</v>
      </c>
      <c r="J266" s="67" t="s">
        <v>74</v>
      </c>
      <c r="K266" s="30" t="s">
        <v>3640</v>
      </c>
      <c r="L266" s="122"/>
      <c r="M266" s="31" t="s">
        <v>1526</v>
      </c>
      <c r="N266" s="32" t="s">
        <v>3488</v>
      </c>
      <c r="O266" s="57" t="s">
        <v>100</v>
      </c>
      <c r="P266" s="57" t="s">
        <v>2890</v>
      </c>
      <c r="Q266" s="57" t="n">
        <v>1000</v>
      </c>
      <c r="R266" s="58" t="s">
        <v>189</v>
      </c>
      <c r="S266" s="69" t="n">
        <v>4170</v>
      </c>
      <c r="T266" s="35" t="s">
        <v>172</v>
      </c>
      <c r="U266" s="235" t="n">
        <v>345036.92</v>
      </c>
      <c r="V266" s="60" t="n">
        <v>21.44881</v>
      </c>
      <c r="W266" s="112" t="n">
        <f aca="false">U266/V266</f>
        <v>16086.5297422095</v>
      </c>
      <c r="X266" s="112" t="n">
        <v>377</v>
      </c>
      <c r="Y266" s="146" t="n">
        <v>2.52</v>
      </c>
      <c r="Z266" s="62" t="s">
        <v>80</v>
      </c>
      <c r="AA266" s="38" t="n">
        <v>42242</v>
      </c>
      <c r="AB266" s="38" t="n">
        <v>42391</v>
      </c>
      <c r="AC266" s="38" t="n">
        <v>42397</v>
      </c>
      <c r="AD266" s="50" t="n">
        <v>44035</v>
      </c>
      <c r="AE266" s="28" t="n">
        <f aca="false">YEAR(AD266)</f>
        <v>2020</v>
      </c>
      <c r="AF266" s="265" t="n">
        <v>44008</v>
      </c>
      <c r="AG266" s="63" t="n">
        <v>154448</v>
      </c>
      <c r="AH266" s="43"/>
      <c r="AI266" s="43" t="s">
        <v>3641</v>
      </c>
      <c r="AJ266" s="43"/>
      <c r="AK266" s="43"/>
      <c r="AL266" s="43"/>
      <c r="AM266" s="43"/>
      <c r="AN266" s="43"/>
    </row>
    <row r="267" s="2" customFormat="true" ht="12.75" hidden="false" customHeight="true" outlineLevel="0" collapsed="false">
      <c r="A267" s="26" t="n">
        <v>58</v>
      </c>
      <c r="B267" s="152" t="s">
        <v>3642</v>
      </c>
      <c r="C267" s="67" t="s">
        <v>3064</v>
      </c>
      <c r="D267" s="28" t="s">
        <v>46</v>
      </c>
      <c r="E267" s="43" t="n">
        <v>5.79</v>
      </c>
      <c r="F267" s="43" t="n">
        <v>1.2</v>
      </c>
      <c r="G267" s="43" t="n">
        <v>119</v>
      </c>
      <c r="H267" s="43" t="n">
        <v>2016</v>
      </c>
      <c r="I267" s="55" t="n">
        <v>1451</v>
      </c>
      <c r="J267" s="67" t="s">
        <v>74</v>
      </c>
      <c r="K267" s="30" t="s">
        <v>2190</v>
      </c>
      <c r="L267" s="69"/>
      <c r="M267" s="31" t="s">
        <v>2191</v>
      </c>
      <c r="N267" s="32" t="s">
        <v>168</v>
      </c>
      <c r="O267" s="57" t="s">
        <v>100</v>
      </c>
      <c r="P267" s="28" t="s">
        <v>593</v>
      </c>
      <c r="Q267" s="87" t="n">
        <v>9000</v>
      </c>
      <c r="R267" s="58" t="s">
        <v>171</v>
      </c>
      <c r="S267" s="69" t="n">
        <v>4133</v>
      </c>
      <c r="T267" s="35" t="s">
        <v>172</v>
      </c>
      <c r="U267" s="235" t="n">
        <v>345036.92</v>
      </c>
      <c r="V267" s="60" t="n">
        <v>21.44881</v>
      </c>
      <c r="W267" s="112" t="n">
        <f aca="false">U267/V267</f>
        <v>16086.5297422095</v>
      </c>
      <c r="X267" s="112" t="n">
        <v>377</v>
      </c>
      <c r="Y267" s="146" t="n">
        <v>2.52</v>
      </c>
      <c r="Z267" s="62" t="s">
        <v>80</v>
      </c>
      <c r="AA267" s="38" t="n">
        <v>42242</v>
      </c>
      <c r="AB267" s="38" t="n">
        <v>42391</v>
      </c>
      <c r="AC267" s="38" t="n">
        <v>42397</v>
      </c>
      <c r="AD267" s="50" t="n">
        <v>44035</v>
      </c>
      <c r="AE267" s="28" t="n">
        <f aca="false">YEAR(AD267)</f>
        <v>2020</v>
      </c>
      <c r="AF267" s="265" t="n">
        <v>44035</v>
      </c>
      <c r="AG267" s="63" t="n">
        <v>109147</v>
      </c>
      <c r="AH267" s="43"/>
      <c r="AI267" s="43" t="s">
        <v>3643</v>
      </c>
      <c r="AJ267" s="43"/>
      <c r="AK267" s="43"/>
      <c r="AL267" s="43"/>
      <c r="AM267" s="43"/>
      <c r="AN267" s="43"/>
    </row>
    <row r="268" s="2" customFormat="true" ht="12.75" hidden="false" customHeight="true" outlineLevel="0" collapsed="false">
      <c r="A268" s="26" t="n">
        <v>6</v>
      </c>
      <c r="B268" s="152" t="s">
        <v>3644</v>
      </c>
      <c r="C268" s="43" t="s">
        <v>2997</v>
      </c>
      <c r="D268" s="28" t="s">
        <v>73</v>
      </c>
      <c r="E268" s="43" t="n">
        <v>5.36</v>
      </c>
      <c r="F268" s="43" t="n">
        <v>1.6</v>
      </c>
      <c r="G268" s="43" t="n">
        <v>112</v>
      </c>
      <c r="H268" s="43" t="n">
        <v>2015</v>
      </c>
      <c r="I268" s="55" t="n">
        <v>1451</v>
      </c>
      <c r="J268" s="43" t="s">
        <v>74</v>
      </c>
      <c r="K268" s="30" t="s">
        <v>1812</v>
      </c>
      <c r="L268" s="35"/>
      <c r="M268" s="31" t="s">
        <v>1813</v>
      </c>
      <c r="N268" s="32" t="s">
        <v>3407</v>
      </c>
      <c r="O268" s="28" t="s">
        <v>60</v>
      </c>
      <c r="P268" s="28" t="s">
        <v>61</v>
      </c>
      <c r="Q268" s="33" t="n">
        <v>6000</v>
      </c>
      <c r="R268" s="34" t="s">
        <v>92</v>
      </c>
      <c r="S268" s="35" t="n">
        <v>4148</v>
      </c>
      <c r="T268" s="59" t="s">
        <v>123</v>
      </c>
      <c r="U268" s="28" t="n">
        <v>440182.69</v>
      </c>
      <c r="V268" s="60" t="n">
        <v>24.820658</v>
      </c>
      <c r="W268" s="112" t="n">
        <f aca="false">U268/V268</f>
        <v>17734.529439147</v>
      </c>
      <c r="X268" s="112" t="n">
        <v>402.79</v>
      </c>
      <c r="Y268" s="28" t="n">
        <v>2.43</v>
      </c>
      <c r="Z268" s="62" t="s">
        <v>80</v>
      </c>
      <c r="AA268" s="38" t="n">
        <v>42067</v>
      </c>
      <c r="AB268" s="38" t="n">
        <v>42265</v>
      </c>
      <c r="AC268" s="38" t="n">
        <v>42268</v>
      </c>
      <c r="AD268" s="38" t="n">
        <v>44047</v>
      </c>
      <c r="AE268" s="28" t="n">
        <f aca="false">YEAR(AD268)</f>
        <v>2020</v>
      </c>
      <c r="AF268" s="265" t="n">
        <v>44047</v>
      </c>
      <c r="AG268" s="63" t="n">
        <v>136898</v>
      </c>
      <c r="AH268" s="43"/>
      <c r="AI268" s="81" t="s">
        <v>3645</v>
      </c>
      <c r="AJ268" s="43"/>
      <c r="AK268" s="43"/>
      <c r="AL268" s="43"/>
      <c r="AM268" s="43"/>
      <c r="AN268" s="43"/>
    </row>
    <row r="269" s="2" customFormat="true" ht="12.75" hidden="false" customHeight="true" outlineLevel="0" collapsed="false">
      <c r="A269" s="26" t="n">
        <v>8</v>
      </c>
      <c r="B269" s="152" t="s">
        <v>3646</v>
      </c>
      <c r="C269" s="43" t="s">
        <v>2997</v>
      </c>
      <c r="D269" s="28" t="s">
        <v>73</v>
      </c>
      <c r="E269" s="43" t="n">
        <v>5.36</v>
      </c>
      <c r="F269" s="43" t="n">
        <v>1.6</v>
      </c>
      <c r="G269" s="43" t="n">
        <v>112</v>
      </c>
      <c r="H269" s="43" t="n">
        <v>2015</v>
      </c>
      <c r="I269" s="55" t="n">
        <v>1451</v>
      </c>
      <c r="J269" s="43" t="s">
        <v>74</v>
      </c>
      <c r="K269" s="30" t="s">
        <v>2401</v>
      </c>
      <c r="L269" s="69"/>
      <c r="M269" s="31" t="s">
        <v>2402</v>
      </c>
      <c r="N269" s="32" t="s">
        <v>3344</v>
      </c>
      <c r="O269" s="57" t="s">
        <v>60</v>
      </c>
      <c r="P269" s="57" t="s">
        <v>2890</v>
      </c>
      <c r="Q269" s="87" t="n">
        <v>1000</v>
      </c>
      <c r="R269" s="58" t="s">
        <v>122</v>
      </c>
      <c r="S269" s="69" t="n">
        <v>4190</v>
      </c>
      <c r="T269" s="35" t="s">
        <v>172</v>
      </c>
      <c r="U269" s="28" t="n">
        <v>440182.69</v>
      </c>
      <c r="V269" s="60" t="n">
        <v>24.820658</v>
      </c>
      <c r="W269" s="112" t="n">
        <f aca="false">U269/V269</f>
        <v>17734.529439147</v>
      </c>
      <c r="X269" s="112" t="n">
        <v>401.43</v>
      </c>
      <c r="Y269" s="28" t="n">
        <v>2.49</v>
      </c>
      <c r="Z269" s="62" t="s">
        <v>80</v>
      </c>
      <c r="AA269" s="38" t="n">
        <v>42067</v>
      </c>
      <c r="AB269" s="38" t="n">
        <v>42295</v>
      </c>
      <c r="AC269" s="38" t="n">
        <v>42306</v>
      </c>
      <c r="AD269" s="38" t="n">
        <v>44047</v>
      </c>
      <c r="AE269" s="28" t="n">
        <f aca="false">YEAR(AD269)</f>
        <v>2020</v>
      </c>
      <c r="AF269" s="265" t="n">
        <v>44047</v>
      </c>
      <c r="AG269" s="63" t="n">
        <v>206574</v>
      </c>
      <c r="AH269" s="43"/>
      <c r="AI269" s="43" t="s">
        <v>3647</v>
      </c>
      <c r="AJ269" s="43"/>
      <c r="AK269" s="43"/>
      <c r="AL269" s="43"/>
      <c r="AM269" s="43"/>
      <c r="AN269" s="43"/>
    </row>
    <row r="270" s="2" customFormat="true" ht="12.75" hidden="false" customHeight="true" outlineLevel="0" collapsed="false">
      <c r="A270" s="26" t="n">
        <v>11</v>
      </c>
      <c r="B270" s="152" t="s">
        <v>3648</v>
      </c>
      <c r="C270" s="43" t="s">
        <v>2997</v>
      </c>
      <c r="D270" s="28" t="s">
        <v>73</v>
      </c>
      <c r="E270" s="43" t="n">
        <v>5.36</v>
      </c>
      <c r="F270" s="43" t="n">
        <v>1.6</v>
      </c>
      <c r="G270" s="43" t="n">
        <v>112</v>
      </c>
      <c r="H270" s="43" t="n">
        <v>2015</v>
      </c>
      <c r="I270" s="55" t="n">
        <v>1451</v>
      </c>
      <c r="J270" s="43" t="s">
        <v>74</v>
      </c>
      <c r="K270" s="30" t="s">
        <v>2386</v>
      </c>
      <c r="L270" s="35"/>
      <c r="M270" s="31" t="s">
        <v>2387</v>
      </c>
      <c r="N270" s="32" t="s">
        <v>3344</v>
      </c>
      <c r="O270" s="28" t="s">
        <v>197</v>
      </c>
      <c r="P270" s="28" t="s">
        <v>2890</v>
      </c>
      <c r="Q270" s="33" t="n">
        <v>1000</v>
      </c>
      <c r="R270" s="34" t="s">
        <v>122</v>
      </c>
      <c r="S270" s="35" t="n">
        <v>4190</v>
      </c>
      <c r="T270" s="35" t="s">
        <v>172</v>
      </c>
      <c r="U270" s="28" t="n">
        <v>440182.69</v>
      </c>
      <c r="V270" s="60" t="n">
        <v>24.820658</v>
      </c>
      <c r="W270" s="112" t="n">
        <f aca="false">U270/V270</f>
        <v>17734.529439147</v>
      </c>
      <c r="X270" s="112" t="n">
        <v>401.43</v>
      </c>
      <c r="Y270" s="28" t="n">
        <v>2.49</v>
      </c>
      <c r="Z270" s="62" t="s">
        <v>80</v>
      </c>
      <c r="AA270" s="38" t="n">
        <v>42067</v>
      </c>
      <c r="AB270" s="38" t="n">
        <v>42295</v>
      </c>
      <c r="AC270" s="38" t="n">
        <v>42306</v>
      </c>
      <c r="AD270" s="38" t="n">
        <v>44048</v>
      </c>
      <c r="AE270" s="28" t="n">
        <f aca="false">YEAR(AD270)</f>
        <v>2020</v>
      </c>
      <c r="AF270" s="38" t="n">
        <v>44048</v>
      </c>
      <c r="AG270" s="63" t="n">
        <v>122670</v>
      </c>
      <c r="AH270" s="43"/>
      <c r="AI270" s="43" t="s">
        <v>3649</v>
      </c>
      <c r="AJ270" s="43"/>
      <c r="AK270" s="43"/>
      <c r="AL270" s="43"/>
      <c r="AM270" s="43"/>
      <c r="AN270" s="43"/>
    </row>
    <row r="271" s="2" customFormat="true" ht="12.75" hidden="false" customHeight="true" outlineLevel="0" collapsed="false">
      <c r="A271" s="26" t="n">
        <v>25</v>
      </c>
      <c r="B271" s="152" t="s">
        <v>3650</v>
      </c>
      <c r="C271" s="67" t="s">
        <v>3064</v>
      </c>
      <c r="D271" s="28" t="s">
        <v>46</v>
      </c>
      <c r="E271" s="43" t="n">
        <v>5.79</v>
      </c>
      <c r="F271" s="43" t="n">
        <v>1.2</v>
      </c>
      <c r="G271" s="43" t="n">
        <v>119</v>
      </c>
      <c r="H271" s="43" t="n">
        <v>2015</v>
      </c>
      <c r="I271" s="55" t="n">
        <v>1451</v>
      </c>
      <c r="J271" s="67" t="s">
        <v>74</v>
      </c>
      <c r="K271" s="30" t="s">
        <v>2054</v>
      </c>
      <c r="L271" s="69"/>
      <c r="M271" s="31" t="s">
        <v>2055</v>
      </c>
      <c r="N271" s="32" t="s">
        <v>1090</v>
      </c>
      <c r="O271" s="57" t="s">
        <v>52</v>
      </c>
      <c r="P271" s="57" t="s">
        <v>52</v>
      </c>
      <c r="Q271" s="87" t="n">
        <v>7015</v>
      </c>
      <c r="R271" s="58" t="s">
        <v>171</v>
      </c>
      <c r="S271" s="69" t="n">
        <v>4131</v>
      </c>
      <c r="T271" s="35" t="s">
        <v>172</v>
      </c>
      <c r="U271" s="235" t="n">
        <v>359686.45</v>
      </c>
      <c r="V271" s="60" t="n">
        <v>21.44881</v>
      </c>
      <c r="W271" s="112" t="n">
        <f aca="false">U271/V271</f>
        <v>16769.5294051278</v>
      </c>
      <c r="X271" s="112" t="n">
        <v>389</v>
      </c>
      <c r="Y271" s="146" t="s">
        <v>3521</v>
      </c>
      <c r="Z271" s="62" t="s">
        <v>80</v>
      </c>
      <c r="AA271" s="38" t="n">
        <v>42242</v>
      </c>
      <c r="AB271" s="38" t="n">
        <v>42312</v>
      </c>
      <c r="AC271" s="38" t="n">
        <v>42317</v>
      </c>
      <c r="AD271" s="38" t="n">
        <v>44019</v>
      </c>
      <c r="AE271" s="28" t="n">
        <f aca="false">YEAR(AD271)</f>
        <v>2020</v>
      </c>
      <c r="AF271" s="38" t="n">
        <v>44018</v>
      </c>
      <c r="AG271" s="63" t="n">
        <v>136641</v>
      </c>
      <c r="AH271" s="43"/>
      <c r="AI271" s="43" t="s">
        <v>3651</v>
      </c>
      <c r="AJ271" s="43"/>
      <c r="AK271" s="43"/>
      <c r="AL271" s="43"/>
      <c r="AM271" s="43"/>
      <c r="AN271" s="43"/>
    </row>
    <row r="272" s="2" customFormat="true" ht="12.75" hidden="false" customHeight="true" outlineLevel="0" collapsed="false">
      <c r="A272" s="26" t="n">
        <v>26</v>
      </c>
      <c r="B272" s="152" t="s">
        <v>3652</v>
      </c>
      <c r="C272" s="43" t="s">
        <v>2997</v>
      </c>
      <c r="D272" s="28" t="s">
        <v>73</v>
      </c>
      <c r="E272" s="43" t="n">
        <v>5.36</v>
      </c>
      <c r="F272" s="43" t="n">
        <v>1.6</v>
      </c>
      <c r="G272" s="43" t="n">
        <v>112</v>
      </c>
      <c r="H272" s="43" t="n">
        <v>2015</v>
      </c>
      <c r="I272" s="55" t="n">
        <v>1451</v>
      </c>
      <c r="J272" s="43" t="s">
        <v>74</v>
      </c>
      <c r="K272" s="30" t="s">
        <v>1021</v>
      </c>
      <c r="L272" s="35"/>
      <c r="M272" s="31" t="s">
        <v>1022</v>
      </c>
      <c r="N272" s="32" t="s">
        <v>3344</v>
      </c>
      <c r="O272" s="28" t="s">
        <v>100</v>
      </c>
      <c r="P272" s="28" t="s">
        <v>2890</v>
      </c>
      <c r="Q272" s="33" t="n">
        <v>1000</v>
      </c>
      <c r="R272" s="34" t="s">
        <v>122</v>
      </c>
      <c r="S272" s="35" t="n">
        <v>4190</v>
      </c>
      <c r="T272" s="35" t="s">
        <v>172</v>
      </c>
      <c r="U272" s="28" t="n">
        <v>380384.56</v>
      </c>
      <c r="V272" s="60" t="n">
        <v>21.44881</v>
      </c>
      <c r="W272" s="112" t="n">
        <f aca="false">U272/V272</f>
        <v>17734.5297944268</v>
      </c>
      <c r="X272" s="112" t="n">
        <v>402.79</v>
      </c>
      <c r="Y272" s="28" t="n">
        <v>2.51</v>
      </c>
      <c r="Z272" s="62" t="s">
        <v>80</v>
      </c>
      <c r="AA272" s="38" t="n">
        <v>42193</v>
      </c>
      <c r="AB272" s="38" t="n">
        <v>42342</v>
      </c>
      <c r="AC272" s="38" t="n">
        <v>42338</v>
      </c>
      <c r="AD272" s="38" t="n">
        <v>44042</v>
      </c>
      <c r="AE272" s="28" t="n">
        <f aca="false">YEAR(AD272)</f>
        <v>2020</v>
      </c>
      <c r="AF272" s="38" t="n">
        <v>44042</v>
      </c>
      <c r="AG272" s="63" t="n">
        <v>108262</v>
      </c>
      <c r="AH272" s="43"/>
      <c r="AI272" s="43" t="s">
        <v>3653</v>
      </c>
      <c r="AJ272" s="43"/>
      <c r="AK272" s="43"/>
      <c r="AL272" s="43"/>
      <c r="AM272" s="43"/>
      <c r="AN272" s="43"/>
    </row>
    <row r="273" s="2" customFormat="true" ht="12.75" hidden="false" customHeight="true" outlineLevel="0" collapsed="false">
      <c r="A273" s="26" t="n">
        <v>38</v>
      </c>
      <c r="B273" s="152" t="s">
        <v>3654</v>
      </c>
      <c r="C273" s="43" t="s">
        <v>2997</v>
      </c>
      <c r="D273" s="28" t="s">
        <v>73</v>
      </c>
      <c r="E273" s="43" t="n">
        <v>5.36</v>
      </c>
      <c r="F273" s="43" t="n">
        <v>1.6</v>
      </c>
      <c r="G273" s="43" t="n">
        <v>112</v>
      </c>
      <c r="H273" s="43" t="n">
        <v>2015</v>
      </c>
      <c r="I273" s="55" t="n">
        <v>1451</v>
      </c>
      <c r="J273" s="43" t="s">
        <v>74</v>
      </c>
      <c r="K273" s="30" t="s">
        <v>3655</v>
      </c>
      <c r="L273" s="59"/>
      <c r="M273" s="31" t="s">
        <v>2294</v>
      </c>
      <c r="N273" s="32" t="s">
        <v>3344</v>
      </c>
      <c r="O273" s="28" t="s">
        <v>1350</v>
      </c>
      <c r="P273" s="28" t="s">
        <v>2890</v>
      </c>
      <c r="Q273" s="33" t="n">
        <v>1000</v>
      </c>
      <c r="R273" s="34" t="s">
        <v>122</v>
      </c>
      <c r="S273" s="35" t="n">
        <v>4190</v>
      </c>
      <c r="T273" s="35" t="s">
        <v>172</v>
      </c>
      <c r="U273" s="28" t="n">
        <v>380384.56</v>
      </c>
      <c r="V273" s="167" t="n">
        <v>21.44881</v>
      </c>
      <c r="W273" s="206" t="n">
        <f aca="false">U273/V273</f>
        <v>17734.5297944268</v>
      </c>
      <c r="X273" s="206" t="n">
        <v>402.79</v>
      </c>
      <c r="Y273" s="70" t="n">
        <v>2.51</v>
      </c>
      <c r="Z273" s="62" t="s">
        <v>80</v>
      </c>
      <c r="AA273" s="38" t="n">
        <v>42193</v>
      </c>
      <c r="AB273" s="38" t="n">
        <v>42342</v>
      </c>
      <c r="AC273" s="38" t="n">
        <v>42338</v>
      </c>
      <c r="AD273" s="38" t="n">
        <v>44048</v>
      </c>
      <c r="AE273" s="28" t="n">
        <f aca="false">YEAR(AD273)</f>
        <v>2020</v>
      </c>
      <c r="AF273" s="38" t="n">
        <v>44048</v>
      </c>
      <c r="AG273" s="63" t="n">
        <v>185552</v>
      </c>
      <c r="AH273" s="43"/>
      <c r="AI273" s="43" t="s">
        <v>3656</v>
      </c>
      <c r="AJ273" s="43"/>
      <c r="AK273" s="43"/>
      <c r="AL273" s="43"/>
      <c r="AM273" s="43"/>
      <c r="AN273" s="43"/>
    </row>
    <row r="274" s="2" customFormat="true" ht="12.75" hidden="false" customHeight="true" outlineLevel="0" collapsed="false">
      <c r="A274" s="26" t="n">
        <v>40</v>
      </c>
      <c r="B274" s="152" t="s">
        <v>3657</v>
      </c>
      <c r="C274" s="67" t="s">
        <v>3064</v>
      </c>
      <c r="D274" s="28" t="s">
        <v>46</v>
      </c>
      <c r="E274" s="43" t="n">
        <v>5.79</v>
      </c>
      <c r="F274" s="43" t="n">
        <v>1.2</v>
      </c>
      <c r="G274" s="43" t="n">
        <v>119</v>
      </c>
      <c r="H274" s="43" t="n">
        <v>2016</v>
      </c>
      <c r="I274" s="55" t="n">
        <v>1451</v>
      </c>
      <c r="J274" s="67" t="s">
        <v>74</v>
      </c>
      <c r="K274" s="30" t="s">
        <v>2734</v>
      </c>
      <c r="L274" s="69"/>
      <c r="M274" s="31" t="s">
        <v>2735</v>
      </c>
      <c r="N274" s="32" t="s">
        <v>3658</v>
      </c>
      <c r="O274" s="33" t="s">
        <v>60</v>
      </c>
      <c r="P274" s="33" t="s">
        <v>61</v>
      </c>
      <c r="Q274" s="87" t="n">
        <v>6000</v>
      </c>
      <c r="R274" s="58" t="s">
        <v>1330</v>
      </c>
      <c r="S274" s="69" t="n">
        <v>3499</v>
      </c>
      <c r="T274" s="35" t="s">
        <v>172</v>
      </c>
      <c r="U274" s="235" t="n">
        <v>345036.92</v>
      </c>
      <c r="V274" s="60" t="n">
        <v>21.44881</v>
      </c>
      <c r="W274" s="112" t="n">
        <f aca="false">U274/V274</f>
        <v>16086.5297422095</v>
      </c>
      <c r="X274" s="112" t="n">
        <v>377</v>
      </c>
      <c r="Y274" s="146" t="n">
        <v>2.52</v>
      </c>
      <c r="Z274" s="62" t="s">
        <v>80</v>
      </c>
      <c r="AA274" s="38" t="n">
        <v>42242</v>
      </c>
      <c r="AB274" s="38" t="n">
        <v>42391</v>
      </c>
      <c r="AC274" s="38" t="n">
        <v>42394</v>
      </c>
      <c r="AD274" s="38" t="n">
        <v>44042</v>
      </c>
      <c r="AE274" s="38" t="n">
        <v>44041</v>
      </c>
      <c r="AF274" s="38" t="n">
        <v>44041</v>
      </c>
      <c r="AG274" s="63" t="n">
        <v>126818</v>
      </c>
      <c r="AH274" s="43"/>
      <c r="AI274" s="43" t="s">
        <v>3659</v>
      </c>
      <c r="AJ274" s="43"/>
      <c r="AK274" s="43"/>
      <c r="AL274" s="43"/>
      <c r="AM274" s="43"/>
      <c r="AN274" s="43"/>
    </row>
    <row r="275" s="2" customFormat="true" ht="12.75" hidden="false" customHeight="true" outlineLevel="0" collapsed="false">
      <c r="A275" s="26" t="n">
        <v>41</v>
      </c>
      <c r="B275" s="152" t="s">
        <v>3660</v>
      </c>
      <c r="C275" s="67" t="s">
        <v>3064</v>
      </c>
      <c r="D275" s="28" t="s">
        <v>46</v>
      </c>
      <c r="E275" s="43" t="n">
        <v>5.79</v>
      </c>
      <c r="F275" s="43" t="n">
        <v>1.2</v>
      </c>
      <c r="G275" s="43" t="n">
        <v>119</v>
      </c>
      <c r="H275" s="43" t="n">
        <v>2016</v>
      </c>
      <c r="I275" s="55" t="n">
        <v>1451</v>
      </c>
      <c r="J275" s="67" t="s">
        <v>74</v>
      </c>
      <c r="K275" s="30" t="s">
        <v>3661</v>
      </c>
      <c r="L275" s="57"/>
      <c r="M275" s="31" t="s">
        <v>3662</v>
      </c>
      <c r="N275" s="32" t="s">
        <v>1090</v>
      </c>
      <c r="O275" s="57" t="s">
        <v>689</v>
      </c>
      <c r="P275" s="28" t="s">
        <v>61</v>
      </c>
      <c r="Q275" s="87" t="n">
        <v>7070</v>
      </c>
      <c r="R275" s="58" t="s">
        <v>171</v>
      </c>
      <c r="S275" s="35" t="n">
        <v>4138</v>
      </c>
      <c r="T275" s="35" t="s">
        <v>172</v>
      </c>
      <c r="U275" s="235" t="n">
        <v>345036.92</v>
      </c>
      <c r="V275" s="60" t="n">
        <v>21.44881</v>
      </c>
      <c r="W275" s="112" t="n">
        <f aca="false">U275/V275</f>
        <v>16086.5297422095</v>
      </c>
      <c r="X275" s="112" t="n">
        <v>377</v>
      </c>
      <c r="Y275" s="146" t="n">
        <v>2.52</v>
      </c>
      <c r="Z275" s="62" t="s">
        <v>80</v>
      </c>
      <c r="AA275" s="38" t="n">
        <v>42242</v>
      </c>
      <c r="AB275" s="38" t="n">
        <v>42391</v>
      </c>
      <c r="AC275" s="38" t="n">
        <v>42394</v>
      </c>
      <c r="AD275" s="38" t="n">
        <v>44048</v>
      </c>
      <c r="AE275" s="28" t="n">
        <f aca="false">YEAR(AD275)</f>
        <v>2020</v>
      </c>
      <c r="AF275" s="38" t="n">
        <v>44048</v>
      </c>
      <c r="AG275" s="63" t="n">
        <v>145939</v>
      </c>
      <c r="AH275" s="43"/>
      <c r="AI275" s="43" t="s">
        <v>3663</v>
      </c>
      <c r="AJ275" s="43"/>
      <c r="AK275" s="43"/>
      <c r="AL275" s="43"/>
      <c r="AM275" s="43"/>
      <c r="AN275" s="43"/>
    </row>
    <row r="276" s="2" customFormat="true" ht="12.75" hidden="false" customHeight="true" outlineLevel="0" collapsed="false">
      <c r="A276" s="26" t="n">
        <v>42</v>
      </c>
      <c r="B276" s="152" t="s">
        <v>3664</v>
      </c>
      <c r="C276" s="67" t="s">
        <v>3064</v>
      </c>
      <c r="D276" s="28" t="s">
        <v>46</v>
      </c>
      <c r="E276" s="43" t="n">
        <v>5.79</v>
      </c>
      <c r="F276" s="43" t="n">
        <v>1.2</v>
      </c>
      <c r="G276" s="43" t="n">
        <v>119</v>
      </c>
      <c r="H276" s="43" t="n">
        <v>2016</v>
      </c>
      <c r="I276" s="55" t="n">
        <v>1451</v>
      </c>
      <c r="J276" s="67" t="s">
        <v>74</v>
      </c>
      <c r="K276" s="30" t="s">
        <v>1651</v>
      </c>
      <c r="L276" s="57"/>
      <c r="M276" s="31" t="s">
        <v>1652</v>
      </c>
      <c r="N276" s="32" t="s">
        <v>289</v>
      </c>
      <c r="O276" s="127" t="s">
        <v>1350</v>
      </c>
      <c r="P276" s="57" t="s">
        <v>61</v>
      </c>
      <c r="Q276" s="87" t="n">
        <v>7082</v>
      </c>
      <c r="R276" s="58" t="s">
        <v>92</v>
      </c>
      <c r="S276" s="69" t="n">
        <v>4138</v>
      </c>
      <c r="T276" s="35" t="s">
        <v>172</v>
      </c>
      <c r="U276" s="235" t="n">
        <v>345036.92</v>
      </c>
      <c r="V276" s="60" t="n">
        <v>21.44881</v>
      </c>
      <c r="W276" s="112" t="n">
        <f aca="false">U276/V276</f>
        <v>16086.5297422095</v>
      </c>
      <c r="X276" s="112" t="n">
        <v>377</v>
      </c>
      <c r="Y276" s="146" t="n">
        <v>2.52</v>
      </c>
      <c r="Z276" s="62" t="s">
        <v>80</v>
      </c>
      <c r="AA276" s="38" t="n">
        <v>42242</v>
      </c>
      <c r="AB276" s="38" t="n">
        <v>42391</v>
      </c>
      <c r="AC276" s="38" t="n">
        <v>42394</v>
      </c>
      <c r="AD276" s="38" t="n">
        <v>44042</v>
      </c>
      <c r="AE276" s="38" t="n">
        <v>44041</v>
      </c>
      <c r="AF276" s="38" t="n">
        <v>44041</v>
      </c>
      <c r="AG276" s="63"/>
      <c r="AH276" s="43"/>
      <c r="AI276" s="43" t="s">
        <v>3665</v>
      </c>
      <c r="AJ276" s="43"/>
      <c r="AK276" s="43"/>
      <c r="AL276" s="43"/>
      <c r="AM276" s="43"/>
      <c r="AN276" s="43"/>
    </row>
    <row r="277" s="2" customFormat="true" ht="12.75" hidden="false" customHeight="true" outlineLevel="0" collapsed="false">
      <c r="A277" s="26" t="n">
        <v>43</v>
      </c>
      <c r="B277" s="152" t="s">
        <v>3666</v>
      </c>
      <c r="C277" s="67" t="s">
        <v>3064</v>
      </c>
      <c r="D277" s="28" t="s">
        <v>46</v>
      </c>
      <c r="E277" s="43" t="n">
        <v>5.79</v>
      </c>
      <c r="F277" s="43" t="n">
        <v>1.2</v>
      </c>
      <c r="G277" s="43" t="n">
        <v>119</v>
      </c>
      <c r="H277" s="43" t="n">
        <v>2016</v>
      </c>
      <c r="I277" s="55" t="n">
        <v>1451</v>
      </c>
      <c r="J277" s="67" t="s">
        <v>74</v>
      </c>
      <c r="K277" s="30" t="s">
        <v>1658</v>
      </c>
      <c r="L277" s="57"/>
      <c r="M277" s="126" t="s">
        <v>1659</v>
      </c>
      <c r="N277" s="32" t="s">
        <v>168</v>
      </c>
      <c r="O277" s="57" t="s">
        <v>197</v>
      </c>
      <c r="P277" s="57" t="s">
        <v>2923</v>
      </c>
      <c r="Q277" s="103" t="n">
        <v>9000</v>
      </c>
      <c r="R277" s="34" t="s">
        <v>171</v>
      </c>
      <c r="S277" s="69" t="n">
        <v>4134</v>
      </c>
      <c r="T277" s="35" t="s">
        <v>172</v>
      </c>
      <c r="U277" s="235" t="n">
        <v>345036.92</v>
      </c>
      <c r="V277" s="60" t="n">
        <v>21.44881</v>
      </c>
      <c r="W277" s="112" t="n">
        <f aca="false">U277/V277</f>
        <v>16086.5297422095</v>
      </c>
      <c r="X277" s="112" t="n">
        <v>377</v>
      </c>
      <c r="Y277" s="146" t="n">
        <v>2.52</v>
      </c>
      <c r="Z277" s="62" t="s">
        <v>80</v>
      </c>
      <c r="AA277" s="38" t="n">
        <v>42242</v>
      </c>
      <c r="AB277" s="38" t="n">
        <v>42391</v>
      </c>
      <c r="AC277" s="38" t="n">
        <v>42394</v>
      </c>
      <c r="AD277" s="38" t="n">
        <v>44048</v>
      </c>
      <c r="AE277" s="38" t="n">
        <v>44048</v>
      </c>
      <c r="AF277" s="38" t="n">
        <v>44048</v>
      </c>
      <c r="AG277" s="63" t="n">
        <v>99164</v>
      </c>
      <c r="AH277" s="43"/>
      <c r="AI277" s="43" t="s">
        <v>3667</v>
      </c>
      <c r="AJ277" s="43"/>
      <c r="AK277" s="43"/>
      <c r="AL277" s="43"/>
      <c r="AM277" s="43"/>
      <c r="AN277" s="43"/>
    </row>
    <row r="278" s="2" customFormat="true" ht="12.75" hidden="false" customHeight="true" outlineLevel="0" collapsed="false">
      <c r="A278" s="26" t="n">
        <v>44</v>
      </c>
      <c r="B278" s="152" t="s">
        <v>3668</v>
      </c>
      <c r="C278" s="67" t="s">
        <v>3064</v>
      </c>
      <c r="D278" s="28" t="s">
        <v>46</v>
      </c>
      <c r="E278" s="43" t="n">
        <v>5.79</v>
      </c>
      <c r="F278" s="43" t="n">
        <v>1.2</v>
      </c>
      <c r="G278" s="43" t="n">
        <v>119</v>
      </c>
      <c r="H278" s="43" t="n">
        <v>2016</v>
      </c>
      <c r="I278" s="55" t="n">
        <v>1451</v>
      </c>
      <c r="J278" s="67" t="s">
        <v>74</v>
      </c>
      <c r="K278" s="30" t="s">
        <v>2477</v>
      </c>
      <c r="L278" s="57"/>
      <c r="M278" s="31" t="s">
        <v>1665</v>
      </c>
      <c r="N278" s="32" t="s">
        <v>3176</v>
      </c>
      <c r="O278" s="57" t="s">
        <v>52</v>
      </c>
      <c r="P278" s="57" t="s">
        <v>2890</v>
      </c>
      <c r="Q278" s="57" t="n">
        <v>1000</v>
      </c>
      <c r="R278" s="58" t="s">
        <v>189</v>
      </c>
      <c r="S278" s="69" t="n">
        <v>4170</v>
      </c>
      <c r="T278" s="35" t="s">
        <v>172</v>
      </c>
      <c r="U278" s="235" t="n">
        <v>345036.92</v>
      </c>
      <c r="V278" s="60" t="n">
        <v>21.44881</v>
      </c>
      <c r="W278" s="112" t="n">
        <f aca="false">U278/V278</f>
        <v>16086.5297422095</v>
      </c>
      <c r="X278" s="112" t="n">
        <v>377</v>
      </c>
      <c r="Y278" s="146" t="n">
        <v>2.52</v>
      </c>
      <c r="Z278" s="62" t="s">
        <v>80</v>
      </c>
      <c r="AA278" s="38" t="n">
        <v>42242</v>
      </c>
      <c r="AB278" s="38" t="n">
        <v>42391</v>
      </c>
      <c r="AC278" s="38" t="n">
        <v>42397</v>
      </c>
      <c r="AD278" s="38" t="n">
        <v>44048</v>
      </c>
      <c r="AE278" s="28" t="n">
        <f aca="false">YEAR(AD278)</f>
        <v>2020</v>
      </c>
      <c r="AF278" s="38" t="n">
        <v>44048</v>
      </c>
      <c r="AG278" s="63" t="n">
        <v>85878</v>
      </c>
      <c r="AH278" s="43"/>
      <c r="AI278" s="43" t="s">
        <v>3669</v>
      </c>
      <c r="AJ278" s="43"/>
      <c r="AK278" s="43"/>
      <c r="AL278" s="43"/>
      <c r="AM278" s="43"/>
      <c r="AN278" s="43"/>
    </row>
    <row r="279" s="2" customFormat="true" ht="12.75" hidden="false" customHeight="true" outlineLevel="0" collapsed="false">
      <c r="A279" s="26" t="n">
        <v>45</v>
      </c>
      <c r="B279" s="152" t="s">
        <v>3670</v>
      </c>
      <c r="C279" s="67" t="s">
        <v>3064</v>
      </c>
      <c r="D279" s="28" t="s">
        <v>46</v>
      </c>
      <c r="E279" s="43" t="n">
        <v>5.79</v>
      </c>
      <c r="F279" s="43" t="n">
        <v>1.2</v>
      </c>
      <c r="G279" s="43" t="n">
        <v>119</v>
      </c>
      <c r="H279" s="43" t="n">
        <v>2016</v>
      </c>
      <c r="I279" s="55" t="n">
        <v>1451</v>
      </c>
      <c r="J279" s="67" t="s">
        <v>74</v>
      </c>
      <c r="K279" s="30" t="s">
        <v>3671</v>
      </c>
      <c r="L279" s="148"/>
      <c r="M279" s="31" t="s">
        <v>3672</v>
      </c>
      <c r="N279" s="32" t="s">
        <v>289</v>
      </c>
      <c r="O279" s="148" t="s">
        <v>754</v>
      </c>
      <c r="P279" s="148" t="s">
        <v>2923</v>
      </c>
      <c r="Q279" s="134" t="n">
        <v>1000</v>
      </c>
      <c r="R279" s="266" t="s">
        <v>92</v>
      </c>
      <c r="S279" s="135" t="n">
        <v>4144</v>
      </c>
      <c r="T279" s="35" t="s">
        <v>172</v>
      </c>
      <c r="U279" s="235" t="n">
        <v>345037.92</v>
      </c>
      <c r="V279" s="60" t="n">
        <v>21.44881</v>
      </c>
      <c r="W279" s="112" t="n">
        <f aca="false">U279/V279</f>
        <v>16086.5763648426</v>
      </c>
      <c r="X279" s="112" t="n">
        <v>377</v>
      </c>
      <c r="Y279" s="146" t="n">
        <v>2.52</v>
      </c>
      <c r="Z279" s="62" t="s">
        <v>80</v>
      </c>
      <c r="AA279" s="38" t="n">
        <v>42242</v>
      </c>
      <c r="AB279" s="38" t="n">
        <v>42391</v>
      </c>
      <c r="AC279" s="38" t="n">
        <v>42394</v>
      </c>
      <c r="AD279" s="38" t="n">
        <v>44042</v>
      </c>
      <c r="AE279" s="38" t="n">
        <v>44041</v>
      </c>
      <c r="AF279" s="38" t="n">
        <v>44041</v>
      </c>
      <c r="AG279" s="63" t="n">
        <v>83788</v>
      </c>
      <c r="AH279" s="43"/>
      <c r="AI279" s="43" t="s">
        <v>3673</v>
      </c>
      <c r="AJ279" s="43"/>
      <c r="AK279" s="43"/>
      <c r="AL279" s="43"/>
      <c r="AM279" s="43"/>
      <c r="AN279" s="43"/>
    </row>
    <row r="280" s="2" customFormat="true" ht="12.75" hidden="false" customHeight="true" outlineLevel="0" collapsed="false">
      <c r="A280" s="26" t="n">
        <v>46</v>
      </c>
      <c r="B280" s="152" t="s">
        <v>3674</v>
      </c>
      <c r="C280" s="67" t="s">
        <v>3064</v>
      </c>
      <c r="D280" s="28" t="s">
        <v>46</v>
      </c>
      <c r="E280" s="43" t="n">
        <v>5.79</v>
      </c>
      <c r="F280" s="43" t="n">
        <v>1.2</v>
      </c>
      <c r="G280" s="43" t="n">
        <v>119</v>
      </c>
      <c r="H280" s="43" t="n">
        <v>2016</v>
      </c>
      <c r="I280" s="55" t="n">
        <v>1451</v>
      </c>
      <c r="J280" s="67" t="s">
        <v>74</v>
      </c>
      <c r="K280" s="30" t="s">
        <v>1684</v>
      </c>
      <c r="L280" s="57"/>
      <c r="M280" s="31" t="s">
        <v>1685</v>
      </c>
      <c r="N280" s="32" t="s">
        <v>1090</v>
      </c>
      <c r="O280" s="57" t="s">
        <v>343</v>
      </c>
      <c r="P280" s="57" t="s">
        <v>2896</v>
      </c>
      <c r="Q280" s="87" t="n">
        <v>7063</v>
      </c>
      <c r="R280" s="58" t="s">
        <v>171</v>
      </c>
      <c r="S280" s="69" t="n">
        <v>4136</v>
      </c>
      <c r="T280" s="35" t="s">
        <v>172</v>
      </c>
      <c r="U280" s="235" t="n">
        <v>345036.92</v>
      </c>
      <c r="V280" s="60" t="n">
        <v>21.44881</v>
      </c>
      <c r="W280" s="112" t="n">
        <f aca="false">U280/V280</f>
        <v>16086.5297422095</v>
      </c>
      <c r="X280" s="112" t="n">
        <v>377</v>
      </c>
      <c r="Y280" s="146" t="n">
        <v>2.52</v>
      </c>
      <c r="Z280" s="62" t="s">
        <v>80</v>
      </c>
      <c r="AA280" s="38" t="n">
        <v>42242</v>
      </c>
      <c r="AB280" s="38" t="n">
        <v>42391</v>
      </c>
      <c r="AC280" s="38" t="n">
        <v>42394</v>
      </c>
      <c r="AD280" s="38" t="n">
        <v>44042</v>
      </c>
      <c r="AE280" s="38" t="n">
        <v>44042</v>
      </c>
      <c r="AF280" s="38" t="n">
        <v>44042</v>
      </c>
      <c r="AG280" s="63" t="n">
        <v>120136</v>
      </c>
      <c r="AH280" s="43"/>
      <c r="AI280" s="43" t="s">
        <v>3675</v>
      </c>
      <c r="AJ280" s="43"/>
      <c r="AK280" s="43"/>
      <c r="AL280" s="43"/>
      <c r="AM280" s="43"/>
      <c r="AN280" s="43"/>
    </row>
    <row r="281" s="2" customFormat="true" ht="12.75" hidden="false" customHeight="true" outlineLevel="0" collapsed="false">
      <c r="A281" s="26" t="n">
        <v>47</v>
      </c>
      <c r="B281" s="152" t="s">
        <v>3676</v>
      </c>
      <c r="C281" s="67" t="s">
        <v>3064</v>
      </c>
      <c r="D281" s="28" t="s">
        <v>46</v>
      </c>
      <c r="E281" s="43" t="n">
        <v>5.79</v>
      </c>
      <c r="F281" s="43" t="n">
        <v>1.2</v>
      </c>
      <c r="G281" s="43" t="n">
        <v>119</v>
      </c>
      <c r="H281" s="43" t="n">
        <v>2016</v>
      </c>
      <c r="I281" s="55" t="n">
        <v>1451</v>
      </c>
      <c r="J281" s="67" t="s">
        <v>74</v>
      </c>
      <c r="K281" s="30" t="s">
        <v>1670</v>
      </c>
      <c r="L281" s="57"/>
      <c r="M281" s="31" t="s">
        <v>1671</v>
      </c>
      <c r="N281" s="32" t="s">
        <v>1090</v>
      </c>
      <c r="O281" s="57" t="s">
        <v>942</v>
      </c>
      <c r="P281" s="57" t="s">
        <v>2903</v>
      </c>
      <c r="Q281" s="57" t="n">
        <v>7073</v>
      </c>
      <c r="R281" s="58" t="s">
        <v>171</v>
      </c>
      <c r="S281" s="69" t="s">
        <v>2904</v>
      </c>
      <c r="T281" s="35" t="s">
        <v>172</v>
      </c>
      <c r="U281" s="235" t="n">
        <v>345036.92</v>
      </c>
      <c r="V281" s="60" t="n">
        <v>21.44881</v>
      </c>
      <c r="W281" s="112" t="n">
        <f aca="false">U281/V281</f>
        <v>16086.5297422095</v>
      </c>
      <c r="X281" s="112" t="n">
        <v>377</v>
      </c>
      <c r="Y281" s="146" t="n">
        <v>2.52</v>
      </c>
      <c r="Z281" s="62" t="s">
        <v>80</v>
      </c>
      <c r="AA281" s="38" t="n">
        <v>42242</v>
      </c>
      <c r="AB281" s="38" t="n">
        <v>42391</v>
      </c>
      <c r="AC281" s="38" t="n">
        <v>42394</v>
      </c>
      <c r="AD281" s="267" t="n">
        <v>44046</v>
      </c>
      <c r="AE281" s="267" t="n">
        <v>44046</v>
      </c>
      <c r="AF281" s="267" t="n">
        <v>44046</v>
      </c>
      <c r="AG281" s="63" t="n">
        <v>135210</v>
      </c>
      <c r="AH281" s="43"/>
      <c r="AI281" s="43" t="s">
        <v>3677</v>
      </c>
      <c r="AJ281" s="43"/>
      <c r="AK281" s="43"/>
      <c r="AL281" s="43"/>
      <c r="AM281" s="43"/>
      <c r="AN281" s="43"/>
    </row>
    <row r="282" s="2" customFormat="true" ht="12.75" hidden="false" customHeight="true" outlineLevel="0" collapsed="false">
      <c r="A282" s="26" t="n">
        <v>48</v>
      </c>
      <c r="B282" s="152" t="s">
        <v>3678</v>
      </c>
      <c r="C282" s="67" t="s">
        <v>3064</v>
      </c>
      <c r="D282" s="28" t="s">
        <v>46</v>
      </c>
      <c r="E282" s="43" t="n">
        <v>5.79</v>
      </c>
      <c r="F282" s="43" t="n">
        <v>1.2</v>
      </c>
      <c r="G282" s="43" t="n">
        <v>119</v>
      </c>
      <c r="H282" s="43" t="n">
        <v>2016</v>
      </c>
      <c r="I282" s="55" t="n">
        <v>1451</v>
      </c>
      <c r="J282" s="67" t="s">
        <v>74</v>
      </c>
      <c r="K282" s="128" t="s">
        <v>1115</v>
      </c>
      <c r="L282" s="148"/>
      <c r="M282" s="31" t="s">
        <v>1116</v>
      </c>
      <c r="N282" s="32" t="s">
        <v>3114</v>
      </c>
      <c r="O282" s="148" t="s">
        <v>197</v>
      </c>
      <c r="P282" s="148" t="s">
        <v>2923</v>
      </c>
      <c r="Q282" s="134" t="n">
        <v>9000</v>
      </c>
      <c r="R282" s="58" t="s">
        <v>92</v>
      </c>
      <c r="S282" s="135" t="n">
        <v>4143</v>
      </c>
      <c r="T282" s="35" t="s">
        <v>172</v>
      </c>
      <c r="U282" s="235" t="n">
        <v>345036.92</v>
      </c>
      <c r="V282" s="60" t="n">
        <v>21.44881</v>
      </c>
      <c r="W282" s="112" t="n">
        <f aca="false">U282/V282</f>
        <v>16086.5297422095</v>
      </c>
      <c r="X282" s="112" t="n">
        <v>377</v>
      </c>
      <c r="Y282" s="146" t="n">
        <v>2.52</v>
      </c>
      <c r="Z282" s="62" t="s">
        <v>80</v>
      </c>
      <c r="AA282" s="38" t="n">
        <v>42242</v>
      </c>
      <c r="AB282" s="38" t="n">
        <v>42391</v>
      </c>
      <c r="AC282" s="38" t="n">
        <v>42394</v>
      </c>
      <c r="AD282" s="38" t="n">
        <v>44042</v>
      </c>
      <c r="AE282" s="38" t="n">
        <v>44042</v>
      </c>
      <c r="AF282" s="38" t="n">
        <v>44042</v>
      </c>
      <c r="AG282" s="63" t="n">
        <v>70889</v>
      </c>
      <c r="AH282" s="43"/>
      <c r="AI282" s="43" t="s">
        <v>3679</v>
      </c>
      <c r="AJ282" s="43"/>
      <c r="AK282" s="43"/>
      <c r="AL282" s="43"/>
      <c r="AM282" s="43"/>
      <c r="AN282" s="43"/>
    </row>
    <row r="283" s="2" customFormat="true" ht="12.75" hidden="false" customHeight="true" outlineLevel="0" collapsed="false">
      <c r="A283" s="26" t="n">
        <v>49</v>
      </c>
      <c r="B283" s="152" t="s">
        <v>3680</v>
      </c>
      <c r="C283" s="67" t="s">
        <v>3064</v>
      </c>
      <c r="D283" s="28" t="s">
        <v>46</v>
      </c>
      <c r="E283" s="43" t="n">
        <v>5.79</v>
      </c>
      <c r="F283" s="43" t="n">
        <v>1.2</v>
      </c>
      <c r="G283" s="43" t="n">
        <v>119</v>
      </c>
      <c r="H283" s="43" t="n">
        <v>2016</v>
      </c>
      <c r="I283" s="55" t="n">
        <v>1451</v>
      </c>
      <c r="J283" s="67" t="s">
        <v>74</v>
      </c>
      <c r="K283" s="30" t="s">
        <v>1622</v>
      </c>
      <c r="L283" s="57"/>
      <c r="M283" s="31" t="s">
        <v>1623</v>
      </c>
      <c r="N283" s="32" t="s">
        <v>3681</v>
      </c>
      <c r="O283" s="57" t="s">
        <v>52</v>
      </c>
      <c r="P283" s="57" t="s">
        <v>2890</v>
      </c>
      <c r="Q283" s="57" t="n">
        <v>1000</v>
      </c>
      <c r="R283" s="58" t="s">
        <v>189</v>
      </c>
      <c r="S283" s="69" t="n">
        <v>4170</v>
      </c>
      <c r="T283" s="35" t="s">
        <v>172</v>
      </c>
      <c r="U283" s="235" t="n">
        <v>345036.92</v>
      </c>
      <c r="V283" s="60" t="n">
        <v>21.44881</v>
      </c>
      <c r="W283" s="112" t="n">
        <f aca="false">U283/V283</f>
        <v>16086.5297422095</v>
      </c>
      <c r="X283" s="112" t="n">
        <v>377</v>
      </c>
      <c r="Y283" s="146" t="n">
        <v>2.52</v>
      </c>
      <c r="Z283" s="62" t="s">
        <v>80</v>
      </c>
      <c r="AA283" s="38" t="n">
        <v>42242</v>
      </c>
      <c r="AB283" s="38" t="n">
        <v>42391</v>
      </c>
      <c r="AC283" s="38" t="n">
        <v>42397</v>
      </c>
      <c r="AD283" s="38" t="n">
        <v>44042</v>
      </c>
      <c r="AE283" s="38" t="n">
        <v>44042</v>
      </c>
      <c r="AF283" s="38" t="n">
        <v>44042</v>
      </c>
      <c r="AG283" s="63" t="n">
        <v>62165</v>
      </c>
      <c r="AH283" s="43"/>
      <c r="AI283" s="43" t="s">
        <v>3682</v>
      </c>
      <c r="AJ283" s="43"/>
      <c r="AK283" s="43"/>
      <c r="AL283" s="43"/>
      <c r="AM283" s="43"/>
      <c r="AN283" s="43"/>
    </row>
    <row r="284" s="2" customFormat="true" ht="12.75" hidden="false" customHeight="true" outlineLevel="0" collapsed="false">
      <c r="A284" s="26" t="n">
        <v>50</v>
      </c>
      <c r="B284" s="152" t="s">
        <v>3683</v>
      </c>
      <c r="C284" s="67" t="s">
        <v>3064</v>
      </c>
      <c r="D284" s="28" t="s">
        <v>46</v>
      </c>
      <c r="E284" s="43" t="n">
        <v>5.79</v>
      </c>
      <c r="F284" s="43" t="n">
        <v>1.2</v>
      </c>
      <c r="G284" s="43" t="n">
        <v>119</v>
      </c>
      <c r="H284" s="43" t="n">
        <v>2016</v>
      </c>
      <c r="I284" s="55" t="n">
        <v>1451</v>
      </c>
      <c r="J284" s="67" t="s">
        <v>74</v>
      </c>
      <c r="K284" s="30" t="s">
        <v>1587</v>
      </c>
      <c r="L284" s="57"/>
      <c r="M284" s="31" t="s">
        <v>1588</v>
      </c>
      <c r="N284" s="32" t="s">
        <v>1090</v>
      </c>
      <c r="O284" s="57" t="s">
        <v>689</v>
      </c>
      <c r="P284" s="28" t="s">
        <v>61</v>
      </c>
      <c r="Q284" s="87" t="n">
        <v>7070</v>
      </c>
      <c r="R284" s="89" t="s">
        <v>171</v>
      </c>
      <c r="S284" s="35" t="n">
        <v>4138</v>
      </c>
      <c r="T284" s="35" t="s">
        <v>172</v>
      </c>
      <c r="U284" s="235" t="n">
        <v>345036.92</v>
      </c>
      <c r="V284" s="60" t="n">
        <v>21.44881</v>
      </c>
      <c r="W284" s="112" t="n">
        <f aca="false">U284/V284</f>
        <v>16086.5297422095</v>
      </c>
      <c r="X284" s="112" t="n">
        <v>377</v>
      </c>
      <c r="Y284" s="146" t="n">
        <v>2.52</v>
      </c>
      <c r="Z284" s="62" t="s">
        <v>80</v>
      </c>
      <c r="AA284" s="38" t="n">
        <v>42242</v>
      </c>
      <c r="AB284" s="38" t="n">
        <v>42391</v>
      </c>
      <c r="AC284" s="38" t="n">
        <v>42394</v>
      </c>
      <c r="AD284" s="38" t="n">
        <v>44048</v>
      </c>
      <c r="AE284" s="28" t="n">
        <f aca="false">YEAR(AD284)</f>
        <v>2020</v>
      </c>
      <c r="AF284" s="38" t="n">
        <v>44048</v>
      </c>
      <c r="AG284" s="63" t="n">
        <v>135972</v>
      </c>
      <c r="AH284" s="43"/>
      <c r="AI284" s="43" t="s">
        <v>3684</v>
      </c>
      <c r="AJ284" s="43"/>
      <c r="AK284" s="43"/>
      <c r="AL284" s="43"/>
      <c r="AM284" s="43"/>
      <c r="AN284" s="43"/>
    </row>
    <row r="285" s="1" customFormat="true" ht="12.75" hidden="false" customHeight="true" outlineLevel="0" collapsed="false">
      <c r="A285" s="26" t="n">
        <v>51</v>
      </c>
      <c r="B285" s="152" t="s">
        <v>3685</v>
      </c>
      <c r="C285" s="268" t="s">
        <v>3064</v>
      </c>
      <c r="D285" s="57" t="s">
        <v>46</v>
      </c>
      <c r="E285" s="43" t="n">
        <v>5.79</v>
      </c>
      <c r="F285" s="26" t="n">
        <v>1.2</v>
      </c>
      <c r="G285" s="43" t="n">
        <v>119</v>
      </c>
      <c r="H285" s="26" t="n">
        <v>2016</v>
      </c>
      <c r="I285" s="55" t="n">
        <v>1451</v>
      </c>
      <c r="J285" s="268" t="s">
        <v>74</v>
      </c>
      <c r="K285" s="30" t="s">
        <v>1567</v>
      </c>
      <c r="L285" s="69"/>
      <c r="M285" s="31" t="s">
        <v>1568</v>
      </c>
      <c r="N285" s="32" t="s">
        <v>2922</v>
      </c>
      <c r="O285" s="57" t="s">
        <v>180</v>
      </c>
      <c r="P285" s="28" t="s">
        <v>2903</v>
      </c>
      <c r="Q285" s="33" t="n">
        <v>6000</v>
      </c>
      <c r="R285" s="58" t="s">
        <v>189</v>
      </c>
      <c r="S285" s="35" t="s">
        <v>3467</v>
      </c>
      <c r="T285" s="35" t="s">
        <v>172</v>
      </c>
      <c r="U285" s="144" t="n">
        <v>345036.92</v>
      </c>
      <c r="V285" s="140" t="n">
        <v>21.44881</v>
      </c>
      <c r="W285" s="141" t="n">
        <f aca="false">U285/V285</f>
        <v>16086.5297422095</v>
      </c>
      <c r="X285" s="141" t="n">
        <v>377</v>
      </c>
      <c r="Y285" s="269" t="n">
        <v>2.52</v>
      </c>
      <c r="Z285" s="62" t="s">
        <v>80</v>
      </c>
      <c r="AA285" s="143" t="n">
        <v>42242</v>
      </c>
      <c r="AB285" s="143" t="n">
        <v>42391</v>
      </c>
      <c r="AC285" s="143" t="n">
        <v>42394</v>
      </c>
      <c r="AD285" s="50" t="n">
        <v>44039</v>
      </c>
      <c r="AE285" s="50" t="n">
        <v>44039</v>
      </c>
      <c r="AF285" s="50" t="n">
        <v>44039</v>
      </c>
      <c r="AG285" s="63" t="n">
        <v>125100</v>
      </c>
      <c r="AH285" s="26"/>
      <c r="AI285" s="43" t="s">
        <v>3686</v>
      </c>
      <c r="AJ285" s="26"/>
      <c r="AK285" s="26"/>
      <c r="AL285" s="26"/>
      <c r="AM285" s="26"/>
      <c r="AN285" s="26"/>
    </row>
    <row r="286" s="2" customFormat="true" ht="12.75" hidden="false" customHeight="true" outlineLevel="0" collapsed="false">
      <c r="A286" s="26" t="n">
        <v>52</v>
      </c>
      <c r="B286" s="152" t="s">
        <v>3687</v>
      </c>
      <c r="C286" s="67" t="s">
        <v>3064</v>
      </c>
      <c r="D286" s="28" t="s">
        <v>46</v>
      </c>
      <c r="E286" s="43" t="n">
        <v>5.79</v>
      </c>
      <c r="F286" s="43" t="n">
        <v>1.2</v>
      </c>
      <c r="G286" s="43" t="n">
        <v>119</v>
      </c>
      <c r="H286" s="43" t="n">
        <v>2016</v>
      </c>
      <c r="I286" s="55" t="n">
        <v>1451</v>
      </c>
      <c r="J286" s="67" t="s">
        <v>74</v>
      </c>
      <c r="K286" s="30" t="s">
        <v>1601</v>
      </c>
      <c r="L286" s="69"/>
      <c r="M286" s="31" t="s">
        <v>1602</v>
      </c>
      <c r="N286" s="32" t="s">
        <v>289</v>
      </c>
      <c r="O286" s="57" t="s">
        <v>1003</v>
      </c>
      <c r="P286" s="270" t="s">
        <v>52</v>
      </c>
      <c r="Q286" s="87" t="n">
        <v>7014</v>
      </c>
      <c r="R286" s="89" t="s">
        <v>171</v>
      </c>
      <c r="S286" s="69" t="n">
        <v>4141</v>
      </c>
      <c r="T286" s="35" t="s">
        <v>172</v>
      </c>
      <c r="U286" s="235" t="n">
        <v>345036.92</v>
      </c>
      <c r="V286" s="60" t="n">
        <v>21.44881</v>
      </c>
      <c r="W286" s="112" t="n">
        <f aca="false">U286/V286</f>
        <v>16086.5297422095</v>
      </c>
      <c r="X286" s="112" t="n">
        <v>377</v>
      </c>
      <c r="Y286" s="146" t="n">
        <v>2.52</v>
      </c>
      <c r="Z286" s="62" t="s">
        <v>80</v>
      </c>
      <c r="AA286" s="38" t="n">
        <v>42242</v>
      </c>
      <c r="AB286" s="38" t="n">
        <v>42391</v>
      </c>
      <c r="AC286" s="38" t="n">
        <v>42394</v>
      </c>
      <c r="AD286" s="267" t="n">
        <v>44046</v>
      </c>
      <c r="AE286" s="267" t="n">
        <v>44046</v>
      </c>
      <c r="AF286" s="267" t="n">
        <v>44046</v>
      </c>
      <c r="AG286" s="63" t="n">
        <v>142460</v>
      </c>
      <c r="AH286" s="43"/>
      <c r="AI286" s="43" t="s">
        <v>3688</v>
      </c>
      <c r="AJ286" s="43"/>
      <c r="AK286" s="43"/>
      <c r="AL286" s="43"/>
      <c r="AM286" s="43"/>
      <c r="AN286" s="43"/>
    </row>
    <row r="287" s="2" customFormat="true" ht="12.75" hidden="false" customHeight="true" outlineLevel="0" collapsed="false">
      <c r="A287" s="26" t="n">
        <v>53</v>
      </c>
      <c r="B287" s="152" t="s">
        <v>3689</v>
      </c>
      <c r="C287" s="67" t="s">
        <v>3064</v>
      </c>
      <c r="D287" s="28" t="s">
        <v>46</v>
      </c>
      <c r="E287" s="43" t="n">
        <v>5.79</v>
      </c>
      <c r="F287" s="43" t="n">
        <v>1.2</v>
      </c>
      <c r="G287" s="43" t="n">
        <v>119</v>
      </c>
      <c r="H287" s="43" t="n">
        <v>2016</v>
      </c>
      <c r="I287" s="55" t="n">
        <v>1451</v>
      </c>
      <c r="J287" s="67" t="s">
        <v>74</v>
      </c>
      <c r="K287" s="30" t="s">
        <v>953</v>
      </c>
      <c r="L287" s="35"/>
      <c r="M287" s="31" t="s">
        <v>954</v>
      </c>
      <c r="N287" s="32" t="s">
        <v>1090</v>
      </c>
      <c r="O287" s="28" t="s">
        <v>100</v>
      </c>
      <c r="P287" s="28" t="s">
        <v>593</v>
      </c>
      <c r="Q287" s="28" t="n">
        <v>4000</v>
      </c>
      <c r="R287" s="34" t="s">
        <v>189</v>
      </c>
      <c r="S287" s="35" t="n">
        <v>4173</v>
      </c>
      <c r="T287" s="35" t="s">
        <v>172</v>
      </c>
      <c r="U287" s="235" t="n">
        <v>345036.92</v>
      </c>
      <c r="V287" s="60" t="n">
        <v>21.44881</v>
      </c>
      <c r="W287" s="112" t="n">
        <f aca="false">U287/V287</f>
        <v>16086.5297422095</v>
      </c>
      <c r="X287" s="112" t="n">
        <v>377</v>
      </c>
      <c r="Y287" s="146" t="n">
        <v>2.52</v>
      </c>
      <c r="Z287" s="62" t="s">
        <v>80</v>
      </c>
      <c r="AA287" s="38" t="n">
        <v>42242</v>
      </c>
      <c r="AB287" s="38" t="n">
        <v>42391</v>
      </c>
      <c r="AC287" s="38" t="n">
        <v>42394</v>
      </c>
      <c r="AD287" s="38" t="n">
        <v>44042</v>
      </c>
      <c r="AE287" s="38" t="n">
        <v>44041</v>
      </c>
      <c r="AF287" s="38" t="n">
        <v>44041</v>
      </c>
      <c r="AG287" s="63" t="n">
        <v>137325</v>
      </c>
      <c r="AH287" s="43"/>
      <c r="AI287" s="43" t="s">
        <v>3690</v>
      </c>
      <c r="AJ287" s="43"/>
      <c r="AK287" s="43"/>
      <c r="AL287" s="43"/>
      <c r="AM287" s="43"/>
      <c r="AN287" s="43"/>
    </row>
    <row r="288" s="2" customFormat="true" ht="12.75" hidden="false" customHeight="true" outlineLevel="0" collapsed="false">
      <c r="A288" s="26" t="n">
        <v>54</v>
      </c>
      <c r="B288" s="152" t="s">
        <v>3691</v>
      </c>
      <c r="C288" s="67" t="s">
        <v>3064</v>
      </c>
      <c r="D288" s="28" t="s">
        <v>46</v>
      </c>
      <c r="E288" s="43" t="n">
        <v>5.79</v>
      </c>
      <c r="F288" s="43" t="n">
        <v>1.2</v>
      </c>
      <c r="G288" s="43" t="n">
        <v>119</v>
      </c>
      <c r="H288" s="43" t="n">
        <v>2016</v>
      </c>
      <c r="I288" s="55" t="n">
        <v>1451</v>
      </c>
      <c r="J288" s="67" t="s">
        <v>74</v>
      </c>
      <c r="K288" s="30" t="s">
        <v>1594</v>
      </c>
      <c r="L288" s="57"/>
      <c r="M288" s="31" t="s">
        <v>1595</v>
      </c>
      <c r="N288" s="32" t="s">
        <v>1090</v>
      </c>
      <c r="O288" s="57" t="s">
        <v>218</v>
      </c>
      <c r="P288" s="57" t="s">
        <v>52</v>
      </c>
      <c r="Q288" s="87" t="n">
        <v>7010</v>
      </c>
      <c r="R288" s="58" t="s">
        <v>171</v>
      </c>
      <c r="S288" s="69" t="n">
        <v>4131</v>
      </c>
      <c r="T288" s="35" t="s">
        <v>172</v>
      </c>
      <c r="U288" s="235" t="n">
        <v>345036.92</v>
      </c>
      <c r="V288" s="60" t="n">
        <v>21.44881</v>
      </c>
      <c r="W288" s="112" t="n">
        <f aca="false">U288/V288</f>
        <v>16086.5297422095</v>
      </c>
      <c r="X288" s="112" t="n">
        <v>377</v>
      </c>
      <c r="Y288" s="146" t="n">
        <v>2.52</v>
      </c>
      <c r="Z288" s="62" t="s">
        <v>80</v>
      </c>
      <c r="AA288" s="38" t="n">
        <v>42242</v>
      </c>
      <c r="AB288" s="38" t="n">
        <v>42391</v>
      </c>
      <c r="AC288" s="38" t="n">
        <v>42394</v>
      </c>
      <c r="AD288" s="50" t="n">
        <v>44040</v>
      </c>
      <c r="AE288" s="50" t="n">
        <v>44040</v>
      </c>
      <c r="AF288" s="50" t="n">
        <v>44040</v>
      </c>
      <c r="AG288" s="63" t="n">
        <v>152546</v>
      </c>
      <c r="AH288" s="43"/>
      <c r="AI288" s="43" t="s">
        <v>3692</v>
      </c>
      <c r="AJ288" s="43"/>
      <c r="AK288" s="43"/>
      <c r="AL288" s="43"/>
      <c r="AM288" s="43"/>
      <c r="AN288" s="43"/>
    </row>
    <row r="289" s="2" customFormat="true" ht="12.75" hidden="false" customHeight="true" outlineLevel="0" collapsed="false">
      <c r="A289" s="26" t="n">
        <v>55</v>
      </c>
      <c r="B289" s="152" t="s">
        <v>3693</v>
      </c>
      <c r="C289" s="67" t="s">
        <v>3064</v>
      </c>
      <c r="D289" s="28" t="s">
        <v>46</v>
      </c>
      <c r="E289" s="43" t="n">
        <v>5.79</v>
      </c>
      <c r="F289" s="43" t="n">
        <v>1.2</v>
      </c>
      <c r="G289" s="43" t="n">
        <v>119</v>
      </c>
      <c r="H289" s="43" t="n">
        <v>2016</v>
      </c>
      <c r="I289" s="55" t="n">
        <v>1451</v>
      </c>
      <c r="J289" s="67" t="s">
        <v>74</v>
      </c>
      <c r="K289" s="30" t="s">
        <v>1629</v>
      </c>
      <c r="L289" s="69"/>
      <c r="M289" s="31" t="s">
        <v>1630</v>
      </c>
      <c r="N289" s="32" t="s">
        <v>1090</v>
      </c>
      <c r="O289" s="57" t="s">
        <v>252</v>
      </c>
      <c r="P289" s="57" t="s">
        <v>2896</v>
      </c>
      <c r="Q289" s="87" t="n">
        <v>1000</v>
      </c>
      <c r="R289" s="236" t="s">
        <v>92</v>
      </c>
      <c r="S289" s="35" t="n">
        <v>4146</v>
      </c>
      <c r="T289" s="35" t="s">
        <v>172</v>
      </c>
      <c r="U289" s="235" t="n">
        <v>345036.92</v>
      </c>
      <c r="V289" s="60" t="n">
        <v>21.44881</v>
      </c>
      <c r="W289" s="112" t="n">
        <f aca="false">U289/V289</f>
        <v>16086.5297422095</v>
      </c>
      <c r="X289" s="112" t="n">
        <v>377</v>
      </c>
      <c r="Y289" s="146" t="n">
        <v>2.52</v>
      </c>
      <c r="Z289" s="62" t="s">
        <v>80</v>
      </c>
      <c r="AA289" s="38" t="n">
        <v>42242</v>
      </c>
      <c r="AB289" s="38" t="n">
        <v>42391</v>
      </c>
      <c r="AC289" s="38" t="n">
        <v>42397</v>
      </c>
      <c r="AD289" s="50" t="n">
        <v>44043</v>
      </c>
      <c r="AE289" s="50" t="n">
        <v>44043</v>
      </c>
      <c r="AF289" s="50" t="n">
        <v>44043</v>
      </c>
      <c r="AG289" s="63" t="n">
        <v>144980</v>
      </c>
      <c r="AH289" s="43"/>
      <c r="AI289" s="43" t="s">
        <v>3694</v>
      </c>
      <c r="AJ289" s="43"/>
      <c r="AK289" s="43"/>
      <c r="AL289" s="43"/>
      <c r="AM289" s="43"/>
      <c r="AN289" s="43"/>
    </row>
    <row r="290" s="2" customFormat="true" ht="12.75" hidden="false" customHeight="true" outlineLevel="0" collapsed="false">
      <c r="A290" s="26" t="n">
        <v>56</v>
      </c>
      <c r="B290" s="152" t="s">
        <v>3695</v>
      </c>
      <c r="C290" s="67" t="s">
        <v>3064</v>
      </c>
      <c r="D290" s="28" t="s">
        <v>46</v>
      </c>
      <c r="E290" s="43" t="n">
        <v>5.79</v>
      </c>
      <c r="F290" s="43" t="n">
        <v>1.2</v>
      </c>
      <c r="G290" s="43" t="n">
        <v>119</v>
      </c>
      <c r="H290" s="43" t="n">
        <v>2016</v>
      </c>
      <c r="I290" s="55" t="n">
        <v>1451</v>
      </c>
      <c r="J290" s="67" t="s">
        <v>74</v>
      </c>
      <c r="K290" s="30" t="s">
        <v>3696</v>
      </c>
      <c r="L290" s="57"/>
      <c r="M290" s="31" t="s">
        <v>3697</v>
      </c>
      <c r="N290" s="32" t="s">
        <v>289</v>
      </c>
      <c r="O290" s="57" t="s">
        <v>218</v>
      </c>
      <c r="P290" s="57" t="s">
        <v>52</v>
      </c>
      <c r="Q290" s="87" t="n">
        <v>1000</v>
      </c>
      <c r="R290" s="58" t="s">
        <v>92</v>
      </c>
      <c r="S290" s="69" t="n">
        <v>4141</v>
      </c>
      <c r="T290" s="35" t="s">
        <v>172</v>
      </c>
      <c r="U290" s="235" t="n">
        <v>345036.92</v>
      </c>
      <c r="V290" s="60" t="n">
        <v>21.44881</v>
      </c>
      <c r="W290" s="112" t="n">
        <f aca="false">U290/V290</f>
        <v>16086.5297422095</v>
      </c>
      <c r="X290" s="112" t="n">
        <v>377</v>
      </c>
      <c r="Y290" s="146" t="n">
        <v>2.52</v>
      </c>
      <c r="Z290" s="62" t="s">
        <v>80</v>
      </c>
      <c r="AA290" s="38" t="n">
        <v>42242</v>
      </c>
      <c r="AB290" s="38" t="n">
        <v>42391</v>
      </c>
      <c r="AC290" s="38" t="n">
        <v>42394</v>
      </c>
      <c r="AD290" s="38" t="n">
        <v>44042</v>
      </c>
      <c r="AE290" s="38" t="n">
        <v>44041</v>
      </c>
      <c r="AF290" s="38" t="n">
        <v>44041</v>
      </c>
      <c r="AG290" s="63" t="n">
        <v>153113</v>
      </c>
      <c r="AH290" s="43"/>
      <c r="AI290" s="43" t="s">
        <v>3698</v>
      </c>
      <c r="AJ290" s="43"/>
      <c r="AK290" s="43"/>
      <c r="AL290" s="43"/>
      <c r="AM290" s="43"/>
      <c r="AN290" s="43"/>
    </row>
    <row r="291" s="2" customFormat="true" ht="12.75" hidden="false" customHeight="true" outlineLevel="0" collapsed="false">
      <c r="A291" s="26" t="n">
        <v>57</v>
      </c>
      <c r="B291" s="152" t="s">
        <v>3699</v>
      </c>
      <c r="C291" s="67" t="s">
        <v>3064</v>
      </c>
      <c r="D291" s="28" t="s">
        <v>46</v>
      </c>
      <c r="E291" s="43" t="n">
        <v>5.79</v>
      </c>
      <c r="F291" s="43" t="n">
        <v>1.2</v>
      </c>
      <c r="G291" s="43" t="n">
        <v>119</v>
      </c>
      <c r="H291" s="43" t="n">
        <v>2016</v>
      </c>
      <c r="I291" s="55" t="n">
        <v>1451</v>
      </c>
      <c r="J291" s="67" t="s">
        <v>74</v>
      </c>
      <c r="K291" s="30" t="s">
        <v>1499</v>
      </c>
      <c r="L291" s="122"/>
      <c r="M291" s="31" t="s">
        <v>1500</v>
      </c>
      <c r="N291" s="32" t="s">
        <v>1090</v>
      </c>
      <c r="O291" s="28" t="s">
        <v>606</v>
      </c>
      <c r="P291" s="28" t="s">
        <v>593</v>
      </c>
      <c r="Q291" s="33" t="n">
        <v>7030</v>
      </c>
      <c r="R291" s="34" t="s">
        <v>171</v>
      </c>
      <c r="S291" s="35" t="n">
        <v>4133</v>
      </c>
      <c r="T291" s="35" t="s">
        <v>172</v>
      </c>
      <c r="U291" s="235" t="n">
        <v>345036.92</v>
      </c>
      <c r="V291" s="60" t="n">
        <v>21.44881</v>
      </c>
      <c r="W291" s="112" t="n">
        <f aca="false">U291/V291</f>
        <v>16086.5297422095</v>
      </c>
      <c r="X291" s="112" t="n">
        <v>377</v>
      </c>
      <c r="Y291" s="146" t="n">
        <v>2.52</v>
      </c>
      <c r="Z291" s="62" t="s">
        <v>80</v>
      </c>
      <c r="AA291" s="38" t="n">
        <v>42242</v>
      </c>
      <c r="AB291" s="38" t="n">
        <v>42391</v>
      </c>
      <c r="AC291" s="38" t="n">
        <v>42397</v>
      </c>
      <c r="AD291" s="267" t="n">
        <v>44046</v>
      </c>
      <c r="AE291" s="267" t="n">
        <v>44046</v>
      </c>
      <c r="AF291" s="267" t="n">
        <v>44046</v>
      </c>
      <c r="AG291" s="63" t="n">
        <v>85824</v>
      </c>
      <c r="AH291" s="43"/>
      <c r="AI291" s="43" t="s">
        <v>3700</v>
      </c>
      <c r="AJ291" s="43"/>
      <c r="AK291" s="43"/>
      <c r="AL291" s="43"/>
      <c r="AM291" s="43"/>
      <c r="AN291" s="43"/>
    </row>
    <row r="292" s="2" customFormat="true" ht="12.75" hidden="false" customHeight="true" outlineLevel="0" collapsed="false">
      <c r="A292" s="26" t="n">
        <v>58</v>
      </c>
      <c r="B292" s="152" t="s">
        <v>3701</v>
      </c>
      <c r="C292" s="67" t="s">
        <v>3064</v>
      </c>
      <c r="D292" s="28" t="s">
        <v>46</v>
      </c>
      <c r="E292" s="43" t="n">
        <v>5.79</v>
      </c>
      <c r="F292" s="43" t="n">
        <v>1.2</v>
      </c>
      <c r="G292" s="43" t="n">
        <v>119</v>
      </c>
      <c r="H292" s="43" t="n">
        <v>2016</v>
      </c>
      <c r="I292" s="55" t="n">
        <v>1451</v>
      </c>
      <c r="J292" s="67" t="s">
        <v>74</v>
      </c>
      <c r="K292" s="30" t="s">
        <v>1512</v>
      </c>
      <c r="L292" s="57"/>
      <c r="M292" s="31" t="s">
        <v>1513</v>
      </c>
      <c r="N292" s="32" t="s">
        <v>168</v>
      </c>
      <c r="O292" s="57" t="s">
        <v>1003</v>
      </c>
      <c r="P292" s="57" t="s">
        <v>52</v>
      </c>
      <c r="Q292" s="87" t="n">
        <v>9000</v>
      </c>
      <c r="R292" s="58" t="s">
        <v>171</v>
      </c>
      <c r="S292" s="69" t="n">
        <v>4131</v>
      </c>
      <c r="T292" s="35" t="s">
        <v>172</v>
      </c>
      <c r="U292" s="235" t="n">
        <v>345036.92</v>
      </c>
      <c r="V292" s="60" t="n">
        <v>21.44881</v>
      </c>
      <c r="W292" s="112" t="n">
        <f aca="false">U292/V292</f>
        <v>16086.5297422095</v>
      </c>
      <c r="X292" s="112" t="n">
        <v>377</v>
      </c>
      <c r="Y292" s="146" t="n">
        <v>2.52</v>
      </c>
      <c r="Z292" s="62" t="s">
        <v>80</v>
      </c>
      <c r="AA292" s="38" t="n">
        <v>42242</v>
      </c>
      <c r="AB292" s="38" t="n">
        <v>42391</v>
      </c>
      <c r="AC292" s="38" t="n">
        <v>42397</v>
      </c>
      <c r="AD292" s="38" t="n">
        <v>44048</v>
      </c>
      <c r="AE292" s="28" t="n">
        <f aca="false">YEAR(AD292)</f>
        <v>2020</v>
      </c>
      <c r="AF292" s="38" t="n">
        <v>44048</v>
      </c>
      <c r="AG292" s="63" t="n">
        <v>107026</v>
      </c>
      <c r="AH292" s="43"/>
      <c r="AI292" s="43" t="s">
        <v>3702</v>
      </c>
      <c r="AJ292" s="43"/>
      <c r="AK292" s="43"/>
      <c r="AL292" s="43"/>
      <c r="AM292" s="43"/>
      <c r="AN292" s="43"/>
    </row>
    <row r="293" s="2" customFormat="true" ht="12.75" hidden="false" customHeight="true" outlineLevel="0" collapsed="false">
      <c r="A293" s="26" t="n">
        <v>59</v>
      </c>
      <c r="B293" s="152" t="s">
        <v>3703</v>
      </c>
      <c r="C293" s="67" t="s">
        <v>3064</v>
      </c>
      <c r="D293" s="28" t="s">
        <v>46</v>
      </c>
      <c r="E293" s="43" t="n">
        <v>5.79</v>
      </c>
      <c r="F293" s="43" t="n">
        <v>1.2</v>
      </c>
      <c r="G293" s="43" t="n">
        <v>119</v>
      </c>
      <c r="H293" s="43" t="n">
        <v>2016</v>
      </c>
      <c r="I293" s="55" t="n">
        <v>1451</v>
      </c>
      <c r="J293" s="67" t="s">
        <v>74</v>
      </c>
      <c r="K293" s="30" t="s">
        <v>1519</v>
      </c>
      <c r="L293" s="122"/>
      <c r="M293" s="31" t="s">
        <v>1520</v>
      </c>
      <c r="N293" s="32" t="s">
        <v>3483</v>
      </c>
      <c r="O293" s="57" t="s">
        <v>52</v>
      </c>
      <c r="P293" s="57" t="s">
        <v>52</v>
      </c>
      <c r="Q293" s="57" t="n">
        <v>1000</v>
      </c>
      <c r="R293" s="58" t="s">
        <v>189</v>
      </c>
      <c r="S293" s="69" t="n">
        <v>4171</v>
      </c>
      <c r="T293" s="35" t="s">
        <v>172</v>
      </c>
      <c r="U293" s="235" t="n">
        <v>345036.92</v>
      </c>
      <c r="V293" s="60" t="n">
        <v>21.44881</v>
      </c>
      <c r="W293" s="112" t="n">
        <f aca="false">U293/V293</f>
        <v>16086.5297422095</v>
      </c>
      <c r="X293" s="112" t="n">
        <v>377</v>
      </c>
      <c r="Y293" s="146" t="n">
        <v>2.52</v>
      </c>
      <c r="Z293" s="62" t="s">
        <v>80</v>
      </c>
      <c r="AA293" s="38" t="n">
        <v>42242</v>
      </c>
      <c r="AB293" s="38" t="n">
        <v>42391</v>
      </c>
      <c r="AC293" s="38" t="n">
        <v>42394</v>
      </c>
      <c r="AD293" s="50" t="n">
        <v>44049</v>
      </c>
      <c r="AE293" s="28" t="n">
        <f aca="false">YEAR(AD293)</f>
        <v>2020</v>
      </c>
      <c r="AF293" s="38" t="n">
        <v>44049</v>
      </c>
      <c r="AG293" s="63" t="n">
        <v>134990</v>
      </c>
      <c r="AH293" s="43"/>
      <c r="AI293" s="43" t="s">
        <v>3704</v>
      </c>
      <c r="AJ293" s="43"/>
      <c r="AK293" s="43"/>
      <c r="AL293" s="43"/>
      <c r="AM293" s="43"/>
      <c r="AN293" s="43"/>
    </row>
    <row r="294" s="1" customFormat="true" ht="12.75" hidden="false" customHeight="true" outlineLevel="0" collapsed="false">
      <c r="A294" s="26" t="n">
        <v>60</v>
      </c>
      <c r="B294" s="152" t="s">
        <v>3705</v>
      </c>
      <c r="C294" s="268" t="s">
        <v>3064</v>
      </c>
      <c r="D294" s="57" t="s">
        <v>46</v>
      </c>
      <c r="E294" s="43" t="n">
        <v>5.79</v>
      </c>
      <c r="F294" s="26" t="n">
        <v>1.2</v>
      </c>
      <c r="G294" s="43" t="n">
        <v>119</v>
      </c>
      <c r="H294" s="26" t="n">
        <v>2016</v>
      </c>
      <c r="I294" s="55" t="n">
        <v>1451</v>
      </c>
      <c r="J294" s="268" t="s">
        <v>74</v>
      </c>
      <c r="K294" s="30" t="s">
        <v>1532</v>
      </c>
      <c r="L294" s="69"/>
      <c r="M294" s="31" t="s">
        <v>1533</v>
      </c>
      <c r="N294" s="32" t="s">
        <v>168</v>
      </c>
      <c r="O294" s="57" t="s">
        <v>606</v>
      </c>
      <c r="P294" s="57" t="s">
        <v>593</v>
      </c>
      <c r="Q294" s="87" t="n">
        <v>9000</v>
      </c>
      <c r="R294" s="58" t="s">
        <v>171</v>
      </c>
      <c r="S294" s="69" t="n">
        <v>4133</v>
      </c>
      <c r="T294" s="35" t="s">
        <v>172</v>
      </c>
      <c r="U294" s="144" t="n">
        <v>345036.92</v>
      </c>
      <c r="V294" s="140" t="n">
        <v>21.44881</v>
      </c>
      <c r="W294" s="141" t="n">
        <f aca="false">U294/V294</f>
        <v>16086.5297422095</v>
      </c>
      <c r="X294" s="141" t="n">
        <v>377</v>
      </c>
      <c r="Y294" s="269" t="n">
        <v>2.52</v>
      </c>
      <c r="Z294" s="62" t="s">
        <v>80</v>
      </c>
      <c r="AA294" s="143" t="n">
        <v>42242</v>
      </c>
      <c r="AB294" s="143" t="n">
        <v>42391</v>
      </c>
      <c r="AC294" s="143" t="n">
        <v>42397</v>
      </c>
      <c r="AD294" s="38" t="n">
        <v>44042</v>
      </c>
      <c r="AE294" s="38" t="n">
        <v>44042</v>
      </c>
      <c r="AF294" s="38" t="n">
        <v>44042</v>
      </c>
      <c r="AG294" s="63" t="n">
        <v>116668</v>
      </c>
      <c r="AH294" s="26"/>
      <c r="AI294" s="43" t="s">
        <v>3706</v>
      </c>
      <c r="AJ294" s="26"/>
      <c r="AK294" s="26"/>
      <c r="AL294" s="26"/>
      <c r="AM294" s="26"/>
      <c r="AN294" s="26"/>
    </row>
    <row r="295" s="1" customFormat="true" ht="12.75" hidden="false" customHeight="true" outlineLevel="0" collapsed="false">
      <c r="A295" s="26" t="n">
        <v>61</v>
      </c>
      <c r="B295" s="152" t="s">
        <v>3707</v>
      </c>
      <c r="C295" s="268" t="s">
        <v>3064</v>
      </c>
      <c r="D295" s="57" t="s">
        <v>46</v>
      </c>
      <c r="E295" s="26" t="n">
        <v>5.79</v>
      </c>
      <c r="F295" s="26" t="n">
        <v>1.2</v>
      </c>
      <c r="G295" s="43" t="n">
        <v>119</v>
      </c>
      <c r="H295" s="26" t="n">
        <v>2016</v>
      </c>
      <c r="I295" s="55" t="n">
        <v>1451</v>
      </c>
      <c r="J295" s="268" t="s">
        <v>74</v>
      </c>
      <c r="K295" s="30" t="s">
        <v>1546</v>
      </c>
      <c r="L295" s="217"/>
      <c r="M295" s="31" t="s">
        <v>1547</v>
      </c>
      <c r="N295" s="32" t="s">
        <v>1090</v>
      </c>
      <c r="O295" s="57" t="s">
        <v>100</v>
      </c>
      <c r="P295" s="57" t="s">
        <v>593</v>
      </c>
      <c r="Q295" s="57" t="n">
        <v>7020</v>
      </c>
      <c r="R295" s="58" t="s">
        <v>171</v>
      </c>
      <c r="S295" s="69" t="n">
        <v>4133</v>
      </c>
      <c r="T295" s="35" t="s">
        <v>172</v>
      </c>
      <c r="U295" s="144" t="n">
        <v>345036.92</v>
      </c>
      <c r="V295" s="140" t="n">
        <v>21.44881</v>
      </c>
      <c r="W295" s="141" t="n">
        <f aca="false">U295/V295</f>
        <v>16086.5297422095</v>
      </c>
      <c r="X295" s="141" t="n">
        <v>377</v>
      </c>
      <c r="Y295" s="269" t="n">
        <v>2.52</v>
      </c>
      <c r="Z295" s="62" t="s">
        <v>80</v>
      </c>
      <c r="AA295" s="143" t="n">
        <v>42242</v>
      </c>
      <c r="AB295" s="143" t="n">
        <v>42391</v>
      </c>
      <c r="AC295" s="143" t="n">
        <v>42397</v>
      </c>
      <c r="AD295" s="50" t="n">
        <v>44040</v>
      </c>
      <c r="AE295" s="50" t="n">
        <v>44040</v>
      </c>
      <c r="AF295" s="50" t="n">
        <v>44040</v>
      </c>
      <c r="AG295" s="63" t="n">
        <v>131470</v>
      </c>
      <c r="AH295" s="26"/>
      <c r="AI295" s="43" t="s">
        <v>3708</v>
      </c>
      <c r="AJ295" s="26"/>
      <c r="AK295" s="26"/>
      <c r="AL295" s="26"/>
      <c r="AM295" s="26"/>
      <c r="AN295" s="26"/>
    </row>
    <row r="296" s="2" customFormat="true" ht="12.75" hidden="false" customHeight="true" outlineLevel="0" collapsed="false">
      <c r="A296" s="26" t="n">
        <v>62</v>
      </c>
      <c r="B296" s="152" t="s">
        <v>3709</v>
      </c>
      <c r="C296" s="67" t="s">
        <v>3064</v>
      </c>
      <c r="D296" s="28" t="s">
        <v>46</v>
      </c>
      <c r="E296" s="43" t="n">
        <v>5.79</v>
      </c>
      <c r="F296" s="43" t="n">
        <v>1.2</v>
      </c>
      <c r="G296" s="43" t="n">
        <v>119</v>
      </c>
      <c r="H296" s="43" t="n">
        <v>2016</v>
      </c>
      <c r="I296" s="55" t="n">
        <v>1451</v>
      </c>
      <c r="J296" s="67" t="s">
        <v>74</v>
      </c>
      <c r="K296" s="30" t="s">
        <v>1553</v>
      </c>
      <c r="L296" s="69"/>
      <c r="M296" s="31" t="s">
        <v>1554</v>
      </c>
      <c r="N296" s="32" t="s">
        <v>1090</v>
      </c>
      <c r="O296" s="57" t="s">
        <v>1350</v>
      </c>
      <c r="P296" s="57" t="s">
        <v>61</v>
      </c>
      <c r="Q296" s="87" t="n">
        <v>7082</v>
      </c>
      <c r="R296" s="58" t="s">
        <v>171</v>
      </c>
      <c r="S296" s="69" t="n">
        <v>4138</v>
      </c>
      <c r="T296" s="35" t="s">
        <v>172</v>
      </c>
      <c r="U296" s="235" t="n">
        <v>345036.92</v>
      </c>
      <c r="V296" s="60" t="n">
        <v>21.44881</v>
      </c>
      <c r="W296" s="112" t="n">
        <f aca="false">U296/V296</f>
        <v>16086.5297422095</v>
      </c>
      <c r="X296" s="112" t="n">
        <v>377</v>
      </c>
      <c r="Y296" s="146" t="n">
        <v>2.52</v>
      </c>
      <c r="Z296" s="62" t="s">
        <v>80</v>
      </c>
      <c r="AA296" s="38" t="n">
        <v>42242</v>
      </c>
      <c r="AB296" s="38" t="n">
        <v>42391</v>
      </c>
      <c r="AC296" s="38" t="n">
        <v>42394</v>
      </c>
      <c r="AD296" s="38" t="n">
        <v>44042</v>
      </c>
      <c r="AE296" s="38" t="n">
        <v>44042</v>
      </c>
      <c r="AF296" s="38" t="n">
        <v>44042</v>
      </c>
      <c r="AG296" s="63" t="n">
        <v>105556</v>
      </c>
      <c r="AH296" s="43"/>
      <c r="AI296" s="43" t="s">
        <v>3710</v>
      </c>
      <c r="AJ296" s="43"/>
      <c r="AK296" s="43"/>
      <c r="AL296" s="43"/>
      <c r="AM296" s="43"/>
      <c r="AN296" s="43"/>
    </row>
    <row r="297" s="2" customFormat="true" ht="12.75" hidden="false" customHeight="true" outlineLevel="0" collapsed="false">
      <c r="A297" s="26" t="n">
        <v>71</v>
      </c>
      <c r="B297" s="152" t="s">
        <v>3711</v>
      </c>
      <c r="C297" s="67" t="s">
        <v>3064</v>
      </c>
      <c r="D297" s="28" t="s">
        <v>46</v>
      </c>
      <c r="E297" s="43" t="n">
        <v>5.79</v>
      </c>
      <c r="F297" s="43" t="n">
        <v>1.2</v>
      </c>
      <c r="G297" s="43" t="n">
        <v>119</v>
      </c>
      <c r="H297" s="43" t="n">
        <v>2016</v>
      </c>
      <c r="I297" s="55" t="n">
        <v>1451</v>
      </c>
      <c r="J297" s="67" t="s">
        <v>74</v>
      </c>
      <c r="K297" s="30" t="s">
        <v>1560</v>
      </c>
      <c r="L297" s="122"/>
      <c r="M297" s="31" t="s">
        <v>1561</v>
      </c>
      <c r="N297" s="32" t="s">
        <v>168</v>
      </c>
      <c r="O297" s="57" t="s">
        <v>681</v>
      </c>
      <c r="P297" s="28" t="s">
        <v>2903</v>
      </c>
      <c r="Q297" s="33" t="n">
        <v>9000</v>
      </c>
      <c r="R297" s="58" t="s">
        <v>171</v>
      </c>
      <c r="S297" s="69" t="s">
        <v>2904</v>
      </c>
      <c r="T297" s="35" t="s">
        <v>172</v>
      </c>
      <c r="U297" s="28" t="n">
        <v>345036.92</v>
      </c>
      <c r="V297" s="60" t="n">
        <v>21.44881</v>
      </c>
      <c r="W297" s="112" t="n">
        <f aca="false">U297/V297</f>
        <v>16086.5297422095</v>
      </c>
      <c r="X297" s="112" t="n">
        <v>377</v>
      </c>
      <c r="Y297" s="28" t="n">
        <v>2.61</v>
      </c>
      <c r="Z297" s="62" t="s">
        <v>80</v>
      </c>
      <c r="AA297" s="38" t="n">
        <v>42247</v>
      </c>
      <c r="AB297" s="38" t="n">
        <v>42391</v>
      </c>
      <c r="AC297" s="38" t="n">
        <v>42397</v>
      </c>
      <c r="AD297" s="38" t="n">
        <v>44042</v>
      </c>
      <c r="AE297" s="143" t="n">
        <v>44041</v>
      </c>
      <c r="AF297" s="143" t="n">
        <v>44041</v>
      </c>
      <c r="AG297" s="63" t="n">
        <v>98224</v>
      </c>
      <c r="AH297" s="43"/>
      <c r="AI297" s="43" t="s">
        <v>3712</v>
      </c>
      <c r="AJ297" s="43"/>
      <c r="AK297" s="43"/>
      <c r="AL297" s="43"/>
      <c r="AM297" s="43"/>
      <c r="AN297" s="43"/>
    </row>
    <row r="298" s="2" customFormat="true" ht="12.75" hidden="false" customHeight="true" outlineLevel="0" collapsed="false">
      <c r="A298" s="26" t="n">
        <v>72</v>
      </c>
      <c r="B298" s="152" t="s">
        <v>3713</v>
      </c>
      <c r="C298" s="67" t="s">
        <v>3064</v>
      </c>
      <c r="D298" s="28" t="s">
        <v>46</v>
      </c>
      <c r="E298" s="43" t="n">
        <v>5.79</v>
      </c>
      <c r="F298" s="43" t="n">
        <v>1.2</v>
      </c>
      <c r="G298" s="43" t="n">
        <v>119</v>
      </c>
      <c r="H298" s="43" t="n">
        <v>2016</v>
      </c>
      <c r="I298" s="55" t="n">
        <v>1451</v>
      </c>
      <c r="J298" s="67" t="s">
        <v>74</v>
      </c>
      <c r="K298" s="30" t="s">
        <v>3714</v>
      </c>
      <c r="L298" s="57"/>
      <c r="M298" s="31" t="s">
        <v>3715</v>
      </c>
      <c r="N298" s="32" t="s">
        <v>1090</v>
      </c>
      <c r="O298" s="57" t="s">
        <v>681</v>
      </c>
      <c r="P298" s="28" t="s">
        <v>2903</v>
      </c>
      <c r="Q298" s="87" t="n">
        <v>7031</v>
      </c>
      <c r="R298" s="58" t="s">
        <v>171</v>
      </c>
      <c r="S298" s="69" t="s">
        <v>2904</v>
      </c>
      <c r="T298" s="35" t="s">
        <v>172</v>
      </c>
      <c r="U298" s="28" t="n">
        <v>345036.92</v>
      </c>
      <c r="V298" s="60" t="n">
        <v>21.44881</v>
      </c>
      <c r="W298" s="112" t="n">
        <f aca="false">U298/V298</f>
        <v>16086.5297422095</v>
      </c>
      <c r="X298" s="112" t="n">
        <v>377</v>
      </c>
      <c r="Y298" s="28" t="n">
        <v>2.61</v>
      </c>
      <c r="Z298" s="62" t="s">
        <v>80</v>
      </c>
      <c r="AA298" s="38" t="n">
        <v>42247</v>
      </c>
      <c r="AB298" s="38" t="n">
        <v>42391</v>
      </c>
      <c r="AC298" s="38" t="n">
        <v>42397</v>
      </c>
      <c r="AD298" s="38" t="n">
        <v>44042</v>
      </c>
      <c r="AE298" s="143" t="n">
        <v>44041</v>
      </c>
      <c r="AF298" s="143" t="n">
        <v>44041</v>
      </c>
      <c r="AG298" s="63" t="n">
        <v>136980</v>
      </c>
      <c r="AH298" s="43"/>
      <c r="AI298" s="43" t="s">
        <v>3716</v>
      </c>
      <c r="AJ298" s="43"/>
      <c r="AK298" s="43"/>
      <c r="AL298" s="43"/>
      <c r="AM298" s="43"/>
      <c r="AN298" s="43"/>
    </row>
    <row r="299" s="2" customFormat="true" ht="12.75" hidden="false" customHeight="true" outlineLevel="0" collapsed="false">
      <c r="A299" s="26" t="n">
        <v>73</v>
      </c>
      <c r="B299" s="152" t="s">
        <v>3717</v>
      </c>
      <c r="C299" s="67" t="s">
        <v>3064</v>
      </c>
      <c r="D299" s="28" t="s">
        <v>46</v>
      </c>
      <c r="E299" s="43" t="n">
        <v>5.79</v>
      </c>
      <c r="F299" s="43" t="n">
        <v>1.2</v>
      </c>
      <c r="G299" s="43" t="n">
        <v>119</v>
      </c>
      <c r="H299" s="43" t="n">
        <v>2016</v>
      </c>
      <c r="I299" s="55" t="n">
        <v>1451</v>
      </c>
      <c r="J299" s="67" t="s">
        <v>74</v>
      </c>
      <c r="K299" s="30" t="s">
        <v>3718</v>
      </c>
      <c r="L299" s="100"/>
      <c r="M299" s="31" t="s">
        <v>3719</v>
      </c>
      <c r="N299" s="32" t="s">
        <v>2922</v>
      </c>
      <c r="O299" s="57" t="s">
        <v>1003</v>
      </c>
      <c r="P299" s="57" t="s">
        <v>52</v>
      </c>
      <c r="Q299" s="87" t="n">
        <v>1200</v>
      </c>
      <c r="R299" s="58" t="s">
        <v>189</v>
      </c>
      <c r="S299" s="69" t="n">
        <v>4171</v>
      </c>
      <c r="T299" s="35" t="s">
        <v>172</v>
      </c>
      <c r="U299" s="28" t="n">
        <v>345036.92</v>
      </c>
      <c r="V299" s="60" t="n">
        <v>21.44881</v>
      </c>
      <c r="W299" s="112" t="n">
        <f aca="false">U299/V299</f>
        <v>16086.5297422095</v>
      </c>
      <c r="X299" s="112" t="n">
        <v>377</v>
      </c>
      <c r="Y299" s="28" t="n">
        <v>2.61</v>
      </c>
      <c r="Z299" s="62" t="s">
        <v>80</v>
      </c>
      <c r="AA299" s="38" t="n">
        <v>42247</v>
      </c>
      <c r="AB299" s="38" t="n">
        <v>42391</v>
      </c>
      <c r="AC299" s="38" t="n">
        <v>42397</v>
      </c>
      <c r="AD299" s="50" t="n">
        <v>44039</v>
      </c>
      <c r="AE299" s="50" t="n">
        <v>44039</v>
      </c>
      <c r="AF299" s="50" t="n">
        <v>44039</v>
      </c>
      <c r="AG299" s="63" t="n">
        <v>146718</v>
      </c>
      <c r="AH299" s="43"/>
      <c r="AI299" s="43" t="s">
        <v>3720</v>
      </c>
      <c r="AJ299" s="43"/>
      <c r="AK299" s="43"/>
      <c r="AL299" s="43"/>
      <c r="AM299" s="43"/>
      <c r="AN299" s="43"/>
    </row>
    <row r="300" s="2" customFormat="true" ht="12.75" hidden="false" customHeight="true" outlineLevel="0" collapsed="false">
      <c r="A300" s="26" t="n">
        <v>74</v>
      </c>
      <c r="B300" s="152" t="s">
        <v>3721</v>
      </c>
      <c r="C300" s="67" t="s">
        <v>3064</v>
      </c>
      <c r="D300" s="28" t="s">
        <v>46</v>
      </c>
      <c r="E300" s="43" t="n">
        <v>5.79</v>
      </c>
      <c r="F300" s="43" t="n">
        <v>1.2</v>
      </c>
      <c r="G300" s="43" t="n">
        <v>119</v>
      </c>
      <c r="H300" s="43" t="n">
        <v>2016</v>
      </c>
      <c r="I300" s="55" t="n">
        <v>1451</v>
      </c>
      <c r="J300" s="67" t="s">
        <v>74</v>
      </c>
      <c r="K300" s="30" t="s">
        <v>3722</v>
      </c>
      <c r="L300" s="35"/>
      <c r="M300" s="31" t="s">
        <v>1574</v>
      </c>
      <c r="N300" s="32" t="s">
        <v>1090</v>
      </c>
      <c r="O300" s="57" t="s">
        <v>100</v>
      </c>
      <c r="P300" s="28" t="s">
        <v>593</v>
      </c>
      <c r="Q300" s="87" t="n">
        <v>7023</v>
      </c>
      <c r="R300" s="58" t="s">
        <v>171</v>
      </c>
      <c r="S300" s="69" t="n">
        <v>4133</v>
      </c>
      <c r="T300" s="35" t="s">
        <v>172</v>
      </c>
      <c r="U300" s="28" t="n">
        <v>345036.92</v>
      </c>
      <c r="V300" s="60" t="n">
        <v>21.44881</v>
      </c>
      <c r="W300" s="112" t="n">
        <f aca="false">U300/V300</f>
        <v>16086.5297422095</v>
      </c>
      <c r="X300" s="112" t="n">
        <v>377</v>
      </c>
      <c r="Y300" s="28" t="n">
        <v>2.61</v>
      </c>
      <c r="Z300" s="62" t="s">
        <v>80</v>
      </c>
      <c r="AA300" s="38" t="n">
        <v>42247</v>
      </c>
      <c r="AB300" s="38" t="n">
        <v>42391</v>
      </c>
      <c r="AC300" s="38" t="n">
        <v>42397</v>
      </c>
      <c r="AD300" s="50" t="n">
        <v>44040</v>
      </c>
      <c r="AE300" s="50" t="n">
        <v>44040</v>
      </c>
      <c r="AF300" s="50" t="n">
        <v>44040</v>
      </c>
      <c r="AG300" s="63" t="n">
        <v>109274</v>
      </c>
      <c r="AH300" s="43"/>
      <c r="AI300" s="43" t="s">
        <v>3723</v>
      </c>
      <c r="AJ300" s="43"/>
      <c r="AK300" s="43"/>
      <c r="AL300" s="43"/>
      <c r="AM300" s="43"/>
      <c r="AN300" s="43"/>
    </row>
    <row r="301" s="2" customFormat="true" ht="12.75" hidden="false" customHeight="true" outlineLevel="0" collapsed="false">
      <c r="A301" s="26" t="n">
        <v>112</v>
      </c>
      <c r="B301" s="152" t="s">
        <v>3724</v>
      </c>
      <c r="C301" s="43" t="s">
        <v>2997</v>
      </c>
      <c r="D301" s="28" t="s">
        <v>73</v>
      </c>
      <c r="E301" s="43" t="n">
        <v>5.36</v>
      </c>
      <c r="F301" s="43" t="n">
        <v>1.6</v>
      </c>
      <c r="G301" s="43" t="n">
        <v>112</v>
      </c>
      <c r="H301" s="43" t="n">
        <v>2016</v>
      </c>
      <c r="I301" s="55" t="n">
        <v>1451</v>
      </c>
      <c r="J301" s="43" t="s">
        <v>74</v>
      </c>
      <c r="K301" s="86" t="s">
        <v>2887</v>
      </c>
      <c r="L301" s="57"/>
      <c r="M301" s="31" t="s">
        <v>2726</v>
      </c>
      <c r="N301" s="32" t="s">
        <v>1285</v>
      </c>
      <c r="O301" s="57" t="s">
        <v>100</v>
      </c>
      <c r="P301" s="28" t="s">
        <v>2890</v>
      </c>
      <c r="Q301" s="87" t="n">
        <v>1000</v>
      </c>
      <c r="R301" s="58" t="s">
        <v>171</v>
      </c>
      <c r="S301" s="69" t="n">
        <v>4130</v>
      </c>
      <c r="T301" s="35" t="s">
        <v>123</v>
      </c>
      <c r="U301" s="28" t="n">
        <v>405159.93</v>
      </c>
      <c r="V301" s="60" t="n">
        <v>25.196137</v>
      </c>
      <c r="W301" s="112" t="n">
        <f aca="false">U301/V301</f>
        <v>16080.239998695</v>
      </c>
      <c r="X301" s="112" t="n">
        <v>321.2</v>
      </c>
      <c r="Y301" s="28" t="n">
        <v>2.72</v>
      </c>
      <c r="Z301" s="62" t="s">
        <v>80</v>
      </c>
      <c r="AA301" s="38" t="n">
        <v>42501</v>
      </c>
      <c r="AB301" s="38" t="n">
        <v>42601</v>
      </c>
      <c r="AC301" s="38" t="n">
        <v>42600</v>
      </c>
      <c r="AD301" s="50" t="n">
        <v>44061</v>
      </c>
      <c r="AE301" s="143" t="n">
        <v>44050</v>
      </c>
      <c r="AF301" s="143" t="n">
        <v>44050</v>
      </c>
      <c r="AG301" s="63" t="n">
        <v>86163</v>
      </c>
      <c r="AH301" s="43"/>
      <c r="AI301" s="43" t="s">
        <v>3725</v>
      </c>
      <c r="AJ301" s="43"/>
      <c r="AK301" s="43"/>
      <c r="AL301" s="43"/>
      <c r="AM301" s="43"/>
      <c r="AN301" s="43"/>
    </row>
    <row r="302" s="2" customFormat="true" ht="12.75" hidden="false" customHeight="true" outlineLevel="0" collapsed="false">
      <c r="A302" s="26" t="n">
        <v>115</v>
      </c>
      <c r="B302" s="152" t="s">
        <v>3726</v>
      </c>
      <c r="C302" s="26" t="s">
        <v>3727</v>
      </c>
      <c r="D302" s="57" t="s">
        <v>73</v>
      </c>
      <c r="E302" s="26" t="n">
        <v>7.4</v>
      </c>
      <c r="F302" s="26" t="n">
        <v>2</v>
      </c>
      <c r="G302" s="26" t="n">
        <v>179</v>
      </c>
      <c r="H302" s="26" t="n">
        <v>2016</v>
      </c>
      <c r="I302" s="55" t="n">
        <v>1451</v>
      </c>
      <c r="J302" s="157" t="s">
        <v>74</v>
      </c>
      <c r="K302" s="30" t="s">
        <v>3728</v>
      </c>
      <c r="L302" s="69"/>
      <c r="M302" s="31" t="s">
        <v>3729</v>
      </c>
      <c r="N302" s="32" t="s">
        <v>131</v>
      </c>
      <c r="O302" s="57" t="s">
        <v>100</v>
      </c>
      <c r="P302" s="57" t="s">
        <v>100</v>
      </c>
      <c r="Q302" s="87" t="n">
        <v>4000</v>
      </c>
      <c r="R302" s="58" t="s">
        <v>78</v>
      </c>
      <c r="S302" s="69" t="n">
        <v>5311</v>
      </c>
      <c r="T302" s="59" t="s">
        <v>79</v>
      </c>
      <c r="U302" s="28" t="n">
        <v>686474.8</v>
      </c>
      <c r="V302" s="60" t="n">
        <v>25.196137</v>
      </c>
      <c r="W302" s="112" t="n">
        <f aca="false">U302/V302</f>
        <v>27245.240014372</v>
      </c>
      <c r="X302" s="112" t="n">
        <v>600.12</v>
      </c>
      <c r="Y302" s="28" t="n">
        <v>2.76</v>
      </c>
      <c r="Z302" s="62" t="s">
        <v>80</v>
      </c>
      <c r="AA302" s="38" t="n">
        <v>42501</v>
      </c>
      <c r="AB302" s="38" t="n">
        <v>42602</v>
      </c>
      <c r="AC302" s="38" t="n">
        <v>42600</v>
      </c>
      <c r="AD302" s="50" t="n">
        <v>44061</v>
      </c>
      <c r="AE302" s="143" t="n">
        <v>44055</v>
      </c>
      <c r="AF302" s="143" t="n">
        <v>44055</v>
      </c>
      <c r="AG302" s="63" t="n">
        <v>215652</v>
      </c>
      <c r="AH302" s="43"/>
      <c r="AI302" s="43" t="s">
        <v>3730</v>
      </c>
      <c r="AJ302" s="43"/>
      <c r="AK302" s="43"/>
      <c r="AL302" s="43"/>
      <c r="AM302" s="43"/>
      <c r="AN302" s="43"/>
    </row>
    <row r="303" s="2" customFormat="true" ht="12.75" hidden="false" customHeight="true" outlineLevel="0" collapsed="false">
      <c r="A303" s="26" t="n">
        <v>42</v>
      </c>
      <c r="B303" s="152" t="s">
        <v>3731</v>
      </c>
      <c r="C303" s="43" t="s">
        <v>2997</v>
      </c>
      <c r="D303" s="28" t="s">
        <v>73</v>
      </c>
      <c r="E303" s="43" t="n">
        <v>5.36</v>
      </c>
      <c r="F303" s="43" t="n">
        <v>1.6</v>
      </c>
      <c r="G303" s="43" t="n">
        <v>112</v>
      </c>
      <c r="H303" s="43" t="n">
        <v>2015</v>
      </c>
      <c r="I303" s="55" t="n">
        <v>1451</v>
      </c>
      <c r="J303" s="43" t="s">
        <v>74</v>
      </c>
      <c r="K303" s="30" t="s">
        <v>2260</v>
      </c>
      <c r="L303" s="57"/>
      <c r="M303" s="31" t="s">
        <v>2261</v>
      </c>
      <c r="N303" s="32" t="s">
        <v>2262</v>
      </c>
      <c r="O303" s="57" t="s">
        <v>100</v>
      </c>
      <c r="P303" s="57" t="s">
        <v>2890</v>
      </c>
      <c r="Q303" s="57" t="n">
        <v>1000</v>
      </c>
      <c r="R303" s="58" t="s">
        <v>405</v>
      </c>
      <c r="S303" s="69" t="n">
        <v>4290</v>
      </c>
      <c r="T303" s="69" t="n">
        <v>5</v>
      </c>
      <c r="U303" s="28" t="n">
        <v>380384.56</v>
      </c>
      <c r="V303" s="60" t="n">
        <v>21.44881</v>
      </c>
      <c r="W303" s="112" t="n">
        <f aca="false">U303/V303</f>
        <v>17734.5297944268</v>
      </c>
      <c r="X303" s="112" t="n">
        <v>402.79</v>
      </c>
      <c r="Y303" s="28" t="n">
        <v>2.69</v>
      </c>
      <c r="Z303" s="62" t="s">
        <v>80</v>
      </c>
      <c r="AA303" s="51" t="n">
        <v>42353</v>
      </c>
      <c r="AB303" s="38" t="n">
        <v>42366</v>
      </c>
      <c r="AC303" s="38" t="n">
        <v>42368</v>
      </c>
      <c r="AD303" s="50" t="n">
        <v>44073</v>
      </c>
      <c r="AE303" s="143" t="n">
        <v>44057</v>
      </c>
      <c r="AF303" s="143" t="n">
        <v>44057</v>
      </c>
      <c r="AG303" s="63" t="n">
        <v>112551</v>
      </c>
      <c r="AH303" s="43"/>
      <c r="AI303" s="43" t="s">
        <v>3732</v>
      </c>
      <c r="AJ303" s="43"/>
      <c r="AK303" s="43"/>
      <c r="AL303" s="43"/>
      <c r="AM303" s="43"/>
      <c r="AN303" s="43"/>
    </row>
    <row r="304" s="2" customFormat="true" ht="12.75" hidden="false" customHeight="true" outlineLevel="0" collapsed="false">
      <c r="A304" s="26" t="n">
        <v>16</v>
      </c>
      <c r="B304" s="152" t="s">
        <v>3733</v>
      </c>
      <c r="C304" s="43" t="s">
        <v>2997</v>
      </c>
      <c r="D304" s="28" t="s">
        <v>73</v>
      </c>
      <c r="E304" s="43" t="n">
        <v>5.36</v>
      </c>
      <c r="F304" s="43" t="n">
        <v>1.6</v>
      </c>
      <c r="G304" s="43" t="n">
        <v>112</v>
      </c>
      <c r="H304" s="43" t="n">
        <v>2015</v>
      </c>
      <c r="I304" s="55" t="n">
        <v>1451</v>
      </c>
      <c r="J304" s="43" t="s">
        <v>74</v>
      </c>
      <c r="K304" s="30" t="s">
        <v>2394</v>
      </c>
      <c r="L304" s="35"/>
      <c r="M304" s="31" t="s">
        <v>2395</v>
      </c>
      <c r="N304" s="32" t="s">
        <v>1732</v>
      </c>
      <c r="O304" s="28" t="s">
        <v>60</v>
      </c>
      <c r="P304" s="28" t="s">
        <v>61</v>
      </c>
      <c r="Q304" s="33" t="n">
        <v>9000</v>
      </c>
      <c r="R304" s="34" t="s">
        <v>171</v>
      </c>
      <c r="S304" s="35" t="n">
        <v>4198</v>
      </c>
      <c r="T304" s="59" t="s">
        <v>123</v>
      </c>
      <c r="U304" s="28" t="n">
        <v>440182.69</v>
      </c>
      <c r="V304" s="60" t="n">
        <v>24.820658</v>
      </c>
      <c r="W304" s="60"/>
      <c r="X304" s="112" t="n">
        <f aca="false">U304/V304</f>
        <v>17734.529439147</v>
      </c>
      <c r="Y304" s="112" t="n">
        <v>401.43</v>
      </c>
      <c r="Z304" s="28" t="n">
        <v>2.49</v>
      </c>
      <c r="AA304" s="62" t="s">
        <v>80</v>
      </c>
      <c r="AB304" s="38" t="n">
        <v>42067</v>
      </c>
      <c r="AC304" s="38" t="n">
        <v>42295</v>
      </c>
      <c r="AD304" s="38" t="n">
        <v>42306</v>
      </c>
      <c r="AE304" s="38" t="n">
        <v>44072</v>
      </c>
      <c r="AF304" s="38" t="n">
        <v>44069</v>
      </c>
      <c r="AG304" s="63" t="n">
        <v>128863</v>
      </c>
      <c r="AH304" s="63"/>
      <c r="AI304" s="43"/>
      <c r="AJ304" s="43" t="s">
        <v>3734</v>
      </c>
      <c r="AK304" s="43"/>
      <c r="AL304" s="43"/>
      <c r="AM304" s="43"/>
      <c r="AN304" s="43"/>
      <c r="AO304" s="43"/>
    </row>
    <row r="305" s="2" customFormat="true" ht="12.75" hidden="false" customHeight="true" outlineLevel="0" collapsed="false">
      <c r="A305" s="26" t="n">
        <v>72</v>
      </c>
      <c r="B305" s="152" t="s">
        <v>3735</v>
      </c>
      <c r="C305" s="43" t="s">
        <v>2997</v>
      </c>
      <c r="D305" s="28" t="s">
        <v>73</v>
      </c>
      <c r="E305" s="43" t="n">
        <v>5.36</v>
      </c>
      <c r="F305" s="43" t="n">
        <v>1.6</v>
      </c>
      <c r="G305" s="43" t="n">
        <v>112</v>
      </c>
      <c r="H305" s="43" t="n">
        <v>2016</v>
      </c>
      <c r="I305" s="55" t="n">
        <v>1451</v>
      </c>
      <c r="J305" s="43" t="s">
        <v>74</v>
      </c>
      <c r="K305" s="30" t="s">
        <v>2015</v>
      </c>
      <c r="L305" s="69"/>
      <c r="M305" s="31" t="s">
        <v>2016</v>
      </c>
      <c r="N305" s="32" t="s">
        <v>1732</v>
      </c>
      <c r="O305" s="57" t="s">
        <v>197</v>
      </c>
      <c r="P305" s="57" t="s">
        <v>2923</v>
      </c>
      <c r="Q305" s="87" t="n">
        <v>9000</v>
      </c>
      <c r="R305" s="58" t="s">
        <v>144</v>
      </c>
      <c r="S305" s="69" t="n">
        <v>4194</v>
      </c>
      <c r="T305" s="59" t="s">
        <v>123</v>
      </c>
      <c r="U305" s="28" t="n">
        <v>405159.93</v>
      </c>
      <c r="V305" s="60" t="n">
        <v>25.196137</v>
      </c>
      <c r="W305" s="60"/>
      <c r="X305" s="112" t="n">
        <f aca="false">U305/V305</f>
        <v>16080.239998695</v>
      </c>
      <c r="Y305" s="112" t="n">
        <v>321.2</v>
      </c>
      <c r="Z305" s="28" t="n">
        <v>2.72</v>
      </c>
      <c r="AA305" s="62" t="s">
        <v>80</v>
      </c>
      <c r="AB305" s="38" t="n">
        <v>42501</v>
      </c>
      <c r="AC305" s="38" t="n">
        <v>42601</v>
      </c>
      <c r="AD305" s="38" t="n">
        <v>42600</v>
      </c>
      <c r="AE305" s="50" t="n">
        <v>44061</v>
      </c>
      <c r="AF305" s="38" t="n">
        <v>44069</v>
      </c>
      <c r="AG305" s="63" t="n">
        <v>81953</v>
      </c>
      <c r="AH305" s="63"/>
      <c r="AI305" s="43"/>
      <c r="AJ305" s="43" t="s">
        <v>3736</v>
      </c>
      <c r="AK305" s="43"/>
      <c r="AL305" s="43"/>
      <c r="AM305" s="43"/>
      <c r="AN305" s="43"/>
      <c r="AO305" s="43"/>
    </row>
    <row r="306" s="2" customFormat="true" ht="12.75" hidden="false" customHeight="true" outlineLevel="0" collapsed="false">
      <c r="A306" s="26" t="n">
        <v>42</v>
      </c>
      <c r="B306" s="227" t="s">
        <v>3737</v>
      </c>
      <c r="C306" s="248" t="s">
        <v>3738</v>
      </c>
      <c r="D306" s="70" t="s">
        <v>46</v>
      </c>
      <c r="E306" s="43" t="n">
        <v>7</v>
      </c>
      <c r="F306" s="55" t="n">
        <v>1.4</v>
      </c>
      <c r="G306" s="55" t="n">
        <v>123</v>
      </c>
      <c r="H306" s="55" t="n">
        <v>2016</v>
      </c>
      <c r="I306" s="55" t="n">
        <v>1451</v>
      </c>
      <c r="J306" s="248" t="s">
        <v>74</v>
      </c>
      <c r="K306" s="30" t="s">
        <v>3739</v>
      </c>
      <c r="L306" s="5"/>
      <c r="M306" s="31" t="s">
        <v>447</v>
      </c>
      <c r="N306" s="32" t="s">
        <v>448</v>
      </c>
      <c r="O306" s="93" t="s">
        <v>100</v>
      </c>
      <c r="P306" s="93" t="s">
        <v>2890</v>
      </c>
      <c r="Q306" s="79" t="n">
        <v>1000</v>
      </c>
      <c r="R306" s="58" t="s">
        <v>405</v>
      </c>
      <c r="S306" s="69" t="n">
        <v>4290</v>
      </c>
      <c r="T306" s="59" t="s">
        <v>421</v>
      </c>
      <c r="U306" s="28" t="n">
        <v>636337.49</v>
      </c>
      <c r="V306" s="60" t="n">
        <v>23.860094</v>
      </c>
      <c r="W306" s="60"/>
      <c r="X306" s="112" t="n">
        <f aca="false">U306/V306</f>
        <v>26669.5298853391</v>
      </c>
      <c r="Y306" s="112" t="n">
        <v>569.62</v>
      </c>
      <c r="Z306" s="28" t="n">
        <v>2.67</v>
      </c>
      <c r="AA306" s="62" t="s">
        <v>80</v>
      </c>
      <c r="AB306" s="38" t="n">
        <v>42359</v>
      </c>
      <c r="AC306" s="38" t="n">
        <v>42460</v>
      </c>
      <c r="AD306" s="38" t="n">
        <v>42454</v>
      </c>
      <c r="AE306" s="50" t="n">
        <v>44068</v>
      </c>
      <c r="AF306" s="38" t="n">
        <v>44071</v>
      </c>
      <c r="AG306" s="63" t="n">
        <v>83936</v>
      </c>
      <c r="AH306" s="63"/>
      <c r="AI306" s="43"/>
      <c r="AJ306" s="43" t="s">
        <v>3740</v>
      </c>
      <c r="AK306" s="43"/>
      <c r="AL306" s="43"/>
      <c r="AM306" s="43"/>
      <c r="AN306" s="43"/>
      <c r="AO306" s="43"/>
    </row>
    <row r="307" s="2" customFormat="true" ht="12.75" hidden="false" customHeight="true" outlineLevel="0" collapsed="false">
      <c r="A307" s="26" t="n">
        <v>38</v>
      </c>
      <c r="B307" s="152" t="s">
        <v>3741</v>
      </c>
      <c r="C307" s="43" t="s">
        <v>2997</v>
      </c>
      <c r="D307" s="28" t="s">
        <v>73</v>
      </c>
      <c r="E307" s="43" t="n">
        <v>5.36</v>
      </c>
      <c r="F307" s="43" t="n">
        <v>1.6</v>
      </c>
      <c r="G307" s="43" t="n">
        <v>112</v>
      </c>
      <c r="H307" s="43" t="n">
        <v>2015</v>
      </c>
      <c r="I307" s="55" t="n">
        <v>1451</v>
      </c>
      <c r="J307" s="43" t="s">
        <v>74</v>
      </c>
      <c r="K307" s="30" t="s">
        <v>3742</v>
      </c>
      <c r="L307" s="69"/>
      <c r="M307" s="31" t="s">
        <v>3743</v>
      </c>
      <c r="N307" s="32" t="s">
        <v>1732</v>
      </c>
      <c r="O307" s="93" t="s">
        <v>100</v>
      </c>
      <c r="P307" s="57" t="s">
        <v>2890</v>
      </c>
      <c r="Q307" s="83" t="n">
        <v>1000</v>
      </c>
      <c r="R307" s="34" t="s">
        <v>171</v>
      </c>
      <c r="S307" s="69" t="n">
        <v>4140</v>
      </c>
      <c r="T307" s="35" t="s">
        <v>123</v>
      </c>
      <c r="U307" s="28" t="n">
        <v>380384.56</v>
      </c>
      <c r="V307" s="60" t="n">
        <v>21.44881</v>
      </c>
      <c r="W307" s="60"/>
      <c r="X307" s="112" t="n">
        <f aca="false">U307/V307</f>
        <v>17734.5297944268</v>
      </c>
      <c r="Y307" s="112" t="n">
        <v>402.79</v>
      </c>
      <c r="Z307" s="146" t="s">
        <v>3744</v>
      </c>
      <c r="AA307" s="62" t="s">
        <v>80</v>
      </c>
      <c r="AB307" s="38" t="n">
        <v>42296</v>
      </c>
      <c r="AC307" s="38" t="n">
        <v>42365</v>
      </c>
      <c r="AD307" s="38" t="n">
        <v>42363</v>
      </c>
      <c r="AE307" s="38" t="n">
        <v>44068</v>
      </c>
      <c r="AF307" s="38" t="n">
        <v>44071</v>
      </c>
      <c r="AG307" s="63" t="n">
        <v>136266</v>
      </c>
      <c r="AH307" s="63"/>
      <c r="AI307" s="43"/>
      <c r="AJ307" s="43" t="s">
        <v>3745</v>
      </c>
      <c r="AK307" s="43"/>
      <c r="AL307" s="43"/>
      <c r="AM307" s="43"/>
      <c r="AN307" s="43"/>
      <c r="AO307" s="43"/>
    </row>
    <row r="308" s="2" customFormat="true" ht="12.75" hidden="false" customHeight="true" outlineLevel="0" collapsed="false">
      <c r="A308" s="26" t="n">
        <v>39</v>
      </c>
      <c r="B308" s="152" t="s">
        <v>3746</v>
      </c>
      <c r="C308" s="43" t="s">
        <v>2997</v>
      </c>
      <c r="D308" s="28" t="s">
        <v>73</v>
      </c>
      <c r="E308" s="43" t="n">
        <v>5.36</v>
      </c>
      <c r="F308" s="43" t="n">
        <v>1.6</v>
      </c>
      <c r="G308" s="43" t="n">
        <v>112</v>
      </c>
      <c r="H308" s="43" t="n">
        <v>2015</v>
      </c>
      <c r="I308" s="55" t="n">
        <v>1451</v>
      </c>
      <c r="J308" s="43" t="s">
        <v>74</v>
      </c>
      <c r="K308" s="30" t="s">
        <v>2468</v>
      </c>
      <c r="L308" s="69"/>
      <c r="M308" s="31" t="s">
        <v>2469</v>
      </c>
      <c r="N308" s="32" t="s">
        <v>3747</v>
      </c>
      <c r="O308" s="93" t="s">
        <v>100</v>
      </c>
      <c r="P308" s="57" t="s">
        <v>2890</v>
      </c>
      <c r="Q308" s="87" t="n">
        <v>1000</v>
      </c>
      <c r="R308" s="58" t="s">
        <v>1311</v>
      </c>
      <c r="S308" s="69" t="n">
        <v>4140</v>
      </c>
      <c r="T308" s="59" t="s">
        <v>123</v>
      </c>
      <c r="U308" s="28" t="n">
        <v>380384.56</v>
      </c>
      <c r="V308" s="60" t="n">
        <v>21.44881</v>
      </c>
      <c r="W308" s="60"/>
      <c r="X308" s="112" t="n">
        <f aca="false">U308/V308</f>
        <v>17734.5297944268</v>
      </c>
      <c r="Y308" s="112" t="n">
        <v>402.79</v>
      </c>
      <c r="Z308" s="146" t="s">
        <v>3744</v>
      </c>
      <c r="AA308" s="62" t="s">
        <v>80</v>
      </c>
      <c r="AB308" s="38" t="n">
        <v>42296</v>
      </c>
      <c r="AC308" s="38" t="n">
        <v>42365</v>
      </c>
      <c r="AD308" s="38" t="n">
        <v>42363</v>
      </c>
      <c r="AE308" s="38" t="n">
        <v>44068</v>
      </c>
      <c r="AF308" s="38" t="n">
        <v>44071</v>
      </c>
      <c r="AG308" s="63" t="n">
        <v>139345</v>
      </c>
      <c r="AH308" s="63"/>
      <c r="AI308" s="43"/>
      <c r="AJ308" s="43" t="s">
        <v>3748</v>
      </c>
      <c r="AK308" s="43"/>
      <c r="AL308" s="43"/>
      <c r="AM308" s="43"/>
      <c r="AN308" s="43"/>
      <c r="AO308" s="43"/>
    </row>
    <row r="309" s="2" customFormat="true" ht="12.75" hidden="false" customHeight="true" outlineLevel="0" collapsed="false">
      <c r="A309" s="26" t="n">
        <v>40</v>
      </c>
      <c r="B309" s="152" t="s">
        <v>3749</v>
      </c>
      <c r="C309" s="43" t="s">
        <v>2997</v>
      </c>
      <c r="D309" s="28" t="s">
        <v>73</v>
      </c>
      <c r="E309" s="43" t="n">
        <v>5.36</v>
      </c>
      <c r="F309" s="43" t="n">
        <v>1.6</v>
      </c>
      <c r="G309" s="43" t="n">
        <v>112</v>
      </c>
      <c r="H309" s="43" t="n">
        <v>2015</v>
      </c>
      <c r="I309" s="55" t="n">
        <v>1451</v>
      </c>
      <c r="J309" s="43" t="s">
        <v>74</v>
      </c>
      <c r="K309" s="30" t="s">
        <v>2325</v>
      </c>
      <c r="L309" s="69"/>
      <c r="M309" s="31" t="s">
        <v>2326</v>
      </c>
      <c r="N309" s="32" t="s">
        <v>3407</v>
      </c>
      <c r="O309" s="57" t="s">
        <v>100</v>
      </c>
      <c r="P309" s="57" t="s">
        <v>593</v>
      </c>
      <c r="Q309" s="87" t="n">
        <v>4000</v>
      </c>
      <c r="R309" s="58" t="s">
        <v>92</v>
      </c>
      <c r="S309" s="69" t="n">
        <v>4143</v>
      </c>
      <c r="T309" s="59" t="s">
        <v>123</v>
      </c>
      <c r="U309" s="28" t="n">
        <v>380384.56</v>
      </c>
      <c r="V309" s="60" t="n">
        <v>21.44881</v>
      </c>
      <c r="W309" s="60"/>
      <c r="X309" s="112" t="n">
        <f aca="false">U309/V309</f>
        <v>17734.5297944268</v>
      </c>
      <c r="Y309" s="112" t="n">
        <v>402.79</v>
      </c>
      <c r="Z309" s="146" t="s">
        <v>3744</v>
      </c>
      <c r="AA309" s="62" t="s">
        <v>80</v>
      </c>
      <c r="AB309" s="38" t="n">
        <v>42296</v>
      </c>
      <c r="AC309" s="38" t="n">
        <v>42365</v>
      </c>
      <c r="AD309" s="38" t="n">
        <v>42363</v>
      </c>
      <c r="AE309" s="38" t="n">
        <v>44068</v>
      </c>
      <c r="AF309" s="38" t="n">
        <v>44071</v>
      </c>
      <c r="AG309" s="63" t="n">
        <v>183184</v>
      </c>
      <c r="AH309" s="63"/>
      <c r="AI309" s="43"/>
      <c r="AJ309" s="43" t="s">
        <v>3750</v>
      </c>
      <c r="AK309" s="43"/>
      <c r="AL309" s="43"/>
      <c r="AM309" s="43"/>
      <c r="AN309" s="43"/>
      <c r="AO309" s="43"/>
    </row>
    <row r="310" s="2" customFormat="true" ht="12.75" hidden="false" customHeight="true" outlineLevel="0" collapsed="false">
      <c r="A310" s="26" t="n">
        <v>41</v>
      </c>
      <c r="B310" s="227" t="s">
        <v>3751</v>
      </c>
      <c r="C310" s="55" t="s">
        <v>2997</v>
      </c>
      <c r="D310" s="70" t="s">
        <v>73</v>
      </c>
      <c r="E310" s="43" t="n">
        <v>5.36</v>
      </c>
      <c r="F310" s="55" t="n">
        <v>1.6</v>
      </c>
      <c r="G310" s="43" t="n">
        <v>112</v>
      </c>
      <c r="H310" s="55" t="n">
        <v>2015</v>
      </c>
      <c r="I310" s="55" t="n">
        <v>1451</v>
      </c>
      <c r="J310" s="55" t="s">
        <v>74</v>
      </c>
      <c r="K310" s="30" t="s">
        <v>2484</v>
      </c>
      <c r="L310" s="69"/>
      <c r="M310" s="31" t="s">
        <v>2485</v>
      </c>
      <c r="N310" s="32" t="s">
        <v>3752</v>
      </c>
      <c r="O310" s="57" t="s">
        <v>100</v>
      </c>
      <c r="P310" s="57" t="s">
        <v>2890</v>
      </c>
      <c r="Q310" s="87" t="n">
        <v>1000</v>
      </c>
      <c r="R310" s="34" t="s">
        <v>413</v>
      </c>
      <c r="S310" s="69" t="n">
        <v>4170</v>
      </c>
      <c r="T310" s="59" t="s">
        <v>123</v>
      </c>
      <c r="U310" s="70" t="n">
        <v>380384.56</v>
      </c>
      <c r="V310" s="167" t="n">
        <v>21.44881</v>
      </c>
      <c r="W310" s="167"/>
      <c r="X310" s="206" t="n">
        <f aca="false">U310/V310</f>
        <v>17734.5297944268</v>
      </c>
      <c r="Y310" s="206" t="n">
        <v>402.79</v>
      </c>
      <c r="Z310" s="146" t="s">
        <v>3744</v>
      </c>
      <c r="AA310" s="170" t="s">
        <v>80</v>
      </c>
      <c r="AB310" s="51" t="n">
        <v>42296</v>
      </c>
      <c r="AC310" s="38" t="n">
        <v>42365</v>
      </c>
      <c r="AD310" s="38" t="n">
        <v>42363</v>
      </c>
      <c r="AE310" s="38" t="n">
        <v>44068</v>
      </c>
      <c r="AF310" s="38" t="n">
        <v>44071</v>
      </c>
      <c r="AG310" s="63" t="n">
        <v>184854</v>
      </c>
      <c r="AH310" s="63"/>
      <c r="AI310" s="43"/>
      <c r="AJ310" s="43" t="s">
        <v>3753</v>
      </c>
      <c r="AK310" s="43"/>
      <c r="AL310" s="43"/>
      <c r="AM310" s="43"/>
      <c r="AN310" s="43"/>
      <c r="AO310" s="43"/>
    </row>
    <row r="311" s="2" customFormat="true" ht="12.75" hidden="false" customHeight="true" outlineLevel="0" collapsed="false">
      <c r="A311" s="26" t="n">
        <v>7</v>
      </c>
      <c r="B311" s="152" t="s">
        <v>3754</v>
      </c>
      <c r="C311" s="43" t="s">
        <v>2997</v>
      </c>
      <c r="D311" s="28" t="s">
        <v>73</v>
      </c>
      <c r="E311" s="43" t="n">
        <v>5.36</v>
      </c>
      <c r="F311" s="43" t="n">
        <v>1.6</v>
      </c>
      <c r="G311" s="43" t="n">
        <v>112</v>
      </c>
      <c r="H311" s="43" t="n">
        <v>2015</v>
      </c>
      <c r="I311" s="55" t="n">
        <v>1451</v>
      </c>
      <c r="J311" s="43" t="s">
        <v>74</v>
      </c>
      <c r="K311" s="30" t="s">
        <v>2286</v>
      </c>
      <c r="L311" s="35"/>
      <c r="M311" s="31" t="s">
        <v>2287</v>
      </c>
      <c r="N311" s="32" t="s">
        <v>2478</v>
      </c>
      <c r="O311" s="28" t="s">
        <v>100</v>
      </c>
      <c r="P311" s="28" t="s">
        <v>2890</v>
      </c>
      <c r="Q311" s="33" t="n">
        <v>1000</v>
      </c>
      <c r="R311" s="34" t="s">
        <v>413</v>
      </c>
      <c r="S311" s="35" t="n">
        <v>4170</v>
      </c>
      <c r="T311" s="59" t="s">
        <v>123</v>
      </c>
      <c r="U311" s="28" t="n">
        <v>440182.69</v>
      </c>
      <c r="V311" s="60" t="n">
        <v>24.820658</v>
      </c>
      <c r="W311" s="60"/>
      <c r="X311" s="112" t="n">
        <f aca="false">U311/V311</f>
        <v>17734.529439147</v>
      </c>
      <c r="Y311" s="112" t="n">
        <v>401.43</v>
      </c>
      <c r="Z311" s="28" t="n">
        <v>2.49</v>
      </c>
      <c r="AA311" s="62" t="s">
        <v>80</v>
      </c>
      <c r="AB311" s="38" t="n">
        <v>42067</v>
      </c>
      <c r="AC311" s="38" t="n">
        <v>42295</v>
      </c>
      <c r="AD311" s="38" t="n">
        <v>42306</v>
      </c>
      <c r="AE311" s="38" t="n">
        <v>44072</v>
      </c>
      <c r="AF311" s="38" t="n">
        <v>44071</v>
      </c>
      <c r="AG311" s="63" t="n">
        <v>113334</v>
      </c>
      <c r="AH311" s="63"/>
      <c r="AI311" s="43"/>
      <c r="AJ311" s="43" t="s">
        <v>3755</v>
      </c>
      <c r="AK311" s="43"/>
      <c r="AL311" s="43"/>
      <c r="AM311" s="43"/>
      <c r="AN311" s="43"/>
      <c r="AO311" s="43"/>
    </row>
    <row r="312" s="2" customFormat="true" ht="13.5" hidden="false" customHeight="true" outlineLevel="0" collapsed="false">
      <c r="A312" s="26" t="n">
        <v>23</v>
      </c>
      <c r="B312" s="152" t="s">
        <v>3756</v>
      </c>
      <c r="C312" s="43" t="s">
        <v>2997</v>
      </c>
      <c r="D312" s="28" t="s">
        <v>73</v>
      </c>
      <c r="E312" s="43" t="n">
        <v>5.36</v>
      </c>
      <c r="F312" s="43" t="n">
        <v>1.6</v>
      </c>
      <c r="G312" s="43" t="n">
        <v>112</v>
      </c>
      <c r="H312" s="43" t="n">
        <v>2015</v>
      </c>
      <c r="I312" s="55" t="n">
        <v>1451</v>
      </c>
      <c r="J312" s="43" t="s">
        <v>74</v>
      </c>
      <c r="K312" s="30" t="s">
        <v>2370</v>
      </c>
      <c r="L312" s="35"/>
      <c r="M312" s="31" t="s">
        <v>2371</v>
      </c>
      <c r="N312" s="32" t="s">
        <v>1717</v>
      </c>
      <c r="O312" s="28" t="s">
        <v>142</v>
      </c>
      <c r="P312" s="28" t="s">
        <v>2896</v>
      </c>
      <c r="Q312" s="33" t="n">
        <v>7061</v>
      </c>
      <c r="R312" s="68" t="s">
        <v>171</v>
      </c>
      <c r="S312" s="35" t="n">
        <v>4136</v>
      </c>
      <c r="T312" s="59" t="s">
        <v>123</v>
      </c>
      <c r="U312" s="28" t="n">
        <v>380384.56</v>
      </c>
      <c r="V312" s="60" t="n">
        <v>21.44881</v>
      </c>
      <c r="W312" s="60"/>
      <c r="X312" s="112" t="n">
        <f aca="false">U312/V312</f>
        <v>17734.5297944268</v>
      </c>
      <c r="Y312" s="112" t="n">
        <v>402.79</v>
      </c>
      <c r="Z312" s="28" t="n">
        <v>2.51</v>
      </c>
      <c r="AA312" s="62" t="s">
        <v>80</v>
      </c>
      <c r="AB312" s="38" t="n">
        <v>42193</v>
      </c>
      <c r="AC312" s="38" t="n">
        <v>42342</v>
      </c>
      <c r="AD312" s="38" t="n">
        <v>42338</v>
      </c>
      <c r="AE312" s="38" t="n">
        <v>44072</v>
      </c>
      <c r="AF312" s="38" t="n">
        <v>44071</v>
      </c>
      <c r="AG312" s="63" t="n">
        <v>167301</v>
      </c>
      <c r="AH312" s="63"/>
      <c r="AI312" s="43"/>
      <c r="AJ312" s="43" t="s">
        <v>3757</v>
      </c>
      <c r="AK312" s="43"/>
      <c r="AL312" s="43"/>
      <c r="AM312" s="43"/>
      <c r="AN312" s="43"/>
      <c r="AO312" s="43"/>
    </row>
    <row r="313" s="2" customFormat="true" ht="14.25" hidden="false" customHeight="true" outlineLevel="0" collapsed="false">
      <c r="A313" s="26" t="n">
        <v>186</v>
      </c>
      <c r="B313" s="152" t="s">
        <v>3758</v>
      </c>
      <c r="C313" s="43" t="s">
        <v>2997</v>
      </c>
      <c r="D313" s="28" t="s">
        <v>73</v>
      </c>
      <c r="E313" s="43" t="n">
        <v>5.36</v>
      </c>
      <c r="F313" s="43" t="n">
        <v>1.6</v>
      </c>
      <c r="G313" s="43" t="n">
        <v>112</v>
      </c>
      <c r="H313" s="43" t="n">
        <v>2015</v>
      </c>
      <c r="I313" s="55" t="n">
        <v>1451</v>
      </c>
      <c r="J313" s="43" t="s">
        <v>74</v>
      </c>
      <c r="K313" s="30" t="s">
        <v>2377</v>
      </c>
      <c r="L313" s="59"/>
      <c r="M313" s="31" t="s">
        <v>2378</v>
      </c>
      <c r="N313" s="32" t="s">
        <v>2379</v>
      </c>
      <c r="O313" s="28" t="s">
        <v>100</v>
      </c>
      <c r="P313" s="28" t="s">
        <v>2890</v>
      </c>
      <c r="Q313" s="33" t="n">
        <v>1000</v>
      </c>
      <c r="R313" s="34" t="s">
        <v>457</v>
      </c>
      <c r="S313" s="35" t="n">
        <v>5220</v>
      </c>
      <c r="T313" s="69" t="n">
        <v>5</v>
      </c>
      <c r="U313" s="28" t="n">
        <v>380384.56</v>
      </c>
      <c r="V313" s="60" t="n">
        <v>21.44881</v>
      </c>
      <c r="W313" s="60"/>
      <c r="X313" s="112" t="n">
        <f aca="false">U313/V313</f>
        <v>17734.5297944268</v>
      </c>
      <c r="Y313" s="112" t="n">
        <v>402.79</v>
      </c>
      <c r="Z313" s="28" t="n">
        <v>2.51</v>
      </c>
      <c r="AA313" s="62" t="s">
        <v>80</v>
      </c>
      <c r="AB313" s="38" t="n">
        <v>42193</v>
      </c>
      <c r="AC313" s="38" t="n">
        <v>42342</v>
      </c>
      <c r="AD313" s="38" t="n">
        <v>42338</v>
      </c>
      <c r="AE313" s="38" t="n">
        <v>44072</v>
      </c>
      <c r="AF313" s="38" t="n">
        <v>44075</v>
      </c>
      <c r="AG313" s="63" t="n">
        <v>186672</v>
      </c>
      <c r="AH313" s="63"/>
      <c r="AI313" s="43"/>
      <c r="AJ313" s="43" t="s">
        <v>3759</v>
      </c>
      <c r="AK313" s="43"/>
      <c r="AL313" s="43"/>
      <c r="AM313" s="43"/>
      <c r="AN313" s="43"/>
      <c r="AO313" s="43"/>
    </row>
    <row r="314" s="2" customFormat="true" ht="14.25" hidden="false" customHeight="true" outlineLevel="0" collapsed="false">
      <c r="A314" s="26" t="n">
        <v>25</v>
      </c>
      <c r="B314" s="152" t="s">
        <v>3760</v>
      </c>
      <c r="C314" s="43" t="s">
        <v>2997</v>
      </c>
      <c r="D314" s="28" t="s">
        <v>73</v>
      </c>
      <c r="E314" s="43" t="n">
        <v>5.36</v>
      </c>
      <c r="F314" s="43" t="n">
        <v>1.6</v>
      </c>
      <c r="G314" s="43" t="n">
        <v>112</v>
      </c>
      <c r="H314" s="43" t="n">
        <v>2015</v>
      </c>
      <c r="I314" s="55" t="n">
        <v>1451</v>
      </c>
      <c r="J314" s="43" t="s">
        <v>74</v>
      </c>
      <c r="K314" s="128" t="s">
        <v>3761</v>
      </c>
      <c r="L314" s="35"/>
      <c r="M314" s="126" t="s">
        <v>3762</v>
      </c>
      <c r="N314" s="32" t="s">
        <v>3407</v>
      </c>
      <c r="O314" s="28" t="s">
        <v>197</v>
      </c>
      <c r="P314" s="28" t="s">
        <v>2923</v>
      </c>
      <c r="Q314" s="33" t="n">
        <v>1000</v>
      </c>
      <c r="R314" s="34" t="s">
        <v>92</v>
      </c>
      <c r="S314" s="35" t="n">
        <v>4144</v>
      </c>
      <c r="T314" s="59" t="s">
        <v>123</v>
      </c>
      <c r="U314" s="28" t="n">
        <v>380384.56</v>
      </c>
      <c r="V314" s="60" t="n">
        <v>21.44881</v>
      </c>
      <c r="W314" s="60"/>
      <c r="X314" s="112" t="n">
        <f aca="false">U314/V314</f>
        <v>17734.5297944268</v>
      </c>
      <c r="Y314" s="112" t="n">
        <v>402.79</v>
      </c>
      <c r="Z314" s="28" t="n">
        <v>2.51</v>
      </c>
      <c r="AA314" s="62" t="s">
        <v>80</v>
      </c>
      <c r="AB314" s="38" t="n">
        <v>42193</v>
      </c>
      <c r="AC314" s="38" t="n">
        <v>42342</v>
      </c>
      <c r="AD314" s="38" t="n">
        <v>42338</v>
      </c>
      <c r="AE314" s="38" t="n">
        <v>44072</v>
      </c>
      <c r="AF314" s="38" t="n">
        <v>44068</v>
      </c>
      <c r="AG314" s="63" t="n">
        <v>73747</v>
      </c>
      <c r="AH314" s="63"/>
      <c r="AI314" s="43"/>
      <c r="AJ314" s="43" t="s">
        <v>3763</v>
      </c>
      <c r="AK314" s="43"/>
      <c r="AL314" s="43"/>
      <c r="AM314" s="43"/>
      <c r="AN314" s="43"/>
      <c r="AO314" s="43"/>
    </row>
    <row r="315" s="2" customFormat="true" ht="14.25" hidden="false" customHeight="true" outlineLevel="0" collapsed="false">
      <c r="A315" s="26" t="n">
        <v>26</v>
      </c>
      <c r="B315" s="152" t="s">
        <v>3764</v>
      </c>
      <c r="C315" s="43" t="s">
        <v>2997</v>
      </c>
      <c r="D315" s="28" t="s">
        <v>73</v>
      </c>
      <c r="E315" s="43" t="n">
        <v>5.36</v>
      </c>
      <c r="F315" s="43" t="n">
        <v>1.6</v>
      </c>
      <c r="G315" s="43" t="n">
        <v>112</v>
      </c>
      <c r="H315" s="43" t="n">
        <v>2015</v>
      </c>
      <c r="I315" s="55" t="n">
        <v>1451</v>
      </c>
      <c r="J315" s="43" t="s">
        <v>74</v>
      </c>
      <c r="K315" s="30" t="s">
        <v>2491</v>
      </c>
      <c r="L315" s="35"/>
      <c r="M315" s="31" t="s">
        <v>2492</v>
      </c>
      <c r="N315" s="32" t="s">
        <v>1717</v>
      </c>
      <c r="O315" s="28" t="s">
        <v>252</v>
      </c>
      <c r="P315" s="28" t="s">
        <v>2896</v>
      </c>
      <c r="Q315" s="33" t="n">
        <v>7060</v>
      </c>
      <c r="R315" s="34" t="s">
        <v>171</v>
      </c>
      <c r="S315" s="35" t="n">
        <v>4136</v>
      </c>
      <c r="T315" s="59" t="s">
        <v>123</v>
      </c>
      <c r="U315" s="28" t="n">
        <v>380384.56</v>
      </c>
      <c r="V315" s="60" t="n">
        <v>21.44881</v>
      </c>
      <c r="W315" s="60"/>
      <c r="X315" s="112" t="n">
        <f aca="false">U315/V315</f>
        <v>17734.5297944268</v>
      </c>
      <c r="Y315" s="112" t="n">
        <v>402.79</v>
      </c>
      <c r="Z315" s="28" t="n">
        <v>2.51</v>
      </c>
      <c r="AA315" s="62" t="s">
        <v>80</v>
      </c>
      <c r="AB315" s="38" t="n">
        <v>42193</v>
      </c>
      <c r="AC315" s="38" t="n">
        <v>42342</v>
      </c>
      <c r="AD315" s="38" t="n">
        <v>42338</v>
      </c>
      <c r="AE315" s="38" t="n">
        <v>44072</v>
      </c>
      <c r="AF315" s="38" t="n">
        <v>44074</v>
      </c>
      <c r="AG315" s="63" t="n">
        <v>170919</v>
      </c>
      <c r="AH315" s="63"/>
      <c r="AI315" s="43"/>
      <c r="AJ315" s="43" t="s">
        <v>3765</v>
      </c>
      <c r="AK315" s="43"/>
      <c r="AL315" s="43"/>
      <c r="AM315" s="43"/>
      <c r="AN315" s="43"/>
      <c r="AO315" s="43"/>
    </row>
    <row r="316" s="2" customFormat="true" ht="12.75" hidden="false" customHeight="true" outlineLevel="0" collapsed="false">
      <c r="A316" s="26" t="n">
        <v>27</v>
      </c>
      <c r="B316" s="152" t="s">
        <v>3766</v>
      </c>
      <c r="C316" s="43" t="s">
        <v>2997</v>
      </c>
      <c r="D316" s="28" t="s">
        <v>73</v>
      </c>
      <c r="E316" s="43" t="n">
        <v>5.36</v>
      </c>
      <c r="F316" s="43" t="n">
        <v>1.6</v>
      </c>
      <c r="G316" s="43" t="n">
        <v>112</v>
      </c>
      <c r="H316" s="43" t="n">
        <v>2015</v>
      </c>
      <c r="I316" s="55" t="n">
        <v>1451</v>
      </c>
      <c r="J316" s="43" t="s">
        <v>74</v>
      </c>
      <c r="K316" s="30" t="s">
        <v>3767</v>
      </c>
      <c r="L316" s="35"/>
      <c r="M316" s="31" t="s">
        <v>3768</v>
      </c>
      <c r="N316" s="32" t="s">
        <v>1717</v>
      </c>
      <c r="O316" s="28" t="s">
        <v>60</v>
      </c>
      <c r="P316" s="28" t="s">
        <v>61</v>
      </c>
      <c r="Q316" s="33" t="n">
        <v>7084</v>
      </c>
      <c r="R316" s="34" t="s">
        <v>171</v>
      </c>
      <c r="S316" s="35" t="n">
        <v>4138</v>
      </c>
      <c r="T316" s="59" t="s">
        <v>123</v>
      </c>
      <c r="U316" s="28" t="n">
        <v>380384.56</v>
      </c>
      <c r="V316" s="60" t="n">
        <v>21.44881</v>
      </c>
      <c r="W316" s="60"/>
      <c r="X316" s="112" t="n">
        <f aca="false">U316/V316</f>
        <v>17734.5297944268</v>
      </c>
      <c r="Y316" s="112" t="n">
        <v>402.79</v>
      </c>
      <c r="Z316" s="28" t="n">
        <v>2.51</v>
      </c>
      <c r="AA316" s="62" t="s">
        <v>80</v>
      </c>
      <c r="AB316" s="38" t="n">
        <v>42193</v>
      </c>
      <c r="AC316" s="38" t="n">
        <v>42342</v>
      </c>
      <c r="AD316" s="38" t="n">
        <v>42338</v>
      </c>
      <c r="AE316" s="38" t="n">
        <v>44072</v>
      </c>
      <c r="AF316" s="38" t="n">
        <v>44071</v>
      </c>
      <c r="AG316" s="63" t="n">
        <v>92312</v>
      </c>
      <c r="AH316" s="63"/>
      <c r="AI316" s="43"/>
      <c r="AJ316" s="43" t="s">
        <v>3769</v>
      </c>
      <c r="AK316" s="43"/>
      <c r="AL316" s="43"/>
      <c r="AM316" s="43"/>
      <c r="AN316" s="43"/>
      <c r="AO316" s="43"/>
    </row>
    <row r="317" s="2" customFormat="true" ht="12.75" hidden="false" customHeight="true" outlineLevel="0" collapsed="false">
      <c r="A317" s="26" t="n">
        <v>28</v>
      </c>
      <c r="B317" s="152" t="s">
        <v>3770</v>
      </c>
      <c r="C317" s="43" t="s">
        <v>2997</v>
      </c>
      <c r="D317" s="28" t="s">
        <v>73</v>
      </c>
      <c r="E317" s="43" t="n">
        <v>5.36</v>
      </c>
      <c r="F317" s="43" t="n">
        <v>1.6</v>
      </c>
      <c r="G317" s="43" t="n">
        <v>112</v>
      </c>
      <c r="H317" s="43" t="n">
        <v>2015</v>
      </c>
      <c r="I317" s="55" t="n">
        <v>1451</v>
      </c>
      <c r="J317" s="43" t="s">
        <v>74</v>
      </c>
      <c r="K317" s="30" t="s">
        <v>3771</v>
      </c>
      <c r="L317" s="35"/>
      <c r="M317" s="31" t="s">
        <v>3772</v>
      </c>
      <c r="N317" s="32" t="s">
        <v>1732</v>
      </c>
      <c r="O317" s="57" t="s">
        <v>100</v>
      </c>
      <c r="P317" s="28" t="s">
        <v>593</v>
      </c>
      <c r="Q317" s="33" t="n">
        <v>9000</v>
      </c>
      <c r="R317" s="34" t="s">
        <v>171</v>
      </c>
      <c r="S317" s="35" t="n">
        <v>4193</v>
      </c>
      <c r="T317" s="59" t="s">
        <v>123</v>
      </c>
      <c r="U317" s="28" t="n">
        <v>380384.56</v>
      </c>
      <c r="V317" s="60" t="n">
        <v>21.44881</v>
      </c>
      <c r="W317" s="60"/>
      <c r="X317" s="112" t="n">
        <f aca="false">U317/V317</f>
        <v>17734.5297944268</v>
      </c>
      <c r="Y317" s="112" t="n">
        <v>402.79</v>
      </c>
      <c r="Z317" s="28" t="n">
        <v>2.51</v>
      </c>
      <c r="AA317" s="62" t="s">
        <v>80</v>
      </c>
      <c r="AB317" s="38" t="n">
        <v>42193</v>
      </c>
      <c r="AC317" s="38" t="n">
        <v>42342</v>
      </c>
      <c r="AD317" s="38" t="n">
        <v>42338</v>
      </c>
      <c r="AE317" s="38" t="n">
        <v>44072</v>
      </c>
      <c r="AF317" s="38" t="n">
        <v>44071</v>
      </c>
      <c r="AG317" s="63" t="n">
        <v>118429</v>
      </c>
      <c r="AH317" s="63"/>
      <c r="AI317" s="43"/>
      <c r="AJ317" s="43" t="s">
        <v>3773</v>
      </c>
      <c r="AK317" s="43"/>
      <c r="AL317" s="43"/>
      <c r="AM317" s="43"/>
      <c r="AN317" s="43"/>
      <c r="AO317" s="43"/>
    </row>
    <row r="318" s="2" customFormat="true" ht="12.75" hidden="false" customHeight="true" outlineLevel="0" collapsed="false">
      <c r="A318" s="26" t="n">
        <v>8</v>
      </c>
      <c r="B318" s="152" t="s">
        <v>3774</v>
      </c>
      <c r="C318" s="43" t="s">
        <v>2997</v>
      </c>
      <c r="D318" s="28" t="s">
        <v>73</v>
      </c>
      <c r="E318" s="43" t="n">
        <v>5.36</v>
      </c>
      <c r="F318" s="43" t="n">
        <v>1.6</v>
      </c>
      <c r="G318" s="43" t="n">
        <v>112</v>
      </c>
      <c r="H318" s="43" t="n">
        <v>2015</v>
      </c>
      <c r="I318" s="55" t="n">
        <v>1451</v>
      </c>
      <c r="J318" s="43" t="s">
        <v>74</v>
      </c>
      <c r="K318" s="30" t="s">
        <v>3775</v>
      </c>
      <c r="L318" s="31" t="s">
        <v>2294</v>
      </c>
      <c r="M318" s="31" t="s">
        <v>3776</v>
      </c>
      <c r="N318" s="32" t="s">
        <v>3777</v>
      </c>
      <c r="O318" s="28" t="s">
        <v>100</v>
      </c>
      <c r="P318" s="28" t="s">
        <v>100</v>
      </c>
      <c r="Q318" s="33" t="n">
        <v>4000</v>
      </c>
      <c r="R318" s="34" t="s">
        <v>53</v>
      </c>
      <c r="S318" s="35" t="n">
        <v>3699</v>
      </c>
      <c r="T318" s="35" t="n">
        <v>5</v>
      </c>
      <c r="U318" s="28" t="n">
        <v>440182.69</v>
      </c>
      <c r="V318" s="60" t="n">
        <v>24.820658</v>
      </c>
      <c r="W318" s="60"/>
      <c r="X318" s="112" t="n">
        <f aca="false">U318/V318</f>
        <v>17734.529439147</v>
      </c>
      <c r="Y318" s="112" t="n">
        <v>401.43</v>
      </c>
      <c r="Z318" s="28" t="n">
        <v>2.49</v>
      </c>
      <c r="AA318" s="62" t="s">
        <v>80</v>
      </c>
      <c r="AB318" s="38" t="n">
        <v>42067</v>
      </c>
      <c r="AC318" s="38" t="n">
        <v>42295</v>
      </c>
      <c r="AD318" s="38" t="n">
        <v>42306</v>
      </c>
      <c r="AE318" s="38" t="n">
        <v>44072</v>
      </c>
      <c r="AF318" s="38" t="n">
        <v>44074</v>
      </c>
      <c r="AG318" s="63" t="n">
        <v>132999</v>
      </c>
      <c r="AH318" s="63"/>
      <c r="AI318" s="43"/>
      <c r="AJ318" s="43" t="s">
        <v>3778</v>
      </c>
      <c r="AK318" s="43"/>
      <c r="AL318" s="43"/>
      <c r="AM318" s="43"/>
      <c r="AN318" s="43"/>
      <c r="AO318" s="43"/>
    </row>
    <row r="319" s="2" customFormat="true" ht="12.75" hidden="false" customHeight="true" outlineLevel="0" collapsed="false">
      <c r="A319" s="26" t="n">
        <v>9</v>
      </c>
      <c r="B319" s="152" t="s">
        <v>3779</v>
      </c>
      <c r="C319" s="43" t="s">
        <v>2997</v>
      </c>
      <c r="D319" s="28" t="s">
        <v>73</v>
      </c>
      <c r="E319" s="43" t="n">
        <v>5.36</v>
      </c>
      <c r="F319" s="43" t="n">
        <v>1.6</v>
      </c>
      <c r="G319" s="43" t="n">
        <v>112</v>
      </c>
      <c r="H319" s="43" t="n">
        <v>2015</v>
      </c>
      <c r="I319" s="55" t="n">
        <v>1451</v>
      </c>
      <c r="J319" s="43" t="s">
        <v>74</v>
      </c>
      <c r="K319" s="30" t="s">
        <v>3780</v>
      </c>
      <c r="L319" s="69"/>
      <c r="M319" s="31" t="s">
        <v>3781</v>
      </c>
      <c r="N319" s="32" t="s">
        <v>1717</v>
      </c>
      <c r="O319" s="57" t="s">
        <v>831</v>
      </c>
      <c r="P319" s="57" t="s">
        <v>2923</v>
      </c>
      <c r="Q319" s="87" t="n">
        <v>7043</v>
      </c>
      <c r="R319" s="58" t="s">
        <v>171</v>
      </c>
      <c r="S319" s="69" t="n">
        <v>4134</v>
      </c>
      <c r="T319" s="59" t="s">
        <v>123</v>
      </c>
      <c r="U319" s="28" t="n">
        <v>440182.69</v>
      </c>
      <c r="V319" s="60" t="n">
        <v>24.820658</v>
      </c>
      <c r="W319" s="60"/>
      <c r="X319" s="112" t="n">
        <f aca="false">U319/V319</f>
        <v>17734.529439147</v>
      </c>
      <c r="Y319" s="112" t="n">
        <v>401.43</v>
      </c>
      <c r="Z319" s="28" t="n">
        <v>2.49</v>
      </c>
      <c r="AA319" s="62" t="s">
        <v>80</v>
      </c>
      <c r="AB319" s="38" t="n">
        <v>42067</v>
      </c>
      <c r="AC319" s="38" t="n">
        <v>42295</v>
      </c>
      <c r="AD319" s="38" t="n">
        <v>42306</v>
      </c>
      <c r="AE319" s="38" t="n">
        <v>44072</v>
      </c>
      <c r="AF319" s="38" t="n">
        <v>44068</v>
      </c>
      <c r="AG319" s="63" t="n">
        <v>127846</v>
      </c>
      <c r="AH319" s="63"/>
      <c r="AI319" s="43"/>
      <c r="AJ319" s="43" t="s">
        <v>3782</v>
      </c>
      <c r="AK319" s="43"/>
      <c r="AL319" s="43"/>
      <c r="AM319" s="43"/>
      <c r="AN319" s="43"/>
      <c r="AO319" s="43"/>
    </row>
    <row r="320" s="2" customFormat="true" ht="14.25" hidden="false" customHeight="true" outlineLevel="0" collapsed="false">
      <c r="A320" s="26" t="n">
        <v>10</v>
      </c>
      <c r="B320" s="152" t="s">
        <v>3783</v>
      </c>
      <c r="C320" s="43" t="s">
        <v>2997</v>
      </c>
      <c r="D320" s="28" t="s">
        <v>73</v>
      </c>
      <c r="E320" s="43" t="n">
        <v>5.36</v>
      </c>
      <c r="F320" s="43" t="n">
        <v>1.6</v>
      </c>
      <c r="G320" s="43" t="n">
        <v>112</v>
      </c>
      <c r="H320" s="43" t="n">
        <v>2015</v>
      </c>
      <c r="I320" s="55" t="n">
        <v>1451</v>
      </c>
      <c r="J320" s="43" t="s">
        <v>74</v>
      </c>
      <c r="K320" s="30" t="s">
        <v>2311</v>
      </c>
      <c r="L320" s="35"/>
      <c r="M320" s="31" t="s">
        <v>2312</v>
      </c>
      <c r="N320" s="32" t="s">
        <v>1717</v>
      </c>
      <c r="O320" s="28" t="s">
        <v>732</v>
      </c>
      <c r="P320" s="28" t="s">
        <v>61</v>
      </c>
      <c r="Q320" s="33" t="n">
        <v>7080</v>
      </c>
      <c r="R320" s="34" t="s">
        <v>171</v>
      </c>
      <c r="S320" s="35" t="n">
        <v>4138</v>
      </c>
      <c r="T320" s="59" t="s">
        <v>123</v>
      </c>
      <c r="U320" s="28" t="n">
        <v>440182.69</v>
      </c>
      <c r="V320" s="60" t="n">
        <v>24.820658</v>
      </c>
      <c r="W320" s="60"/>
      <c r="X320" s="112" t="n">
        <f aca="false">U320/V320</f>
        <v>17734.529439147</v>
      </c>
      <c r="Y320" s="112" t="n">
        <v>401.43</v>
      </c>
      <c r="Z320" s="28" t="n">
        <v>2.49</v>
      </c>
      <c r="AA320" s="62" t="s">
        <v>80</v>
      </c>
      <c r="AB320" s="38" t="n">
        <v>42067</v>
      </c>
      <c r="AC320" s="38" t="n">
        <v>42295</v>
      </c>
      <c r="AD320" s="38" t="n">
        <v>42306</v>
      </c>
      <c r="AE320" s="38" t="n">
        <v>44072</v>
      </c>
      <c r="AF320" s="38" t="n">
        <v>44074</v>
      </c>
      <c r="AG320" s="63" t="n">
        <v>138995</v>
      </c>
      <c r="AH320" s="63"/>
      <c r="AI320" s="43"/>
      <c r="AJ320" s="43" t="s">
        <v>3784</v>
      </c>
      <c r="AK320" s="43"/>
      <c r="AL320" s="43"/>
      <c r="AM320" s="43"/>
      <c r="AN320" s="43"/>
      <c r="AO320" s="43"/>
    </row>
    <row r="321" s="2" customFormat="true" ht="12.75" hidden="false" customHeight="true" outlineLevel="0" collapsed="false">
      <c r="A321" s="26" t="n">
        <v>11</v>
      </c>
      <c r="B321" s="152" t="s">
        <v>3785</v>
      </c>
      <c r="C321" s="43" t="s">
        <v>2997</v>
      </c>
      <c r="D321" s="28" t="s">
        <v>73</v>
      </c>
      <c r="E321" s="43" t="n">
        <v>5.36</v>
      </c>
      <c r="F321" s="43" t="n">
        <v>1.6</v>
      </c>
      <c r="G321" s="43" t="n">
        <v>112</v>
      </c>
      <c r="H321" s="43" t="n">
        <v>2015</v>
      </c>
      <c r="I321" s="55" t="n">
        <v>1451</v>
      </c>
      <c r="J321" s="43" t="s">
        <v>74</v>
      </c>
      <c r="K321" s="30" t="s">
        <v>2318</v>
      </c>
      <c r="L321" s="35"/>
      <c r="M321" s="31" t="s">
        <v>2319</v>
      </c>
      <c r="N321" s="32" t="s">
        <v>1717</v>
      </c>
      <c r="O321" s="28" t="s">
        <v>197</v>
      </c>
      <c r="P321" s="28" t="s">
        <v>2923</v>
      </c>
      <c r="Q321" s="33" t="n">
        <v>7041</v>
      </c>
      <c r="R321" s="34" t="s">
        <v>171</v>
      </c>
      <c r="S321" s="35" t="n">
        <v>4134</v>
      </c>
      <c r="T321" s="59" t="s">
        <v>123</v>
      </c>
      <c r="U321" s="28" t="n">
        <v>440182.69</v>
      </c>
      <c r="V321" s="60" t="n">
        <v>24.820658</v>
      </c>
      <c r="W321" s="60"/>
      <c r="X321" s="112" t="n">
        <f aca="false">U321/V321</f>
        <v>17734.529439147</v>
      </c>
      <c r="Y321" s="112" t="n">
        <v>401.43</v>
      </c>
      <c r="Z321" s="28" t="n">
        <v>2.49</v>
      </c>
      <c r="AA321" s="62" t="s">
        <v>80</v>
      </c>
      <c r="AB321" s="38" t="n">
        <v>42067</v>
      </c>
      <c r="AC321" s="38" t="n">
        <v>42295</v>
      </c>
      <c r="AD321" s="38" t="n">
        <v>42306</v>
      </c>
      <c r="AE321" s="38" t="n">
        <v>44072</v>
      </c>
      <c r="AF321" s="38" t="n">
        <v>44074</v>
      </c>
      <c r="AG321" s="63" t="n">
        <v>123487</v>
      </c>
      <c r="AH321" s="63"/>
      <c r="AI321" s="43"/>
      <c r="AJ321" s="43" t="s">
        <v>3786</v>
      </c>
      <c r="AK321" s="43"/>
      <c r="AL321" s="43"/>
      <c r="AM321" s="43"/>
      <c r="AN321" s="43"/>
      <c r="AO321" s="43"/>
    </row>
    <row r="322" s="2" customFormat="true" ht="12.75" hidden="false" customHeight="true" outlineLevel="0" collapsed="false">
      <c r="A322" s="26" t="n">
        <v>36</v>
      </c>
      <c r="B322" s="152" t="s">
        <v>3787</v>
      </c>
      <c r="C322" s="43" t="s">
        <v>2997</v>
      </c>
      <c r="D322" s="28" t="s">
        <v>73</v>
      </c>
      <c r="E322" s="43" t="n">
        <v>5.36</v>
      </c>
      <c r="F322" s="43" t="n">
        <v>1.6</v>
      </c>
      <c r="G322" s="43" t="n">
        <v>112</v>
      </c>
      <c r="H322" s="43" t="n">
        <v>2015</v>
      </c>
      <c r="I322" s="55" t="n">
        <v>1451</v>
      </c>
      <c r="J322" s="43" t="s">
        <v>74</v>
      </c>
      <c r="K322" s="30" t="s">
        <v>3788</v>
      </c>
      <c r="L322" s="69"/>
      <c r="M322" s="31" t="s">
        <v>3789</v>
      </c>
      <c r="N322" s="32" t="s">
        <v>3777</v>
      </c>
      <c r="O322" s="57" t="s">
        <v>60</v>
      </c>
      <c r="P322" s="57" t="s">
        <v>61</v>
      </c>
      <c r="Q322" s="87" t="n">
        <v>6000</v>
      </c>
      <c r="R322" s="58" t="s">
        <v>53</v>
      </c>
      <c r="S322" s="69" t="n">
        <v>3699</v>
      </c>
      <c r="T322" s="69" t="n">
        <v>5</v>
      </c>
      <c r="U322" s="28" t="n">
        <v>380384.56</v>
      </c>
      <c r="V322" s="60" t="n">
        <v>21.44881</v>
      </c>
      <c r="W322" s="60"/>
      <c r="X322" s="112" t="n">
        <f aca="false">U322/V322</f>
        <v>17734.5297944268</v>
      </c>
      <c r="Y322" s="112" t="n">
        <v>402.79</v>
      </c>
      <c r="Z322" s="146" t="s">
        <v>3744</v>
      </c>
      <c r="AA322" s="62" t="s">
        <v>80</v>
      </c>
      <c r="AB322" s="38" t="n">
        <v>42296</v>
      </c>
      <c r="AC322" s="38" t="n">
        <v>42365</v>
      </c>
      <c r="AD322" s="38" t="n">
        <v>42363</v>
      </c>
      <c r="AE322" s="38" t="n">
        <v>44068</v>
      </c>
      <c r="AF322" s="38" t="n">
        <v>44074</v>
      </c>
      <c r="AG322" s="63" t="n">
        <v>96035</v>
      </c>
      <c r="AH322" s="63"/>
      <c r="AI322" s="43"/>
      <c r="AJ322" s="43" t="s">
        <v>3790</v>
      </c>
      <c r="AK322" s="43"/>
      <c r="AL322" s="43"/>
      <c r="AM322" s="43"/>
      <c r="AN322" s="43"/>
      <c r="AO322" s="43"/>
    </row>
    <row r="323" s="2" customFormat="true" ht="12.75" hidden="false" customHeight="true" outlineLevel="0" collapsed="false">
      <c r="A323" s="26" t="n">
        <v>6</v>
      </c>
      <c r="B323" s="152" t="s">
        <v>3791</v>
      </c>
      <c r="C323" s="67" t="s">
        <v>2997</v>
      </c>
      <c r="D323" s="28" t="s">
        <v>73</v>
      </c>
      <c r="E323" s="43" t="n">
        <v>5.36</v>
      </c>
      <c r="F323" s="43" t="n">
        <v>1.6</v>
      </c>
      <c r="G323" s="43" t="n">
        <v>112</v>
      </c>
      <c r="H323" s="43" t="n">
        <v>2015</v>
      </c>
      <c r="I323" s="55" t="n">
        <v>1451</v>
      </c>
      <c r="J323" s="67" t="s">
        <v>74</v>
      </c>
      <c r="K323" s="30" t="s">
        <v>2277</v>
      </c>
      <c r="L323" s="35"/>
      <c r="M323" s="31" t="s">
        <v>2278</v>
      </c>
      <c r="N323" s="32" t="s">
        <v>3792</v>
      </c>
      <c r="O323" s="28" t="s">
        <v>52</v>
      </c>
      <c r="P323" s="28" t="s">
        <v>52</v>
      </c>
      <c r="Q323" s="33" t="n">
        <v>1000</v>
      </c>
      <c r="R323" s="34" t="s">
        <v>2254</v>
      </c>
      <c r="S323" s="35" t="n">
        <v>5211</v>
      </c>
      <c r="T323" s="69" t="n">
        <v>5</v>
      </c>
      <c r="U323" s="28" t="n">
        <v>440182.69</v>
      </c>
      <c r="V323" s="60" t="n">
        <v>24.820658</v>
      </c>
      <c r="W323" s="60"/>
      <c r="X323" s="112" t="n">
        <f aca="false">U323/V323</f>
        <v>17734.529439147</v>
      </c>
      <c r="Y323" s="112" t="n">
        <v>401.43</v>
      </c>
      <c r="Z323" s="28" t="n">
        <v>2.49</v>
      </c>
      <c r="AA323" s="62" t="s">
        <v>80</v>
      </c>
      <c r="AB323" s="38" t="n">
        <v>42067</v>
      </c>
      <c r="AC323" s="38" t="n">
        <v>42295</v>
      </c>
      <c r="AD323" s="38" t="n">
        <v>42306</v>
      </c>
      <c r="AE323" s="38" t="n">
        <v>44072</v>
      </c>
      <c r="AF323" s="38" t="n">
        <v>44074</v>
      </c>
      <c r="AG323" s="63" t="n">
        <v>110543</v>
      </c>
      <c r="AH323" s="63"/>
      <c r="AI323" s="43"/>
      <c r="AJ323" s="43" t="s">
        <v>3793</v>
      </c>
      <c r="AK323" s="43"/>
      <c r="AL323" s="43"/>
      <c r="AM323" s="43"/>
      <c r="AN323" s="43"/>
      <c r="AO323" s="43"/>
    </row>
    <row r="324" s="2" customFormat="true" ht="12.75" hidden="false" customHeight="true" outlineLevel="0" collapsed="false">
      <c r="A324" s="26" t="n">
        <v>31</v>
      </c>
      <c r="B324" s="152" t="s">
        <v>3794</v>
      </c>
      <c r="C324" s="43" t="s">
        <v>2997</v>
      </c>
      <c r="D324" s="28" t="s">
        <v>73</v>
      </c>
      <c r="E324" s="43" t="n">
        <v>5.36</v>
      </c>
      <c r="F324" s="43" t="n">
        <v>1.6</v>
      </c>
      <c r="G324" s="43" t="n">
        <v>112</v>
      </c>
      <c r="H324" s="43" t="n">
        <v>2015</v>
      </c>
      <c r="I324" s="55" t="n">
        <v>1451</v>
      </c>
      <c r="J324" s="43" t="s">
        <v>74</v>
      </c>
      <c r="K324" s="30" t="s">
        <v>2431</v>
      </c>
      <c r="L324" s="35"/>
      <c r="M324" s="31" t="s">
        <v>2432</v>
      </c>
      <c r="N324" s="32" t="s">
        <v>1717</v>
      </c>
      <c r="O324" s="28" t="s">
        <v>142</v>
      </c>
      <c r="P324" s="28" t="s">
        <v>2896</v>
      </c>
      <c r="Q324" s="33" t="n">
        <v>7065</v>
      </c>
      <c r="R324" s="34" t="s">
        <v>171</v>
      </c>
      <c r="S324" s="35" t="n">
        <v>4136</v>
      </c>
      <c r="T324" s="59" t="s">
        <v>123</v>
      </c>
      <c r="U324" s="28" t="n">
        <v>380384.56</v>
      </c>
      <c r="V324" s="60" t="n">
        <v>21.44881</v>
      </c>
      <c r="W324" s="60"/>
      <c r="X324" s="112" t="n">
        <f aca="false">U324/V324</f>
        <v>17734.5297944268</v>
      </c>
      <c r="Y324" s="112" t="n">
        <v>402.79</v>
      </c>
      <c r="Z324" s="28" t="n">
        <v>2.51</v>
      </c>
      <c r="AA324" s="62" t="s">
        <v>80</v>
      </c>
      <c r="AB324" s="38" t="n">
        <v>42193</v>
      </c>
      <c r="AC324" s="38" t="n">
        <v>42342</v>
      </c>
      <c r="AD324" s="38" t="n">
        <v>42338</v>
      </c>
      <c r="AE324" s="38" t="n">
        <v>44072</v>
      </c>
      <c r="AF324" s="38" t="n">
        <v>44074</v>
      </c>
      <c r="AG324" s="63" t="n">
        <v>133297</v>
      </c>
      <c r="AH324" s="63"/>
      <c r="AI324" s="43"/>
      <c r="AJ324" s="43" t="s">
        <v>3795</v>
      </c>
      <c r="AK324" s="43"/>
      <c r="AL324" s="43"/>
      <c r="AM324" s="43"/>
      <c r="AN324" s="43"/>
      <c r="AO324" s="43"/>
    </row>
    <row r="325" s="2" customFormat="true" ht="12.75" hidden="false" customHeight="true" outlineLevel="0" collapsed="false">
      <c r="A325" s="26" t="n">
        <v>32</v>
      </c>
      <c r="B325" s="152" t="s">
        <v>3796</v>
      </c>
      <c r="C325" s="43" t="s">
        <v>2997</v>
      </c>
      <c r="D325" s="28" t="s">
        <v>73</v>
      </c>
      <c r="E325" s="43" t="n">
        <v>5.36</v>
      </c>
      <c r="F325" s="43" t="n">
        <v>1.6</v>
      </c>
      <c r="G325" s="43" t="n">
        <v>112</v>
      </c>
      <c r="H325" s="43" t="n">
        <v>2015</v>
      </c>
      <c r="I325" s="55" t="n">
        <v>1451</v>
      </c>
      <c r="J325" s="43" t="s">
        <v>74</v>
      </c>
      <c r="K325" s="30" t="s">
        <v>2250</v>
      </c>
      <c r="L325" s="28"/>
      <c r="M325" s="31" t="s">
        <v>2251</v>
      </c>
      <c r="N325" s="32" t="s">
        <v>3797</v>
      </c>
      <c r="O325" s="28" t="s">
        <v>100</v>
      </c>
      <c r="P325" s="28" t="s">
        <v>100</v>
      </c>
      <c r="Q325" s="33" t="n">
        <v>4000</v>
      </c>
      <c r="R325" s="34" t="s">
        <v>2254</v>
      </c>
      <c r="S325" s="35" t="n">
        <v>5211</v>
      </c>
      <c r="T325" s="35" t="n">
        <v>5</v>
      </c>
      <c r="U325" s="28" t="n">
        <v>380384.56</v>
      </c>
      <c r="V325" s="60" t="n">
        <v>21.44881</v>
      </c>
      <c r="W325" s="60"/>
      <c r="X325" s="112" t="n">
        <f aca="false">U325/V325</f>
        <v>17734.5297944268</v>
      </c>
      <c r="Y325" s="112" t="n">
        <v>402.79</v>
      </c>
      <c r="Z325" s="28" t="n">
        <v>2.51</v>
      </c>
      <c r="AA325" s="62" t="s">
        <v>80</v>
      </c>
      <c r="AB325" s="38" t="n">
        <v>42193</v>
      </c>
      <c r="AC325" s="38" t="n">
        <v>42342</v>
      </c>
      <c r="AD325" s="38" t="n">
        <v>42338</v>
      </c>
      <c r="AE325" s="38" t="n">
        <v>44072</v>
      </c>
      <c r="AF325" s="38" t="n">
        <v>44074</v>
      </c>
      <c r="AG325" s="63" t="n">
        <v>126483</v>
      </c>
      <c r="AH325" s="63"/>
      <c r="AI325" s="43"/>
      <c r="AJ325" s="43" t="s">
        <v>3798</v>
      </c>
      <c r="AK325" s="43"/>
      <c r="AL325" s="43"/>
      <c r="AM325" s="43"/>
      <c r="AN325" s="43"/>
      <c r="AO325" s="43"/>
    </row>
    <row r="326" s="2" customFormat="true" ht="12.75" hidden="false" customHeight="true" outlineLevel="0" collapsed="false">
      <c r="A326" s="26" t="n">
        <v>29</v>
      </c>
      <c r="B326" s="152" t="s">
        <v>3799</v>
      </c>
      <c r="C326" s="43" t="s">
        <v>2997</v>
      </c>
      <c r="D326" s="28" t="s">
        <v>73</v>
      </c>
      <c r="E326" s="43" t="n">
        <v>5.36</v>
      </c>
      <c r="F326" s="43" t="n">
        <v>1.6</v>
      </c>
      <c r="G326" s="43" t="n">
        <v>112</v>
      </c>
      <c r="H326" s="43" t="n">
        <v>2015</v>
      </c>
      <c r="I326" s="55" t="n">
        <v>1451</v>
      </c>
      <c r="J326" s="43" t="s">
        <v>74</v>
      </c>
      <c r="K326" s="30" t="s">
        <v>2417</v>
      </c>
      <c r="L326" s="35"/>
      <c r="M326" s="31" t="s">
        <v>2418</v>
      </c>
      <c r="N326" s="32" t="s">
        <v>1717</v>
      </c>
      <c r="O326" s="57" t="s">
        <v>218</v>
      </c>
      <c r="P326" s="28" t="s">
        <v>52</v>
      </c>
      <c r="Q326" s="33" t="n">
        <v>7010</v>
      </c>
      <c r="R326" s="34" t="s">
        <v>171</v>
      </c>
      <c r="S326" s="35" t="n">
        <v>4131</v>
      </c>
      <c r="T326" s="59" t="s">
        <v>123</v>
      </c>
      <c r="U326" s="28" t="n">
        <v>380384.56</v>
      </c>
      <c r="V326" s="60" t="n">
        <v>21.44881</v>
      </c>
      <c r="W326" s="60"/>
      <c r="X326" s="112" t="n">
        <f aca="false">U326/V326</f>
        <v>17734.5297944268</v>
      </c>
      <c r="Y326" s="112" t="n">
        <v>402.79</v>
      </c>
      <c r="Z326" s="28" t="n">
        <v>2.51</v>
      </c>
      <c r="AA326" s="62" t="s">
        <v>80</v>
      </c>
      <c r="AB326" s="38" t="n">
        <v>42193</v>
      </c>
      <c r="AC326" s="38" t="n">
        <v>42342</v>
      </c>
      <c r="AD326" s="38" t="n">
        <v>42338</v>
      </c>
      <c r="AE326" s="38" t="n">
        <v>44072</v>
      </c>
      <c r="AF326" s="38" t="n">
        <v>44074</v>
      </c>
      <c r="AG326" s="63" t="n">
        <v>120005</v>
      </c>
      <c r="AH326" s="63"/>
      <c r="AI326" s="43"/>
      <c r="AJ326" s="43" t="s">
        <v>3800</v>
      </c>
      <c r="AK326" s="43"/>
      <c r="AL326" s="43"/>
      <c r="AM326" s="43"/>
      <c r="AN326" s="43"/>
      <c r="AO326" s="43"/>
    </row>
    <row r="327" s="2" customFormat="true" ht="12.75" hidden="false" customHeight="true" outlineLevel="0" collapsed="false">
      <c r="A327" s="26" t="n">
        <v>30</v>
      </c>
      <c r="B327" s="152" t="s">
        <v>3801</v>
      </c>
      <c r="C327" s="43" t="s">
        <v>2997</v>
      </c>
      <c r="D327" s="28" t="s">
        <v>73</v>
      </c>
      <c r="E327" s="43" t="n">
        <v>5.36</v>
      </c>
      <c r="F327" s="43" t="n">
        <v>1.6</v>
      </c>
      <c r="G327" s="43" t="n">
        <v>112</v>
      </c>
      <c r="H327" s="43" t="n">
        <v>2015</v>
      </c>
      <c r="I327" s="55" t="n">
        <v>1451</v>
      </c>
      <c r="J327" s="43" t="s">
        <v>74</v>
      </c>
      <c r="K327" s="30" t="s">
        <v>2424</v>
      </c>
      <c r="L327" s="35"/>
      <c r="M327" s="31" t="s">
        <v>2425</v>
      </c>
      <c r="N327" s="32" t="s">
        <v>1717</v>
      </c>
      <c r="O327" s="28" t="s">
        <v>754</v>
      </c>
      <c r="P327" s="28" t="s">
        <v>2923</v>
      </c>
      <c r="Q327" s="33" t="n">
        <v>7040</v>
      </c>
      <c r="R327" s="34" t="s">
        <v>171</v>
      </c>
      <c r="S327" s="35" t="n">
        <v>4134</v>
      </c>
      <c r="T327" s="59" t="s">
        <v>123</v>
      </c>
      <c r="U327" s="28" t="n">
        <v>380384.56</v>
      </c>
      <c r="V327" s="60" t="n">
        <v>21.44881</v>
      </c>
      <c r="W327" s="60"/>
      <c r="X327" s="112" t="n">
        <f aca="false">U327/V327</f>
        <v>17734.5297944268</v>
      </c>
      <c r="Y327" s="112" t="n">
        <v>402.79</v>
      </c>
      <c r="Z327" s="28" t="n">
        <v>2.51</v>
      </c>
      <c r="AA327" s="62" t="s">
        <v>80</v>
      </c>
      <c r="AB327" s="38" t="n">
        <v>42193</v>
      </c>
      <c r="AC327" s="38" t="n">
        <v>42342</v>
      </c>
      <c r="AD327" s="38" t="n">
        <v>42338</v>
      </c>
      <c r="AE327" s="38" t="n">
        <v>44072</v>
      </c>
      <c r="AF327" s="38" t="n">
        <v>44074</v>
      </c>
      <c r="AG327" s="63" t="n">
        <v>154943</v>
      </c>
      <c r="AH327" s="63"/>
      <c r="AI327" s="43"/>
      <c r="AJ327" s="43" t="s">
        <v>3802</v>
      </c>
      <c r="AK327" s="43"/>
      <c r="AL327" s="43"/>
      <c r="AM327" s="43"/>
      <c r="AN327" s="43"/>
      <c r="AO327" s="43"/>
    </row>
    <row r="328" s="2" customFormat="true" ht="12.75" hidden="false" customHeight="true" outlineLevel="0" collapsed="false">
      <c r="A328" s="26" t="n">
        <v>15</v>
      </c>
      <c r="B328" s="152" t="s">
        <v>3803</v>
      </c>
      <c r="C328" s="43" t="s">
        <v>2997</v>
      </c>
      <c r="D328" s="28" t="s">
        <v>73</v>
      </c>
      <c r="E328" s="43" t="n">
        <v>5.36</v>
      </c>
      <c r="F328" s="43" t="n">
        <v>1.6</v>
      </c>
      <c r="G328" s="43" t="n">
        <v>112</v>
      </c>
      <c r="H328" s="43" t="n">
        <v>2015</v>
      </c>
      <c r="I328" s="55" t="n">
        <v>1451</v>
      </c>
      <c r="J328" s="43" t="s">
        <v>74</v>
      </c>
      <c r="K328" s="30" t="s">
        <v>2347</v>
      </c>
      <c r="L328" s="35"/>
      <c r="M328" s="31" t="s">
        <v>2348</v>
      </c>
      <c r="N328" s="32" t="s">
        <v>1717</v>
      </c>
      <c r="O328" s="28" t="s">
        <v>1366</v>
      </c>
      <c r="P328" s="28" t="s">
        <v>52</v>
      </c>
      <c r="Q328" s="33" t="n">
        <v>7011</v>
      </c>
      <c r="R328" s="34" t="s">
        <v>171</v>
      </c>
      <c r="S328" s="35" t="n">
        <v>4131</v>
      </c>
      <c r="T328" s="59" t="s">
        <v>123</v>
      </c>
      <c r="U328" s="28" t="n">
        <v>440182.69</v>
      </c>
      <c r="V328" s="60" t="n">
        <v>24.820658</v>
      </c>
      <c r="W328" s="60"/>
      <c r="X328" s="112" t="n">
        <f aca="false">U328/V328</f>
        <v>17734.529439147</v>
      </c>
      <c r="Y328" s="112" t="n">
        <v>401.43</v>
      </c>
      <c r="Z328" s="28" t="n">
        <v>2.49</v>
      </c>
      <c r="AA328" s="62" t="s">
        <v>80</v>
      </c>
      <c r="AB328" s="38" t="n">
        <v>42067</v>
      </c>
      <c r="AC328" s="38" t="n">
        <v>42295</v>
      </c>
      <c r="AD328" s="38" t="n">
        <v>42306</v>
      </c>
      <c r="AE328" s="38" t="n">
        <v>44072</v>
      </c>
      <c r="AF328" s="38" t="n">
        <v>44074</v>
      </c>
      <c r="AG328" s="63" t="n">
        <v>91606</v>
      </c>
      <c r="AH328" s="63"/>
      <c r="AI328" s="43"/>
      <c r="AJ328" s="43" t="s">
        <v>3804</v>
      </c>
      <c r="AK328" s="43"/>
      <c r="AL328" s="43"/>
      <c r="AM328" s="43"/>
      <c r="AN328" s="43"/>
      <c r="AO328" s="43"/>
    </row>
    <row r="329" s="2" customFormat="true" ht="12.75" hidden="false" customHeight="true" outlineLevel="0" collapsed="false">
      <c r="A329" s="26" t="n">
        <v>81</v>
      </c>
      <c r="B329" s="152" t="s">
        <v>3805</v>
      </c>
      <c r="C329" s="157" t="s">
        <v>3806</v>
      </c>
      <c r="D329" s="57" t="s">
        <v>73</v>
      </c>
      <c r="E329" s="26" t="n">
        <v>10.4</v>
      </c>
      <c r="F329" s="26" t="n">
        <v>2.2</v>
      </c>
      <c r="G329" s="26" t="n">
        <v>199</v>
      </c>
      <c r="H329" s="26" t="n">
        <v>2016</v>
      </c>
      <c r="I329" s="55" t="n">
        <v>1451</v>
      </c>
      <c r="J329" s="157" t="s">
        <v>87</v>
      </c>
      <c r="K329" s="30" t="s">
        <v>49</v>
      </c>
      <c r="L329" s="69"/>
      <c r="M329" s="31" t="s">
        <v>50</v>
      </c>
      <c r="N329" s="32" t="s">
        <v>51</v>
      </c>
      <c r="O329" s="57" t="s">
        <v>52</v>
      </c>
      <c r="P329" s="57" t="s">
        <v>52</v>
      </c>
      <c r="Q329" s="87" t="n">
        <v>1000</v>
      </c>
      <c r="R329" s="58" t="s">
        <v>53</v>
      </c>
      <c r="S329" s="69" t="n">
        <v>3489</v>
      </c>
      <c r="T329" s="69" t="s">
        <v>79</v>
      </c>
      <c r="U329" s="28" t="n">
        <v>674632.62</v>
      </c>
      <c r="V329" s="60" t="n">
        <v>25.196137</v>
      </c>
      <c r="W329" s="60"/>
      <c r="X329" s="112" t="n">
        <f aca="false">U329/V329</f>
        <v>26775.2401886051</v>
      </c>
      <c r="Y329" s="112" t="n">
        <v>568.08</v>
      </c>
      <c r="Z329" s="28" t="n">
        <v>2.77</v>
      </c>
      <c r="AA329" s="62" t="s">
        <v>80</v>
      </c>
      <c r="AB329" s="38" t="n">
        <v>42501</v>
      </c>
      <c r="AC329" s="38" t="n">
        <v>42622</v>
      </c>
      <c r="AD329" s="38" t="n">
        <v>42621</v>
      </c>
      <c r="AE329" s="50" t="n">
        <v>44082</v>
      </c>
      <c r="AF329" s="143" t="n">
        <v>44081</v>
      </c>
      <c r="AG329" s="63" t="n">
        <v>93895</v>
      </c>
      <c r="AH329" s="63"/>
      <c r="AI329" s="43"/>
      <c r="AJ329" s="43" t="s">
        <v>3807</v>
      </c>
      <c r="AK329" s="43"/>
      <c r="AL329" s="43"/>
      <c r="AM329" s="43"/>
      <c r="AN329" s="43"/>
      <c r="AO329" s="43"/>
    </row>
    <row r="330" s="2" customFormat="true" ht="12.75" hidden="false" customHeight="true" outlineLevel="0" collapsed="false">
      <c r="A330" s="26" t="n">
        <v>75</v>
      </c>
      <c r="B330" s="152" t="s">
        <v>3808</v>
      </c>
      <c r="C330" s="43" t="s">
        <v>2997</v>
      </c>
      <c r="D330" s="28" t="s">
        <v>73</v>
      </c>
      <c r="E330" s="43" t="n">
        <v>5.36</v>
      </c>
      <c r="F330" s="43" t="n">
        <v>1.6</v>
      </c>
      <c r="G330" s="43" t="n">
        <v>112</v>
      </c>
      <c r="H330" s="43" t="n">
        <v>2016</v>
      </c>
      <c r="I330" s="55" t="n">
        <v>1451</v>
      </c>
      <c r="J330" s="43" t="s">
        <v>74</v>
      </c>
      <c r="K330" s="30" t="s">
        <v>2234</v>
      </c>
      <c r="L330" s="57"/>
      <c r="M330" s="31" t="s">
        <v>2235</v>
      </c>
      <c r="N330" s="32" t="s">
        <v>1717</v>
      </c>
      <c r="O330" s="57" t="s">
        <v>1003</v>
      </c>
      <c r="P330" s="57" t="s">
        <v>52</v>
      </c>
      <c r="Q330" s="57" t="n">
        <v>7014</v>
      </c>
      <c r="R330" s="58" t="s">
        <v>171</v>
      </c>
      <c r="S330" s="69" t="n">
        <v>4131</v>
      </c>
      <c r="T330" s="59" t="s">
        <v>123</v>
      </c>
      <c r="U330" s="28" t="n">
        <v>405159.93</v>
      </c>
      <c r="V330" s="60" t="n">
        <v>25.196137</v>
      </c>
      <c r="W330" s="60"/>
      <c r="X330" s="112" t="n">
        <f aca="false">U330/V330</f>
        <v>16080.239998695</v>
      </c>
      <c r="Y330" s="112" t="n">
        <v>321.2</v>
      </c>
      <c r="Z330" s="28" t="n">
        <v>2.72</v>
      </c>
      <c r="AA330" s="62" t="s">
        <v>80</v>
      </c>
      <c r="AB330" s="38" t="n">
        <v>42501</v>
      </c>
      <c r="AC330" s="38" t="n">
        <v>42601</v>
      </c>
      <c r="AD330" s="38" t="n">
        <v>42600</v>
      </c>
      <c r="AE330" s="50" t="n">
        <v>44061</v>
      </c>
      <c r="AF330" s="143" t="n">
        <v>44062</v>
      </c>
      <c r="AG330" s="63" t="n">
        <v>92338</v>
      </c>
      <c r="AH330" s="63"/>
      <c r="AI330" s="43"/>
      <c r="AJ330" s="43" t="s">
        <v>3809</v>
      </c>
      <c r="AK330" s="43"/>
      <c r="AL330" s="43"/>
      <c r="AM330" s="43"/>
      <c r="AN330" s="43"/>
      <c r="AO330" s="43"/>
    </row>
    <row r="331" s="2" customFormat="true" ht="12.75" hidden="false" customHeight="true" outlineLevel="0" collapsed="false">
      <c r="A331" s="26" t="n">
        <v>76</v>
      </c>
      <c r="B331" s="152" t="s">
        <v>3810</v>
      </c>
      <c r="C331" s="43" t="s">
        <v>2997</v>
      </c>
      <c r="D331" s="28" t="s">
        <v>73</v>
      </c>
      <c r="E331" s="43" t="n">
        <v>5.36</v>
      </c>
      <c r="F331" s="43" t="n">
        <v>1.6</v>
      </c>
      <c r="G331" s="43" t="n">
        <v>112</v>
      </c>
      <c r="H331" s="43" t="n">
        <v>2016</v>
      </c>
      <c r="I331" s="55" t="n">
        <v>1451</v>
      </c>
      <c r="J331" s="43" t="s">
        <v>74</v>
      </c>
      <c r="K331" s="30" t="s">
        <v>2241</v>
      </c>
      <c r="L331" s="69"/>
      <c r="M331" s="31" t="s">
        <v>2242</v>
      </c>
      <c r="N331" s="32" t="s">
        <v>2243</v>
      </c>
      <c r="O331" s="57" t="s">
        <v>52</v>
      </c>
      <c r="P331" s="57" t="s">
        <v>52</v>
      </c>
      <c r="Q331" s="57" t="n">
        <v>1000</v>
      </c>
      <c r="R331" s="58" t="s">
        <v>395</v>
      </c>
      <c r="S331" s="69" t="n">
        <v>5411</v>
      </c>
      <c r="T331" s="35" t="s">
        <v>172</v>
      </c>
      <c r="U331" s="28" t="n">
        <v>405159.93</v>
      </c>
      <c r="V331" s="60" t="n">
        <v>25.196137</v>
      </c>
      <c r="W331" s="60"/>
      <c r="X331" s="112" t="n">
        <f aca="false">U331/V331</f>
        <v>16080.239998695</v>
      </c>
      <c r="Y331" s="112" t="n">
        <v>321.2</v>
      </c>
      <c r="Z331" s="28" t="n">
        <v>2.72</v>
      </c>
      <c r="AA331" s="62" t="s">
        <v>80</v>
      </c>
      <c r="AB331" s="38" t="n">
        <v>42501</v>
      </c>
      <c r="AC331" s="38" t="n">
        <v>42601</v>
      </c>
      <c r="AD331" s="38" t="n">
        <v>42600</v>
      </c>
      <c r="AE331" s="50" t="n">
        <v>44061</v>
      </c>
      <c r="AF331" s="143" t="n">
        <v>44062</v>
      </c>
      <c r="AG331" s="63" t="n">
        <v>53904</v>
      </c>
      <c r="AH331" s="63"/>
      <c r="AI331" s="43"/>
      <c r="AJ331" s="43" t="s">
        <v>3811</v>
      </c>
      <c r="AK331" s="43"/>
      <c r="AL331" s="43"/>
      <c r="AM331" s="43"/>
      <c r="AN331" s="43"/>
      <c r="AO331" s="43"/>
    </row>
    <row r="332" s="2" customFormat="true" ht="12.75" hidden="false" customHeight="true" outlineLevel="0" collapsed="false">
      <c r="A332" s="26" t="n">
        <v>77</v>
      </c>
      <c r="B332" s="152" t="s">
        <v>3812</v>
      </c>
      <c r="C332" s="43" t="s">
        <v>2997</v>
      </c>
      <c r="D332" s="28" t="s">
        <v>73</v>
      </c>
      <c r="E332" s="43" t="n">
        <v>5.36</v>
      </c>
      <c r="F332" s="43" t="n">
        <v>1.6</v>
      </c>
      <c r="G332" s="43" t="n">
        <v>112</v>
      </c>
      <c r="H332" s="43" t="n">
        <v>2016</v>
      </c>
      <c r="I332" s="55" t="n">
        <v>1451</v>
      </c>
      <c r="J332" s="43" t="s">
        <v>74</v>
      </c>
      <c r="K332" s="30" t="s">
        <v>3813</v>
      </c>
      <c r="L332" s="69"/>
      <c r="M332" s="31" t="s">
        <v>3814</v>
      </c>
      <c r="N332" s="32" t="s">
        <v>1717</v>
      </c>
      <c r="O332" s="28" t="s">
        <v>100</v>
      </c>
      <c r="P332" s="28" t="s">
        <v>593</v>
      </c>
      <c r="Q332" s="33" t="n">
        <v>7023</v>
      </c>
      <c r="R332" s="34" t="s">
        <v>171</v>
      </c>
      <c r="S332" s="35" t="n">
        <v>4133</v>
      </c>
      <c r="T332" s="59" t="s">
        <v>123</v>
      </c>
      <c r="U332" s="28" t="n">
        <v>405159.93</v>
      </c>
      <c r="V332" s="60" t="n">
        <v>25.196137</v>
      </c>
      <c r="W332" s="60"/>
      <c r="X332" s="112" t="n">
        <f aca="false">U332/V332</f>
        <v>16080.239998695</v>
      </c>
      <c r="Y332" s="112" t="n">
        <v>321.2</v>
      </c>
      <c r="Z332" s="28" t="n">
        <v>2.72</v>
      </c>
      <c r="AA332" s="62" t="s">
        <v>80</v>
      </c>
      <c r="AB332" s="38" t="n">
        <v>42501</v>
      </c>
      <c r="AC332" s="38" t="n">
        <v>42601</v>
      </c>
      <c r="AD332" s="38" t="n">
        <v>42600</v>
      </c>
      <c r="AE332" s="50" t="n">
        <v>44061</v>
      </c>
      <c r="AF332" s="143" t="n">
        <v>44062</v>
      </c>
      <c r="AG332" s="63" t="n">
        <v>135463</v>
      </c>
      <c r="AH332" s="63"/>
      <c r="AI332" s="43"/>
      <c r="AJ332" s="43" t="s">
        <v>3815</v>
      </c>
      <c r="AK332" s="43"/>
      <c r="AL332" s="43"/>
      <c r="AM332" s="43"/>
      <c r="AN332" s="43"/>
      <c r="AO332" s="43"/>
    </row>
    <row r="333" s="2" customFormat="true" ht="12.75" hidden="false" customHeight="true" outlineLevel="0" collapsed="false">
      <c r="A333" s="26" t="n">
        <v>73</v>
      </c>
      <c r="B333" s="152" t="s">
        <v>3816</v>
      </c>
      <c r="C333" s="43" t="s">
        <v>2997</v>
      </c>
      <c r="D333" s="28" t="s">
        <v>73</v>
      </c>
      <c r="E333" s="43" t="n">
        <v>5.36</v>
      </c>
      <c r="F333" s="43" t="n">
        <v>1.6</v>
      </c>
      <c r="G333" s="43" t="n">
        <v>112</v>
      </c>
      <c r="H333" s="43" t="n">
        <v>2016</v>
      </c>
      <c r="I333" s="55" t="n">
        <v>1451</v>
      </c>
      <c r="J333" s="43" t="s">
        <v>74</v>
      </c>
      <c r="K333" s="30" t="s">
        <v>2219</v>
      </c>
      <c r="L333" s="69"/>
      <c r="M333" s="31" t="s">
        <v>2220</v>
      </c>
      <c r="N333" s="32" t="s">
        <v>1732</v>
      </c>
      <c r="O333" s="57" t="s">
        <v>313</v>
      </c>
      <c r="P333" s="57" t="s">
        <v>2903</v>
      </c>
      <c r="Q333" s="87" t="n">
        <v>9000</v>
      </c>
      <c r="R333" s="58" t="s">
        <v>171</v>
      </c>
      <c r="S333" s="69" t="s">
        <v>3817</v>
      </c>
      <c r="T333" s="59" t="s">
        <v>123</v>
      </c>
      <c r="U333" s="28" t="n">
        <v>405159.93</v>
      </c>
      <c r="V333" s="60" t="n">
        <v>25.196137</v>
      </c>
      <c r="W333" s="60"/>
      <c r="X333" s="112" t="n">
        <f aca="false">U333/V333</f>
        <v>16080.239998695</v>
      </c>
      <c r="Y333" s="112" t="n">
        <v>321.2</v>
      </c>
      <c r="Z333" s="28" t="n">
        <v>2.72</v>
      </c>
      <c r="AA333" s="62" t="s">
        <v>80</v>
      </c>
      <c r="AB333" s="38" t="n">
        <v>42501</v>
      </c>
      <c r="AC333" s="38" t="n">
        <v>42601</v>
      </c>
      <c r="AD333" s="38" t="n">
        <v>42600</v>
      </c>
      <c r="AE333" s="50" t="n">
        <v>44061</v>
      </c>
      <c r="AF333" s="143" t="n">
        <v>44061</v>
      </c>
      <c r="AG333" s="63" t="n">
        <v>116483</v>
      </c>
      <c r="AH333" s="63"/>
      <c r="AI333" s="43"/>
      <c r="AJ333" s="43" t="s">
        <v>3818</v>
      </c>
      <c r="AK333" s="43"/>
      <c r="AL333" s="43"/>
      <c r="AM333" s="43"/>
      <c r="AN333" s="43"/>
      <c r="AO333" s="43"/>
    </row>
    <row r="334" s="2" customFormat="true" ht="12.75" hidden="false" customHeight="true" outlineLevel="0" collapsed="false">
      <c r="A334" s="26" t="n">
        <v>34</v>
      </c>
      <c r="B334" s="152" t="s">
        <v>3819</v>
      </c>
      <c r="C334" s="27" t="s">
        <v>2941</v>
      </c>
      <c r="D334" s="28" t="s">
        <v>46</v>
      </c>
      <c r="E334" s="43" t="n">
        <v>7</v>
      </c>
      <c r="F334" s="43" t="n">
        <v>1.4</v>
      </c>
      <c r="G334" s="43" t="n">
        <v>123</v>
      </c>
      <c r="H334" s="43" t="n">
        <v>2016</v>
      </c>
      <c r="I334" s="55" t="n">
        <v>1451</v>
      </c>
      <c r="J334" s="43" t="s">
        <v>74</v>
      </c>
      <c r="K334" s="30" t="s">
        <v>2269</v>
      </c>
      <c r="L334" s="35"/>
      <c r="M334" s="31" t="s">
        <v>2270</v>
      </c>
      <c r="N334" s="32" t="s">
        <v>2271</v>
      </c>
      <c r="O334" s="57" t="s">
        <v>100</v>
      </c>
      <c r="P334" s="57" t="s">
        <v>2890</v>
      </c>
      <c r="Q334" s="57" t="n">
        <v>1000</v>
      </c>
      <c r="R334" s="58" t="s">
        <v>405</v>
      </c>
      <c r="S334" s="69" t="n">
        <v>4290</v>
      </c>
      <c r="T334" s="59" t="s">
        <v>123</v>
      </c>
      <c r="U334" s="28" t="n">
        <v>467080.65</v>
      </c>
      <c r="V334" s="60" t="n">
        <v>21.44881</v>
      </c>
      <c r="W334" s="60"/>
      <c r="X334" s="112" t="n">
        <f aca="false">U334/V334</f>
        <v>21776.5297934944</v>
      </c>
      <c r="Y334" s="112" t="n">
        <v>462.3</v>
      </c>
      <c r="Z334" s="28" t="n">
        <v>2.62</v>
      </c>
      <c r="AA334" s="62" t="s">
        <v>80</v>
      </c>
      <c r="AB334" s="38" t="n">
        <v>42247</v>
      </c>
      <c r="AC334" s="38" t="n">
        <v>42398</v>
      </c>
      <c r="AD334" s="38" t="n">
        <v>42419</v>
      </c>
      <c r="AE334" s="50" t="n">
        <v>44062</v>
      </c>
      <c r="AF334" s="38" t="n">
        <v>44060</v>
      </c>
      <c r="AG334" s="63" t="n">
        <v>117021</v>
      </c>
      <c r="AH334" s="63"/>
      <c r="AI334" s="43"/>
      <c r="AJ334" s="43" t="s">
        <v>3820</v>
      </c>
      <c r="AK334" s="43"/>
      <c r="AL334" s="43"/>
      <c r="AM334" s="43"/>
      <c r="AN334" s="43"/>
      <c r="AO334" s="43"/>
    </row>
    <row r="335" s="2" customFormat="true" ht="12.75" hidden="false" customHeight="true" outlineLevel="0" collapsed="false">
      <c r="A335" s="26" t="n">
        <v>12</v>
      </c>
      <c r="B335" s="152" t="s">
        <v>3821</v>
      </c>
      <c r="C335" s="43" t="s">
        <v>2997</v>
      </c>
      <c r="D335" s="28" t="s">
        <v>73</v>
      </c>
      <c r="E335" s="43" t="n">
        <v>5.36</v>
      </c>
      <c r="F335" s="43" t="n">
        <v>1.6</v>
      </c>
      <c r="G335" s="43" t="n">
        <v>112</v>
      </c>
      <c r="H335" s="43" t="n">
        <v>2015</v>
      </c>
      <c r="I335" s="55" t="n">
        <v>1451</v>
      </c>
      <c r="J335" s="43" t="s">
        <v>74</v>
      </c>
      <c r="K335" s="30" t="s">
        <v>2227</v>
      </c>
      <c r="L335" s="35"/>
      <c r="M335" s="31" t="s">
        <v>2228</v>
      </c>
      <c r="N335" s="32" t="s">
        <v>2305</v>
      </c>
      <c r="O335" s="28" t="s">
        <v>60</v>
      </c>
      <c r="P335" s="28" t="s">
        <v>61</v>
      </c>
      <c r="Q335" s="33" t="n">
        <v>6000</v>
      </c>
      <c r="R335" s="34" t="s">
        <v>351</v>
      </c>
      <c r="S335" s="35" t="n">
        <v>4178</v>
      </c>
      <c r="T335" s="35" t="s">
        <v>123</v>
      </c>
      <c r="U335" s="28" t="n">
        <v>440182.69</v>
      </c>
      <c r="V335" s="60" t="n">
        <v>24.820658</v>
      </c>
      <c r="W335" s="60"/>
      <c r="X335" s="112" t="n">
        <f aca="false">U335/V335</f>
        <v>17734.529439147</v>
      </c>
      <c r="Y335" s="112" t="n">
        <v>401.43</v>
      </c>
      <c r="Z335" s="28" t="n">
        <v>2.49</v>
      </c>
      <c r="AA335" s="62" t="s">
        <v>80</v>
      </c>
      <c r="AB335" s="38" t="n">
        <v>42067</v>
      </c>
      <c r="AC335" s="38" t="n">
        <v>42295</v>
      </c>
      <c r="AD335" s="38" t="n">
        <v>42306</v>
      </c>
      <c r="AE335" s="38" t="n">
        <v>44072</v>
      </c>
      <c r="AF335" s="38" t="n">
        <v>44060</v>
      </c>
      <c r="AG335" s="63" t="n">
        <v>130272</v>
      </c>
      <c r="AH335" s="63"/>
      <c r="AI335" s="43"/>
      <c r="AJ335" s="43" t="s">
        <v>3822</v>
      </c>
      <c r="AK335" s="43"/>
      <c r="AL335" s="43"/>
      <c r="AM335" s="43"/>
      <c r="AN335" s="43"/>
      <c r="AO335" s="43"/>
    </row>
    <row r="336" s="2" customFormat="true" ht="12.75" hidden="false" customHeight="true" outlineLevel="0" collapsed="false">
      <c r="A336" s="26" t="n">
        <v>74</v>
      </c>
      <c r="B336" s="152" t="s">
        <v>3823</v>
      </c>
      <c r="C336" s="43" t="s">
        <v>2997</v>
      </c>
      <c r="D336" s="28" t="s">
        <v>73</v>
      </c>
      <c r="E336" s="43" t="n">
        <v>5.36</v>
      </c>
      <c r="F336" s="43" t="n">
        <v>1.6</v>
      </c>
      <c r="G336" s="43" t="n">
        <v>112</v>
      </c>
      <c r="H336" s="43" t="n">
        <v>2016</v>
      </c>
      <c r="I336" s="55" t="n">
        <v>1451</v>
      </c>
      <c r="J336" s="43" t="s">
        <v>74</v>
      </c>
      <c r="K336" s="30" t="s">
        <v>1753</v>
      </c>
      <c r="L336" s="69"/>
      <c r="M336" s="31" t="s">
        <v>1754</v>
      </c>
      <c r="N336" s="32" t="s">
        <v>1717</v>
      </c>
      <c r="O336" s="57" t="s">
        <v>169</v>
      </c>
      <c r="P336" s="57" t="s">
        <v>61</v>
      </c>
      <c r="Q336" s="87" t="n">
        <v>7083</v>
      </c>
      <c r="R336" s="58" t="s">
        <v>171</v>
      </c>
      <c r="S336" s="69" t="n">
        <v>4138</v>
      </c>
      <c r="T336" s="59" t="s">
        <v>123</v>
      </c>
      <c r="U336" s="28" t="n">
        <v>405159.93</v>
      </c>
      <c r="V336" s="60" t="n">
        <v>25.196137</v>
      </c>
      <c r="W336" s="60"/>
      <c r="X336" s="112" t="n">
        <f aca="false">U336/V336</f>
        <v>16080.239998695</v>
      </c>
      <c r="Y336" s="112" t="n">
        <v>321.2</v>
      </c>
      <c r="Z336" s="28" t="n">
        <v>2.72</v>
      </c>
      <c r="AA336" s="62" t="s">
        <v>80</v>
      </c>
      <c r="AB336" s="38" t="n">
        <v>42501</v>
      </c>
      <c r="AC336" s="38" t="n">
        <v>42601</v>
      </c>
      <c r="AD336" s="38" t="n">
        <v>42600</v>
      </c>
      <c r="AE336" s="50" t="n">
        <v>44061</v>
      </c>
      <c r="AF336" s="143" t="n">
        <v>44064</v>
      </c>
      <c r="AG336" s="63" t="n">
        <v>119254</v>
      </c>
      <c r="AH336" s="63"/>
      <c r="AI336" s="43"/>
      <c r="AJ336" s="43" t="s">
        <v>3824</v>
      </c>
      <c r="AK336" s="43"/>
      <c r="AL336" s="43"/>
      <c r="AM336" s="43"/>
      <c r="AN336" s="43"/>
      <c r="AO336" s="43"/>
    </row>
    <row r="337" s="2" customFormat="true" ht="12.75" hidden="false" customHeight="true" outlineLevel="0" collapsed="false">
      <c r="A337" s="26" t="n">
        <v>13</v>
      </c>
      <c r="B337" s="152" t="s">
        <v>3825</v>
      </c>
      <c r="C337" s="43" t="s">
        <v>2997</v>
      </c>
      <c r="D337" s="28" t="s">
        <v>73</v>
      </c>
      <c r="E337" s="43" t="n">
        <v>5.36</v>
      </c>
      <c r="F337" s="43" t="n">
        <v>1.6</v>
      </c>
      <c r="G337" s="43" t="n">
        <v>112</v>
      </c>
      <c r="H337" s="43" t="n">
        <v>2015</v>
      </c>
      <c r="I337" s="55" t="n">
        <v>1451</v>
      </c>
      <c r="J337" s="43" t="s">
        <v>74</v>
      </c>
      <c r="K337" s="30" t="s">
        <v>2332</v>
      </c>
      <c r="L337" s="35"/>
      <c r="M337" s="31" t="s">
        <v>2333</v>
      </c>
      <c r="N337" s="32" t="s">
        <v>2243</v>
      </c>
      <c r="O337" s="28" t="s">
        <v>60</v>
      </c>
      <c r="P337" s="48" t="s">
        <v>61</v>
      </c>
      <c r="Q337" s="33" t="n">
        <v>6000</v>
      </c>
      <c r="R337" s="34" t="s">
        <v>395</v>
      </c>
      <c r="S337" s="35" t="n">
        <v>5411</v>
      </c>
      <c r="T337" s="35" t="s">
        <v>172</v>
      </c>
      <c r="U337" s="28" t="n">
        <v>440182.69</v>
      </c>
      <c r="V337" s="60" t="n">
        <v>24.820658</v>
      </c>
      <c r="W337" s="60"/>
      <c r="X337" s="112" t="n">
        <f aca="false">U337/V337</f>
        <v>17734.529439147</v>
      </c>
      <c r="Y337" s="112" t="n">
        <v>401.43</v>
      </c>
      <c r="Z337" s="28" t="n">
        <v>2.49</v>
      </c>
      <c r="AA337" s="62" t="s">
        <v>80</v>
      </c>
      <c r="AB337" s="38" t="n">
        <v>42067</v>
      </c>
      <c r="AC337" s="38" t="n">
        <v>42295</v>
      </c>
      <c r="AD337" s="38" t="n">
        <v>42306</v>
      </c>
      <c r="AE337" s="38" t="n">
        <v>44072</v>
      </c>
      <c r="AF337" s="38" t="n">
        <v>44068</v>
      </c>
      <c r="AG337" s="63" t="n">
        <v>132079</v>
      </c>
      <c r="AH337" s="63"/>
      <c r="AI337" s="43"/>
      <c r="AJ337" s="43" t="s">
        <v>3826</v>
      </c>
      <c r="AK337" s="43"/>
      <c r="AL337" s="43"/>
      <c r="AM337" s="43"/>
      <c r="AN337" s="43"/>
      <c r="AO337" s="43"/>
    </row>
    <row r="338" s="2" customFormat="true" ht="12.75" hidden="false" customHeight="true" outlineLevel="0" collapsed="false">
      <c r="A338" s="26" t="n">
        <v>14</v>
      </c>
      <c r="B338" s="152" t="s">
        <v>3827</v>
      </c>
      <c r="C338" s="43" t="s">
        <v>2997</v>
      </c>
      <c r="D338" s="28" t="s">
        <v>73</v>
      </c>
      <c r="E338" s="43" t="n">
        <v>5.36</v>
      </c>
      <c r="F338" s="43" t="n">
        <v>1.6</v>
      </c>
      <c r="G338" s="43" t="n">
        <v>112</v>
      </c>
      <c r="H338" s="43" t="n">
        <v>2015</v>
      </c>
      <c r="I338" s="55" t="n">
        <v>1451</v>
      </c>
      <c r="J338" s="43" t="s">
        <v>74</v>
      </c>
      <c r="K338" s="30" t="s">
        <v>2340</v>
      </c>
      <c r="L338" s="69"/>
      <c r="M338" s="31" t="s">
        <v>2341</v>
      </c>
      <c r="N338" s="32" t="s">
        <v>3828</v>
      </c>
      <c r="O338" s="57" t="s">
        <v>100</v>
      </c>
      <c r="P338" s="57" t="s">
        <v>2890</v>
      </c>
      <c r="Q338" s="87" t="n">
        <v>1000</v>
      </c>
      <c r="R338" s="34" t="s">
        <v>413</v>
      </c>
      <c r="S338" s="69" t="n">
        <v>4170</v>
      </c>
      <c r="T338" s="59" t="s">
        <v>123</v>
      </c>
      <c r="U338" s="28" t="n">
        <v>440182.69</v>
      </c>
      <c r="V338" s="60" t="n">
        <v>24.820658</v>
      </c>
      <c r="W338" s="60"/>
      <c r="X338" s="112" t="n">
        <f aca="false">U338/V338</f>
        <v>17734.529439147</v>
      </c>
      <c r="Y338" s="112" t="n">
        <v>401.43</v>
      </c>
      <c r="Z338" s="28" t="n">
        <v>2.49</v>
      </c>
      <c r="AA338" s="62" t="s">
        <v>80</v>
      </c>
      <c r="AB338" s="38" t="n">
        <v>42067</v>
      </c>
      <c r="AC338" s="38" t="n">
        <v>42295</v>
      </c>
      <c r="AD338" s="38" t="n">
        <v>42306</v>
      </c>
      <c r="AE338" s="38" t="n">
        <v>44072</v>
      </c>
      <c r="AF338" s="38" t="n">
        <v>44068</v>
      </c>
      <c r="AG338" s="63" t="n">
        <v>115902</v>
      </c>
      <c r="AH338" s="63"/>
      <c r="AI338" s="43"/>
      <c r="AJ338" s="43" t="s">
        <v>3829</v>
      </c>
      <c r="AK338" s="43"/>
      <c r="AL338" s="43"/>
      <c r="AM338" s="43"/>
      <c r="AN338" s="43"/>
      <c r="AO338" s="43"/>
    </row>
    <row r="339" s="2" customFormat="true" ht="12.75" hidden="false" customHeight="true" outlineLevel="0" collapsed="false">
      <c r="A339" s="26" t="n">
        <v>37</v>
      </c>
      <c r="B339" s="152" t="s">
        <v>3830</v>
      </c>
      <c r="C339" s="43" t="s">
        <v>2997</v>
      </c>
      <c r="D339" s="28" t="s">
        <v>73</v>
      </c>
      <c r="E339" s="43" t="n">
        <v>5.36</v>
      </c>
      <c r="F339" s="43" t="n">
        <v>1.6</v>
      </c>
      <c r="G339" s="43" t="n">
        <v>112</v>
      </c>
      <c r="H339" s="43" t="n">
        <v>2015</v>
      </c>
      <c r="I339" s="55" t="n">
        <v>1451</v>
      </c>
      <c r="J339" s="43" t="s">
        <v>74</v>
      </c>
      <c r="K339" s="30" t="s">
        <v>2453</v>
      </c>
      <c r="L339" s="69"/>
      <c r="M339" s="31" t="s">
        <v>2454</v>
      </c>
      <c r="N339" s="32" t="s">
        <v>2455</v>
      </c>
      <c r="O339" s="57" t="s">
        <v>60</v>
      </c>
      <c r="P339" s="57" t="s">
        <v>61</v>
      </c>
      <c r="Q339" s="87" t="n">
        <v>6000</v>
      </c>
      <c r="R339" s="58" t="s">
        <v>405</v>
      </c>
      <c r="S339" s="69" t="n">
        <v>4237</v>
      </c>
      <c r="T339" s="69" t="n">
        <v>5</v>
      </c>
      <c r="U339" s="28" t="n">
        <v>380384.56</v>
      </c>
      <c r="V339" s="60" t="n">
        <v>21.44881</v>
      </c>
      <c r="W339" s="60"/>
      <c r="X339" s="112" t="n">
        <f aca="false">U339/V339</f>
        <v>17734.5297944268</v>
      </c>
      <c r="Y339" s="112" t="n">
        <v>402.79</v>
      </c>
      <c r="Z339" s="146" t="s">
        <v>3744</v>
      </c>
      <c r="AA339" s="62" t="s">
        <v>80</v>
      </c>
      <c r="AB339" s="38" t="n">
        <v>42296</v>
      </c>
      <c r="AC339" s="38" t="n">
        <v>42365</v>
      </c>
      <c r="AD339" s="38" t="n">
        <v>42363</v>
      </c>
      <c r="AE339" s="38" t="n">
        <v>44068</v>
      </c>
      <c r="AF339" s="38" t="n">
        <v>44069</v>
      </c>
      <c r="AG339" s="63" t="n">
        <v>93603</v>
      </c>
      <c r="AH339" s="63"/>
      <c r="AI339" s="43"/>
      <c r="AJ339" s="43" t="s">
        <v>3831</v>
      </c>
      <c r="AK339" s="43"/>
      <c r="AL339" s="43"/>
      <c r="AM339" s="43"/>
      <c r="AN339" s="43"/>
      <c r="AO339" s="43"/>
    </row>
    <row r="340" s="2" customFormat="true" ht="12.75" hidden="false" customHeight="true" outlineLevel="0" collapsed="false">
      <c r="A340" s="26" t="n">
        <v>11</v>
      </c>
      <c r="B340" s="152" t="s">
        <v>3832</v>
      </c>
      <c r="C340" s="43" t="s">
        <v>2997</v>
      </c>
      <c r="D340" s="28" t="s">
        <v>73</v>
      </c>
      <c r="E340" s="43" t="n">
        <v>5.36</v>
      </c>
      <c r="F340" s="43" t="n">
        <v>1.6</v>
      </c>
      <c r="G340" s="43" t="n">
        <v>112</v>
      </c>
      <c r="H340" s="43" t="n">
        <v>2015</v>
      </c>
      <c r="I340" s="55" t="n">
        <v>1451</v>
      </c>
      <c r="J340" s="43" t="s">
        <v>74</v>
      </c>
      <c r="K340" s="30" t="s">
        <v>2363</v>
      </c>
      <c r="L340" s="35"/>
      <c r="M340" s="31" t="s">
        <v>2364</v>
      </c>
      <c r="N340" s="32" t="s">
        <v>3407</v>
      </c>
      <c r="O340" s="28" t="s">
        <v>142</v>
      </c>
      <c r="P340" s="28" t="s">
        <v>2896</v>
      </c>
      <c r="Q340" s="33" t="n">
        <v>1000</v>
      </c>
      <c r="R340" s="34" t="s">
        <v>92</v>
      </c>
      <c r="S340" s="35" t="n">
        <v>4146</v>
      </c>
      <c r="T340" s="59" t="s">
        <v>123</v>
      </c>
      <c r="U340" s="28" t="n">
        <v>380384.56</v>
      </c>
      <c r="V340" s="60" t="n">
        <v>21.44881</v>
      </c>
      <c r="W340" s="60"/>
      <c r="X340" s="112" t="n">
        <f aca="false">U340/V340</f>
        <v>17734.5297944268</v>
      </c>
      <c r="Y340" s="112" t="n">
        <v>402.79</v>
      </c>
      <c r="Z340" s="28" t="n">
        <v>2.51</v>
      </c>
      <c r="AA340" s="62" t="s">
        <v>80</v>
      </c>
      <c r="AB340" s="38" t="n">
        <v>42193</v>
      </c>
      <c r="AC340" s="38" t="n">
        <v>42342</v>
      </c>
      <c r="AD340" s="38" t="n">
        <v>42338</v>
      </c>
      <c r="AE340" s="38" t="n">
        <v>44072</v>
      </c>
      <c r="AF340" s="38" t="n">
        <v>44090</v>
      </c>
      <c r="AG340" s="63" t="n">
        <v>167224</v>
      </c>
      <c r="AH340" s="63"/>
      <c r="AI340" s="43"/>
      <c r="AJ340" s="43" t="s">
        <v>3833</v>
      </c>
      <c r="AK340" s="43"/>
      <c r="AL340" s="43"/>
      <c r="AM340" s="43"/>
      <c r="AN340" s="43"/>
      <c r="AO340" s="43"/>
    </row>
    <row r="341" s="2" customFormat="true" ht="12.75" hidden="false" customHeight="true" outlineLevel="0" collapsed="false">
      <c r="A341" s="26" t="n">
        <v>45</v>
      </c>
      <c r="B341" s="152" t="s">
        <v>3834</v>
      </c>
      <c r="C341" s="157" t="s">
        <v>3806</v>
      </c>
      <c r="D341" s="57" t="s">
        <v>73</v>
      </c>
      <c r="E341" s="26" t="n">
        <v>10.4</v>
      </c>
      <c r="F341" s="26" t="n">
        <v>2.2</v>
      </c>
      <c r="G341" s="26" t="n">
        <v>199</v>
      </c>
      <c r="H341" s="26" t="n">
        <v>2016</v>
      </c>
      <c r="I341" s="55" t="n">
        <v>1451</v>
      </c>
      <c r="J341" s="157" t="s">
        <v>87</v>
      </c>
      <c r="K341" s="30" t="s">
        <v>2505</v>
      </c>
      <c r="L341" s="69"/>
      <c r="M341" s="31" t="s">
        <v>2506</v>
      </c>
      <c r="N341" s="32" t="s">
        <v>2507</v>
      </c>
      <c r="O341" s="57" t="s">
        <v>100</v>
      </c>
      <c r="P341" s="57" t="s">
        <v>100</v>
      </c>
      <c r="Q341" s="87" t="n">
        <v>4000</v>
      </c>
      <c r="R341" s="58" t="s">
        <v>405</v>
      </c>
      <c r="S341" s="69" t="n">
        <v>4242</v>
      </c>
      <c r="T341" s="59" t="s">
        <v>79</v>
      </c>
      <c r="U341" s="28" t="n">
        <v>674632.62</v>
      </c>
      <c r="V341" s="60" t="n">
        <v>25.196137</v>
      </c>
      <c r="W341" s="60"/>
      <c r="X341" s="112" t="n">
        <f aca="false">U341/V341</f>
        <v>26775.2401886051</v>
      </c>
      <c r="Y341" s="112" t="n">
        <v>568.08</v>
      </c>
      <c r="Z341" s="28" t="n">
        <v>2.77</v>
      </c>
      <c r="AA341" s="62" t="s">
        <v>80</v>
      </c>
      <c r="AB341" s="38" t="n">
        <v>42501</v>
      </c>
      <c r="AC341" s="38" t="n">
        <v>42622</v>
      </c>
      <c r="AD341" s="38" t="n">
        <v>42621</v>
      </c>
      <c r="AE341" s="50" t="n">
        <v>44082</v>
      </c>
      <c r="AF341" s="143" t="n">
        <v>44089</v>
      </c>
      <c r="AG341" s="63" t="n">
        <v>131440</v>
      </c>
      <c r="AH341" s="63"/>
      <c r="AI341" s="43"/>
      <c r="AJ341" s="43" t="s">
        <v>3835</v>
      </c>
      <c r="AK341" s="43"/>
      <c r="AL341" s="43"/>
      <c r="AM341" s="43"/>
      <c r="AN341" s="43"/>
      <c r="AO341" s="43"/>
    </row>
    <row r="342" s="2" customFormat="true" ht="12.75" hidden="false" customHeight="true" outlineLevel="0" collapsed="false">
      <c r="A342" s="26" t="n">
        <v>42</v>
      </c>
      <c r="B342" s="152" t="s">
        <v>3836</v>
      </c>
      <c r="C342" s="43" t="s">
        <v>2997</v>
      </c>
      <c r="D342" s="28" t="s">
        <v>73</v>
      </c>
      <c r="E342" s="43" t="n">
        <v>5.36</v>
      </c>
      <c r="F342" s="43" t="n">
        <v>1.6</v>
      </c>
      <c r="G342" s="43" t="n">
        <v>112</v>
      </c>
      <c r="H342" s="43" t="n">
        <v>2016</v>
      </c>
      <c r="I342" s="55" t="n">
        <v>1451</v>
      </c>
      <c r="J342" s="43" t="s">
        <v>74</v>
      </c>
      <c r="K342" s="30" t="s">
        <v>2514</v>
      </c>
      <c r="L342" s="116"/>
      <c r="M342" s="31" t="s">
        <v>2515</v>
      </c>
      <c r="N342" s="32" t="s">
        <v>1717</v>
      </c>
      <c r="O342" s="28" t="s">
        <v>899</v>
      </c>
      <c r="P342" s="57" t="s">
        <v>52</v>
      </c>
      <c r="Q342" s="87" t="n">
        <v>7012</v>
      </c>
      <c r="R342" s="58" t="s">
        <v>171</v>
      </c>
      <c r="S342" s="69" t="n">
        <v>4131</v>
      </c>
      <c r="T342" s="35" t="s">
        <v>123</v>
      </c>
      <c r="U342" s="28" t="n">
        <v>405159.93</v>
      </c>
      <c r="V342" s="60" t="n">
        <v>25.196137</v>
      </c>
      <c r="W342" s="60"/>
      <c r="X342" s="112" t="n">
        <f aca="false">U342/V342</f>
        <v>16080.239998695</v>
      </c>
      <c r="Y342" s="112" t="n">
        <v>321.2</v>
      </c>
      <c r="Z342" s="28" t="n">
        <v>2.73</v>
      </c>
      <c r="AA342" s="62" t="s">
        <v>80</v>
      </c>
      <c r="AB342" s="38" t="n">
        <v>42501</v>
      </c>
      <c r="AC342" s="38" t="n">
        <v>42658</v>
      </c>
      <c r="AD342" s="38" t="n">
        <v>42656</v>
      </c>
      <c r="AE342" s="50" t="n">
        <v>44117</v>
      </c>
      <c r="AF342" s="143" t="n">
        <v>44117</v>
      </c>
      <c r="AG342" s="63" t="n">
        <v>95685</v>
      </c>
      <c r="AH342" s="63"/>
      <c r="AI342" s="43"/>
      <c r="AJ342" s="43" t="s">
        <v>3837</v>
      </c>
      <c r="AK342" s="43"/>
      <c r="AL342" s="43"/>
      <c r="AM342" s="43"/>
      <c r="AN342" s="43"/>
      <c r="AO342" s="43"/>
    </row>
    <row r="343" s="2" customFormat="true" ht="12.75" hidden="false" customHeight="true" outlineLevel="0" collapsed="false">
      <c r="A343" s="26" t="n">
        <v>43</v>
      </c>
      <c r="B343" s="152" t="s">
        <v>3838</v>
      </c>
      <c r="C343" s="43" t="s">
        <v>2997</v>
      </c>
      <c r="D343" s="28" t="s">
        <v>73</v>
      </c>
      <c r="E343" s="43" t="n">
        <v>5.36</v>
      </c>
      <c r="F343" s="43" t="n">
        <v>1.6</v>
      </c>
      <c r="G343" s="43" t="n">
        <v>112</v>
      </c>
      <c r="H343" s="43" t="n">
        <v>2016</v>
      </c>
      <c r="I343" s="55" t="n">
        <v>1451</v>
      </c>
      <c r="J343" s="43" t="s">
        <v>74</v>
      </c>
      <c r="K343" s="30" t="s">
        <v>2522</v>
      </c>
      <c r="L343" s="69"/>
      <c r="M343" s="31" t="s">
        <v>2523</v>
      </c>
      <c r="N343" s="32" t="s">
        <v>1717</v>
      </c>
      <c r="O343" s="57" t="s">
        <v>313</v>
      </c>
      <c r="P343" s="28" t="s">
        <v>593</v>
      </c>
      <c r="Q343" s="87" t="n">
        <v>7071</v>
      </c>
      <c r="R343" s="58" t="s">
        <v>171</v>
      </c>
      <c r="S343" s="69" t="s">
        <v>2904</v>
      </c>
      <c r="T343" s="59" t="s">
        <v>123</v>
      </c>
      <c r="U343" s="28" t="n">
        <v>405159.93</v>
      </c>
      <c r="V343" s="60" t="n">
        <v>25.196137</v>
      </c>
      <c r="W343" s="60"/>
      <c r="X343" s="112" t="n">
        <f aca="false">U343/V343</f>
        <v>16080.239998695</v>
      </c>
      <c r="Y343" s="112" t="n">
        <v>321.2</v>
      </c>
      <c r="Z343" s="28" t="n">
        <v>2.73</v>
      </c>
      <c r="AA343" s="62" t="s">
        <v>80</v>
      </c>
      <c r="AB343" s="38" t="n">
        <v>42501</v>
      </c>
      <c r="AC343" s="38" t="n">
        <v>42658</v>
      </c>
      <c r="AD343" s="38" t="n">
        <v>42656</v>
      </c>
      <c r="AE343" s="50" t="n">
        <v>44117</v>
      </c>
      <c r="AF343" s="143" t="n">
        <v>44116</v>
      </c>
      <c r="AG343" s="63" t="n">
        <v>103651</v>
      </c>
      <c r="AH343" s="63"/>
      <c r="AI343" s="43"/>
      <c r="AJ343" s="43" t="s">
        <v>3839</v>
      </c>
      <c r="AK343" s="43"/>
      <c r="AL343" s="43"/>
      <c r="AM343" s="43"/>
      <c r="AN343" s="43"/>
      <c r="AO343" s="43"/>
    </row>
    <row r="344" s="2" customFormat="true" ht="12.75" hidden="false" customHeight="true" outlineLevel="0" collapsed="false">
      <c r="A344" s="26" t="n">
        <v>16</v>
      </c>
      <c r="B344" s="152" t="s">
        <v>3840</v>
      </c>
      <c r="C344" s="43" t="s">
        <v>3841</v>
      </c>
      <c r="D344" s="28" t="s">
        <v>46</v>
      </c>
      <c r="E344" s="43" t="n">
        <v>6.7</v>
      </c>
      <c r="F344" s="43" t="n">
        <v>1.2</v>
      </c>
      <c r="G344" s="43" t="n">
        <v>108</v>
      </c>
      <c r="H344" s="43" t="n">
        <v>2016</v>
      </c>
      <c r="I344" s="55" t="n">
        <v>1451</v>
      </c>
      <c r="J344" s="157" t="s">
        <v>74</v>
      </c>
      <c r="K344" s="30" t="s">
        <v>1951</v>
      </c>
      <c r="L344" s="69"/>
      <c r="M344" s="31" t="s">
        <v>1952</v>
      </c>
      <c r="N344" s="32" t="s">
        <v>1090</v>
      </c>
      <c r="O344" s="57" t="s">
        <v>689</v>
      </c>
      <c r="P344" s="28" t="s">
        <v>61</v>
      </c>
      <c r="Q344" s="87" t="n">
        <v>7070</v>
      </c>
      <c r="R344" s="58" t="s">
        <v>171</v>
      </c>
      <c r="S344" s="35" t="n">
        <v>4138</v>
      </c>
      <c r="T344" s="35" t="s">
        <v>172</v>
      </c>
      <c r="U344" s="28" t="n">
        <v>345797.83</v>
      </c>
      <c r="V344" s="60" t="n">
        <v>25.196137</v>
      </c>
      <c r="W344" s="60"/>
      <c r="X344" s="112" t="n">
        <f aca="false">U344/V344</f>
        <v>13724.2399499574</v>
      </c>
      <c r="Y344" s="112" t="n">
        <v>282.3</v>
      </c>
      <c r="Z344" s="28" t="s">
        <v>3842</v>
      </c>
      <c r="AA344" s="62" t="s">
        <v>80</v>
      </c>
      <c r="AB344" s="38" t="n">
        <v>42501</v>
      </c>
      <c r="AC344" s="38" t="n">
        <v>42674</v>
      </c>
      <c r="AD344" s="38" t="n">
        <v>42674</v>
      </c>
      <c r="AE344" s="38" t="n">
        <v>44135</v>
      </c>
      <c r="AF344" s="143" t="n">
        <v>44137</v>
      </c>
      <c r="AG344" s="63" t="n">
        <v>120424</v>
      </c>
      <c r="AH344" s="63"/>
      <c r="AI344" s="43"/>
      <c r="AJ344" s="43" t="s">
        <v>3843</v>
      </c>
      <c r="AK344" s="43"/>
      <c r="AL344" s="43"/>
      <c r="AM344" s="43"/>
      <c r="AN344" s="43"/>
      <c r="AO344" s="43"/>
    </row>
    <row r="345" s="2" customFormat="true" ht="12.75" hidden="false" customHeight="true" outlineLevel="0" collapsed="false">
      <c r="A345" s="26" t="n">
        <v>21</v>
      </c>
      <c r="B345" s="152" t="s">
        <v>3844</v>
      </c>
      <c r="C345" s="43" t="s">
        <v>3841</v>
      </c>
      <c r="D345" s="28" t="s">
        <v>46</v>
      </c>
      <c r="E345" s="43" t="n">
        <v>6.7</v>
      </c>
      <c r="F345" s="43" t="n">
        <v>1.2</v>
      </c>
      <c r="G345" s="43" t="n">
        <v>108</v>
      </c>
      <c r="H345" s="43" t="n">
        <v>2016</v>
      </c>
      <c r="I345" s="55" t="n">
        <v>1451</v>
      </c>
      <c r="J345" s="157" t="s">
        <v>74</v>
      </c>
      <c r="K345" s="30" t="s">
        <v>3845</v>
      </c>
      <c r="L345" s="35"/>
      <c r="M345" s="31" t="s">
        <v>3846</v>
      </c>
      <c r="N345" s="32" t="s">
        <v>289</v>
      </c>
      <c r="O345" s="28" t="s">
        <v>681</v>
      </c>
      <c r="P345" s="28" t="s">
        <v>593</v>
      </c>
      <c r="Q345" s="87" t="n">
        <v>6000</v>
      </c>
      <c r="R345" s="34" t="s">
        <v>92</v>
      </c>
      <c r="S345" s="69" t="s">
        <v>3021</v>
      </c>
      <c r="T345" s="35" t="s">
        <v>172</v>
      </c>
      <c r="U345" s="28" t="n">
        <v>345797.83</v>
      </c>
      <c r="V345" s="60" t="n">
        <v>25.196137</v>
      </c>
      <c r="W345" s="60"/>
      <c r="X345" s="112" t="n">
        <f aca="false">U345/V345</f>
        <v>13724.2399499574</v>
      </c>
      <c r="Y345" s="112" t="n">
        <v>282.3</v>
      </c>
      <c r="Z345" s="28" t="s">
        <v>3842</v>
      </c>
      <c r="AA345" s="62" t="s">
        <v>80</v>
      </c>
      <c r="AB345" s="38" t="n">
        <v>42501</v>
      </c>
      <c r="AC345" s="38" t="n">
        <v>42674</v>
      </c>
      <c r="AD345" s="38" t="n">
        <v>42674</v>
      </c>
      <c r="AE345" s="38" t="n">
        <v>44135</v>
      </c>
      <c r="AF345" s="143" t="n">
        <v>44137</v>
      </c>
      <c r="AG345" s="63" t="n">
        <v>118665</v>
      </c>
      <c r="AH345" s="63"/>
      <c r="AI345" s="43"/>
      <c r="AJ345" s="43" t="s">
        <v>3847</v>
      </c>
      <c r="AK345" s="43"/>
      <c r="AL345" s="43"/>
      <c r="AM345" s="43"/>
      <c r="AN345" s="43"/>
      <c r="AO345" s="43"/>
    </row>
    <row r="346" s="2" customFormat="true" ht="12" hidden="false" customHeight="true" outlineLevel="0" collapsed="false">
      <c r="A346" s="26" t="n">
        <v>28</v>
      </c>
      <c r="B346" s="152" t="s">
        <v>3848</v>
      </c>
      <c r="C346" s="43" t="s">
        <v>3841</v>
      </c>
      <c r="D346" s="28" t="s">
        <v>46</v>
      </c>
      <c r="E346" s="43" t="n">
        <v>6.7</v>
      </c>
      <c r="F346" s="43" t="n">
        <v>1.2</v>
      </c>
      <c r="G346" s="43" t="n">
        <v>108</v>
      </c>
      <c r="H346" s="43" t="n">
        <v>2016</v>
      </c>
      <c r="I346" s="55" t="n">
        <v>1451</v>
      </c>
      <c r="J346" s="157" t="s">
        <v>74</v>
      </c>
      <c r="K346" s="30" t="s">
        <v>2544</v>
      </c>
      <c r="L346" s="69"/>
      <c r="M346" s="31" t="s">
        <v>2545</v>
      </c>
      <c r="N346" s="32" t="s">
        <v>1090</v>
      </c>
      <c r="O346" s="57" t="s">
        <v>1366</v>
      </c>
      <c r="P346" s="57" t="s">
        <v>52</v>
      </c>
      <c r="Q346" s="87" t="n">
        <v>7011</v>
      </c>
      <c r="R346" s="58" t="s">
        <v>171</v>
      </c>
      <c r="S346" s="69" t="n">
        <v>4131</v>
      </c>
      <c r="T346" s="35" t="s">
        <v>172</v>
      </c>
      <c r="U346" s="28" t="n">
        <v>345797.83</v>
      </c>
      <c r="V346" s="60" t="n">
        <v>25.196137</v>
      </c>
      <c r="W346" s="60"/>
      <c r="X346" s="112" t="n">
        <f aca="false">U346/V346</f>
        <v>13724.2399499574</v>
      </c>
      <c r="Y346" s="112" t="n">
        <v>282.3</v>
      </c>
      <c r="Z346" s="28" t="s">
        <v>3842</v>
      </c>
      <c r="AA346" s="62" t="s">
        <v>80</v>
      </c>
      <c r="AB346" s="38" t="n">
        <v>42501</v>
      </c>
      <c r="AC346" s="38" t="n">
        <v>42674</v>
      </c>
      <c r="AD346" s="38" t="n">
        <v>42674</v>
      </c>
      <c r="AE346" s="38" t="n">
        <v>44135</v>
      </c>
      <c r="AF346" s="143" t="n">
        <v>44137</v>
      </c>
      <c r="AG346" s="63" t="n">
        <v>125713</v>
      </c>
      <c r="AH346" s="63"/>
      <c r="AI346" s="43"/>
      <c r="AJ346" s="43" t="s">
        <v>3849</v>
      </c>
      <c r="AK346" s="43"/>
      <c r="AL346" s="43"/>
      <c r="AM346" s="43"/>
      <c r="AN346" s="43"/>
      <c r="AO346" s="43"/>
    </row>
    <row r="347" s="2" customFormat="true" ht="12.75" hidden="false" customHeight="true" outlineLevel="0" collapsed="false">
      <c r="A347" s="26" t="n">
        <v>24</v>
      </c>
      <c r="B347" s="152" t="s">
        <v>3850</v>
      </c>
      <c r="C347" s="43" t="s">
        <v>3841</v>
      </c>
      <c r="D347" s="28" t="s">
        <v>46</v>
      </c>
      <c r="E347" s="43" t="n">
        <v>6.7</v>
      </c>
      <c r="F347" s="43" t="n">
        <v>1.2</v>
      </c>
      <c r="G347" s="43" t="n">
        <v>108</v>
      </c>
      <c r="H347" s="43" t="n">
        <v>2016</v>
      </c>
      <c r="I347" s="55" t="n">
        <v>1451</v>
      </c>
      <c r="J347" s="157" t="s">
        <v>74</v>
      </c>
      <c r="K347" s="30" t="s">
        <v>3851</v>
      </c>
      <c r="L347" s="69"/>
      <c r="M347" s="31" t="s">
        <v>3852</v>
      </c>
      <c r="N347" s="32" t="s">
        <v>1090</v>
      </c>
      <c r="O347" s="57" t="s">
        <v>942</v>
      </c>
      <c r="P347" s="28" t="s">
        <v>593</v>
      </c>
      <c r="Q347" s="87" t="n">
        <v>7072</v>
      </c>
      <c r="R347" s="58" t="s">
        <v>171</v>
      </c>
      <c r="S347" s="69" t="s">
        <v>2904</v>
      </c>
      <c r="T347" s="35" t="s">
        <v>172</v>
      </c>
      <c r="U347" s="28" t="n">
        <v>345797.83</v>
      </c>
      <c r="V347" s="60" t="n">
        <v>25.196137</v>
      </c>
      <c r="W347" s="60"/>
      <c r="X347" s="112" t="n">
        <f aca="false">U347/V347</f>
        <v>13724.2399499574</v>
      </c>
      <c r="Y347" s="112" t="n">
        <v>282.3</v>
      </c>
      <c r="Z347" s="28" t="s">
        <v>3842</v>
      </c>
      <c r="AA347" s="62" t="s">
        <v>80</v>
      </c>
      <c r="AB347" s="38" t="n">
        <v>42501</v>
      </c>
      <c r="AC347" s="38" t="n">
        <v>42674</v>
      </c>
      <c r="AD347" s="38" t="n">
        <v>42674</v>
      </c>
      <c r="AE347" s="38" t="n">
        <v>44135</v>
      </c>
      <c r="AF347" s="143" t="n">
        <v>44134</v>
      </c>
      <c r="AG347" s="63" t="n">
        <v>100999</v>
      </c>
      <c r="AH347" s="63"/>
      <c r="AI347" s="43"/>
      <c r="AJ347" s="43" t="s">
        <v>3853</v>
      </c>
      <c r="AK347" s="43"/>
      <c r="AL347" s="43"/>
      <c r="AM347" s="43"/>
      <c r="AN347" s="43"/>
      <c r="AO347" s="43"/>
    </row>
    <row r="348" s="2" customFormat="true" ht="12.75" hidden="false" customHeight="true" outlineLevel="0" collapsed="false">
      <c r="A348" s="26" t="n">
        <v>41</v>
      </c>
      <c r="B348" s="232" t="s">
        <v>3854</v>
      </c>
      <c r="C348" s="43" t="s">
        <v>3841</v>
      </c>
      <c r="D348" s="28" t="s">
        <v>46</v>
      </c>
      <c r="E348" s="43" t="n">
        <v>6.7</v>
      </c>
      <c r="F348" s="43" t="n">
        <v>1.2</v>
      </c>
      <c r="G348" s="43" t="n">
        <v>108</v>
      </c>
      <c r="H348" s="43" t="n">
        <v>2016</v>
      </c>
      <c r="I348" s="55" t="n">
        <v>1451</v>
      </c>
      <c r="J348" s="157" t="s">
        <v>74</v>
      </c>
      <c r="K348" s="30" t="s">
        <v>738</v>
      </c>
      <c r="L348" s="69"/>
      <c r="M348" s="31" t="s">
        <v>739</v>
      </c>
      <c r="N348" s="32" t="s">
        <v>1090</v>
      </c>
      <c r="O348" s="28" t="s">
        <v>142</v>
      </c>
      <c r="P348" s="57" t="s">
        <v>2896</v>
      </c>
      <c r="Q348" s="33" t="n">
        <v>7065</v>
      </c>
      <c r="R348" s="34" t="s">
        <v>171</v>
      </c>
      <c r="S348" s="35" t="n">
        <v>4136</v>
      </c>
      <c r="T348" s="35" t="s">
        <v>172</v>
      </c>
      <c r="U348" s="28" t="n">
        <v>345797.83</v>
      </c>
      <c r="V348" s="60" t="n">
        <v>25.196137</v>
      </c>
      <c r="W348" s="60"/>
      <c r="X348" s="112" t="n">
        <f aca="false">U348/V348</f>
        <v>13724.2399499574</v>
      </c>
      <c r="Y348" s="112" t="n">
        <v>282.3</v>
      </c>
      <c r="Z348" s="28" t="n">
        <v>2.71</v>
      </c>
      <c r="AA348" s="62" t="s">
        <v>80</v>
      </c>
      <c r="AB348" s="38" t="n">
        <v>42501</v>
      </c>
      <c r="AC348" s="38" t="n">
        <v>42674</v>
      </c>
      <c r="AD348" s="38" t="n">
        <v>42677</v>
      </c>
      <c r="AE348" s="38" t="n">
        <v>44138</v>
      </c>
      <c r="AF348" s="143" t="n">
        <v>44133</v>
      </c>
      <c r="AG348" s="63" t="n">
        <v>110441</v>
      </c>
      <c r="AH348" s="63"/>
      <c r="AI348" s="43"/>
      <c r="AJ348" s="43" t="s">
        <v>3855</v>
      </c>
      <c r="AK348" s="43"/>
      <c r="AL348" s="43"/>
      <c r="AM348" s="43"/>
      <c r="AN348" s="43"/>
      <c r="AO348" s="43"/>
    </row>
    <row r="349" s="2" customFormat="true" ht="12.75" hidden="false" customHeight="true" outlineLevel="0" collapsed="false">
      <c r="A349" s="26" t="n">
        <v>34</v>
      </c>
      <c r="B349" s="152" t="s">
        <v>3856</v>
      </c>
      <c r="C349" s="43" t="s">
        <v>3841</v>
      </c>
      <c r="D349" s="28" t="s">
        <v>46</v>
      </c>
      <c r="E349" s="43" t="n">
        <v>6.7</v>
      </c>
      <c r="F349" s="43" t="n">
        <v>1.2</v>
      </c>
      <c r="G349" s="43" t="n">
        <v>108</v>
      </c>
      <c r="H349" s="43" t="n">
        <v>2016</v>
      </c>
      <c r="I349" s="55" t="n">
        <v>1451</v>
      </c>
      <c r="J349" s="157" t="s">
        <v>74</v>
      </c>
      <c r="K349" s="30" t="s">
        <v>816</v>
      </c>
      <c r="L349" s="69"/>
      <c r="M349" s="31" t="s">
        <v>817</v>
      </c>
      <c r="N349" s="32" t="s">
        <v>1090</v>
      </c>
      <c r="O349" s="57" t="s">
        <v>2025</v>
      </c>
      <c r="P349" s="57" t="s">
        <v>61</v>
      </c>
      <c r="Q349" s="57" t="n">
        <v>7083</v>
      </c>
      <c r="R349" s="58" t="s">
        <v>171</v>
      </c>
      <c r="S349" s="69" t="n">
        <v>4138</v>
      </c>
      <c r="T349" s="35" t="s">
        <v>172</v>
      </c>
      <c r="U349" s="28" t="n">
        <v>345797.83</v>
      </c>
      <c r="V349" s="60" t="n">
        <v>25.196137</v>
      </c>
      <c r="W349" s="60"/>
      <c r="X349" s="112" t="n">
        <f aca="false">U349/V349</f>
        <v>13724.2399499574</v>
      </c>
      <c r="Y349" s="112" t="n">
        <v>282.3</v>
      </c>
      <c r="Z349" s="28" t="n">
        <v>2.71</v>
      </c>
      <c r="AA349" s="62" t="s">
        <v>80</v>
      </c>
      <c r="AB349" s="38" t="n">
        <v>42501</v>
      </c>
      <c r="AC349" s="38" t="n">
        <v>42674</v>
      </c>
      <c r="AD349" s="38" t="n">
        <v>42677</v>
      </c>
      <c r="AE349" s="38" t="n">
        <v>44138</v>
      </c>
      <c r="AF349" s="271" t="n">
        <v>44132</v>
      </c>
      <c r="AG349" s="63" t="n">
        <v>122152</v>
      </c>
      <c r="AH349" s="63"/>
      <c r="AI349" s="43"/>
      <c r="AJ349" s="43" t="s">
        <v>3857</v>
      </c>
      <c r="AK349" s="43"/>
      <c r="AL349" s="43"/>
      <c r="AM349" s="43"/>
      <c r="AN349" s="43"/>
      <c r="AO349" s="43"/>
    </row>
    <row r="350" s="2" customFormat="true" ht="12.75" hidden="false" customHeight="true" outlineLevel="0" collapsed="false">
      <c r="A350" s="26" t="n">
        <v>38</v>
      </c>
      <c r="B350" s="152" t="s">
        <v>3858</v>
      </c>
      <c r="C350" s="43" t="s">
        <v>3841</v>
      </c>
      <c r="D350" s="28" t="s">
        <v>46</v>
      </c>
      <c r="E350" s="43" t="n">
        <v>6.7</v>
      </c>
      <c r="F350" s="43" t="n">
        <v>1.2</v>
      </c>
      <c r="G350" s="43" t="n">
        <v>108</v>
      </c>
      <c r="H350" s="43" t="n">
        <v>2016</v>
      </c>
      <c r="I350" s="55" t="n">
        <v>1451</v>
      </c>
      <c r="J350" s="157" t="s">
        <v>74</v>
      </c>
      <c r="K350" s="30" t="s">
        <v>3859</v>
      </c>
      <c r="L350" s="35"/>
      <c r="M350" s="31" t="s">
        <v>3860</v>
      </c>
      <c r="N350" s="32" t="s">
        <v>3176</v>
      </c>
      <c r="O350" s="28" t="s">
        <v>100</v>
      </c>
      <c r="P350" s="28" t="s">
        <v>2890</v>
      </c>
      <c r="Q350" s="33" t="n">
        <v>1000</v>
      </c>
      <c r="R350" s="34" t="s">
        <v>189</v>
      </c>
      <c r="S350" s="35" t="n">
        <v>4170</v>
      </c>
      <c r="T350" s="35" t="s">
        <v>172</v>
      </c>
      <c r="U350" s="28" t="n">
        <v>345797.83</v>
      </c>
      <c r="V350" s="60" t="n">
        <v>25.196137</v>
      </c>
      <c r="W350" s="60"/>
      <c r="X350" s="112" t="n">
        <f aca="false">U350/V350</f>
        <v>13724.2399499574</v>
      </c>
      <c r="Y350" s="112" t="n">
        <v>282.3</v>
      </c>
      <c r="Z350" s="28" t="n">
        <v>2.71</v>
      </c>
      <c r="AA350" s="62" t="s">
        <v>80</v>
      </c>
      <c r="AB350" s="38" t="n">
        <v>42501</v>
      </c>
      <c r="AC350" s="38" t="n">
        <v>42674</v>
      </c>
      <c r="AD350" s="38" t="n">
        <v>42677</v>
      </c>
      <c r="AE350" s="38" t="n">
        <v>44138</v>
      </c>
      <c r="AF350" s="271" t="n">
        <v>44132</v>
      </c>
      <c r="AG350" s="63" t="n">
        <v>96961</v>
      </c>
      <c r="AH350" s="63"/>
      <c r="AI350" s="43"/>
      <c r="AJ350" s="43" t="s">
        <v>3861</v>
      </c>
      <c r="AK350" s="43"/>
      <c r="AL350" s="43"/>
      <c r="AM350" s="43"/>
      <c r="AN350" s="43"/>
      <c r="AO350" s="43"/>
    </row>
    <row r="351" s="2" customFormat="true" ht="12.75" hidden="false" customHeight="true" outlineLevel="0" collapsed="false">
      <c r="A351" s="26" t="n">
        <v>39</v>
      </c>
      <c r="B351" s="152" t="s">
        <v>3862</v>
      </c>
      <c r="C351" s="43" t="s">
        <v>3841</v>
      </c>
      <c r="D351" s="28" t="s">
        <v>46</v>
      </c>
      <c r="E351" s="43" t="n">
        <v>6.7</v>
      </c>
      <c r="F351" s="43" t="n">
        <v>1.2</v>
      </c>
      <c r="G351" s="43" t="n">
        <v>108</v>
      </c>
      <c r="H351" s="43" t="n">
        <v>2016</v>
      </c>
      <c r="I351" s="55" t="n">
        <v>1451</v>
      </c>
      <c r="J351" s="157" t="s">
        <v>74</v>
      </c>
      <c r="K351" s="30" t="s">
        <v>723</v>
      </c>
      <c r="L351" s="35"/>
      <c r="M351" s="31" t="s">
        <v>724</v>
      </c>
      <c r="N351" s="32" t="s">
        <v>1090</v>
      </c>
      <c r="O351" s="28" t="s">
        <v>142</v>
      </c>
      <c r="P351" s="28" t="s">
        <v>2896</v>
      </c>
      <c r="Q351" s="33" t="n">
        <v>7065</v>
      </c>
      <c r="R351" s="34" t="s">
        <v>171</v>
      </c>
      <c r="S351" s="35" t="n">
        <v>4136</v>
      </c>
      <c r="T351" s="35" t="s">
        <v>172</v>
      </c>
      <c r="U351" s="28" t="n">
        <v>345797.83</v>
      </c>
      <c r="V351" s="60" t="n">
        <v>25.196137</v>
      </c>
      <c r="W351" s="60"/>
      <c r="X351" s="112" t="n">
        <f aca="false">U351/V351</f>
        <v>13724.2399499574</v>
      </c>
      <c r="Y351" s="112" t="n">
        <v>282.3</v>
      </c>
      <c r="Z351" s="28" t="n">
        <v>2.71</v>
      </c>
      <c r="AA351" s="62" t="s">
        <v>80</v>
      </c>
      <c r="AB351" s="38" t="n">
        <v>42501</v>
      </c>
      <c r="AC351" s="38" t="n">
        <v>42674</v>
      </c>
      <c r="AD351" s="38" t="n">
        <v>42677</v>
      </c>
      <c r="AE351" s="38" t="n">
        <v>44138</v>
      </c>
      <c r="AF351" s="271" t="n">
        <v>44132</v>
      </c>
      <c r="AG351" s="63" t="n">
        <v>134890</v>
      </c>
      <c r="AH351" s="63"/>
      <c r="AI351" s="43"/>
      <c r="AJ351" s="43" t="s">
        <v>3863</v>
      </c>
      <c r="AK351" s="43"/>
      <c r="AL351" s="43"/>
      <c r="AM351" s="43"/>
      <c r="AN351" s="43"/>
      <c r="AO351" s="43"/>
    </row>
    <row r="352" s="2" customFormat="true" ht="14.25" hidden="false" customHeight="false" outlineLevel="0" collapsed="false">
      <c r="A352" s="26" t="n">
        <v>35</v>
      </c>
      <c r="B352" s="152" t="s">
        <v>3864</v>
      </c>
      <c r="C352" s="43" t="s">
        <v>3841</v>
      </c>
      <c r="D352" s="28" t="s">
        <v>46</v>
      </c>
      <c r="E352" s="43" t="n">
        <v>6.7</v>
      </c>
      <c r="F352" s="43" t="n">
        <v>1.2</v>
      </c>
      <c r="G352" s="43" t="n">
        <v>108</v>
      </c>
      <c r="H352" s="43" t="n">
        <v>2016</v>
      </c>
      <c r="I352" s="55" t="n">
        <v>1451</v>
      </c>
      <c r="J352" s="157" t="s">
        <v>74</v>
      </c>
      <c r="K352" s="30" t="s">
        <v>3865</v>
      </c>
      <c r="L352" s="35"/>
      <c r="M352" s="31" t="s">
        <v>1177</v>
      </c>
      <c r="N352" s="32" t="s">
        <v>2922</v>
      </c>
      <c r="O352" s="28" t="s">
        <v>100</v>
      </c>
      <c r="P352" s="28" t="s">
        <v>593</v>
      </c>
      <c r="Q352" s="33" t="n">
        <v>4000</v>
      </c>
      <c r="R352" s="68" t="s">
        <v>189</v>
      </c>
      <c r="S352" s="35" t="n">
        <v>4173</v>
      </c>
      <c r="T352" s="35" t="s">
        <v>172</v>
      </c>
      <c r="U352" s="28" t="n">
        <v>345797.83</v>
      </c>
      <c r="V352" s="60" t="n">
        <v>25.196137</v>
      </c>
      <c r="W352" s="60"/>
      <c r="X352" s="112" t="n">
        <f aca="false">U352/V352</f>
        <v>13724.2399499574</v>
      </c>
      <c r="Y352" s="112" t="n">
        <v>282.3</v>
      </c>
      <c r="Z352" s="28" t="n">
        <v>2.71</v>
      </c>
      <c r="AA352" s="62" t="s">
        <v>80</v>
      </c>
      <c r="AB352" s="38" t="n">
        <v>42501</v>
      </c>
      <c r="AC352" s="38" t="n">
        <v>42674</v>
      </c>
      <c r="AD352" s="38" t="n">
        <v>42677</v>
      </c>
      <c r="AE352" s="38" t="n">
        <v>44138</v>
      </c>
      <c r="AF352" s="143" t="n">
        <v>44131</v>
      </c>
      <c r="AG352" s="63" t="n">
        <v>103679</v>
      </c>
      <c r="AH352" s="63"/>
      <c r="AI352" s="43"/>
      <c r="AJ352" s="43" t="s">
        <v>3866</v>
      </c>
      <c r="AK352" s="43"/>
      <c r="AL352" s="43"/>
      <c r="AM352" s="43"/>
      <c r="AN352" s="43"/>
      <c r="AO352" s="43"/>
    </row>
    <row r="353" s="2" customFormat="true" ht="12.75" hidden="false" customHeight="true" outlineLevel="0" collapsed="false">
      <c r="A353" s="26" t="n">
        <v>20</v>
      </c>
      <c r="B353" s="152" t="s">
        <v>3867</v>
      </c>
      <c r="C353" s="43" t="s">
        <v>3841</v>
      </c>
      <c r="D353" s="28" t="s">
        <v>46</v>
      </c>
      <c r="E353" s="43" t="n">
        <v>6.7</v>
      </c>
      <c r="F353" s="43" t="n">
        <v>1.2</v>
      </c>
      <c r="G353" s="43" t="n">
        <v>108</v>
      </c>
      <c r="H353" s="43" t="n">
        <v>2016</v>
      </c>
      <c r="I353" s="55" t="n">
        <v>1451</v>
      </c>
      <c r="J353" s="157" t="s">
        <v>74</v>
      </c>
      <c r="K353" s="30" t="s">
        <v>2600</v>
      </c>
      <c r="L353" s="69"/>
      <c r="M353" s="31" t="s">
        <v>2601</v>
      </c>
      <c r="N353" s="32" t="s">
        <v>289</v>
      </c>
      <c r="O353" s="57" t="s">
        <v>180</v>
      </c>
      <c r="P353" s="28" t="s">
        <v>593</v>
      </c>
      <c r="Q353" s="33" t="n">
        <v>6000</v>
      </c>
      <c r="R353" s="58" t="s">
        <v>92</v>
      </c>
      <c r="S353" s="35" t="s">
        <v>3868</v>
      </c>
      <c r="T353" s="35" t="s">
        <v>172</v>
      </c>
      <c r="U353" s="28" t="n">
        <v>345797.83</v>
      </c>
      <c r="V353" s="60" t="n">
        <v>25.196137</v>
      </c>
      <c r="W353" s="60"/>
      <c r="X353" s="112" t="n">
        <f aca="false">U353/V353</f>
        <v>13724.2399499574</v>
      </c>
      <c r="Y353" s="112" t="n">
        <v>282.3</v>
      </c>
      <c r="Z353" s="28" t="s">
        <v>3842</v>
      </c>
      <c r="AA353" s="62" t="s">
        <v>80</v>
      </c>
      <c r="AB353" s="38" t="n">
        <v>42501</v>
      </c>
      <c r="AC353" s="38" t="n">
        <v>42674</v>
      </c>
      <c r="AD353" s="38" t="n">
        <v>42674</v>
      </c>
      <c r="AE353" s="38" t="n">
        <v>44135</v>
      </c>
      <c r="AF353" s="271" t="n">
        <v>44132</v>
      </c>
      <c r="AG353" s="63" t="n">
        <v>126640</v>
      </c>
      <c r="AH353" s="63"/>
      <c r="AI353" s="43"/>
      <c r="AJ353" s="43" t="s">
        <v>3869</v>
      </c>
      <c r="AK353" s="43"/>
      <c r="AL353" s="43"/>
      <c r="AM353" s="43"/>
      <c r="AN353" s="43"/>
      <c r="AO353" s="43"/>
    </row>
    <row r="354" s="2" customFormat="true" ht="12.75" hidden="false" customHeight="true" outlineLevel="0" collapsed="false">
      <c r="A354" s="26" t="n">
        <v>18</v>
      </c>
      <c r="B354" s="152" t="s">
        <v>3870</v>
      </c>
      <c r="C354" s="43" t="s">
        <v>3841</v>
      </c>
      <c r="D354" s="28" t="s">
        <v>46</v>
      </c>
      <c r="E354" s="43" t="n">
        <v>6.7</v>
      </c>
      <c r="F354" s="43" t="n">
        <v>1.2</v>
      </c>
      <c r="G354" s="43" t="n">
        <v>108</v>
      </c>
      <c r="H354" s="43" t="n">
        <v>2016</v>
      </c>
      <c r="I354" s="55" t="n">
        <v>1451</v>
      </c>
      <c r="J354" s="157" t="s">
        <v>74</v>
      </c>
      <c r="K354" s="30" t="s">
        <v>867</v>
      </c>
      <c r="L354" s="30"/>
      <c r="M354" s="31" t="s">
        <v>868</v>
      </c>
      <c r="N354" s="32" t="s">
        <v>1090</v>
      </c>
      <c r="O354" s="57" t="s">
        <v>869</v>
      </c>
      <c r="P354" s="57" t="s">
        <v>2896</v>
      </c>
      <c r="Q354" s="87" t="n">
        <v>7061</v>
      </c>
      <c r="R354" s="58" t="s">
        <v>171</v>
      </c>
      <c r="S354" s="69" t="n">
        <v>4136</v>
      </c>
      <c r="T354" s="35" t="s">
        <v>172</v>
      </c>
      <c r="U354" s="28" t="n">
        <v>345797.83</v>
      </c>
      <c r="V354" s="60" t="n">
        <v>25.196137</v>
      </c>
      <c r="W354" s="60"/>
      <c r="X354" s="112" t="n">
        <f aca="false">U354/V354</f>
        <v>13724.2399499574</v>
      </c>
      <c r="Y354" s="112" t="n">
        <v>282.3</v>
      </c>
      <c r="Z354" s="28" t="s">
        <v>3842</v>
      </c>
      <c r="AA354" s="62" t="s">
        <v>80</v>
      </c>
      <c r="AB354" s="38" t="n">
        <v>42501</v>
      </c>
      <c r="AC354" s="38" t="n">
        <v>42674</v>
      </c>
      <c r="AD354" s="38" t="n">
        <v>42674</v>
      </c>
      <c r="AE354" s="38" t="n">
        <v>44135</v>
      </c>
      <c r="AF354" s="271" t="n">
        <v>44132</v>
      </c>
      <c r="AG354" s="63" t="n">
        <v>114685</v>
      </c>
      <c r="AH354" s="63"/>
      <c r="AI354" s="43"/>
      <c r="AJ354" s="43" t="s">
        <v>3871</v>
      </c>
      <c r="AK354" s="43"/>
      <c r="AL354" s="43"/>
      <c r="AM354" s="43"/>
      <c r="AN354" s="43"/>
      <c r="AO354" s="43"/>
    </row>
    <row r="355" s="2" customFormat="true" ht="14.25" hidden="false" customHeight="false" outlineLevel="0" collapsed="false">
      <c r="A355" s="26" t="n">
        <v>31</v>
      </c>
      <c r="B355" s="152" t="s">
        <v>3872</v>
      </c>
      <c r="C355" s="43" t="s">
        <v>3841</v>
      </c>
      <c r="D355" s="28" t="s">
        <v>46</v>
      </c>
      <c r="E355" s="43" t="n">
        <v>6.7</v>
      </c>
      <c r="F355" s="43" t="n">
        <v>1.2</v>
      </c>
      <c r="G355" s="43" t="n">
        <v>108</v>
      </c>
      <c r="H355" s="43" t="n">
        <v>2016</v>
      </c>
      <c r="I355" s="55" t="n">
        <v>1451</v>
      </c>
      <c r="J355" s="157" t="s">
        <v>74</v>
      </c>
      <c r="K355" s="30" t="s">
        <v>3873</v>
      </c>
      <c r="L355" s="69"/>
      <c r="M355" s="31" t="s">
        <v>3874</v>
      </c>
      <c r="N355" s="32" t="s">
        <v>1090</v>
      </c>
      <c r="O355" s="57" t="s">
        <v>60</v>
      </c>
      <c r="P355" s="57" t="s">
        <v>61</v>
      </c>
      <c r="Q355" s="57" t="n">
        <v>7084</v>
      </c>
      <c r="R355" s="58" t="s">
        <v>171</v>
      </c>
      <c r="S355" s="69" t="n">
        <v>4138</v>
      </c>
      <c r="T355" s="35" t="s">
        <v>172</v>
      </c>
      <c r="U355" s="28" t="n">
        <v>345797.83</v>
      </c>
      <c r="V355" s="60" t="n">
        <v>25.196137</v>
      </c>
      <c r="W355" s="60"/>
      <c r="X355" s="112" t="n">
        <f aca="false">U355/V355</f>
        <v>13724.2399499574</v>
      </c>
      <c r="Y355" s="112" t="n">
        <v>282.3</v>
      </c>
      <c r="Z355" s="28" t="s">
        <v>3842</v>
      </c>
      <c r="AA355" s="62" t="s">
        <v>80</v>
      </c>
      <c r="AB355" s="38" t="n">
        <v>42501</v>
      </c>
      <c r="AC355" s="38" t="n">
        <v>42674</v>
      </c>
      <c r="AD355" s="38" t="n">
        <v>42674</v>
      </c>
      <c r="AE355" s="38" t="n">
        <v>44135</v>
      </c>
      <c r="AF355" s="271" t="n">
        <v>44132</v>
      </c>
      <c r="AG355" s="63" t="n">
        <v>115940</v>
      </c>
      <c r="AH355" s="63"/>
      <c r="AI355" s="43"/>
      <c r="AJ355" s="43" t="s">
        <v>3875</v>
      </c>
      <c r="AK355" s="43"/>
      <c r="AL355" s="43"/>
      <c r="AM355" s="43"/>
      <c r="AN355" s="43"/>
      <c r="AO355" s="43"/>
    </row>
    <row r="356" s="2" customFormat="true" ht="12.75" hidden="false" customHeight="true" outlineLevel="0" collapsed="false">
      <c r="A356" s="26" t="n">
        <v>30</v>
      </c>
      <c r="B356" s="152" t="s">
        <v>3876</v>
      </c>
      <c r="C356" s="43" t="s">
        <v>3841</v>
      </c>
      <c r="D356" s="28" t="s">
        <v>46</v>
      </c>
      <c r="E356" s="43" t="n">
        <v>6.7</v>
      </c>
      <c r="F356" s="43" t="n">
        <v>1.2</v>
      </c>
      <c r="G356" s="43" t="n">
        <v>108</v>
      </c>
      <c r="H356" s="43" t="n">
        <v>2016</v>
      </c>
      <c r="I356" s="55" t="n">
        <v>1451</v>
      </c>
      <c r="J356" s="157" t="s">
        <v>74</v>
      </c>
      <c r="K356" s="30" t="s">
        <v>2646</v>
      </c>
      <c r="L356" s="69"/>
      <c r="M356" s="31" t="s">
        <v>2647</v>
      </c>
      <c r="N356" s="32" t="s">
        <v>2922</v>
      </c>
      <c r="O356" s="57" t="s">
        <v>3877</v>
      </c>
      <c r="P356" s="28" t="s">
        <v>593</v>
      </c>
      <c r="Q356" s="57" t="n">
        <v>6000</v>
      </c>
      <c r="R356" s="58" t="s">
        <v>189</v>
      </c>
      <c r="S356" s="35" t="s">
        <v>3467</v>
      </c>
      <c r="T356" s="35" t="s">
        <v>172</v>
      </c>
      <c r="U356" s="28" t="n">
        <v>345797.83</v>
      </c>
      <c r="V356" s="60" t="n">
        <v>25.196137</v>
      </c>
      <c r="W356" s="60"/>
      <c r="X356" s="112" t="n">
        <f aca="false">U356/V356</f>
        <v>13724.2399499574</v>
      </c>
      <c r="Y356" s="112" t="n">
        <v>282.3</v>
      </c>
      <c r="Z356" s="28" t="s">
        <v>3842</v>
      </c>
      <c r="AA356" s="62" t="s">
        <v>80</v>
      </c>
      <c r="AB356" s="38" t="n">
        <v>42501</v>
      </c>
      <c r="AC356" s="38" t="n">
        <v>42674</v>
      </c>
      <c r="AD356" s="38" t="n">
        <v>42674</v>
      </c>
      <c r="AE356" s="38" t="n">
        <v>44135</v>
      </c>
      <c r="AF356" s="271" t="n">
        <v>44132</v>
      </c>
      <c r="AG356" s="63" t="n">
        <v>120341</v>
      </c>
      <c r="AH356" s="63"/>
      <c r="AI356" s="43"/>
      <c r="AJ356" s="43" t="s">
        <v>3878</v>
      </c>
      <c r="AK356" s="43"/>
      <c r="AL356" s="43"/>
      <c r="AM356" s="43"/>
      <c r="AN356" s="43"/>
      <c r="AO356" s="43"/>
    </row>
    <row r="357" s="2" customFormat="true" ht="14.25" hidden="false" customHeight="false" outlineLevel="0" collapsed="false">
      <c r="A357" s="26" t="n">
        <v>17</v>
      </c>
      <c r="B357" s="152" t="s">
        <v>3879</v>
      </c>
      <c r="C357" s="43" t="s">
        <v>3841</v>
      </c>
      <c r="D357" s="28" t="s">
        <v>46</v>
      </c>
      <c r="E357" s="43" t="n">
        <v>6.7</v>
      </c>
      <c r="F357" s="43" t="n">
        <v>1.2</v>
      </c>
      <c r="G357" s="43" t="n">
        <v>108</v>
      </c>
      <c r="H357" s="43" t="n">
        <v>2016</v>
      </c>
      <c r="I357" s="55" t="n">
        <v>1451</v>
      </c>
      <c r="J357" s="157" t="s">
        <v>74</v>
      </c>
      <c r="K357" s="30" t="s">
        <v>2593</v>
      </c>
      <c r="L357" s="69"/>
      <c r="M357" s="31" t="s">
        <v>2594</v>
      </c>
      <c r="N357" s="32" t="s">
        <v>1090</v>
      </c>
      <c r="O357" s="57" t="s">
        <v>60</v>
      </c>
      <c r="P357" s="57" t="s">
        <v>61</v>
      </c>
      <c r="Q357" s="87" t="n">
        <v>7084</v>
      </c>
      <c r="R357" s="58" t="s">
        <v>171</v>
      </c>
      <c r="S357" s="69" t="n">
        <v>4138</v>
      </c>
      <c r="T357" s="35" t="s">
        <v>172</v>
      </c>
      <c r="U357" s="28" t="n">
        <v>345797.83</v>
      </c>
      <c r="V357" s="60" t="n">
        <v>25.196137</v>
      </c>
      <c r="W357" s="60"/>
      <c r="X357" s="112" t="n">
        <f aca="false">U357/V357</f>
        <v>13724.2399499574</v>
      </c>
      <c r="Y357" s="112" t="n">
        <v>282.3</v>
      </c>
      <c r="Z357" s="28" t="s">
        <v>3842</v>
      </c>
      <c r="AA357" s="62" t="s">
        <v>80</v>
      </c>
      <c r="AB357" s="38" t="n">
        <v>42501</v>
      </c>
      <c r="AC357" s="38" t="n">
        <v>42674</v>
      </c>
      <c r="AD357" s="38" t="n">
        <v>42674</v>
      </c>
      <c r="AE357" s="38" t="n">
        <v>44135</v>
      </c>
      <c r="AF357" s="271" t="n">
        <v>44132</v>
      </c>
      <c r="AG357" s="63" t="n">
        <v>112692</v>
      </c>
      <c r="AH357" s="63"/>
      <c r="AI357" s="43"/>
      <c r="AJ357" s="43" t="s">
        <v>3880</v>
      </c>
      <c r="AK357" s="43"/>
      <c r="AL357" s="43"/>
      <c r="AM357" s="43"/>
      <c r="AN357" s="43"/>
      <c r="AO357" s="43"/>
    </row>
    <row r="358" s="2" customFormat="true" ht="12.75" hidden="false" customHeight="true" outlineLevel="0" collapsed="false">
      <c r="A358" s="26" t="n">
        <v>15</v>
      </c>
      <c r="B358" s="272" t="s">
        <v>3881</v>
      </c>
      <c r="C358" s="179" t="s">
        <v>3841</v>
      </c>
      <c r="D358" s="180" t="s">
        <v>46</v>
      </c>
      <c r="E358" s="179" t="n">
        <v>6.7</v>
      </c>
      <c r="F358" s="179" t="n">
        <v>1.2</v>
      </c>
      <c r="G358" s="179" t="n">
        <v>108</v>
      </c>
      <c r="H358" s="179" t="n">
        <v>2016</v>
      </c>
      <c r="I358" s="55" t="n">
        <v>1451</v>
      </c>
      <c r="J358" s="157" t="s">
        <v>74</v>
      </c>
      <c r="K358" s="30" t="s">
        <v>2756</v>
      </c>
      <c r="L358" s="69"/>
      <c r="M358" s="31" t="s">
        <v>2757</v>
      </c>
      <c r="N358" s="32" t="s">
        <v>289</v>
      </c>
      <c r="O358" s="57" t="s">
        <v>1350</v>
      </c>
      <c r="P358" s="57" t="s">
        <v>61</v>
      </c>
      <c r="Q358" s="87" t="n">
        <v>7082</v>
      </c>
      <c r="R358" s="58" t="s">
        <v>171</v>
      </c>
      <c r="S358" s="69" t="n">
        <v>4138</v>
      </c>
      <c r="T358" s="183" t="s">
        <v>172</v>
      </c>
      <c r="U358" s="180" t="n">
        <v>345797.83</v>
      </c>
      <c r="V358" s="185" t="n">
        <v>25.196137</v>
      </c>
      <c r="W358" s="185"/>
      <c r="X358" s="273" t="n">
        <f aca="false">U358/V358</f>
        <v>13724.2399499574</v>
      </c>
      <c r="Y358" s="273" t="n">
        <v>282.3</v>
      </c>
      <c r="Z358" s="180" t="s">
        <v>3842</v>
      </c>
      <c r="AA358" s="62" t="s">
        <v>80</v>
      </c>
      <c r="AB358" s="190" t="n">
        <v>42501</v>
      </c>
      <c r="AC358" s="190" t="n">
        <v>42674</v>
      </c>
      <c r="AD358" s="190" t="n">
        <v>42674</v>
      </c>
      <c r="AE358" s="190" t="n">
        <v>44135</v>
      </c>
      <c r="AF358" s="271" t="n">
        <v>44132</v>
      </c>
      <c r="AG358" s="63" t="n">
        <v>116308</v>
      </c>
      <c r="AH358" s="274"/>
      <c r="AI358" s="43"/>
      <c r="AJ358" s="43" t="s">
        <v>3882</v>
      </c>
      <c r="AK358" s="43"/>
      <c r="AL358" s="43"/>
      <c r="AM358" s="43"/>
      <c r="AN358" s="43"/>
      <c r="AO358" s="43"/>
    </row>
    <row r="359" s="2" customFormat="true" ht="12.75" hidden="false" customHeight="true" outlineLevel="0" collapsed="false">
      <c r="A359" s="26" t="n">
        <v>23</v>
      </c>
      <c r="B359" s="152" t="s">
        <v>3883</v>
      </c>
      <c r="C359" s="43" t="s">
        <v>3841</v>
      </c>
      <c r="D359" s="28" t="s">
        <v>46</v>
      </c>
      <c r="E359" s="43" t="n">
        <v>6.7</v>
      </c>
      <c r="F359" s="43" t="n">
        <v>1.2</v>
      </c>
      <c r="G359" s="43" t="n">
        <v>108</v>
      </c>
      <c r="H359" s="43" t="n">
        <v>2016</v>
      </c>
      <c r="I359" s="55" t="n">
        <v>1451</v>
      </c>
      <c r="J359" s="157" t="s">
        <v>74</v>
      </c>
      <c r="K359" s="30" t="s">
        <v>2690</v>
      </c>
      <c r="L359" s="69"/>
      <c r="M359" s="31" t="s">
        <v>2691</v>
      </c>
      <c r="N359" s="32" t="s">
        <v>2922</v>
      </c>
      <c r="O359" s="57" t="s">
        <v>1350</v>
      </c>
      <c r="P359" s="57" t="s">
        <v>61</v>
      </c>
      <c r="Q359" s="87" t="n">
        <v>6000</v>
      </c>
      <c r="R359" s="58" t="s">
        <v>189</v>
      </c>
      <c r="S359" s="69" t="n">
        <v>4178</v>
      </c>
      <c r="T359" s="35" t="s">
        <v>172</v>
      </c>
      <c r="U359" s="28" t="n">
        <v>345797.83</v>
      </c>
      <c r="V359" s="60" t="n">
        <v>25.196137</v>
      </c>
      <c r="W359" s="60"/>
      <c r="X359" s="112" t="n">
        <f aca="false">U359/V359</f>
        <v>13724.2399499574</v>
      </c>
      <c r="Y359" s="112" t="n">
        <v>282.3</v>
      </c>
      <c r="Z359" s="28" t="s">
        <v>3842</v>
      </c>
      <c r="AA359" s="62" t="s">
        <v>80</v>
      </c>
      <c r="AB359" s="38" t="n">
        <v>42501</v>
      </c>
      <c r="AC359" s="38" t="n">
        <v>42674</v>
      </c>
      <c r="AD359" s="38" t="n">
        <v>42674</v>
      </c>
      <c r="AE359" s="38" t="n">
        <v>44135</v>
      </c>
      <c r="AF359" s="271" t="n">
        <v>44132</v>
      </c>
      <c r="AG359" s="63" t="n">
        <v>91032</v>
      </c>
      <c r="AH359" s="63"/>
      <c r="AI359" s="43"/>
      <c r="AJ359" s="43" t="s">
        <v>3884</v>
      </c>
      <c r="AK359" s="43"/>
      <c r="AL359" s="43"/>
      <c r="AM359" s="43"/>
      <c r="AN359" s="43"/>
      <c r="AO359" s="43"/>
    </row>
    <row r="360" s="2" customFormat="true" ht="12.75" hidden="false" customHeight="true" outlineLevel="0" collapsed="false">
      <c r="A360" s="26" t="n">
        <v>33</v>
      </c>
      <c r="B360" s="152" t="s">
        <v>3885</v>
      </c>
      <c r="C360" s="43" t="s">
        <v>3841</v>
      </c>
      <c r="D360" s="28" t="s">
        <v>46</v>
      </c>
      <c r="E360" s="43" t="n">
        <v>6.7</v>
      </c>
      <c r="F360" s="43" t="n">
        <v>1.2</v>
      </c>
      <c r="G360" s="43" t="n">
        <v>108</v>
      </c>
      <c r="H360" s="43" t="n">
        <v>2016</v>
      </c>
      <c r="I360" s="55" t="n">
        <v>1451</v>
      </c>
      <c r="J360" s="157" t="s">
        <v>74</v>
      </c>
      <c r="K360" s="30" t="s">
        <v>1485</v>
      </c>
      <c r="L360" s="122"/>
      <c r="M360" s="31" t="s">
        <v>1486</v>
      </c>
      <c r="N360" s="32" t="s">
        <v>1090</v>
      </c>
      <c r="O360" s="57" t="s">
        <v>1350</v>
      </c>
      <c r="P360" s="57" t="s">
        <v>61</v>
      </c>
      <c r="Q360" s="57" t="n">
        <v>7082</v>
      </c>
      <c r="R360" s="58" t="s">
        <v>171</v>
      </c>
      <c r="S360" s="69" t="n">
        <v>4138</v>
      </c>
      <c r="T360" s="35" t="s">
        <v>172</v>
      </c>
      <c r="U360" s="28" t="n">
        <v>345797.83</v>
      </c>
      <c r="V360" s="60" t="n">
        <v>25.196137</v>
      </c>
      <c r="W360" s="60"/>
      <c r="X360" s="112" t="n">
        <f aca="false">U360/V360</f>
        <v>13724.2399499574</v>
      </c>
      <c r="Y360" s="112" t="n">
        <v>282.3</v>
      </c>
      <c r="Z360" s="28" t="s">
        <v>3842</v>
      </c>
      <c r="AA360" s="62" t="s">
        <v>80</v>
      </c>
      <c r="AB360" s="38" t="n">
        <v>42501</v>
      </c>
      <c r="AC360" s="38" t="n">
        <v>42674</v>
      </c>
      <c r="AD360" s="38" t="n">
        <v>42674</v>
      </c>
      <c r="AE360" s="38" t="n">
        <v>44135</v>
      </c>
      <c r="AF360" s="271" t="n">
        <v>44132</v>
      </c>
      <c r="AG360" s="63" t="n">
        <v>114581</v>
      </c>
      <c r="AH360" s="63"/>
      <c r="AI360" s="43"/>
      <c r="AJ360" s="43" t="s">
        <v>3886</v>
      </c>
      <c r="AK360" s="43"/>
      <c r="AL360" s="43"/>
      <c r="AM360" s="43"/>
      <c r="AN360" s="43"/>
      <c r="AO360" s="43"/>
    </row>
    <row r="361" s="2" customFormat="true" ht="12.75" hidden="false" customHeight="true" outlineLevel="0" collapsed="false">
      <c r="A361" s="26" t="n">
        <v>27</v>
      </c>
      <c r="B361" s="152" t="s">
        <v>3887</v>
      </c>
      <c r="C361" s="43" t="s">
        <v>3841</v>
      </c>
      <c r="D361" s="28" t="s">
        <v>46</v>
      </c>
      <c r="E361" s="43" t="n">
        <v>6.7</v>
      </c>
      <c r="F361" s="43" t="n">
        <v>1.2</v>
      </c>
      <c r="G361" s="43" t="n">
        <v>108</v>
      </c>
      <c r="H361" s="43" t="n">
        <v>2016</v>
      </c>
      <c r="I361" s="55" t="n">
        <v>1451</v>
      </c>
      <c r="J361" s="157" t="s">
        <v>74</v>
      </c>
      <c r="K361" s="30" t="s">
        <v>2682</v>
      </c>
      <c r="L361" s="69"/>
      <c r="M361" s="31" t="s">
        <v>2683</v>
      </c>
      <c r="N361" s="32" t="s">
        <v>1090</v>
      </c>
      <c r="O361" s="57" t="s">
        <v>2684</v>
      </c>
      <c r="P361" s="57" t="s">
        <v>2896</v>
      </c>
      <c r="Q361" s="87" t="n">
        <v>7065</v>
      </c>
      <c r="R361" s="58" t="s">
        <v>171</v>
      </c>
      <c r="S361" s="69" t="n">
        <v>4136</v>
      </c>
      <c r="T361" s="35" t="s">
        <v>172</v>
      </c>
      <c r="U361" s="28" t="n">
        <v>345797.83</v>
      </c>
      <c r="V361" s="60" t="n">
        <v>25.196137</v>
      </c>
      <c r="W361" s="60"/>
      <c r="X361" s="112" t="n">
        <f aca="false">U361/V361</f>
        <v>13724.2399499574</v>
      </c>
      <c r="Y361" s="112" t="n">
        <v>282.3</v>
      </c>
      <c r="Z361" s="28" t="s">
        <v>3842</v>
      </c>
      <c r="AA361" s="62" t="s">
        <v>80</v>
      </c>
      <c r="AB361" s="38" t="n">
        <v>42501</v>
      </c>
      <c r="AC361" s="38" t="n">
        <v>42674</v>
      </c>
      <c r="AD361" s="38" t="n">
        <v>42674</v>
      </c>
      <c r="AE361" s="38" t="n">
        <v>44135</v>
      </c>
      <c r="AF361" s="271" t="n">
        <v>44132</v>
      </c>
      <c r="AG361" s="63" t="n">
        <v>116835</v>
      </c>
      <c r="AH361" s="63"/>
      <c r="AI361" s="43"/>
      <c r="AJ361" s="43" t="s">
        <v>3888</v>
      </c>
      <c r="AK361" s="43"/>
      <c r="AL361" s="43"/>
      <c r="AM361" s="43"/>
      <c r="AN361" s="43"/>
      <c r="AO361" s="43"/>
    </row>
    <row r="362" s="2" customFormat="true" ht="12.75" hidden="false" customHeight="true" outlineLevel="0" collapsed="false">
      <c r="A362" s="26" t="n">
        <v>25</v>
      </c>
      <c r="B362" s="152" t="s">
        <v>3889</v>
      </c>
      <c r="C362" s="43" t="s">
        <v>3841</v>
      </c>
      <c r="D362" s="28" t="s">
        <v>46</v>
      </c>
      <c r="E362" s="43" t="n">
        <v>6.7</v>
      </c>
      <c r="F362" s="43" t="n">
        <v>1.2</v>
      </c>
      <c r="G362" s="43" t="n">
        <v>108</v>
      </c>
      <c r="H362" s="43" t="n">
        <v>2016</v>
      </c>
      <c r="I362" s="55" t="n">
        <v>1451</v>
      </c>
      <c r="J362" s="157" t="s">
        <v>74</v>
      </c>
      <c r="K362" s="30" t="s">
        <v>2558</v>
      </c>
      <c r="L362" s="35"/>
      <c r="M362" s="31" t="s">
        <v>2559</v>
      </c>
      <c r="N362" s="32" t="s">
        <v>3483</v>
      </c>
      <c r="O362" s="28" t="s">
        <v>100</v>
      </c>
      <c r="P362" s="28" t="s">
        <v>593</v>
      </c>
      <c r="Q362" s="33" t="n">
        <v>4000</v>
      </c>
      <c r="R362" s="68" t="s">
        <v>189</v>
      </c>
      <c r="S362" s="35" t="n">
        <v>4173</v>
      </c>
      <c r="T362" s="35" t="s">
        <v>172</v>
      </c>
      <c r="U362" s="28" t="n">
        <v>345797.83</v>
      </c>
      <c r="V362" s="60" t="n">
        <v>25.196137</v>
      </c>
      <c r="W362" s="60"/>
      <c r="X362" s="112" t="n">
        <f aca="false">U362/V362</f>
        <v>13724.2399499574</v>
      </c>
      <c r="Y362" s="112" t="n">
        <v>282.3</v>
      </c>
      <c r="Z362" s="28" t="s">
        <v>3842</v>
      </c>
      <c r="AA362" s="62" t="s">
        <v>80</v>
      </c>
      <c r="AB362" s="38" t="n">
        <v>42501</v>
      </c>
      <c r="AC362" s="38" t="n">
        <v>42674</v>
      </c>
      <c r="AD362" s="38" t="n">
        <v>42674</v>
      </c>
      <c r="AE362" s="38" t="n">
        <v>44135</v>
      </c>
      <c r="AF362" s="271" t="n">
        <v>44132</v>
      </c>
      <c r="AG362" s="63" t="n">
        <v>109762</v>
      </c>
      <c r="AH362" s="63"/>
      <c r="AI362" s="43"/>
      <c r="AJ362" s="43" t="s">
        <v>3890</v>
      </c>
      <c r="AK362" s="43"/>
      <c r="AL362" s="43"/>
      <c r="AM362" s="43"/>
      <c r="AN362" s="43"/>
      <c r="AO362" s="43"/>
    </row>
    <row r="363" s="2" customFormat="true" ht="12.75" hidden="false" customHeight="true" outlineLevel="0" collapsed="false">
      <c r="A363" s="26" t="n">
        <v>32</v>
      </c>
      <c r="B363" s="152" t="s">
        <v>3891</v>
      </c>
      <c r="C363" s="43" t="s">
        <v>3841</v>
      </c>
      <c r="D363" s="28" t="s">
        <v>46</v>
      </c>
      <c r="E363" s="43" t="n">
        <v>6.7</v>
      </c>
      <c r="F363" s="43" t="n">
        <v>1.2</v>
      </c>
      <c r="G363" s="43" t="n">
        <v>108</v>
      </c>
      <c r="H363" s="43" t="n">
        <v>2016</v>
      </c>
      <c r="I363" s="55" t="n">
        <v>1451</v>
      </c>
      <c r="J363" s="157" t="s">
        <v>74</v>
      </c>
      <c r="K363" s="30" t="s">
        <v>2565</v>
      </c>
      <c r="L363" s="35"/>
      <c r="M363" s="31" t="s">
        <v>2566</v>
      </c>
      <c r="N363" s="32" t="s">
        <v>168</v>
      </c>
      <c r="O363" s="35" t="s">
        <v>52</v>
      </c>
      <c r="P363" s="35" t="s">
        <v>52</v>
      </c>
      <c r="Q363" s="35" t="n">
        <v>9000</v>
      </c>
      <c r="R363" s="27" t="s">
        <v>171</v>
      </c>
      <c r="S363" s="28" t="n">
        <v>4131</v>
      </c>
      <c r="T363" s="35" t="s">
        <v>172</v>
      </c>
      <c r="U363" s="28" t="n">
        <v>345797.83</v>
      </c>
      <c r="V363" s="60" t="n">
        <v>25.196137</v>
      </c>
      <c r="W363" s="60"/>
      <c r="X363" s="112" t="n">
        <f aca="false">U363/V363</f>
        <v>13724.2399499574</v>
      </c>
      <c r="Y363" s="112" t="n">
        <v>282.3</v>
      </c>
      <c r="Z363" s="28" t="s">
        <v>3842</v>
      </c>
      <c r="AA363" s="62" t="s">
        <v>80</v>
      </c>
      <c r="AB363" s="38" t="n">
        <v>42501</v>
      </c>
      <c r="AC363" s="38" t="n">
        <v>42674</v>
      </c>
      <c r="AD363" s="38" t="n">
        <v>42674</v>
      </c>
      <c r="AE363" s="38" t="n">
        <v>44135</v>
      </c>
      <c r="AF363" s="143" t="n">
        <v>44131</v>
      </c>
      <c r="AG363" s="63" t="n">
        <v>61549</v>
      </c>
      <c r="AH363" s="63"/>
      <c r="AI363" s="43"/>
      <c r="AJ363" s="43" t="s">
        <v>3892</v>
      </c>
      <c r="AK363" s="43"/>
      <c r="AL363" s="43"/>
      <c r="AM363" s="43"/>
      <c r="AN363" s="43"/>
      <c r="AO363" s="43"/>
    </row>
    <row r="364" s="2" customFormat="true" ht="12.75" hidden="false" customHeight="true" outlineLevel="0" collapsed="false">
      <c r="A364" s="26" t="n">
        <v>119</v>
      </c>
      <c r="B364" s="152" t="s">
        <v>3893</v>
      </c>
      <c r="C364" s="43" t="s">
        <v>3841</v>
      </c>
      <c r="D364" s="28" t="s">
        <v>46</v>
      </c>
      <c r="E364" s="43" t="n">
        <v>6.7</v>
      </c>
      <c r="F364" s="43" t="n">
        <v>1.2</v>
      </c>
      <c r="G364" s="43" t="n">
        <v>108</v>
      </c>
      <c r="H364" s="43" t="n">
        <v>2016</v>
      </c>
      <c r="I364" s="55" t="n">
        <v>1451</v>
      </c>
      <c r="J364" s="157" t="s">
        <v>74</v>
      </c>
      <c r="K364" s="30" t="s">
        <v>3589</v>
      </c>
      <c r="L364" s="35"/>
      <c r="M364" s="31" t="s">
        <v>3590</v>
      </c>
      <c r="N364" s="32" t="s">
        <v>1090</v>
      </c>
      <c r="O364" s="28" t="s">
        <v>3591</v>
      </c>
      <c r="P364" s="28" t="s">
        <v>2923</v>
      </c>
      <c r="Q364" s="33" t="n">
        <v>7043</v>
      </c>
      <c r="R364" s="34" t="s">
        <v>171</v>
      </c>
      <c r="S364" s="35" t="n">
        <v>4134</v>
      </c>
      <c r="T364" s="35" t="s">
        <v>172</v>
      </c>
      <c r="U364" s="28" t="n">
        <v>345797.83</v>
      </c>
      <c r="V364" s="60" t="n">
        <v>25.196137</v>
      </c>
      <c r="W364" s="60"/>
      <c r="X364" s="112" t="n">
        <f aca="false">U364/V364</f>
        <v>13724.2399499574</v>
      </c>
      <c r="Y364" s="112" t="n">
        <v>282.3</v>
      </c>
      <c r="Z364" s="28" t="s">
        <v>3842</v>
      </c>
      <c r="AA364" s="62" t="s">
        <v>80</v>
      </c>
      <c r="AB364" s="38" t="n">
        <v>42501</v>
      </c>
      <c r="AC364" s="38" t="n">
        <v>42674</v>
      </c>
      <c r="AD364" s="38" t="n">
        <v>42674</v>
      </c>
      <c r="AE364" s="38" t="n">
        <v>44135</v>
      </c>
      <c r="AF364" s="143" t="n">
        <v>44131</v>
      </c>
      <c r="AG364" s="63" t="n">
        <v>119984</v>
      </c>
      <c r="AH364" s="63"/>
      <c r="AI364" s="43"/>
      <c r="AJ364" s="43" t="s">
        <v>3894</v>
      </c>
      <c r="AK364" s="43"/>
      <c r="AL364" s="43"/>
      <c r="AM364" s="43"/>
      <c r="AN364" s="43"/>
      <c r="AO364" s="43"/>
    </row>
    <row r="365" s="2" customFormat="true" ht="12.75" hidden="false" customHeight="true" outlineLevel="0" collapsed="false">
      <c r="A365" s="26" t="n">
        <v>19</v>
      </c>
      <c r="B365" s="152" t="s">
        <v>3895</v>
      </c>
      <c r="C365" s="43" t="s">
        <v>3841</v>
      </c>
      <c r="D365" s="28" t="s">
        <v>46</v>
      </c>
      <c r="E365" s="43" t="n">
        <v>6.7</v>
      </c>
      <c r="F365" s="43" t="n">
        <v>1.2</v>
      </c>
      <c r="G365" s="43" t="n">
        <v>108</v>
      </c>
      <c r="H365" s="43" t="n">
        <v>2016</v>
      </c>
      <c r="I365" s="55" t="n">
        <v>1451</v>
      </c>
      <c r="J365" s="157" t="s">
        <v>74</v>
      </c>
      <c r="K365" s="30" t="s">
        <v>2132</v>
      </c>
      <c r="L365" s="69"/>
      <c r="M365" s="31" t="s">
        <v>2133</v>
      </c>
      <c r="N365" s="32" t="s">
        <v>168</v>
      </c>
      <c r="O365" s="57" t="s">
        <v>60</v>
      </c>
      <c r="P365" s="57" t="s">
        <v>61</v>
      </c>
      <c r="Q365" s="57" t="n">
        <v>9000</v>
      </c>
      <c r="R365" s="58" t="s">
        <v>171</v>
      </c>
      <c r="S365" s="69" t="n">
        <v>4138</v>
      </c>
      <c r="T365" s="35" t="s">
        <v>172</v>
      </c>
      <c r="U365" s="28" t="n">
        <v>345797.83</v>
      </c>
      <c r="V365" s="60" t="n">
        <v>25.196137</v>
      </c>
      <c r="W365" s="60"/>
      <c r="X365" s="112" t="n">
        <f aca="false">U365/V365</f>
        <v>13724.2399499574</v>
      </c>
      <c r="Y365" s="112" t="n">
        <v>282.3</v>
      </c>
      <c r="Z365" s="28" t="s">
        <v>3842</v>
      </c>
      <c r="AA365" s="62" t="s">
        <v>80</v>
      </c>
      <c r="AB365" s="38" t="n">
        <v>42501</v>
      </c>
      <c r="AC365" s="38" t="n">
        <v>42674</v>
      </c>
      <c r="AD365" s="38" t="n">
        <v>42674</v>
      </c>
      <c r="AE365" s="38" t="n">
        <v>44135</v>
      </c>
      <c r="AF365" s="143" t="n">
        <v>44133</v>
      </c>
      <c r="AG365" s="63" t="n">
        <v>65722</v>
      </c>
      <c r="AH365" s="63"/>
      <c r="AI365" s="43"/>
      <c r="AJ365" s="43" t="s">
        <v>3896</v>
      </c>
      <c r="AK365" s="43"/>
      <c r="AL365" s="43"/>
      <c r="AM365" s="43"/>
      <c r="AN365" s="43"/>
      <c r="AO365" s="43"/>
    </row>
    <row r="366" s="2" customFormat="true" ht="12.75" hidden="false" customHeight="true" outlineLevel="0" collapsed="false">
      <c r="A366" s="26" t="n">
        <v>37</v>
      </c>
      <c r="B366" s="152" t="s">
        <v>3897</v>
      </c>
      <c r="C366" s="43" t="s">
        <v>3841</v>
      </c>
      <c r="D366" s="28" t="s">
        <v>46</v>
      </c>
      <c r="E366" s="43" t="n">
        <v>6.7</v>
      </c>
      <c r="F366" s="43" t="n">
        <v>1.2</v>
      </c>
      <c r="G366" s="43" t="n">
        <v>108</v>
      </c>
      <c r="H366" s="43" t="n">
        <v>2016</v>
      </c>
      <c r="I366" s="55" t="n">
        <v>1451</v>
      </c>
      <c r="J366" s="157" t="s">
        <v>74</v>
      </c>
      <c r="K366" s="30" t="s">
        <v>3898</v>
      </c>
      <c r="L366" s="35"/>
      <c r="M366" s="31" t="s">
        <v>3899</v>
      </c>
      <c r="N366" s="32" t="s">
        <v>1090</v>
      </c>
      <c r="O366" s="28" t="s">
        <v>606</v>
      </c>
      <c r="P366" s="28" t="s">
        <v>593</v>
      </c>
      <c r="Q366" s="33" t="n">
        <v>7030</v>
      </c>
      <c r="R366" s="34" t="s">
        <v>171</v>
      </c>
      <c r="S366" s="35" t="n">
        <v>4133</v>
      </c>
      <c r="T366" s="35" t="s">
        <v>172</v>
      </c>
      <c r="U366" s="28" t="n">
        <v>345797.83</v>
      </c>
      <c r="V366" s="60" t="n">
        <v>25.196137</v>
      </c>
      <c r="W366" s="60"/>
      <c r="X366" s="112" t="n">
        <f aca="false">U366/V366</f>
        <v>13724.2399499574</v>
      </c>
      <c r="Y366" s="112" t="n">
        <v>282.3</v>
      </c>
      <c r="Z366" s="28" t="n">
        <v>2.71</v>
      </c>
      <c r="AA366" s="62" t="s">
        <v>80</v>
      </c>
      <c r="AB366" s="38" t="n">
        <v>42501</v>
      </c>
      <c r="AC366" s="38" t="n">
        <v>42674</v>
      </c>
      <c r="AD366" s="38" t="n">
        <v>42677</v>
      </c>
      <c r="AE366" s="38" t="n">
        <v>44138</v>
      </c>
      <c r="AF366" s="143" t="n">
        <v>44137</v>
      </c>
      <c r="AG366" s="63" t="n">
        <v>113749</v>
      </c>
      <c r="AH366" s="63"/>
      <c r="AI366" s="43"/>
      <c r="AJ366" s="43" t="s">
        <v>3900</v>
      </c>
      <c r="AK366" s="43"/>
      <c r="AL366" s="43"/>
      <c r="AM366" s="43"/>
      <c r="AN366" s="43"/>
      <c r="AO366" s="43"/>
    </row>
    <row r="367" s="2" customFormat="true" ht="12.75" hidden="false" customHeight="true" outlineLevel="0" collapsed="false">
      <c r="A367" s="26" t="n">
        <v>40</v>
      </c>
      <c r="B367" s="152" t="s">
        <v>3901</v>
      </c>
      <c r="C367" s="43" t="s">
        <v>3841</v>
      </c>
      <c r="D367" s="28" t="s">
        <v>46</v>
      </c>
      <c r="E367" s="43" t="n">
        <v>6.7</v>
      </c>
      <c r="F367" s="43" t="n">
        <v>1.2</v>
      </c>
      <c r="G367" s="43" t="n">
        <v>108</v>
      </c>
      <c r="H367" s="43" t="n">
        <v>2016</v>
      </c>
      <c r="I367" s="55" t="n">
        <v>1451</v>
      </c>
      <c r="J367" s="157" t="s">
        <v>74</v>
      </c>
      <c r="K367" s="30" t="s">
        <v>2660</v>
      </c>
      <c r="L367" s="35"/>
      <c r="M367" s="31" t="s">
        <v>2661</v>
      </c>
      <c r="N367" s="32" t="s">
        <v>1090</v>
      </c>
      <c r="O367" s="100" t="s">
        <v>681</v>
      </c>
      <c r="P367" s="28" t="s">
        <v>593</v>
      </c>
      <c r="Q367" s="87" t="n">
        <v>7031</v>
      </c>
      <c r="R367" s="58" t="s">
        <v>171</v>
      </c>
      <c r="S367" s="69" t="s">
        <v>2904</v>
      </c>
      <c r="T367" s="35" t="s">
        <v>172</v>
      </c>
      <c r="U367" s="28" t="n">
        <v>345797.83</v>
      </c>
      <c r="V367" s="60" t="n">
        <v>25.196137</v>
      </c>
      <c r="W367" s="60"/>
      <c r="X367" s="112" t="n">
        <f aca="false">U367/V367</f>
        <v>13724.2399499574</v>
      </c>
      <c r="Y367" s="112" t="n">
        <v>282.3</v>
      </c>
      <c r="Z367" s="28" t="n">
        <v>2.71</v>
      </c>
      <c r="AA367" s="62" t="s">
        <v>80</v>
      </c>
      <c r="AB367" s="38" t="n">
        <v>42501</v>
      </c>
      <c r="AC367" s="38" t="n">
        <v>42674</v>
      </c>
      <c r="AD367" s="38" t="n">
        <v>42677</v>
      </c>
      <c r="AE367" s="38" t="n">
        <v>44138</v>
      </c>
      <c r="AF367" s="143" t="n">
        <v>44137</v>
      </c>
      <c r="AG367" s="63" t="n">
        <v>112542</v>
      </c>
      <c r="AH367" s="63"/>
      <c r="AI367" s="43"/>
      <c r="AJ367" s="43" t="s">
        <v>3902</v>
      </c>
      <c r="AK367" s="43"/>
      <c r="AL367" s="43"/>
      <c r="AM367" s="43"/>
      <c r="AN367" s="43"/>
      <c r="AO367" s="43"/>
    </row>
    <row r="368" s="2" customFormat="true" ht="12.75" hidden="false" customHeight="true" outlineLevel="0" collapsed="false">
      <c r="A368" s="26" t="n">
        <v>15</v>
      </c>
      <c r="B368" s="152" t="s">
        <v>3903</v>
      </c>
      <c r="C368" s="43" t="s">
        <v>3841</v>
      </c>
      <c r="D368" s="28" t="s">
        <v>46</v>
      </c>
      <c r="E368" s="43" t="n">
        <v>6.7</v>
      </c>
      <c r="F368" s="43" t="n">
        <v>1.2</v>
      </c>
      <c r="G368" s="43" t="n">
        <v>108</v>
      </c>
      <c r="H368" s="43" t="n">
        <v>2016</v>
      </c>
      <c r="I368" s="55" t="n">
        <v>1451</v>
      </c>
      <c r="J368" s="157" t="s">
        <v>74</v>
      </c>
      <c r="K368" s="86" t="s">
        <v>2887</v>
      </c>
      <c r="L368" s="57"/>
      <c r="M368" s="31" t="s">
        <v>3476</v>
      </c>
      <c r="N368" s="32" t="s">
        <v>1090</v>
      </c>
      <c r="O368" s="28" t="s">
        <v>100</v>
      </c>
      <c r="P368" s="57" t="s">
        <v>2896</v>
      </c>
      <c r="Q368" s="87" t="n">
        <v>7060</v>
      </c>
      <c r="R368" s="58" t="s">
        <v>171</v>
      </c>
      <c r="S368" s="69" t="n">
        <v>4136</v>
      </c>
      <c r="T368" s="35" t="s">
        <v>172</v>
      </c>
      <c r="U368" s="28" t="n">
        <v>345797.83</v>
      </c>
      <c r="V368" s="60" t="n">
        <v>25.196137</v>
      </c>
      <c r="W368" s="60"/>
      <c r="X368" s="112" t="n">
        <f aca="false">U368/V368</f>
        <v>13724.2399499574</v>
      </c>
      <c r="Y368" s="112" t="n">
        <v>282.3</v>
      </c>
      <c r="Z368" s="28" t="s">
        <v>3842</v>
      </c>
      <c r="AA368" s="62" t="s">
        <v>80</v>
      </c>
      <c r="AB368" s="38" t="n">
        <v>42501</v>
      </c>
      <c r="AC368" s="38" t="n">
        <v>42674</v>
      </c>
      <c r="AD368" s="38" t="n">
        <v>42674</v>
      </c>
      <c r="AE368" s="38" t="n">
        <v>44135</v>
      </c>
      <c r="AF368" s="143" t="n">
        <v>44145</v>
      </c>
      <c r="AG368" s="63"/>
      <c r="AH368" s="63"/>
      <c r="AI368" s="43"/>
      <c r="AJ368" s="43" t="s">
        <v>3904</v>
      </c>
      <c r="AK368" s="43"/>
      <c r="AL368" s="43"/>
      <c r="AM368" s="43"/>
      <c r="AN368" s="43"/>
      <c r="AO368" s="43"/>
    </row>
    <row r="369" s="2" customFormat="true" ht="12.75" hidden="false" customHeight="true" outlineLevel="0" collapsed="false">
      <c r="A369" s="26" t="n">
        <v>16</v>
      </c>
      <c r="B369" s="152" t="s">
        <v>3905</v>
      </c>
      <c r="C369" s="43" t="s">
        <v>3841</v>
      </c>
      <c r="D369" s="28" t="s">
        <v>46</v>
      </c>
      <c r="E369" s="43" t="n">
        <v>6.7</v>
      </c>
      <c r="F369" s="43" t="n">
        <v>1.2</v>
      </c>
      <c r="G369" s="43" t="n">
        <v>108</v>
      </c>
      <c r="H369" s="43" t="n">
        <v>2016</v>
      </c>
      <c r="I369" s="55" t="n">
        <v>1451</v>
      </c>
      <c r="J369" s="157" t="s">
        <v>74</v>
      </c>
      <c r="K369" s="30" t="s">
        <v>1994</v>
      </c>
      <c r="L369" s="69"/>
      <c r="M369" s="31" t="s">
        <v>1995</v>
      </c>
      <c r="N369" s="32" t="s">
        <v>1090</v>
      </c>
      <c r="O369" s="57" t="s">
        <v>942</v>
      </c>
      <c r="P369" s="28" t="s">
        <v>593</v>
      </c>
      <c r="Q369" s="57" t="n">
        <v>7073</v>
      </c>
      <c r="R369" s="58" t="s">
        <v>171</v>
      </c>
      <c r="S369" s="69" t="s">
        <v>2904</v>
      </c>
      <c r="T369" s="35" t="s">
        <v>172</v>
      </c>
      <c r="U369" s="28" t="n">
        <v>345797.83</v>
      </c>
      <c r="V369" s="60" t="n">
        <v>25.196137</v>
      </c>
      <c r="W369" s="60"/>
      <c r="X369" s="112" t="n">
        <f aca="false">U369/V369</f>
        <v>13724.2399499574</v>
      </c>
      <c r="Y369" s="112" t="n">
        <v>282.3</v>
      </c>
      <c r="Z369" s="28" t="s">
        <v>3842</v>
      </c>
      <c r="AA369" s="62" t="s">
        <v>80</v>
      </c>
      <c r="AB369" s="38" t="n">
        <v>42501</v>
      </c>
      <c r="AC369" s="38" t="n">
        <v>42674</v>
      </c>
      <c r="AD369" s="38" t="n">
        <v>42674</v>
      </c>
      <c r="AE369" s="38" t="n">
        <v>44135</v>
      </c>
      <c r="AF369" s="143" t="n">
        <v>44145</v>
      </c>
      <c r="AG369" s="63"/>
      <c r="AH369" s="63"/>
      <c r="AI369" s="43"/>
      <c r="AJ369" s="43" t="s">
        <v>3906</v>
      </c>
      <c r="AK369" s="43"/>
      <c r="AL369" s="43"/>
      <c r="AM369" s="43"/>
      <c r="AN369" s="43"/>
      <c r="AO369" s="43"/>
    </row>
    <row r="370" s="2" customFormat="true" ht="12.75" hidden="false" customHeight="true" outlineLevel="0" collapsed="false">
      <c r="A370" s="26" t="n">
        <v>21</v>
      </c>
      <c r="B370" s="152" t="s">
        <v>3907</v>
      </c>
      <c r="C370" s="43" t="s">
        <v>2997</v>
      </c>
      <c r="D370" s="28" t="s">
        <v>73</v>
      </c>
      <c r="E370" s="43" t="n">
        <v>5.36</v>
      </c>
      <c r="F370" s="43" t="n">
        <v>1.6</v>
      </c>
      <c r="G370" s="43" t="n">
        <v>112</v>
      </c>
      <c r="H370" s="43" t="n">
        <v>2016</v>
      </c>
      <c r="I370" s="55" t="n">
        <v>1451</v>
      </c>
      <c r="J370" s="43" t="s">
        <v>74</v>
      </c>
      <c r="K370" s="30" t="s">
        <v>2212</v>
      </c>
      <c r="L370" s="69"/>
      <c r="M370" s="31" t="s">
        <v>2213</v>
      </c>
      <c r="N370" s="32" t="s">
        <v>3398</v>
      </c>
      <c r="O370" s="57" t="s">
        <v>942</v>
      </c>
      <c r="P370" s="28" t="s">
        <v>593</v>
      </c>
      <c r="Q370" s="87" t="n">
        <v>6000</v>
      </c>
      <c r="R370" s="58" t="s">
        <v>122</v>
      </c>
      <c r="S370" s="35" t="s">
        <v>3467</v>
      </c>
      <c r="T370" s="59" t="s">
        <v>123</v>
      </c>
      <c r="U370" s="28" t="n">
        <v>405159.93</v>
      </c>
      <c r="V370" s="60" t="n">
        <v>25.196137</v>
      </c>
      <c r="W370" s="60"/>
      <c r="X370" s="112" t="n">
        <f aca="false">U370/V370</f>
        <v>16080.239998695</v>
      </c>
      <c r="Y370" s="112" t="n">
        <f aca="false">8093.64/V370</f>
        <v>321.225432295435</v>
      </c>
      <c r="Z370" s="28" t="n">
        <v>2.75</v>
      </c>
      <c r="AA370" s="62" t="s">
        <v>80</v>
      </c>
      <c r="AB370" s="38" t="n">
        <v>42501</v>
      </c>
      <c r="AC370" s="38" t="n">
        <v>42704</v>
      </c>
      <c r="AD370" s="38" t="n">
        <v>42697</v>
      </c>
      <c r="AE370" s="50" t="n">
        <v>44158</v>
      </c>
      <c r="AF370" s="143" t="n">
        <v>44151</v>
      </c>
      <c r="AG370" s="63" t="n">
        <v>116814</v>
      </c>
      <c r="AH370" s="63"/>
      <c r="AI370" s="43"/>
      <c r="AJ370" s="43" t="s">
        <v>3908</v>
      </c>
      <c r="AK370" s="43"/>
      <c r="AL370" s="43"/>
      <c r="AM370" s="43"/>
      <c r="AN370" s="43"/>
      <c r="AO370" s="43"/>
    </row>
    <row r="371" s="2" customFormat="true" ht="12.75" hidden="false" customHeight="true" outlineLevel="0" collapsed="false">
      <c r="A371" s="26" t="n">
        <v>15</v>
      </c>
      <c r="B371" s="152" t="s">
        <v>3909</v>
      </c>
      <c r="C371" s="43" t="s">
        <v>3841</v>
      </c>
      <c r="D371" s="28" t="s">
        <v>46</v>
      </c>
      <c r="E371" s="43" t="n">
        <v>6.7</v>
      </c>
      <c r="F371" s="43" t="n">
        <v>1.2</v>
      </c>
      <c r="G371" s="43" t="n">
        <v>108</v>
      </c>
      <c r="H371" s="43" t="n">
        <v>2016</v>
      </c>
      <c r="I371" s="55" t="n">
        <v>1451</v>
      </c>
      <c r="J371" s="157" t="s">
        <v>74</v>
      </c>
      <c r="K371" s="30" t="s">
        <v>3910</v>
      </c>
      <c r="L371" s="69"/>
      <c r="M371" s="31" t="s">
        <v>3911</v>
      </c>
      <c r="N371" s="32" t="s">
        <v>3483</v>
      </c>
      <c r="O371" s="57" t="s">
        <v>732</v>
      </c>
      <c r="P371" s="57" t="s">
        <v>61</v>
      </c>
      <c r="Q371" s="57" t="n">
        <v>6000</v>
      </c>
      <c r="R371" s="58" t="s">
        <v>171</v>
      </c>
      <c r="S371" s="69" t="n">
        <v>4178</v>
      </c>
      <c r="T371" s="35" t="s">
        <v>172</v>
      </c>
      <c r="U371" s="28" t="n">
        <v>345797.83</v>
      </c>
      <c r="V371" s="60" t="n">
        <v>25.196137</v>
      </c>
      <c r="W371" s="60"/>
      <c r="X371" s="112" t="n">
        <f aca="false">U371/V371</f>
        <v>13724.2399499574</v>
      </c>
      <c r="Y371" s="112" t="n">
        <v>282.3</v>
      </c>
      <c r="Z371" s="28" t="n">
        <v>2.71</v>
      </c>
      <c r="AA371" s="62" t="s">
        <v>80</v>
      </c>
      <c r="AB371" s="38" t="n">
        <v>42501</v>
      </c>
      <c r="AC371" s="38" t="n">
        <v>42674</v>
      </c>
      <c r="AD371" s="38" t="n">
        <v>42677</v>
      </c>
      <c r="AE371" s="38" t="n">
        <v>44138</v>
      </c>
      <c r="AF371" s="143" t="n">
        <v>44145</v>
      </c>
      <c r="AG371" s="63" t="n">
        <v>97130</v>
      </c>
      <c r="AH371" s="63"/>
      <c r="AI371" s="43"/>
      <c r="AJ371" s="43" t="s">
        <v>3912</v>
      </c>
      <c r="AK371" s="43"/>
      <c r="AL371" s="43"/>
      <c r="AM371" s="43"/>
      <c r="AN371" s="43"/>
      <c r="AO371" s="43"/>
    </row>
    <row r="372" s="2" customFormat="true" ht="12.75" hidden="false" customHeight="true" outlineLevel="0" collapsed="false">
      <c r="A372" s="26" t="n">
        <v>17</v>
      </c>
      <c r="B372" s="152" t="s">
        <v>3913</v>
      </c>
      <c r="C372" s="43" t="s">
        <v>2997</v>
      </c>
      <c r="D372" s="28" t="s">
        <v>73</v>
      </c>
      <c r="E372" s="43" t="n">
        <v>5.36</v>
      </c>
      <c r="F372" s="43" t="n">
        <v>1.6</v>
      </c>
      <c r="G372" s="43" t="n">
        <v>112</v>
      </c>
      <c r="H372" s="43" t="n">
        <v>2016</v>
      </c>
      <c r="I372" s="55" t="n">
        <v>1451</v>
      </c>
      <c r="J372" s="43" t="s">
        <v>74</v>
      </c>
      <c r="K372" s="30" t="s">
        <v>2438</v>
      </c>
      <c r="L372" s="35"/>
      <c r="M372" s="31" t="s">
        <v>2439</v>
      </c>
      <c r="N372" s="32" t="s">
        <v>3398</v>
      </c>
      <c r="O372" s="28" t="s">
        <v>60</v>
      </c>
      <c r="P372" s="28" t="s">
        <v>61</v>
      </c>
      <c r="Q372" s="28" t="n">
        <v>6000</v>
      </c>
      <c r="R372" s="34" t="s">
        <v>189</v>
      </c>
      <c r="S372" s="35" t="n">
        <v>4178</v>
      </c>
      <c r="T372" s="59" t="s">
        <v>123</v>
      </c>
      <c r="U372" s="28" t="n">
        <v>405159.93</v>
      </c>
      <c r="V372" s="60" t="n">
        <v>25.196137</v>
      </c>
      <c r="W372" s="60"/>
      <c r="X372" s="112" t="n">
        <f aca="false">U372/V372</f>
        <v>16080.239998695</v>
      </c>
      <c r="Y372" s="112" t="n">
        <f aca="false">8093.64/V372</f>
        <v>321.225432295435</v>
      </c>
      <c r="Z372" s="28" t="n">
        <v>2.74</v>
      </c>
      <c r="AA372" s="62" t="s">
        <v>80</v>
      </c>
      <c r="AB372" s="38" t="n">
        <v>42501</v>
      </c>
      <c r="AC372" s="38" t="n">
        <v>42692</v>
      </c>
      <c r="AD372" s="38" t="n">
        <v>42685</v>
      </c>
      <c r="AE372" s="50" t="n">
        <v>44146</v>
      </c>
      <c r="AF372" s="143" t="n">
        <v>44145</v>
      </c>
      <c r="AG372" s="63" t="n">
        <v>63050</v>
      </c>
      <c r="AH372" s="63"/>
      <c r="AI372" s="43"/>
      <c r="AJ372" s="43" t="s">
        <v>3914</v>
      </c>
      <c r="AK372" s="43"/>
      <c r="AL372" s="43"/>
      <c r="AM372" s="43"/>
      <c r="AN372" s="43"/>
      <c r="AO372" s="43"/>
    </row>
    <row r="373" s="2" customFormat="true" ht="12.75" hidden="false" customHeight="true" outlineLevel="0" collapsed="false">
      <c r="A373" s="26" t="n">
        <v>16</v>
      </c>
      <c r="B373" s="152" t="s">
        <v>3915</v>
      </c>
      <c r="C373" s="43" t="s">
        <v>2997</v>
      </c>
      <c r="D373" s="28" t="s">
        <v>73</v>
      </c>
      <c r="E373" s="43" t="n">
        <v>5.36</v>
      </c>
      <c r="F373" s="43" t="n">
        <v>1.6</v>
      </c>
      <c r="G373" s="43" t="n">
        <v>112</v>
      </c>
      <c r="H373" s="43" t="n">
        <v>2016</v>
      </c>
      <c r="I373" s="55" t="n">
        <v>1451</v>
      </c>
      <c r="J373" s="43" t="s">
        <v>74</v>
      </c>
      <c r="K373" s="30" t="s">
        <v>2354</v>
      </c>
      <c r="L373" s="69"/>
      <c r="M373" s="31" t="s">
        <v>2355</v>
      </c>
      <c r="N373" s="32" t="s">
        <v>2356</v>
      </c>
      <c r="O373" s="57" t="s">
        <v>100</v>
      </c>
      <c r="P373" s="57" t="s">
        <v>2890</v>
      </c>
      <c r="Q373" s="87" t="n">
        <v>1000</v>
      </c>
      <c r="R373" s="58" t="s">
        <v>122</v>
      </c>
      <c r="S373" s="69" t="n">
        <v>4190</v>
      </c>
      <c r="T373" s="59" t="s">
        <v>123</v>
      </c>
      <c r="U373" s="28" t="n">
        <v>405159.93</v>
      </c>
      <c r="V373" s="60" t="n">
        <v>25.196137</v>
      </c>
      <c r="W373" s="60"/>
      <c r="X373" s="112" t="n">
        <f aca="false">U373/V373</f>
        <v>16080.239998695</v>
      </c>
      <c r="Y373" s="112" t="n">
        <f aca="false">8093.64/V373</f>
        <v>321.225432295435</v>
      </c>
      <c r="Z373" s="28" t="n">
        <v>2.75</v>
      </c>
      <c r="AA373" s="62" t="s">
        <v>80</v>
      </c>
      <c r="AB373" s="38" t="n">
        <v>42501</v>
      </c>
      <c r="AC373" s="38" t="n">
        <v>42704</v>
      </c>
      <c r="AD373" s="38" t="n">
        <v>42697</v>
      </c>
      <c r="AE373" s="50" t="n">
        <v>44158</v>
      </c>
      <c r="AF373" s="143" t="n">
        <v>44155</v>
      </c>
      <c r="AG373" s="63" t="n">
        <v>116713</v>
      </c>
      <c r="AH373" s="63"/>
      <c r="AI373" s="43"/>
      <c r="AJ373" s="43" t="s">
        <v>3916</v>
      </c>
      <c r="AK373" s="43"/>
      <c r="AL373" s="43"/>
      <c r="AM373" s="43"/>
      <c r="AN373" s="43"/>
      <c r="AO373" s="43"/>
    </row>
    <row r="374" s="2" customFormat="true" ht="14.25" hidden="false" customHeight="false" outlineLevel="0" collapsed="false">
      <c r="A374" s="26" t="n">
        <v>107</v>
      </c>
      <c r="B374" s="43" t="s">
        <v>3917</v>
      </c>
      <c r="C374" s="43" t="s">
        <v>379</v>
      </c>
      <c r="D374" s="28" t="s">
        <v>73</v>
      </c>
      <c r="E374" s="43" t="n">
        <v>12.5</v>
      </c>
      <c r="F374" s="43" t="n">
        <v>2</v>
      </c>
      <c r="G374" s="43" t="n">
        <v>193</v>
      </c>
      <c r="H374" s="43" t="n">
        <v>2019</v>
      </c>
      <c r="I374" s="43" t="s">
        <v>96</v>
      </c>
      <c r="J374" s="43" t="s">
        <v>74</v>
      </c>
      <c r="K374" s="30" t="s">
        <v>3144</v>
      </c>
      <c r="L374" s="35"/>
      <c r="M374" s="31" t="s">
        <v>3145</v>
      </c>
      <c r="N374" s="32" t="s">
        <v>3146</v>
      </c>
      <c r="O374" s="28" t="s">
        <v>100</v>
      </c>
      <c r="P374" s="28" t="s">
        <v>2890</v>
      </c>
      <c r="Q374" s="28" t="n">
        <v>1000</v>
      </c>
      <c r="R374" s="34" t="s">
        <v>53</v>
      </c>
      <c r="S374" s="35" t="n">
        <v>3690</v>
      </c>
      <c r="T374" s="35" t="s">
        <v>493</v>
      </c>
      <c r="U374" s="28" t="n">
        <v>2087908.04</v>
      </c>
      <c r="V374" s="60" t="n">
        <v>27.772064</v>
      </c>
      <c r="W374" s="71" t="n">
        <v>437616.82</v>
      </c>
      <c r="X374" s="112" t="n">
        <f aca="false">U374/V374</f>
        <v>75180.1536968948</v>
      </c>
      <c r="Y374" s="112" t="n">
        <f aca="false">32568.66/V374</f>
        <v>1172.71298236962</v>
      </c>
      <c r="Z374" s="28" t="n">
        <v>4.12</v>
      </c>
      <c r="AA374" s="62" t="s">
        <v>80</v>
      </c>
      <c r="AB374" s="38" t="n">
        <v>43495</v>
      </c>
      <c r="AC374" s="38" t="n">
        <v>43610</v>
      </c>
      <c r="AD374" s="38" t="n">
        <v>43609</v>
      </c>
      <c r="AE374" s="38" t="n">
        <v>45435</v>
      </c>
      <c r="AF374" s="38" t="n">
        <v>44134</v>
      </c>
      <c r="AG374" s="63" t="n">
        <v>29770</v>
      </c>
      <c r="AH374" s="63" t="n">
        <f aca="false">W374/60</f>
        <v>7293.61366666667</v>
      </c>
      <c r="AI374" s="43" t="n">
        <v>89565807</v>
      </c>
      <c r="AJ374" s="43"/>
      <c r="AK374" s="78" t="s">
        <v>3918</v>
      </c>
      <c r="AL374" s="43" t="s">
        <v>3919</v>
      </c>
      <c r="AM374" s="275" t="n">
        <v>44057</v>
      </c>
      <c r="AN374" s="43"/>
      <c r="AO374" s="43"/>
    </row>
    <row r="375" s="2" customFormat="true" ht="15" hidden="false" customHeight="false" outlineLevel="0" collapsed="false">
      <c r="A375" s="26" t="n">
        <v>63</v>
      </c>
      <c r="B375" s="152" t="s">
        <v>3920</v>
      </c>
      <c r="C375" s="43" t="s">
        <v>165</v>
      </c>
      <c r="D375" s="28" t="s">
        <v>46</v>
      </c>
      <c r="E375" s="43" t="n">
        <v>6.7</v>
      </c>
      <c r="F375" s="43" t="n">
        <v>1.2</v>
      </c>
      <c r="G375" s="43" t="n">
        <v>108</v>
      </c>
      <c r="H375" s="43" t="n">
        <v>2019</v>
      </c>
      <c r="I375" s="43" t="s">
        <v>96</v>
      </c>
      <c r="J375" s="43" t="s">
        <v>74</v>
      </c>
      <c r="K375" s="30" t="s">
        <v>2572</v>
      </c>
      <c r="L375" s="35"/>
      <c r="M375" s="31" t="s">
        <v>2573</v>
      </c>
      <c r="N375" s="32" t="s">
        <v>1090</v>
      </c>
      <c r="O375" s="28" t="s">
        <v>373</v>
      </c>
      <c r="P375" s="28" t="s">
        <v>2923</v>
      </c>
      <c r="Q375" s="33" t="n">
        <v>7032</v>
      </c>
      <c r="R375" s="77" t="s">
        <v>171</v>
      </c>
      <c r="S375" s="35" t="n">
        <v>4134</v>
      </c>
      <c r="T375" s="35" t="s">
        <v>172</v>
      </c>
      <c r="U375" s="28" t="n">
        <v>425034.65</v>
      </c>
      <c r="V375" s="60" t="n">
        <v>28.023739</v>
      </c>
      <c r="W375" s="71" t="n">
        <f aca="false">5921425.44/50</f>
        <v>118428.5088</v>
      </c>
      <c r="X375" s="61" t="n">
        <f aca="false">U375/V375</f>
        <v>15166.9500633017</v>
      </c>
      <c r="Y375" s="61" t="n">
        <v>251.65</v>
      </c>
      <c r="Z375" s="28" t="n">
        <v>4.4</v>
      </c>
      <c r="AA375" s="62" t="s">
        <v>80</v>
      </c>
      <c r="AB375" s="38" t="n">
        <v>43474</v>
      </c>
      <c r="AC375" s="38" t="n">
        <v>43524</v>
      </c>
      <c r="AD375" s="38" t="n">
        <v>43539</v>
      </c>
      <c r="AE375" s="38" t="n">
        <v>45365</v>
      </c>
      <c r="AF375" s="143" t="n">
        <v>44154</v>
      </c>
      <c r="AG375" s="63" t="n">
        <v>61603</v>
      </c>
      <c r="AH375" s="63" t="n">
        <f aca="false">W375/60</f>
        <v>1973.80848</v>
      </c>
      <c r="AI375" s="88" t="n">
        <v>88632996</v>
      </c>
      <c r="AJ375" s="99" t="s">
        <v>3921</v>
      </c>
      <c r="AK375" s="85" t="s">
        <v>3922</v>
      </c>
      <c r="AL375" s="48" t="s">
        <v>3923</v>
      </c>
      <c r="AM375" s="275" t="n">
        <v>44084</v>
      </c>
      <c r="AN375" s="43"/>
      <c r="AO375" s="43"/>
    </row>
    <row r="376" s="2" customFormat="true" ht="14.25" hidden="false" customHeight="false" outlineLevel="0" collapsed="false">
      <c r="A376" s="26" t="n">
        <v>81</v>
      </c>
      <c r="B376" s="152" t="s">
        <v>3924</v>
      </c>
      <c r="C376" s="43" t="s">
        <v>165</v>
      </c>
      <c r="D376" s="28" t="s">
        <v>46</v>
      </c>
      <c r="E376" s="43" t="n">
        <v>6.7</v>
      </c>
      <c r="F376" s="43" t="n">
        <v>1.2</v>
      </c>
      <c r="G376" s="43" t="n">
        <v>108</v>
      </c>
      <c r="H376" s="43" t="n">
        <v>2019</v>
      </c>
      <c r="I376" s="43" t="s">
        <v>96</v>
      </c>
      <c r="J376" s="43" t="s">
        <v>74</v>
      </c>
      <c r="K376" s="30" t="s">
        <v>1478</v>
      </c>
      <c r="L376" s="35"/>
      <c r="M376" s="31" t="s">
        <v>1479</v>
      </c>
      <c r="N376" s="32" t="s">
        <v>1090</v>
      </c>
      <c r="O376" s="28" t="s">
        <v>313</v>
      </c>
      <c r="P376" s="28" t="s">
        <v>593</v>
      </c>
      <c r="Q376" s="231" t="n">
        <v>7071</v>
      </c>
      <c r="R376" s="68" t="s">
        <v>171</v>
      </c>
      <c r="S376" s="35" t="s">
        <v>2904</v>
      </c>
      <c r="T376" s="35" t="s">
        <v>172</v>
      </c>
      <c r="U376" s="28" t="n">
        <v>425034.65</v>
      </c>
      <c r="V376" s="60" t="n">
        <v>28.023739</v>
      </c>
      <c r="W376" s="71" t="n">
        <f aca="false">5921425.44/50</f>
        <v>118428.5088</v>
      </c>
      <c r="X376" s="61" t="n">
        <f aca="false">U376/V376</f>
        <v>15166.9500633017</v>
      </c>
      <c r="Y376" s="61" t="n">
        <v>251.65</v>
      </c>
      <c r="Z376" s="28" t="n">
        <v>4.4</v>
      </c>
      <c r="AA376" s="62" t="s">
        <v>80</v>
      </c>
      <c r="AB376" s="38" t="n">
        <v>43474</v>
      </c>
      <c r="AC376" s="38" t="n">
        <v>43524</v>
      </c>
      <c r="AD376" s="38" t="n">
        <v>43539</v>
      </c>
      <c r="AE376" s="38" t="n">
        <v>45365</v>
      </c>
      <c r="AF376" s="143" t="n">
        <v>44159</v>
      </c>
      <c r="AG376" s="63" t="n">
        <v>56546</v>
      </c>
      <c r="AH376" s="63" t="n">
        <f aca="false">W376/60</f>
        <v>1973.80848</v>
      </c>
      <c r="AI376" s="43" t="n">
        <v>89565781</v>
      </c>
      <c r="AJ376" s="43"/>
      <c r="AK376" s="48" t="s">
        <v>3925</v>
      </c>
      <c r="AL376" s="48" t="s">
        <v>3926</v>
      </c>
      <c r="AM376" s="275" t="n">
        <v>43862</v>
      </c>
      <c r="AN376" s="43"/>
      <c r="AO376" s="43"/>
    </row>
    <row r="377" s="2" customFormat="true" ht="14.25" hidden="false" customHeight="false" outlineLevel="0" collapsed="false">
      <c r="A377" s="26" t="n">
        <v>86</v>
      </c>
      <c r="B377" s="152" t="s">
        <v>3927</v>
      </c>
      <c r="C377" s="43" t="s">
        <v>165</v>
      </c>
      <c r="D377" s="28" t="s">
        <v>46</v>
      </c>
      <c r="E377" s="43" t="n">
        <v>6.7</v>
      </c>
      <c r="F377" s="43" t="n">
        <v>1.2</v>
      </c>
      <c r="G377" s="43" t="n">
        <v>108</v>
      </c>
      <c r="H377" s="43" t="n">
        <v>2019</v>
      </c>
      <c r="I377" s="43" t="s">
        <v>96</v>
      </c>
      <c r="J377" s="43" t="s">
        <v>74</v>
      </c>
      <c r="K377" s="30" t="s">
        <v>2718</v>
      </c>
      <c r="L377" s="35"/>
      <c r="M377" s="31" t="s">
        <v>2719</v>
      </c>
      <c r="N377" s="32" t="s">
        <v>1090</v>
      </c>
      <c r="O377" s="57" t="s">
        <v>1239</v>
      </c>
      <c r="P377" s="28" t="s">
        <v>52</v>
      </c>
      <c r="Q377" s="33" t="n">
        <v>7050</v>
      </c>
      <c r="R377" s="34" t="s">
        <v>171</v>
      </c>
      <c r="S377" s="35" t="n">
        <v>4131</v>
      </c>
      <c r="T377" s="35" t="s">
        <v>172</v>
      </c>
      <c r="U377" s="28" t="n">
        <v>425034.65</v>
      </c>
      <c r="V377" s="60" t="n">
        <v>28.023739</v>
      </c>
      <c r="W377" s="71" t="n">
        <f aca="false">5921425.44/50</f>
        <v>118428.5088</v>
      </c>
      <c r="X377" s="61" t="n">
        <f aca="false">U377/V377</f>
        <v>15166.9500633017</v>
      </c>
      <c r="Y377" s="61" t="n">
        <v>251.65</v>
      </c>
      <c r="Z377" s="28" t="n">
        <v>4.4</v>
      </c>
      <c r="AA377" s="62" t="s">
        <v>80</v>
      </c>
      <c r="AB377" s="38" t="n">
        <v>43474</v>
      </c>
      <c r="AC377" s="38" t="n">
        <v>43524</v>
      </c>
      <c r="AD377" s="38" t="n">
        <v>43537</v>
      </c>
      <c r="AE377" s="38" t="n">
        <v>45365</v>
      </c>
      <c r="AF377" s="143" t="n">
        <v>44158</v>
      </c>
      <c r="AG377" s="63" t="n">
        <v>58377</v>
      </c>
      <c r="AH377" s="63" t="n">
        <f aca="false">W377/60</f>
        <v>1973.80848</v>
      </c>
      <c r="AI377" s="43" t="n">
        <v>86508891</v>
      </c>
      <c r="AJ377" s="81" t="s">
        <v>3928</v>
      </c>
      <c r="AK377" s="85" t="s">
        <v>3929</v>
      </c>
      <c r="AL377" s="48" t="s">
        <v>3930</v>
      </c>
      <c r="AM377" s="275" t="n">
        <v>44098</v>
      </c>
      <c r="AN377" s="43"/>
      <c r="AO377" s="43"/>
    </row>
    <row r="378" s="2" customFormat="true" ht="14.25" hidden="false" customHeight="false" outlineLevel="0" collapsed="false">
      <c r="A378" s="26" t="n">
        <v>54</v>
      </c>
      <c r="B378" s="78" t="s">
        <v>3931</v>
      </c>
      <c r="C378" s="43" t="s">
        <v>165</v>
      </c>
      <c r="D378" s="28" t="s">
        <v>46</v>
      </c>
      <c r="E378" s="43" t="n">
        <v>6.7</v>
      </c>
      <c r="F378" s="43" t="n">
        <v>1.2</v>
      </c>
      <c r="G378" s="43" t="n">
        <v>108</v>
      </c>
      <c r="H378" s="43" t="n">
        <v>2019</v>
      </c>
      <c r="I378" s="43" t="s">
        <v>96</v>
      </c>
      <c r="J378" s="43" t="s">
        <v>74</v>
      </c>
      <c r="K378" s="86" t="s">
        <v>2887</v>
      </c>
      <c r="L378" s="82"/>
      <c r="M378" s="31" t="s">
        <v>2970</v>
      </c>
      <c r="N378" s="32" t="s">
        <v>1090</v>
      </c>
      <c r="O378" s="28" t="s">
        <v>169</v>
      </c>
      <c r="P378" s="28" t="s">
        <v>61</v>
      </c>
      <c r="Q378" s="33" t="n">
        <v>7083</v>
      </c>
      <c r="R378" s="34" t="s">
        <v>92</v>
      </c>
      <c r="S378" s="35" t="n">
        <v>4138</v>
      </c>
      <c r="T378" s="35" t="s">
        <v>172</v>
      </c>
      <c r="U378" s="28" t="n">
        <v>425034.65</v>
      </c>
      <c r="V378" s="60" t="n">
        <v>28.023739</v>
      </c>
      <c r="W378" s="71" t="n">
        <f aca="false">5921425.44/50</f>
        <v>118428.5088</v>
      </c>
      <c r="X378" s="61" t="n">
        <f aca="false">U378/V378</f>
        <v>15166.9500633017</v>
      </c>
      <c r="Y378" s="61" t="n">
        <v>251.65</v>
      </c>
      <c r="Z378" s="28" t="n">
        <v>4.4</v>
      </c>
      <c r="AA378" s="62" t="s">
        <v>80</v>
      </c>
      <c r="AB378" s="38" t="n">
        <v>43474</v>
      </c>
      <c r="AC378" s="38" t="n">
        <v>43524</v>
      </c>
      <c r="AD378" s="38" t="n">
        <v>43539</v>
      </c>
      <c r="AE378" s="38" t="n">
        <v>45365</v>
      </c>
      <c r="AF378" s="143" t="n">
        <v>44152</v>
      </c>
      <c r="AG378" s="63" t="n">
        <v>45895</v>
      </c>
      <c r="AH378" s="63" t="n">
        <f aca="false">W378/60</f>
        <v>1973.80848</v>
      </c>
      <c r="AI378" s="88" t="n">
        <v>9570526</v>
      </c>
      <c r="AJ378" s="43"/>
      <c r="AK378" s="85" t="s">
        <v>3932</v>
      </c>
      <c r="AL378" s="48" t="s">
        <v>3933</v>
      </c>
      <c r="AM378" s="275" t="n">
        <v>44119</v>
      </c>
      <c r="AN378" s="43"/>
      <c r="AO378" s="43"/>
    </row>
    <row r="379" s="2" customFormat="true" ht="14.25" hidden="false" customHeight="false" outlineLevel="0" collapsed="false">
      <c r="A379" s="26" t="n">
        <v>78</v>
      </c>
      <c r="B379" s="78" t="s">
        <v>3934</v>
      </c>
      <c r="C379" s="43" t="s">
        <v>165</v>
      </c>
      <c r="D379" s="28" t="s">
        <v>46</v>
      </c>
      <c r="E379" s="43" t="n">
        <v>6.7</v>
      </c>
      <c r="F379" s="43" t="n">
        <v>1.2</v>
      </c>
      <c r="G379" s="43" t="n">
        <v>108</v>
      </c>
      <c r="H379" s="43" t="n">
        <v>2019</v>
      </c>
      <c r="I379" s="43" t="s">
        <v>96</v>
      </c>
      <c r="J379" s="43" t="s">
        <v>74</v>
      </c>
      <c r="K379" s="86" t="s">
        <v>2887</v>
      </c>
      <c r="L379" s="69"/>
      <c r="M379" s="31" t="s">
        <v>739</v>
      </c>
      <c r="N379" s="32" t="s">
        <v>1090</v>
      </c>
      <c r="O379" s="28" t="s">
        <v>142</v>
      </c>
      <c r="P379" s="57" t="s">
        <v>2896</v>
      </c>
      <c r="Q379" s="33" t="n">
        <v>7065</v>
      </c>
      <c r="R379" s="34" t="s">
        <v>171</v>
      </c>
      <c r="S379" s="35" t="n">
        <v>4136</v>
      </c>
      <c r="T379" s="35" t="s">
        <v>172</v>
      </c>
      <c r="U379" s="28" t="n">
        <v>425034.65</v>
      </c>
      <c r="V379" s="60" t="n">
        <v>28.023739</v>
      </c>
      <c r="W379" s="71" t="n">
        <f aca="false">5921425.44/50</f>
        <v>118428.5088</v>
      </c>
      <c r="X379" s="61" t="n">
        <f aca="false">U379/V379</f>
        <v>15166.9500633017</v>
      </c>
      <c r="Y379" s="61" t="n">
        <v>251.65</v>
      </c>
      <c r="Z379" s="28" t="n">
        <v>4.4</v>
      </c>
      <c r="AA379" s="62" t="s">
        <v>80</v>
      </c>
      <c r="AB379" s="38" t="n">
        <v>43474</v>
      </c>
      <c r="AC379" s="38" t="n">
        <v>43524</v>
      </c>
      <c r="AD379" s="38" t="n">
        <v>43539</v>
      </c>
      <c r="AE379" s="38" t="n">
        <v>45365</v>
      </c>
      <c r="AF379" s="143" t="n">
        <v>44152</v>
      </c>
      <c r="AG379" s="63" t="n">
        <v>71739</v>
      </c>
      <c r="AH379" s="63" t="n">
        <f aca="false">W379/60</f>
        <v>1973.80848</v>
      </c>
      <c r="AI379" s="43" t="n">
        <v>89570500</v>
      </c>
      <c r="AJ379" s="81" t="s">
        <v>3935</v>
      </c>
      <c r="AK379" s="85" t="s">
        <v>3936</v>
      </c>
      <c r="AL379" s="48" t="s">
        <v>3937</v>
      </c>
      <c r="AM379" s="275" t="n">
        <v>43862</v>
      </c>
      <c r="AN379" s="43"/>
      <c r="AO379" s="43"/>
    </row>
    <row r="380" s="2" customFormat="true" ht="14.25" hidden="false" customHeight="false" outlineLevel="0" collapsed="false">
      <c r="A380" s="26" t="n">
        <v>56</v>
      </c>
      <c r="B380" s="78" t="s">
        <v>3938</v>
      </c>
      <c r="C380" s="43" t="s">
        <v>165</v>
      </c>
      <c r="D380" s="28" t="s">
        <v>46</v>
      </c>
      <c r="E380" s="43" t="n">
        <v>6.7</v>
      </c>
      <c r="F380" s="43" t="n">
        <v>1.2</v>
      </c>
      <c r="G380" s="43" t="n">
        <v>108</v>
      </c>
      <c r="H380" s="43" t="n">
        <v>2019</v>
      </c>
      <c r="I380" s="43" t="s">
        <v>96</v>
      </c>
      <c r="J380" s="43" t="s">
        <v>74</v>
      </c>
      <c r="K380" s="30" t="s">
        <v>2551</v>
      </c>
      <c r="L380" s="35"/>
      <c r="M380" s="31" t="s">
        <v>2552</v>
      </c>
      <c r="N380" s="32" t="s">
        <v>1090</v>
      </c>
      <c r="O380" s="28" t="s">
        <v>60</v>
      </c>
      <c r="P380" s="28" t="s">
        <v>61</v>
      </c>
      <c r="Q380" s="33" t="n">
        <v>7081</v>
      </c>
      <c r="R380" s="77" t="s">
        <v>171</v>
      </c>
      <c r="S380" s="35" t="n">
        <v>4138</v>
      </c>
      <c r="T380" s="35" t="s">
        <v>172</v>
      </c>
      <c r="U380" s="28" t="n">
        <v>425034.65</v>
      </c>
      <c r="V380" s="60" t="n">
        <v>28.023739</v>
      </c>
      <c r="W380" s="71" t="n">
        <f aca="false">5921425.44/50</f>
        <v>118428.5088</v>
      </c>
      <c r="X380" s="61" t="n">
        <f aca="false">U380/V380</f>
        <v>15166.9500633017</v>
      </c>
      <c r="Y380" s="61" t="n">
        <v>251.65</v>
      </c>
      <c r="Z380" s="28" t="n">
        <v>4.4</v>
      </c>
      <c r="AA380" s="62" t="s">
        <v>80</v>
      </c>
      <c r="AB380" s="38" t="n">
        <v>43474</v>
      </c>
      <c r="AC380" s="38" t="n">
        <v>43524</v>
      </c>
      <c r="AD380" s="38" t="n">
        <v>43539</v>
      </c>
      <c r="AE380" s="38" t="n">
        <v>45365</v>
      </c>
      <c r="AF380" s="143" t="n">
        <v>44152</v>
      </c>
      <c r="AG380" s="63" t="n">
        <v>62691</v>
      </c>
      <c r="AH380" s="63" t="n">
        <f aca="false">W380/60</f>
        <v>1973.80848</v>
      </c>
      <c r="AI380" s="88" t="n">
        <v>88566277</v>
      </c>
      <c r="AJ380" s="43"/>
      <c r="AK380" s="78" t="s">
        <v>3939</v>
      </c>
      <c r="AL380" s="48" t="s">
        <v>3940</v>
      </c>
      <c r="AM380" s="275" t="n">
        <v>43862</v>
      </c>
      <c r="AN380" s="43"/>
      <c r="AO380" s="43"/>
    </row>
    <row r="381" s="2" customFormat="true" ht="14.25" hidden="false" customHeight="false" outlineLevel="0" collapsed="false">
      <c r="A381" s="26" t="n">
        <v>68</v>
      </c>
      <c r="B381" s="78" t="s">
        <v>3941</v>
      </c>
      <c r="C381" s="43" t="s">
        <v>165</v>
      </c>
      <c r="D381" s="28" t="s">
        <v>46</v>
      </c>
      <c r="E381" s="43" t="n">
        <v>6.7</v>
      </c>
      <c r="F381" s="43" t="n">
        <v>1.2</v>
      </c>
      <c r="G381" s="43" t="n">
        <v>108</v>
      </c>
      <c r="H381" s="43" t="n">
        <v>2019</v>
      </c>
      <c r="I381" s="43" t="s">
        <v>96</v>
      </c>
      <c r="J381" s="43" t="s">
        <v>74</v>
      </c>
      <c r="K381" s="30" t="s">
        <v>1492</v>
      </c>
      <c r="L381" s="35"/>
      <c r="M381" s="31" t="s">
        <v>1493</v>
      </c>
      <c r="N381" s="32" t="s">
        <v>3483</v>
      </c>
      <c r="O381" s="57" t="s">
        <v>218</v>
      </c>
      <c r="P381" s="57" t="s">
        <v>52</v>
      </c>
      <c r="Q381" s="87" t="n">
        <v>1200</v>
      </c>
      <c r="R381" s="34" t="s">
        <v>171</v>
      </c>
      <c r="S381" s="35" t="n">
        <v>4171</v>
      </c>
      <c r="T381" s="35" t="s">
        <v>172</v>
      </c>
      <c r="U381" s="28" t="n">
        <v>425034.65</v>
      </c>
      <c r="V381" s="60" t="n">
        <v>28.023739</v>
      </c>
      <c r="W381" s="71" t="n">
        <f aca="false">5921425.44/50</f>
        <v>118428.5088</v>
      </c>
      <c r="X381" s="61" t="n">
        <f aca="false">U381/V381</f>
        <v>15166.9500633017</v>
      </c>
      <c r="Y381" s="61" t="n">
        <v>251.65</v>
      </c>
      <c r="Z381" s="28" t="n">
        <v>4.4</v>
      </c>
      <c r="AA381" s="62" t="s">
        <v>80</v>
      </c>
      <c r="AB381" s="38" t="n">
        <v>43474</v>
      </c>
      <c r="AC381" s="38" t="n">
        <v>43524</v>
      </c>
      <c r="AD381" s="38" t="n">
        <v>43531</v>
      </c>
      <c r="AE381" s="38" t="n">
        <v>45358</v>
      </c>
      <c r="AF381" s="143" t="n">
        <v>44152</v>
      </c>
      <c r="AG381" s="63" t="n">
        <v>57100</v>
      </c>
      <c r="AH381" s="63" t="n">
        <f aca="false">W381/60</f>
        <v>1973.80848</v>
      </c>
      <c r="AI381" s="98" t="n">
        <v>87613393</v>
      </c>
      <c r="AJ381" s="81" t="s">
        <v>3942</v>
      </c>
      <c r="AK381" s="85" t="s">
        <v>3943</v>
      </c>
      <c r="AL381" s="48" t="s">
        <v>3944</v>
      </c>
      <c r="AM381" s="275" t="n">
        <v>44098</v>
      </c>
      <c r="AN381" s="43"/>
      <c r="AO381" s="43"/>
    </row>
    <row r="382" s="2" customFormat="true" ht="15" hidden="false" customHeight="false" outlineLevel="0" collapsed="false">
      <c r="A382" s="26" t="n">
        <v>88</v>
      </c>
      <c r="B382" s="78" t="s">
        <v>3945</v>
      </c>
      <c r="C382" s="43" t="s">
        <v>165</v>
      </c>
      <c r="D382" s="28" t="s">
        <v>46</v>
      </c>
      <c r="E382" s="43" t="n">
        <v>6.7</v>
      </c>
      <c r="F382" s="43" t="n">
        <v>1.2</v>
      </c>
      <c r="G382" s="43" t="n">
        <v>108</v>
      </c>
      <c r="H382" s="43" t="n">
        <v>2019</v>
      </c>
      <c r="I382" s="43" t="s">
        <v>96</v>
      </c>
      <c r="J382" s="43" t="s">
        <v>74</v>
      </c>
      <c r="K382" s="86" t="s">
        <v>2887</v>
      </c>
      <c r="L382" s="35"/>
      <c r="M382" s="31" t="s">
        <v>2016</v>
      </c>
      <c r="N382" s="32" t="s">
        <v>168</v>
      </c>
      <c r="O382" s="28" t="s">
        <v>100</v>
      </c>
      <c r="P382" s="28" t="s">
        <v>2923</v>
      </c>
      <c r="Q382" s="33" t="n">
        <v>7032</v>
      </c>
      <c r="R382" s="34" t="s">
        <v>171</v>
      </c>
      <c r="S382" s="35" t="n">
        <v>4134</v>
      </c>
      <c r="T382" s="35" t="s">
        <v>172</v>
      </c>
      <c r="U382" s="28" t="n">
        <v>425034.65</v>
      </c>
      <c r="V382" s="60" t="n">
        <v>28.023739</v>
      </c>
      <c r="W382" s="71" t="n">
        <f aca="false">5921425.44/50</f>
        <v>118428.5088</v>
      </c>
      <c r="X382" s="61" t="n">
        <f aca="false">U382/V382</f>
        <v>15166.9500633017</v>
      </c>
      <c r="Y382" s="61" t="n">
        <v>251.65</v>
      </c>
      <c r="Z382" s="28" t="n">
        <v>4.4</v>
      </c>
      <c r="AA382" s="62" t="s">
        <v>80</v>
      </c>
      <c r="AB382" s="38" t="n">
        <v>43474</v>
      </c>
      <c r="AC382" s="38" t="n">
        <v>43524</v>
      </c>
      <c r="AD382" s="38" t="n">
        <v>43531</v>
      </c>
      <c r="AE382" s="38" t="n">
        <v>45358</v>
      </c>
      <c r="AF382" s="143" t="n">
        <v>44152</v>
      </c>
      <c r="AG382" s="63" t="n">
        <v>43592</v>
      </c>
      <c r="AH382" s="63" t="n">
        <f aca="false">W382/60</f>
        <v>1973.80848</v>
      </c>
      <c r="AI382" s="43" t="n">
        <v>87858758</v>
      </c>
      <c r="AJ382" s="99" t="s">
        <v>3946</v>
      </c>
      <c r="AK382" s="85" t="s">
        <v>3947</v>
      </c>
      <c r="AL382" s="48" t="s">
        <v>3948</v>
      </c>
      <c r="AM382" s="275" t="n">
        <v>44026</v>
      </c>
      <c r="AN382" s="43"/>
      <c r="AO382" s="43"/>
    </row>
    <row r="383" s="2" customFormat="true" ht="14.25" hidden="false" customHeight="false" outlineLevel="0" collapsed="false">
      <c r="A383" s="26" t="n">
        <v>84</v>
      </c>
      <c r="B383" s="78" t="s">
        <v>3949</v>
      </c>
      <c r="C383" s="43" t="s">
        <v>165</v>
      </c>
      <c r="D383" s="28" t="s">
        <v>46</v>
      </c>
      <c r="E383" s="43" t="n">
        <v>6.7</v>
      </c>
      <c r="F383" s="43" t="n">
        <v>1.2</v>
      </c>
      <c r="G383" s="43" t="n">
        <v>108</v>
      </c>
      <c r="H383" s="43" t="n">
        <v>2019</v>
      </c>
      <c r="I383" s="43" t="s">
        <v>96</v>
      </c>
      <c r="J383" s="43" t="s">
        <v>74</v>
      </c>
      <c r="K383" s="86" t="s">
        <v>2887</v>
      </c>
      <c r="L383" s="69"/>
      <c r="M383" s="31" t="s">
        <v>3852</v>
      </c>
      <c r="N383" s="32" t="s">
        <v>1090</v>
      </c>
      <c r="O383" s="57" t="s">
        <v>942</v>
      </c>
      <c r="P383" s="28" t="s">
        <v>593</v>
      </c>
      <c r="Q383" s="87" t="n">
        <v>7072</v>
      </c>
      <c r="R383" s="58" t="s">
        <v>171</v>
      </c>
      <c r="S383" s="69" t="s">
        <v>2904</v>
      </c>
      <c r="T383" s="35" t="s">
        <v>172</v>
      </c>
      <c r="U383" s="28" t="n">
        <v>425034.65</v>
      </c>
      <c r="V383" s="60" t="n">
        <v>28.023739</v>
      </c>
      <c r="W383" s="71" t="n">
        <f aca="false">5921425.44/50</f>
        <v>118428.5088</v>
      </c>
      <c r="X383" s="61" t="n">
        <f aca="false">U383/V383</f>
        <v>15166.9500633017</v>
      </c>
      <c r="Y383" s="61" t="n">
        <v>251.65</v>
      </c>
      <c r="Z383" s="28" t="n">
        <v>4.4</v>
      </c>
      <c r="AA383" s="62" t="s">
        <v>80</v>
      </c>
      <c r="AB383" s="38" t="n">
        <v>43474</v>
      </c>
      <c r="AC383" s="38" t="n">
        <v>43524</v>
      </c>
      <c r="AD383" s="38" t="n">
        <v>43531</v>
      </c>
      <c r="AE383" s="38" t="n">
        <v>45358</v>
      </c>
      <c r="AF383" s="143" t="n">
        <v>44152</v>
      </c>
      <c r="AG383" s="63" t="n">
        <v>57016</v>
      </c>
      <c r="AH383" s="63" t="n">
        <f aca="false">W383/60</f>
        <v>1973.80848</v>
      </c>
      <c r="AI383" s="43" t="n">
        <v>7613351</v>
      </c>
      <c r="AJ383" s="43"/>
      <c r="AK383" s="48" t="s">
        <v>3950</v>
      </c>
      <c r="AL383" s="48" t="s">
        <v>3951</v>
      </c>
      <c r="AM383" s="275" t="n">
        <v>43862</v>
      </c>
      <c r="AN383" s="43"/>
      <c r="AO383" s="43"/>
    </row>
    <row r="384" s="2" customFormat="true" ht="15" hidden="false" customHeight="false" outlineLevel="0" collapsed="false">
      <c r="A384" s="26" t="n">
        <v>90</v>
      </c>
      <c r="B384" s="78" t="s">
        <v>3952</v>
      </c>
      <c r="C384" s="43" t="s">
        <v>165</v>
      </c>
      <c r="D384" s="28" t="s">
        <v>46</v>
      </c>
      <c r="E384" s="43" t="n">
        <v>6.7</v>
      </c>
      <c r="F384" s="43" t="n">
        <v>1.2</v>
      </c>
      <c r="G384" s="43" t="n">
        <v>108</v>
      </c>
      <c r="H384" s="43" t="n">
        <v>2019</v>
      </c>
      <c r="I384" s="43" t="s">
        <v>96</v>
      </c>
      <c r="J384" s="43" t="s">
        <v>74</v>
      </c>
      <c r="K384" s="30" t="s">
        <v>2537</v>
      </c>
      <c r="L384" s="35"/>
      <c r="M384" s="31" t="s">
        <v>2538</v>
      </c>
      <c r="N384" s="32" t="s">
        <v>1090</v>
      </c>
      <c r="O384" s="28" t="s">
        <v>373</v>
      </c>
      <c r="P384" s="28" t="s">
        <v>2923</v>
      </c>
      <c r="Q384" s="33" t="n">
        <v>7032</v>
      </c>
      <c r="R384" s="34" t="s">
        <v>171</v>
      </c>
      <c r="S384" s="35" t="n">
        <v>4134</v>
      </c>
      <c r="T384" s="35" t="s">
        <v>172</v>
      </c>
      <c r="U384" s="28" t="n">
        <v>425034.65</v>
      </c>
      <c r="V384" s="60" t="n">
        <v>28.023739</v>
      </c>
      <c r="W384" s="71" t="n">
        <f aca="false">5921425.44/50</f>
        <v>118428.5088</v>
      </c>
      <c r="X384" s="61" t="n">
        <f aca="false">U384/V384</f>
        <v>15166.9500633017</v>
      </c>
      <c r="Y384" s="61" t="n">
        <v>251.65</v>
      </c>
      <c r="Z384" s="28" t="n">
        <v>4.4</v>
      </c>
      <c r="AA384" s="62" t="s">
        <v>80</v>
      </c>
      <c r="AB384" s="38" t="n">
        <v>43474</v>
      </c>
      <c r="AC384" s="38" t="n">
        <v>43524</v>
      </c>
      <c r="AD384" s="38" t="n">
        <v>43531</v>
      </c>
      <c r="AE384" s="38" t="n">
        <v>45358</v>
      </c>
      <c r="AF384" s="143" t="n">
        <v>44153</v>
      </c>
      <c r="AG384" s="63" t="n">
        <v>48999</v>
      </c>
      <c r="AH384" s="63" t="n">
        <f aca="false">W384/60</f>
        <v>1973.80848</v>
      </c>
      <c r="AI384" s="43" t="n">
        <v>87914320</v>
      </c>
      <c r="AJ384" s="99" t="s">
        <v>3953</v>
      </c>
      <c r="AK384" s="85" t="s">
        <v>3954</v>
      </c>
      <c r="AL384" s="48" t="s">
        <v>3955</v>
      </c>
      <c r="AM384" s="275" t="n">
        <v>44084</v>
      </c>
      <c r="AN384" s="43"/>
      <c r="AO384" s="43"/>
    </row>
    <row r="385" s="2" customFormat="true" ht="15" hidden="false" customHeight="false" outlineLevel="0" collapsed="false">
      <c r="A385" s="26" t="n">
        <v>79</v>
      </c>
      <c r="B385" s="78" t="s">
        <v>3956</v>
      </c>
      <c r="C385" s="43" t="s">
        <v>165</v>
      </c>
      <c r="D385" s="28" t="s">
        <v>46</v>
      </c>
      <c r="E385" s="43" t="n">
        <v>6.7</v>
      </c>
      <c r="F385" s="43" t="n">
        <v>1.2</v>
      </c>
      <c r="G385" s="43" t="n">
        <v>108</v>
      </c>
      <c r="H385" s="43" t="n">
        <v>2019</v>
      </c>
      <c r="I385" s="43" t="s">
        <v>96</v>
      </c>
      <c r="J385" s="43" t="s">
        <v>74</v>
      </c>
      <c r="K385" s="86" t="s">
        <v>2887</v>
      </c>
      <c r="L385" s="35"/>
      <c r="M385" s="31" t="s">
        <v>3118</v>
      </c>
      <c r="N385" s="32" t="s">
        <v>2922</v>
      </c>
      <c r="O385" s="28" t="s">
        <v>681</v>
      </c>
      <c r="P385" s="28" t="s">
        <v>593</v>
      </c>
      <c r="Q385" s="87" t="n">
        <v>7031</v>
      </c>
      <c r="R385" s="34" t="s">
        <v>189</v>
      </c>
      <c r="S385" s="69" t="s">
        <v>3467</v>
      </c>
      <c r="T385" s="35" t="s">
        <v>172</v>
      </c>
      <c r="U385" s="28" t="n">
        <v>425034.65</v>
      </c>
      <c r="V385" s="60" t="n">
        <v>28.023739</v>
      </c>
      <c r="W385" s="71" t="n">
        <f aca="false">5921425.44/50</f>
        <v>118428.5088</v>
      </c>
      <c r="X385" s="61" t="n">
        <f aca="false">U385/V385</f>
        <v>15166.9500633017</v>
      </c>
      <c r="Y385" s="61" t="n">
        <v>251.65</v>
      </c>
      <c r="Z385" s="28" t="n">
        <v>4.4</v>
      </c>
      <c r="AA385" s="62" t="s">
        <v>80</v>
      </c>
      <c r="AB385" s="38" t="n">
        <v>43474</v>
      </c>
      <c r="AC385" s="38" t="n">
        <v>43524</v>
      </c>
      <c r="AD385" s="38" t="n">
        <v>43539</v>
      </c>
      <c r="AE385" s="38" t="n">
        <v>45365</v>
      </c>
      <c r="AF385" s="143" t="n">
        <v>44147</v>
      </c>
      <c r="AG385" s="63" t="n">
        <v>48376</v>
      </c>
      <c r="AH385" s="63" t="n">
        <f aca="false">W385/60</f>
        <v>1973.80848</v>
      </c>
      <c r="AI385" s="43" t="n">
        <v>89565799</v>
      </c>
      <c r="AJ385" s="99" t="s">
        <v>3957</v>
      </c>
      <c r="AK385" s="85" t="s">
        <v>3958</v>
      </c>
      <c r="AL385" s="48" t="s">
        <v>3959</v>
      </c>
      <c r="AM385" s="275" t="n">
        <v>44111</v>
      </c>
      <c r="AN385" s="43"/>
      <c r="AO385" s="43"/>
    </row>
    <row r="386" s="2" customFormat="true" ht="14.25" hidden="false" customHeight="false" outlineLevel="0" collapsed="false">
      <c r="A386" s="26" t="n">
        <v>46</v>
      </c>
      <c r="B386" s="78" t="s">
        <v>3960</v>
      </c>
      <c r="C386" s="43" t="s">
        <v>165</v>
      </c>
      <c r="D386" s="28" t="s">
        <v>46</v>
      </c>
      <c r="E386" s="43" t="n">
        <v>6.7</v>
      </c>
      <c r="F386" s="43" t="n">
        <v>1.2</v>
      </c>
      <c r="G386" s="43" t="n">
        <v>108</v>
      </c>
      <c r="H386" s="43" t="n">
        <v>2019</v>
      </c>
      <c r="I386" s="43" t="s">
        <v>96</v>
      </c>
      <c r="J386" s="43" t="s">
        <v>74</v>
      </c>
      <c r="K386" s="86" t="s">
        <v>2530</v>
      </c>
      <c r="L386" s="5"/>
      <c r="M386" s="31" t="s">
        <v>3961</v>
      </c>
      <c r="N386" s="32" t="s">
        <v>289</v>
      </c>
      <c r="O386" s="28" t="s">
        <v>606</v>
      </c>
      <c r="P386" s="28" t="s">
        <v>593</v>
      </c>
      <c r="Q386" s="33" t="n">
        <v>7030</v>
      </c>
      <c r="R386" s="34" t="s">
        <v>92</v>
      </c>
      <c r="S386" s="35" t="n">
        <v>4143</v>
      </c>
      <c r="T386" s="35" t="s">
        <v>172</v>
      </c>
      <c r="U386" s="28" t="n">
        <v>425034.65</v>
      </c>
      <c r="V386" s="60" t="n">
        <v>28.023739</v>
      </c>
      <c r="W386" s="71" t="n">
        <f aca="false">5921425.44/50</f>
        <v>118428.5088</v>
      </c>
      <c r="X386" s="61" t="n">
        <f aca="false">U386/V386</f>
        <v>15166.9500633017</v>
      </c>
      <c r="Y386" s="61" t="n">
        <v>251.65</v>
      </c>
      <c r="Z386" s="28" t="n">
        <v>4.4</v>
      </c>
      <c r="AA386" s="62" t="s">
        <v>80</v>
      </c>
      <c r="AB386" s="38" t="n">
        <v>43474</v>
      </c>
      <c r="AC386" s="38" t="n">
        <v>43524</v>
      </c>
      <c r="AD386" s="38" t="n">
        <v>43531</v>
      </c>
      <c r="AE386" s="38" t="n">
        <v>45358</v>
      </c>
      <c r="AF386" s="143" t="n">
        <v>44146</v>
      </c>
      <c r="AG386" s="63" t="n">
        <v>55881</v>
      </c>
      <c r="AH386" s="63" t="n">
        <f aca="false">W386/60</f>
        <v>1973.80848</v>
      </c>
      <c r="AI386" s="43" t="n">
        <v>86510772</v>
      </c>
      <c r="AJ386" s="81" t="s">
        <v>3962</v>
      </c>
      <c r="AK386" s="85" t="s">
        <v>3963</v>
      </c>
      <c r="AL386" s="48" t="s">
        <v>3964</v>
      </c>
      <c r="AM386" s="275" t="n">
        <v>44098</v>
      </c>
      <c r="AN386" s="43"/>
      <c r="AO386" s="43"/>
    </row>
    <row r="387" s="2" customFormat="true" ht="12.75" hidden="false" customHeight="true" outlineLevel="0" collapsed="false">
      <c r="A387" s="26" t="n">
        <v>12</v>
      </c>
      <c r="B387" s="152" t="s">
        <v>3965</v>
      </c>
      <c r="C387" s="67" t="s">
        <v>3277</v>
      </c>
      <c r="D387" s="28" t="s">
        <v>46</v>
      </c>
      <c r="E387" s="43" t="n">
        <v>7</v>
      </c>
      <c r="F387" s="43" t="n">
        <v>1.4</v>
      </c>
      <c r="G387" s="43" t="n">
        <v>123</v>
      </c>
      <c r="H387" s="43" t="n">
        <v>2016</v>
      </c>
      <c r="I387" s="55" t="n">
        <v>1451</v>
      </c>
      <c r="J387" s="67" t="s">
        <v>74</v>
      </c>
      <c r="K387" s="30" t="s">
        <v>1010</v>
      </c>
      <c r="L387" s="35"/>
      <c r="M387" s="31" t="s">
        <v>1011</v>
      </c>
      <c r="N387" s="32" t="s">
        <v>3966</v>
      </c>
      <c r="O387" s="57" t="s">
        <v>100</v>
      </c>
      <c r="P387" s="57" t="s">
        <v>2890</v>
      </c>
      <c r="Q387" s="57" t="n">
        <v>1000</v>
      </c>
      <c r="R387" s="34" t="s">
        <v>1014</v>
      </c>
      <c r="S387" s="69" t="n">
        <v>5110</v>
      </c>
      <c r="T387" s="116" t="s">
        <v>3967</v>
      </c>
      <c r="U387" s="28" t="n">
        <v>524949.54</v>
      </c>
      <c r="V387" s="60" t="n">
        <v>21.44881</v>
      </c>
      <c r="W387" s="60"/>
      <c r="X387" s="112" t="n">
        <f aca="false">U387/V387</f>
        <v>24474.5298224004</v>
      </c>
      <c r="Y387" s="112" t="n">
        <v>506.8</v>
      </c>
      <c r="Z387" s="28" t="n">
        <v>2.63</v>
      </c>
      <c r="AA387" s="62" t="s">
        <v>80</v>
      </c>
      <c r="AB387" s="38" t="n">
        <v>42243</v>
      </c>
      <c r="AC387" s="38" t="n">
        <v>42391</v>
      </c>
      <c r="AD387" s="38" t="n">
        <v>42390</v>
      </c>
      <c r="AE387" s="38" t="n">
        <v>44217</v>
      </c>
      <c r="AF387" s="143" t="n">
        <v>44165</v>
      </c>
      <c r="AG387" s="63" t="n">
        <v>61146</v>
      </c>
      <c r="AH387" s="63"/>
      <c r="AI387" s="43"/>
      <c r="AJ387" s="43" t="s">
        <v>3968</v>
      </c>
      <c r="AK387" s="43"/>
      <c r="AL387" s="43"/>
      <c r="AM387" s="43"/>
      <c r="AN387" s="43"/>
      <c r="AO387" s="43"/>
    </row>
    <row r="388" s="2" customFormat="true" ht="12.75" hidden="false" customHeight="true" outlineLevel="0" collapsed="false">
      <c r="A388" s="26" t="n">
        <v>26</v>
      </c>
      <c r="B388" s="152" t="s">
        <v>3969</v>
      </c>
      <c r="C388" s="43" t="s">
        <v>3841</v>
      </c>
      <c r="D388" s="28" t="s">
        <v>46</v>
      </c>
      <c r="E388" s="43" t="n">
        <v>6.7</v>
      </c>
      <c r="F388" s="43" t="n">
        <v>1.2</v>
      </c>
      <c r="G388" s="43" t="n">
        <v>108</v>
      </c>
      <c r="H388" s="43" t="n">
        <v>2016</v>
      </c>
      <c r="I388" s="55" t="n">
        <v>1451</v>
      </c>
      <c r="J388" s="157" t="s">
        <v>74</v>
      </c>
      <c r="K388" s="30" t="s">
        <v>3970</v>
      </c>
      <c r="L388" s="28"/>
      <c r="M388" s="31" t="s">
        <v>3971</v>
      </c>
      <c r="N388" s="32" t="s">
        <v>289</v>
      </c>
      <c r="O388" s="28" t="s">
        <v>197</v>
      </c>
      <c r="P388" s="28" t="s">
        <v>2923</v>
      </c>
      <c r="Q388" s="33" t="n">
        <v>1000</v>
      </c>
      <c r="R388" s="34" t="s">
        <v>92</v>
      </c>
      <c r="S388" s="35" t="n">
        <v>4144</v>
      </c>
      <c r="T388" s="35" t="s">
        <v>172</v>
      </c>
      <c r="U388" s="28" t="n">
        <v>345797.83</v>
      </c>
      <c r="V388" s="60" t="n">
        <v>25.196137</v>
      </c>
      <c r="W388" s="60"/>
      <c r="X388" s="112" t="n">
        <f aca="false">U388/V388</f>
        <v>13724.2399499574</v>
      </c>
      <c r="Y388" s="61" t="n">
        <f aca="false">85365.24/12/V388</f>
        <v>282.335740593885</v>
      </c>
      <c r="Z388" s="28" t="s">
        <v>3972</v>
      </c>
      <c r="AA388" s="62" t="s">
        <v>80</v>
      </c>
      <c r="AB388" s="38" t="n">
        <v>42501</v>
      </c>
      <c r="AC388" s="38" t="n">
        <v>42740</v>
      </c>
      <c r="AD388" s="38" t="n">
        <v>42734</v>
      </c>
      <c r="AE388" s="229" t="n">
        <v>44195</v>
      </c>
      <c r="AF388" s="143" t="n">
        <v>44162</v>
      </c>
      <c r="AG388" s="63" t="n">
        <v>63429</v>
      </c>
      <c r="AH388" s="63"/>
      <c r="AI388" s="43"/>
      <c r="AJ388" s="43" t="s">
        <v>3973</v>
      </c>
      <c r="AK388" s="43"/>
      <c r="AL388" s="43"/>
      <c r="AM388" s="43"/>
      <c r="AN388" s="43"/>
      <c r="AO388" s="43"/>
    </row>
    <row r="389" s="2" customFormat="true" ht="12.75" hidden="false" customHeight="true" outlineLevel="0" collapsed="false">
      <c r="A389" s="26" t="n">
        <v>28</v>
      </c>
      <c r="B389" s="152" t="s">
        <v>3974</v>
      </c>
      <c r="C389" s="43" t="s">
        <v>3975</v>
      </c>
      <c r="D389" s="28" t="s">
        <v>73</v>
      </c>
      <c r="E389" s="43" t="n">
        <v>9</v>
      </c>
      <c r="F389" s="43" t="n">
        <v>2</v>
      </c>
      <c r="G389" s="43" t="n">
        <v>199</v>
      </c>
      <c r="H389" s="43" t="n">
        <v>2016</v>
      </c>
      <c r="I389" s="55" t="n">
        <v>1451</v>
      </c>
      <c r="J389" s="157" t="s">
        <v>74</v>
      </c>
      <c r="K389" s="30" t="s">
        <v>2772</v>
      </c>
      <c r="L389" s="35"/>
      <c r="M389" s="31" t="s">
        <v>2773</v>
      </c>
      <c r="N389" s="32" t="s">
        <v>2774</v>
      </c>
      <c r="O389" s="28" t="s">
        <v>100</v>
      </c>
      <c r="P389" s="28" t="s">
        <v>2890</v>
      </c>
      <c r="Q389" s="28" t="n">
        <v>1000</v>
      </c>
      <c r="R389" s="34" t="s">
        <v>395</v>
      </c>
      <c r="S389" s="35" t="n">
        <v>5411</v>
      </c>
      <c r="T389" s="35" t="s">
        <v>102</v>
      </c>
      <c r="U389" s="28" t="n">
        <v>1034484.88</v>
      </c>
      <c r="V389" s="60" t="n">
        <v>24.81535</v>
      </c>
      <c r="W389" s="60"/>
      <c r="X389" s="112" t="n">
        <f aca="false">U389/V389</f>
        <v>41687.2975799253</v>
      </c>
      <c r="Y389" s="61" t="n">
        <f aca="false">20272.8/V389</f>
        <v>816.945962881845</v>
      </c>
      <c r="Z389" s="28" t="n">
        <v>2.78</v>
      </c>
      <c r="AA389" s="62" t="s">
        <v>80</v>
      </c>
      <c r="AB389" s="38" t="n">
        <v>42583</v>
      </c>
      <c r="AC389" s="38" t="n">
        <v>42734</v>
      </c>
      <c r="AD389" s="38" t="n">
        <v>42709</v>
      </c>
      <c r="AE389" s="50" t="n">
        <v>44161</v>
      </c>
      <c r="AF389" s="143" t="n">
        <v>44161</v>
      </c>
      <c r="AG389" s="63" t="n">
        <v>54999</v>
      </c>
      <c r="AH389" s="63"/>
      <c r="AI389" s="43"/>
      <c r="AJ389" s="43" t="s">
        <v>3976</v>
      </c>
      <c r="AK389" s="43"/>
      <c r="AL389" s="43"/>
      <c r="AM389" s="43"/>
      <c r="AN389" s="43"/>
      <c r="AO389" s="43"/>
    </row>
    <row r="390" s="2" customFormat="true" ht="12.75" hidden="false" customHeight="true" outlineLevel="0" collapsed="false">
      <c r="A390" s="26" t="n">
        <v>12</v>
      </c>
      <c r="B390" s="152" t="s">
        <v>3977</v>
      </c>
      <c r="C390" s="43" t="s">
        <v>3353</v>
      </c>
      <c r="D390" s="28" t="s">
        <v>46</v>
      </c>
      <c r="E390" s="43" t="n">
        <v>10.2</v>
      </c>
      <c r="F390" s="43" t="n">
        <v>1.8</v>
      </c>
      <c r="G390" s="43" t="n">
        <v>178</v>
      </c>
      <c r="H390" s="43" t="n">
        <v>2016</v>
      </c>
      <c r="I390" s="55" t="n">
        <v>1451</v>
      </c>
      <c r="J390" s="43" t="s">
        <v>74</v>
      </c>
      <c r="K390" s="30" t="s">
        <v>2790</v>
      </c>
      <c r="L390" s="35"/>
      <c r="M390" s="31" t="s">
        <v>2791</v>
      </c>
      <c r="N390" s="32" t="s">
        <v>3978</v>
      </c>
      <c r="O390" s="28" t="s">
        <v>100</v>
      </c>
      <c r="P390" s="28" t="s">
        <v>2890</v>
      </c>
      <c r="Q390" s="28" t="n">
        <v>1000</v>
      </c>
      <c r="R390" s="34" t="s">
        <v>53</v>
      </c>
      <c r="S390" s="35" t="n">
        <v>3690</v>
      </c>
      <c r="T390" s="35" t="s">
        <v>493</v>
      </c>
      <c r="U390" s="28" t="n">
        <v>795032.95</v>
      </c>
      <c r="V390" s="60" t="n">
        <v>21.44881</v>
      </c>
      <c r="W390" s="60"/>
      <c r="X390" s="112" t="n">
        <f aca="false">U390/V390</f>
        <v>37066.5295650435</v>
      </c>
      <c r="Y390" s="112" t="n">
        <v>739.5</v>
      </c>
      <c r="Z390" s="28" t="n">
        <v>2.66</v>
      </c>
      <c r="AA390" s="62" t="s">
        <v>80</v>
      </c>
      <c r="AB390" s="38" t="n">
        <v>42389</v>
      </c>
      <c r="AC390" s="38" t="n">
        <v>42420</v>
      </c>
      <c r="AD390" s="276" t="n">
        <v>42424</v>
      </c>
      <c r="AE390" s="50" t="n">
        <v>44251</v>
      </c>
      <c r="AF390" s="143" t="n">
        <v>44168</v>
      </c>
      <c r="AG390" s="63" t="n">
        <v>74103</v>
      </c>
      <c r="AH390" s="63"/>
      <c r="AI390" s="43"/>
      <c r="AJ390" s="43" t="s">
        <v>3979</v>
      </c>
      <c r="AK390" s="43"/>
      <c r="AL390" s="43"/>
      <c r="AM390" s="43"/>
      <c r="AN390" s="43"/>
      <c r="AO390" s="43"/>
    </row>
    <row r="391" s="2" customFormat="true" ht="13.5" hidden="false" customHeight="true" outlineLevel="0" collapsed="false">
      <c r="A391" s="26" t="n">
        <v>22</v>
      </c>
      <c r="B391" s="152" t="s">
        <v>3980</v>
      </c>
      <c r="C391" s="43" t="s">
        <v>3841</v>
      </c>
      <c r="D391" s="28" t="s">
        <v>46</v>
      </c>
      <c r="E391" s="43" t="n">
        <v>6.7</v>
      </c>
      <c r="F391" s="43" t="n">
        <v>1.2</v>
      </c>
      <c r="G391" s="43" t="n">
        <v>108</v>
      </c>
      <c r="H391" s="43" t="n">
        <v>2016</v>
      </c>
      <c r="I391" s="55" t="n">
        <v>1451</v>
      </c>
      <c r="J391" s="157" t="s">
        <v>74</v>
      </c>
      <c r="K391" s="30" t="s">
        <v>1539</v>
      </c>
      <c r="L391" s="43"/>
      <c r="M391" s="31" t="s">
        <v>1540</v>
      </c>
      <c r="N391" s="32" t="s">
        <v>289</v>
      </c>
      <c r="O391" s="28" t="s">
        <v>197</v>
      </c>
      <c r="P391" s="28" t="s">
        <v>2923</v>
      </c>
      <c r="Q391" s="33" t="n">
        <v>1000</v>
      </c>
      <c r="R391" s="34" t="s">
        <v>92</v>
      </c>
      <c r="S391" s="35" t="n">
        <v>4144</v>
      </c>
      <c r="T391" s="35" t="s">
        <v>172</v>
      </c>
      <c r="U391" s="28" t="n">
        <v>345797.83</v>
      </c>
      <c r="V391" s="60" t="n">
        <v>25.196137</v>
      </c>
      <c r="W391" s="60"/>
      <c r="X391" s="112" t="n">
        <f aca="false">U391/V391</f>
        <v>13724.2399499574</v>
      </c>
      <c r="Y391" s="61" t="n">
        <f aca="false">85365.24/12/V391</f>
        <v>282.335740593885</v>
      </c>
      <c r="Z391" s="28" t="s">
        <v>3972</v>
      </c>
      <c r="AA391" s="62" t="s">
        <v>80</v>
      </c>
      <c r="AB391" s="38" t="n">
        <v>42501</v>
      </c>
      <c r="AC391" s="38" t="n">
        <v>42740</v>
      </c>
      <c r="AD391" s="38" t="n">
        <v>42734</v>
      </c>
      <c r="AE391" s="229" t="n">
        <v>44195</v>
      </c>
      <c r="AF391" s="143" t="n">
        <v>44169</v>
      </c>
      <c r="AG391" s="63" t="n">
        <v>83792</v>
      </c>
      <c r="AH391" s="63"/>
      <c r="AI391" s="43"/>
      <c r="AJ391" s="43" t="s">
        <v>3981</v>
      </c>
      <c r="AK391" s="43"/>
      <c r="AL391" s="43"/>
      <c r="AM391" s="43"/>
      <c r="AN391" s="43"/>
      <c r="AO391" s="43"/>
    </row>
    <row r="392" s="1" customFormat="true" ht="12.75" hidden="false" customHeight="true" outlineLevel="0" collapsed="false">
      <c r="A392" s="26" t="n">
        <v>24</v>
      </c>
      <c r="B392" s="152" t="s">
        <v>3982</v>
      </c>
      <c r="C392" s="26" t="s">
        <v>3841</v>
      </c>
      <c r="D392" s="57" t="s">
        <v>46</v>
      </c>
      <c r="E392" s="26" t="n">
        <v>6.7</v>
      </c>
      <c r="F392" s="26" t="n">
        <v>1.2</v>
      </c>
      <c r="G392" s="43" t="n">
        <v>108</v>
      </c>
      <c r="H392" s="26" t="n">
        <v>2016</v>
      </c>
      <c r="I392" s="55" t="n">
        <v>1451</v>
      </c>
      <c r="J392" s="157" t="s">
        <v>74</v>
      </c>
      <c r="K392" s="30" t="s">
        <v>1364</v>
      </c>
      <c r="L392" s="157"/>
      <c r="M392" s="31" t="s">
        <v>1365</v>
      </c>
      <c r="N392" s="32" t="s">
        <v>1090</v>
      </c>
      <c r="O392" s="57" t="s">
        <v>1366</v>
      </c>
      <c r="P392" s="57" t="s">
        <v>52</v>
      </c>
      <c r="Q392" s="87" t="n">
        <v>7011</v>
      </c>
      <c r="R392" s="58" t="s">
        <v>171</v>
      </c>
      <c r="S392" s="69" t="n">
        <v>4131</v>
      </c>
      <c r="T392" s="35" t="s">
        <v>172</v>
      </c>
      <c r="U392" s="57" t="n">
        <v>345797.83</v>
      </c>
      <c r="V392" s="140" t="n">
        <v>25.196137</v>
      </c>
      <c r="W392" s="140"/>
      <c r="X392" s="141" t="n">
        <f aca="false">U392/V392</f>
        <v>13724.2399499574</v>
      </c>
      <c r="Y392" s="277" t="n">
        <f aca="false">85365.24/12/V392</f>
        <v>282.335740593885</v>
      </c>
      <c r="Z392" s="57" t="s">
        <v>3972</v>
      </c>
      <c r="AA392" s="62" t="s">
        <v>80</v>
      </c>
      <c r="AB392" s="143" t="n">
        <v>42501</v>
      </c>
      <c r="AC392" s="143" t="n">
        <v>42740</v>
      </c>
      <c r="AD392" s="143" t="n">
        <v>42734</v>
      </c>
      <c r="AE392" s="265" t="n">
        <v>44195</v>
      </c>
      <c r="AF392" s="143" t="n">
        <v>44173</v>
      </c>
      <c r="AG392" s="63" t="n">
        <v>117889</v>
      </c>
      <c r="AH392" s="278"/>
      <c r="AI392" s="26"/>
      <c r="AJ392" s="26" t="s">
        <v>3983</v>
      </c>
      <c r="AK392" s="26"/>
      <c r="AL392" s="26"/>
      <c r="AM392" s="26"/>
      <c r="AN392" s="26"/>
      <c r="AO392" s="26"/>
    </row>
    <row r="393" s="2" customFormat="true" ht="14.25" hidden="false" customHeight="false" outlineLevel="0" collapsed="false">
      <c r="A393" s="26" t="n">
        <v>117</v>
      </c>
      <c r="B393" s="43" t="s">
        <v>3984</v>
      </c>
      <c r="C393" s="43" t="s">
        <v>445</v>
      </c>
      <c r="D393" s="28" t="s">
        <v>73</v>
      </c>
      <c r="E393" s="43" t="n">
        <v>5.5</v>
      </c>
      <c r="F393" s="43" t="n">
        <v>1.6</v>
      </c>
      <c r="G393" s="26" t="n">
        <v>95</v>
      </c>
      <c r="H393" s="43" t="n">
        <v>2019</v>
      </c>
      <c r="I393" s="43" t="s">
        <v>96</v>
      </c>
      <c r="J393" s="43" t="s">
        <v>74</v>
      </c>
      <c r="K393" s="30" t="s">
        <v>3359</v>
      </c>
      <c r="L393" s="35"/>
      <c r="M393" s="31" t="s">
        <v>3360</v>
      </c>
      <c r="N393" s="32" t="s">
        <v>3361</v>
      </c>
      <c r="O393" s="28" t="s">
        <v>52</v>
      </c>
      <c r="P393" s="28" t="s">
        <v>2890</v>
      </c>
      <c r="Q393" s="33" t="n">
        <v>1000</v>
      </c>
      <c r="R393" s="34" t="s">
        <v>405</v>
      </c>
      <c r="S393" s="35" t="n">
        <v>4290</v>
      </c>
      <c r="T393" s="59" t="s">
        <v>421</v>
      </c>
      <c r="U393" s="28" t="n">
        <v>659296.43</v>
      </c>
      <c r="V393" s="60" t="n">
        <v>27.790097</v>
      </c>
      <c r="W393" s="71" t="n">
        <v>152890.66</v>
      </c>
      <c r="X393" s="112" t="n">
        <f aca="false">U393/V393</f>
        <v>23724.1500092641</v>
      </c>
      <c r="Y393" s="112" t="n">
        <f aca="false">11443.38/V393</f>
        <v>411.779059281441</v>
      </c>
      <c r="Z393" s="146" t="s">
        <v>3985</v>
      </c>
      <c r="AA393" s="62" t="s">
        <v>80</v>
      </c>
      <c r="AB393" s="38" t="n">
        <v>43494</v>
      </c>
      <c r="AC393" s="38" t="n">
        <v>43723</v>
      </c>
      <c r="AD393" s="38" t="n">
        <v>43724</v>
      </c>
      <c r="AE393" s="50" t="n">
        <v>45550</v>
      </c>
      <c r="AF393" s="38" t="n">
        <v>44172</v>
      </c>
      <c r="AG393" s="63" t="n">
        <v>32224</v>
      </c>
      <c r="AH393" s="63" t="n">
        <f aca="false">W393/60</f>
        <v>2548.17766666667</v>
      </c>
      <c r="AI393" s="106" t="n">
        <v>89040952</v>
      </c>
      <c r="AJ393" s="43"/>
      <c r="AK393" s="78" t="s">
        <v>3986</v>
      </c>
      <c r="AL393" s="43" t="s">
        <v>3987</v>
      </c>
      <c r="AM393" s="275" t="n">
        <v>44098</v>
      </c>
      <c r="AN393" s="43"/>
      <c r="AO393" s="43"/>
    </row>
    <row r="394" s="2" customFormat="true" ht="12.75" hidden="false" customHeight="true" outlineLevel="0" collapsed="false">
      <c r="A394" s="26" t="n">
        <v>16</v>
      </c>
      <c r="B394" s="152" t="s">
        <v>3988</v>
      </c>
      <c r="C394" s="43" t="s">
        <v>3841</v>
      </c>
      <c r="D394" s="28" t="s">
        <v>46</v>
      </c>
      <c r="E394" s="43" t="n">
        <v>6.7</v>
      </c>
      <c r="F394" s="43" t="n">
        <v>1.2</v>
      </c>
      <c r="G394" s="43" t="n">
        <v>108</v>
      </c>
      <c r="H394" s="43" t="n">
        <v>2016</v>
      </c>
      <c r="I394" s="55" t="n">
        <v>1451</v>
      </c>
      <c r="J394" s="157" t="s">
        <v>74</v>
      </c>
      <c r="K394" s="30" t="s">
        <v>2697</v>
      </c>
      <c r="L394" s="27"/>
      <c r="M394" s="31" t="s">
        <v>2698</v>
      </c>
      <c r="N394" s="32" t="s">
        <v>1090</v>
      </c>
      <c r="O394" s="28" t="s">
        <v>928</v>
      </c>
      <c r="P394" s="70" t="s">
        <v>61</v>
      </c>
      <c r="Q394" s="33" t="n">
        <v>7072</v>
      </c>
      <c r="R394" s="34" t="s">
        <v>171</v>
      </c>
      <c r="S394" s="35" t="s">
        <v>2904</v>
      </c>
      <c r="T394" s="35" t="s">
        <v>172</v>
      </c>
      <c r="U394" s="28" t="n">
        <v>345797.83</v>
      </c>
      <c r="V394" s="60" t="n">
        <v>25.196137</v>
      </c>
      <c r="W394" s="60"/>
      <c r="X394" s="112" t="n">
        <f aca="false">U394/V394</f>
        <v>13724.2399499574</v>
      </c>
      <c r="Y394" s="61" t="n">
        <f aca="false">85365.24/12/V394</f>
        <v>282.335740593885</v>
      </c>
      <c r="Z394" s="28" t="s">
        <v>3972</v>
      </c>
      <c r="AA394" s="62" t="s">
        <v>80</v>
      </c>
      <c r="AB394" s="38" t="n">
        <v>42501</v>
      </c>
      <c r="AC394" s="38" t="n">
        <v>42740</v>
      </c>
      <c r="AD394" s="38" t="n">
        <v>42734</v>
      </c>
      <c r="AE394" s="229" t="n">
        <v>44195</v>
      </c>
      <c r="AF394" s="143" t="n">
        <v>44181</v>
      </c>
      <c r="AG394" s="63" t="n">
        <v>152311</v>
      </c>
      <c r="AH394" s="63"/>
      <c r="AI394" s="43"/>
      <c r="AJ394" s="43" t="s">
        <v>3989</v>
      </c>
      <c r="AK394" s="43"/>
      <c r="AL394" s="43"/>
      <c r="AM394" s="43"/>
      <c r="AN394" s="43"/>
      <c r="AO394" s="43"/>
    </row>
    <row r="395" s="2" customFormat="true" ht="12.75" hidden="false" customHeight="true" outlineLevel="0" collapsed="false">
      <c r="A395" s="26" t="n">
        <v>19</v>
      </c>
      <c r="B395" s="152" t="s">
        <v>3990</v>
      </c>
      <c r="C395" s="43" t="s">
        <v>3841</v>
      </c>
      <c r="D395" s="28" t="s">
        <v>46</v>
      </c>
      <c r="E395" s="43" t="n">
        <v>6.7</v>
      </c>
      <c r="F395" s="43" t="n">
        <v>1.2</v>
      </c>
      <c r="G395" s="43" t="n">
        <v>108</v>
      </c>
      <c r="H395" s="43" t="n">
        <v>2016</v>
      </c>
      <c r="I395" s="55" t="n">
        <v>1451</v>
      </c>
      <c r="J395" s="157" t="s">
        <v>74</v>
      </c>
      <c r="K395" s="30" t="s">
        <v>2607</v>
      </c>
      <c r="L395" s="27"/>
      <c r="M395" s="31" t="s">
        <v>2608</v>
      </c>
      <c r="N395" s="32" t="s">
        <v>1090</v>
      </c>
      <c r="O395" s="28" t="s">
        <v>732</v>
      </c>
      <c r="P395" s="28" t="s">
        <v>61</v>
      </c>
      <c r="Q395" s="33" t="n">
        <v>7080</v>
      </c>
      <c r="R395" s="34" t="s">
        <v>171</v>
      </c>
      <c r="S395" s="35" t="n">
        <v>4138</v>
      </c>
      <c r="T395" s="35" t="s">
        <v>172</v>
      </c>
      <c r="U395" s="28" t="n">
        <v>345797.83</v>
      </c>
      <c r="V395" s="60" t="n">
        <v>25.196137</v>
      </c>
      <c r="W395" s="60"/>
      <c r="X395" s="112" t="n">
        <f aca="false">U395/V395</f>
        <v>13724.2399499574</v>
      </c>
      <c r="Y395" s="61" t="n">
        <f aca="false">85365.24/12/V395</f>
        <v>282.335740593885</v>
      </c>
      <c r="Z395" s="28" t="s">
        <v>3972</v>
      </c>
      <c r="AA395" s="62" t="s">
        <v>80</v>
      </c>
      <c r="AB395" s="38" t="n">
        <v>42501</v>
      </c>
      <c r="AC395" s="38" t="n">
        <v>42740</v>
      </c>
      <c r="AD395" s="38" t="n">
        <v>42734</v>
      </c>
      <c r="AE395" s="229" t="n">
        <v>44195</v>
      </c>
      <c r="AF395" s="143" t="n">
        <v>44180</v>
      </c>
      <c r="AG395" s="63" t="n">
        <f aca="false">X395/SUMIF($Z$395:$Z$395,Z395,$X$395:$X$395)*(VLOOKUP(Z395,'затраты по департаментам-2 '!$A$2:$C$182,2,FALSE())+VLOOKUP(Z395,'затраты по департаментам-2 '!$A$2:$C$182,3,FALSE()))</f>
        <v>0</v>
      </c>
      <c r="AH395" s="63"/>
      <c r="AI395" s="43"/>
      <c r="AJ395" s="43" t="s">
        <v>3991</v>
      </c>
      <c r="AK395" s="43"/>
      <c r="AL395" s="43"/>
      <c r="AM395" s="43"/>
      <c r="AN395" s="43"/>
      <c r="AO395" s="43"/>
    </row>
    <row r="396" s="2" customFormat="true" ht="12.75" hidden="false" customHeight="true" outlineLevel="0" collapsed="false">
      <c r="A396" s="26" t="n">
        <v>14</v>
      </c>
      <c r="B396" s="152" t="s">
        <v>3992</v>
      </c>
      <c r="C396" s="43" t="s">
        <v>3841</v>
      </c>
      <c r="D396" s="28" t="s">
        <v>46</v>
      </c>
      <c r="E396" s="43" t="n">
        <v>6.7</v>
      </c>
      <c r="F396" s="43" t="n">
        <v>1.2</v>
      </c>
      <c r="G396" s="43" t="n">
        <v>108</v>
      </c>
      <c r="H396" s="43" t="n">
        <v>2016</v>
      </c>
      <c r="I396" s="55" t="n">
        <v>1451</v>
      </c>
      <c r="J396" s="157" t="s">
        <v>74</v>
      </c>
      <c r="K396" s="86" t="s">
        <v>2887</v>
      </c>
      <c r="L396" s="35"/>
      <c r="M396" s="31" t="s">
        <v>3993</v>
      </c>
      <c r="N396" s="32" t="s">
        <v>1090</v>
      </c>
      <c r="O396" s="28" t="s">
        <v>100</v>
      </c>
      <c r="P396" s="28" t="s">
        <v>593</v>
      </c>
      <c r="Q396" s="28" t="n">
        <v>7020</v>
      </c>
      <c r="R396" s="34" t="s">
        <v>3994</v>
      </c>
      <c r="S396" s="35" t="n">
        <v>4133</v>
      </c>
      <c r="T396" s="35" t="s">
        <v>172</v>
      </c>
      <c r="U396" s="28" t="n">
        <v>345797.83</v>
      </c>
      <c r="V396" s="60" t="n">
        <v>25.196137</v>
      </c>
      <c r="W396" s="60"/>
      <c r="X396" s="112" t="n">
        <f aca="false">U396/V396</f>
        <v>13724.2399499574</v>
      </c>
      <c r="Y396" s="61" t="n">
        <f aca="false">85365.24/12/V396</f>
        <v>282.335740593885</v>
      </c>
      <c r="Z396" s="28" t="s">
        <v>3972</v>
      </c>
      <c r="AA396" s="62" t="s">
        <v>80</v>
      </c>
      <c r="AB396" s="38" t="n">
        <v>42501</v>
      </c>
      <c r="AC396" s="38" t="n">
        <v>42740</v>
      </c>
      <c r="AD396" s="38" t="n">
        <v>42734</v>
      </c>
      <c r="AE396" s="229" t="n">
        <v>44195</v>
      </c>
      <c r="AF396" s="143" t="n">
        <v>44182</v>
      </c>
      <c r="AG396" s="63" t="n">
        <v>89519</v>
      </c>
      <c r="AH396" s="63"/>
      <c r="AI396" s="43"/>
      <c r="AJ396" s="43" t="s">
        <v>3995</v>
      </c>
      <c r="AK396" s="43"/>
      <c r="AL396" s="43"/>
      <c r="AM396" s="43"/>
      <c r="AN396" s="43"/>
      <c r="AO396" s="43"/>
    </row>
    <row r="397" s="2" customFormat="true" ht="12.75" hidden="false" customHeight="true" outlineLevel="0" collapsed="false">
      <c r="A397" s="26" t="n">
        <v>15</v>
      </c>
      <c r="B397" s="152" t="s">
        <v>3996</v>
      </c>
      <c r="C397" s="43" t="s">
        <v>3841</v>
      </c>
      <c r="D397" s="28" t="s">
        <v>46</v>
      </c>
      <c r="E397" s="43" t="n">
        <v>6.7</v>
      </c>
      <c r="F397" s="43" t="n">
        <v>1.2</v>
      </c>
      <c r="G397" s="43" t="n">
        <v>108</v>
      </c>
      <c r="H397" s="43" t="n">
        <v>2016</v>
      </c>
      <c r="I397" s="55" t="n">
        <v>1451</v>
      </c>
      <c r="J397" s="157" t="s">
        <v>74</v>
      </c>
      <c r="K397" s="30" t="s">
        <v>204</v>
      </c>
      <c r="L397" s="27"/>
      <c r="M397" s="31" t="s">
        <v>205</v>
      </c>
      <c r="N397" s="32" t="s">
        <v>1090</v>
      </c>
      <c r="O397" s="26" t="s">
        <v>169</v>
      </c>
      <c r="P397" s="70" t="s">
        <v>61</v>
      </c>
      <c r="Q397" s="33" t="n">
        <v>7083</v>
      </c>
      <c r="R397" s="34" t="s">
        <v>171</v>
      </c>
      <c r="S397" s="35" t="n">
        <v>4138</v>
      </c>
      <c r="T397" s="35" t="s">
        <v>172</v>
      </c>
      <c r="U397" s="28" t="n">
        <v>345797.83</v>
      </c>
      <c r="V397" s="60" t="n">
        <v>25.196137</v>
      </c>
      <c r="W397" s="60"/>
      <c r="X397" s="112" t="n">
        <f aca="false">U397/V397</f>
        <v>13724.2399499574</v>
      </c>
      <c r="Y397" s="61" t="n">
        <f aca="false">85365.24/12/V397</f>
        <v>282.335740593885</v>
      </c>
      <c r="Z397" s="28" t="s">
        <v>3972</v>
      </c>
      <c r="AA397" s="62" t="s">
        <v>80</v>
      </c>
      <c r="AB397" s="38" t="n">
        <v>42501</v>
      </c>
      <c r="AC397" s="38" t="n">
        <v>42740</v>
      </c>
      <c r="AD397" s="38" t="n">
        <v>42734</v>
      </c>
      <c r="AE397" s="229" t="n">
        <v>44195</v>
      </c>
      <c r="AF397" s="143" t="n">
        <v>44187</v>
      </c>
      <c r="AG397" s="63" t="n">
        <v>120805</v>
      </c>
      <c r="AH397" s="63"/>
      <c r="AI397" s="43"/>
      <c r="AJ397" s="43" t="s">
        <v>3997</v>
      </c>
      <c r="AK397" s="43"/>
      <c r="AL397" s="43"/>
      <c r="AM397" s="43"/>
      <c r="AN397" s="43"/>
      <c r="AO397" s="43"/>
    </row>
    <row r="398" s="2" customFormat="true" ht="12.75" hidden="false" customHeight="true" outlineLevel="0" collapsed="false">
      <c r="A398" s="26" t="n">
        <v>16</v>
      </c>
      <c r="B398" s="152" t="s">
        <v>3998</v>
      </c>
      <c r="C398" s="43" t="s">
        <v>3841</v>
      </c>
      <c r="D398" s="28" t="s">
        <v>46</v>
      </c>
      <c r="E398" s="43" t="n">
        <v>6.7</v>
      </c>
      <c r="F398" s="43" t="n">
        <v>1.2</v>
      </c>
      <c r="G398" s="43" t="n">
        <v>108</v>
      </c>
      <c r="H398" s="43" t="n">
        <v>2016</v>
      </c>
      <c r="I398" s="55" t="n">
        <v>1451</v>
      </c>
      <c r="J398" s="157" t="s">
        <v>74</v>
      </c>
      <c r="K398" s="30" t="s">
        <v>911</v>
      </c>
      <c r="L398" s="27"/>
      <c r="M398" s="31" t="s">
        <v>912</v>
      </c>
      <c r="N398" s="32" t="s">
        <v>3488</v>
      </c>
      <c r="O398" s="28" t="s">
        <v>100</v>
      </c>
      <c r="P398" s="28" t="s">
        <v>2890</v>
      </c>
      <c r="Q398" s="33" t="n">
        <v>1000</v>
      </c>
      <c r="R398" s="34" t="s">
        <v>189</v>
      </c>
      <c r="S398" s="35" t="n">
        <v>4170</v>
      </c>
      <c r="T398" s="35" t="s">
        <v>172</v>
      </c>
      <c r="U398" s="28" t="n">
        <v>345797.83</v>
      </c>
      <c r="V398" s="60" t="n">
        <v>25.196137</v>
      </c>
      <c r="W398" s="60"/>
      <c r="X398" s="112" t="n">
        <f aca="false">U398/V398</f>
        <v>13724.2399499574</v>
      </c>
      <c r="Y398" s="61" t="n">
        <f aca="false">85365.24/12/V398</f>
        <v>282.335740593885</v>
      </c>
      <c r="Z398" s="28" t="s">
        <v>3972</v>
      </c>
      <c r="AA398" s="62" t="s">
        <v>80</v>
      </c>
      <c r="AB398" s="38" t="n">
        <v>42501</v>
      </c>
      <c r="AC398" s="38" t="n">
        <v>42740</v>
      </c>
      <c r="AD398" s="38" t="n">
        <v>42734</v>
      </c>
      <c r="AE398" s="229" t="n">
        <v>44195</v>
      </c>
      <c r="AF398" s="143" t="n">
        <v>44186</v>
      </c>
      <c r="AG398" s="63" t="n">
        <v>89858</v>
      </c>
      <c r="AH398" s="63"/>
      <c r="AI398" s="43"/>
      <c r="AJ398" s="43" t="s">
        <v>3999</v>
      </c>
      <c r="AK398" s="43"/>
      <c r="AL398" s="43"/>
      <c r="AM398" s="43"/>
      <c r="AN398" s="43"/>
      <c r="AO398" s="43"/>
    </row>
    <row r="399" s="2" customFormat="true" ht="12.75" hidden="false" customHeight="true" outlineLevel="0" collapsed="false">
      <c r="A399" s="26" t="n">
        <v>17</v>
      </c>
      <c r="B399" s="152" t="s">
        <v>4000</v>
      </c>
      <c r="C399" s="43" t="s">
        <v>3841</v>
      </c>
      <c r="D399" s="28" t="s">
        <v>46</v>
      </c>
      <c r="E399" s="43" t="n">
        <v>6.7</v>
      </c>
      <c r="F399" s="43" t="n">
        <v>1.2</v>
      </c>
      <c r="G399" s="43" t="n">
        <v>108</v>
      </c>
      <c r="H399" s="43" t="n">
        <v>2016</v>
      </c>
      <c r="I399" s="55" t="n">
        <v>1451</v>
      </c>
      <c r="J399" s="157" t="s">
        <v>74</v>
      </c>
      <c r="K399" s="30" t="s">
        <v>1636</v>
      </c>
      <c r="L399" s="27"/>
      <c r="M399" s="31" t="s">
        <v>1637</v>
      </c>
      <c r="N399" s="32" t="s">
        <v>1090</v>
      </c>
      <c r="O399" s="28" t="s">
        <v>60</v>
      </c>
      <c r="P399" s="28" t="s">
        <v>61</v>
      </c>
      <c r="Q399" s="33" t="n">
        <v>7084</v>
      </c>
      <c r="R399" s="34" t="s">
        <v>171</v>
      </c>
      <c r="S399" s="35" t="n">
        <v>4138</v>
      </c>
      <c r="T399" s="35" t="s">
        <v>172</v>
      </c>
      <c r="U399" s="28" t="n">
        <v>345797.83</v>
      </c>
      <c r="V399" s="60" t="n">
        <v>25.196137</v>
      </c>
      <c r="W399" s="60"/>
      <c r="X399" s="112" t="n">
        <f aca="false">U399/V399</f>
        <v>13724.2399499574</v>
      </c>
      <c r="Y399" s="61" t="n">
        <f aca="false">85365.24/12/V399</f>
        <v>282.335740593885</v>
      </c>
      <c r="Z399" s="28" t="s">
        <v>3972</v>
      </c>
      <c r="AA399" s="62" t="s">
        <v>80</v>
      </c>
      <c r="AB399" s="38" t="n">
        <v>42501</v>
      </c>
      <c r="AC399" s="38" t="n">
        <v>42740</v>
      </c>
      <c r="AD399" s="38" t="n">
        <v>42734</v>
      </c>
      <c r="AE399" s="229" t="n">
        <v>44195</v>
      </c>
      <c r="AF399" s="143" t="n">
        <v>44188</v>
      </c>
      <c r="AG399" s="63" t="n">
        <v>125192</v>
      </c>
      <c r="AH399" s="63"/>
      <c r="AI399" s="43"/>
      <c r="AJ399" s="43" t="s">
        <v>4001</v>
      </c>
      <c r="AK399" s="43"/>
      <c r="AL399" s="43"/>
      <c r="AM399" s="43"/>
      <c r="AN399" s="43"/>
      <c r="AO399" s="43"/>
    </row>
    <row r="400" s="2" customFormat="true" ht="12.75" hidden="false" customHeight="true" outlineLevel="0" collapsed="false">
      <c r="A400" s="26" t="n">
        <v>18</v>
      </c>
      <c r="B400" s="152" t="s">
        <v>4002</v>
      </c>
      <c r="C400" s="43" t="s">
        <v>3841</v>
      </c>
      <c r="D400" s="28" t="s">
        <v>46</v>
      </c>
      <c r="E400" s="43" t="n">
        <v>6.7</v>
      </c>
      <c r="F400" s="43" t="n">
        <v>1.2</v>
      </c>
      <c r="G400" s="43" t="n">
        <v>108</v>
      </c>
      <c r="H400" s="43" t="n">
        <v>2016</v>
      </c>
      <c r="I400" s="55" t="n">
        <v>1451</v>
      </c>
      <c r="J400" s="157" t="s">
        <v>74</v>
      </c>
      <c r="K400" s="30" t="s">
        <v>2630</v>
      </c>
      <c r="L400" s="27"/>
      <c r="M400" s="31" t="s">
        <v>2631</v>
      </c>
      <c r="N400" s="32" t="s">
        <v>1090</v>
      </c>
      <c r="O400" s="48" t="s">
        <v>313</v>
      </c>
      <c r="P400" s="28" t="s">
        <v>593</v>
      </c>
      <c r="Q400" s="33" t="n">
        <v>7071</v>
      </c>
      <c r="R400" s="34" t="s">
        <v>171</v>
      </c>
      <c r="S400" s="35" t="s">
        <v>2904</v>
      </c>
      <c r="T400" s="35" t="s">
        <v>172</v>
      </c>
      <c r="U400" s="28" t="n">
        <v>345797.83</v>
      </c>
      <c r="V400" s="60" t="n">
        <v>25.196137</v>
      </c>
      <c r="W400" s="60"/>
      <c r="X400" s="112" t="n">
        <f aca="false">U400/V400</f>
        <v>13724.2399499574</v>
      </c>
      <c r="Y400" s="61" t="n">
        <f aca="false">85365.24/12/V400</f>
        <v>282.335740593885</v>
      </c>
      <c r="Z400" s="28" t="s">
        <v>3972</v>
      </c>
      <c r="AA400" s="62" t="s">
        <v>80</v>
      </c>
      <c r="AB400" s="38" t="n">
        <v>42501</v>
      </c>
      <c r="AC400" s="38" t="n">
        <v>42740</v>
      </c>
      <c r="AD400" s="38" t="n">
        <v>42734</v>
      </c>
      <c r="AE400" s="229" t="n">
        <v>44195</v>
      </c>
      <c r="AF400" s="143" t="n">
        <v>44188</v>
      </c>
      <c r="AG400" s="63" t="n">
        <v>98339</v>
      </c>
      <c r="AH400" s="63"/>
      <c r="AI400" s="43"/>
      <c r="AJ400" s="43" t="s">
        <v>4003</v>
      </c>
      <c r="AK400" s="43"/>
      <c r="AL400" s="43"/>
      <c r="AM400" s="43"/>
      <c r="AN400" s="43"/>
      <c r="AO400" s="43"/>
    </row>
    <row r="401" s="2" customFormat="true" ht="12.75" hidden="false" customHeight="true" outlineLevel="0" collapsed="false">
      <c r="A401" s="26" t="n">
        <v>19</v>
      </c>
      <c r="B401" s="152" t="s">
        <v>4004</v>
      </c>
      <c r="C401" s="43" t="s">
        <v>3841</v>
      </c>
      <c r="D401" s="28" t="s">
        <v>46</v>
      </c>
      <c r="E401" s="43" t="n">
        <v>6.7</v>
      </c>
      <c r="F401" s="43" t="n">
        <v>1.2</v>
      </c>
      <c r="G401" s="43" t="n">
        <v>108</v>
      </c>
      <c r="H401" s="43" t="n">
        <v>2016</v>
      </c>
      <c r="I401" s="55" t="n">
        <v>1451</v>
      </c>
      <c r="J401" s="157" t="s">
        <v>74</v>
      </c>
      <c r="K401" s="30" t="s">
        <v>2653</v>
      </c>
      <c r="L401" s="28"/>
      <c r="M401" s="31" t="s">
        <v>2654</v>
      </c>
      <c r="N401" s="32" t="s">
        <v>1090</v>
      </c>
      <c r="O401" s="28" t="s">
        <v>100</v>
      </c>
      <c r="P401" s="28" t="s">
        <v>593</v>
      </c>
      <c r="Q401" s="33" t="n">
        <v>7020</v>
      </c>
      <c r="R401" s="34" t="s">
        <v>171</v>
      </c>
      <c r="S401" s="35" t="n">
        <v>4133</v>
      </c>
      <c r="T401" s="35" t="s">
        <v>172</v>
      </c>
      <c r="U401" s="28" t="n">
        <v>345797.83</v>
      </c>
      <c r="V401" s="60" t="n">
        <v>25.196137</v>
      </c>
      <c r="W401" s="60"/>
      <c r="X401" s="112" t="n">
        <f aca="false">U401/V401</f>
        <v>13724.2399499574</v>
      </c>
      <c r="Y401" s="61" t="n">
        <f aca="false">85365.24/12/V401</f>
        <v>282.335740593885</v>
      </c>
      <c r="Z401" s="28" t="s">
        <v>3972</v>
      </c>
      <c r="AA401" s="62" t="s">
        <v>80</v>
      </c>
      <c r="AB401" s="38" t="n">
        <v>42501</v>
      </c>
      <c r="AC401" s="38" t="n">
        <v>42740</v>
      </c>
      <c r="AD401" s="38" t="n">
        <v>42734</v>
      </c>
      <c r="AE401" s="229" t="n">
        <v>44195</v>
      </c>
      <c r="AF401" s="143" t="n">
        <v>44194</v>
      </c>
      <c r="AG401" s="63" t="n">
        <v>121475</v>
      </c>
      <c r="AH401" s="63"/>
      <c r="AI401" s="43"/>
      <c r="AJ401" s="43" t="s">
        <v>4005</v>
      </c>
      <c r="AK401" s="43"/>
      <c r="AL401" s="43"/>
      <c r="AM401" s="43"/>
      <c r="AN401" s="43"/>
      <c r="AO401" s="43"/>
    </row>
    <row r="402" s="2" customFormat="true" ht="12.75" hidden="false" customHeight="true" outlineLevel="0" collapsed="false">
      <c r="A402" s="26" t="n">
        <v>20</v>
      </c>
      <c r="B402" s="152" t="s">
        <v>4006</v>
      </c>
      <c r="C402" s="43" t="s">
        <v>3841</v>
      </c>
      <c r="D402" s="28" t="s">
        <v>46</v>
      </c>
      <c r="E402" s="43" t="n">
        <v>6.7</v>
      </c>
      <c r="F402" s="43" t="n">
        <v>1.2</v>
      </c>
      <c r="G402" s="43" t="n">
        <v>108</v>
      </c>
      <c r="H402" s="43" t="n">
        <v>2016</v>
      </c>
      <c r="I402" s="55" t="n">
        <v>1451</v>
      </c>
      <c r="J402" s="157" t="s">
        <v>74</v>
      </c>
      <c r="K402" s="30" t="s">
        <v>2711</v>
      </c>
      <c r="L402" s="59"/>
      <c r="M402" s="31" t="s">
        <v>2712</v>
      </c>
      <c r="N402" s="32" t="s">
        <v>1090</v>
      </c>
      <c r="O402" s="70" t="s">
        <v>1350</v>
      </c>
      <c r="P402" s="213" t="s">
        <v>61</v>
      </c>
      <c r="Q402" s="53" t="n">
        <v>7082</v>
      </c>
      <c r="R402" s="77" t="s">
        <v>171</v>
      </c>
      <c r="S402" s="35" t="n">
        <v>4138</v>
      </c>
      <c r="T402" s="35" t="s">
        <v>172</v>
      </c>
      <c r="U402" s="28" t="n">
        <v>345797.83</v>
      </c>
      <c r="V402" s="60" t="n">
        <v>25.196137</v>
      </c>
      <c r="W402" s="60"/>
      <c r="X402" s="112" t="n">
        <f aca="false">U402/V402</f>
        <v>13724.2399499574</v>
      </c>
      <c r="Y402" s="61" t="n">
        <f aca="false">85365.24/12/V402</f>
        <v>282.335740593885</v>
      </c>
      <c r="Z402" s="28" t="s">
        <v>3972</v>
      </c>
      <c r="AA402" s="62" t="s">
        <v>80</v>
      </c>
      <c r="AB402" s="38" t="n">
        <v>42501</v>
      </c>
      <c r="AC402" s="38" t="n">
        <v>42740</v>
      </c>
      <c r="AD402" s="38" t="n">
        <v>42734</v>
      </c>
      <c r="AE402" s="229" t="n">
        <v>44195</v>
      </c>
      <c r="AF402" s="143" t="n">
        <v>44187</v>
      </c>
      <c r="AG402" s="63" t="n">
        <v>152311</v>
      </c>
      <c r="AH402" s="63"/>
      <c r="AI402" s="43"/>
      <c r="AJ402" s="43" t="s">
        <v>4007</v>
      </c>
      <c r="AK402" s="43"/>
      <c r="AL402" s="43"/>
      <c r="AM402" s="43"/>
      <c r="AN402" s="43"/>
      <c r="AO402" s="43"/>
    </row>
    <row r="403" s="2" customFormat="true" ht="14.25" hidden="false" customHeight="false" outlineLevel="0" collapsed="false">
      <c r="A403" s="26" t="n">
        <v>22</v>
      </c>
      <c r="B403" s="227" t="s">
        <v>4008</v>
      </c>
      <c r="C403" s="55" t="s">
        <v>2997</v>
      </c>
      <c r="D403" s="70" t="s">
        <v>73</v>
      </c>
      <c r="E403" s="55" t="n">
        <v>5.36</v>
      </c>
      <c r="F403" s="55" t="n">
        <v>1.6</v>
      </c>
      <c r="G403" s="43" t="n">
        <v>112</v>
      </c>
      <c r="H403" s="55" t="n">
        <v>2016</v>
      </c>
      <c r="I403" s="55" t="n">
        <v>1451</v>
      </c>
      <c r="J403" s="55" t="s">
        <v>74</v>
      </c>
      <c r="K403" s="30" t="s">
        <v>2461</v>
      </c>
      <c r="L403" s="59"/>
      <c r="M403" s="31" t="s">
        <v>2462</v>
      </c>
      <c r="N403" s="32" t="s">
        <v>1717</v>
      </c>
      <c r="O403" s="70" t="s">
        <v>100</v>
      </c>
      <c r="P403" s="70" t="s">
        <v>593</v>
      </c>
      <c r="Q403" s="70" t="n">
        <v>4000</v>
      </c>
      <c r="R403" s="77" t="s">
        <v>171</v>
      </c>
      <c r="S403" s="59" t="n">
        <v>4173</v>
      </c>
      <c r="T403" s="59" t="s">
        <v>123</v>
      </c>
      <c r="U403" s="70" t="n">
        <v>405159.93</v>
      </c>
      <c r="V403" s="167" t="n">
        <v>25.196137</v>
      </c>
      <c r="W403" s="167"/>
      <c r="X403" s="206" t="n">
        <f aca="false">U403/V403</f>
        <v>16080.239998695</v>
      </c>
      <c r="Y403" s="279" t="n">
        <v>321.23</v>
      </c>
      <c r="Z403" s="70" t="n">
        <v>2.84</v>
      </c>
      <c r="AA403" s="170" t="s">
        <v>80</v>
      </c>
      <c r="AB403" s="51" t="n">
        <v>42716</v>
      </c>
      <c r="AC403" s="38" t="n">
        <v>42734</v>
      </c>
      <c r="AD403" s="38" t="n">
        <v>42734</v>
      </c>
      <c r="AE403" s="50" t="n">
        <v>44195</v>
      </c>
      <c r="AF403" s="143" t="n">
        <v>44187</v>
      </c>
      <c r="AG403" s="63" t="n">
        <v>94520</v>
      </c>
      <c r="AH403" s="63"/>
      <c r="AI403" s="43"/>
      <c r="AJ403" s="43" t="s">
        <v>4009</v>
      </c>
      <c r="AK403" s="43"/>
      <c r="AL403" s="43"/>
      <c r="AM403" s="43"/>
      <c r="AN403" s="43"/>
      <c r="AO403" s="43"/>
    </row>
    <row r="404" s="2" customFormat="true" ht="12.75" hidden="false" customHeight="true" outlineLevel="0" collapsed="false">
      <c r="A404" s="26" t="n">
        <v>6</v>
      </c>
      <c r="B404" s="280" t="s">
        <v>4010</v>
      </c>
      <c r="C404" s="125" t="s">
        <v>4011</v>
      </c>
      <c r="D404" s="70" t="s">
        <v>46</v>
      </c>
      <c r="E404" s="55" t="n">
        <v>10.2</v>
      </c>
      <c r="F404" s="55" t="n">
        <v>1.8</v>
      </c>
      <c r="G404" s="43" t="n">
        <v>160</v>
      </c>
      <c r="H404" s="55" t="n">
        <v>2016</v>
      </c>
      <c r="I404" s="55" t="n">
        <v>1451</v>
      </c>
      <c r="J404" s="281" t="s">
        <v>74</v>
      </c>
      <c r="K404" s="30" t="s">
        <v>4012</v>
      </c>
      <c r="L404" s="59"/>
      <c r="M404" s="31" t="s">
        <v>4013</v>
      </c>
      <c r="N404" s="32" t="s">
        <v>4014</v>
      </c>
      <c r="O404" s="70" t="s">
        <v>100</v>
      </c>
      <c r="P404" s="56" t="s">
        <v>420</v>
      </c>
      <c r="Q404" s="53" t="n">
        <v>1000</v>
      </c>
      <c r="R404" s="115" t="s">
        <v>405</v>
      </c>
      <c r="S404" s="116" t="n">
        <v>4290</v>
      </c>
      <c r="T404" s="59" t="s">
        <v>102</v>
      </c>
      <c r="U404" s="70" t="n">
        <v>1041636</v>
      </c>
      <c r="V404" s="167" t="n">
        <v>24.850409</v>
      </c>
      <c r="W404" s="167"/>
      <c r="X404" s="206" t="n">
        <f aca="false">U404/V404</f>
        <v>41916.2517606853</v>
      </c>
      <c r="Y404" s="279" t="n">
        <f aca="false">21744.06/V404</f>
        <v>874.998073472352</v>
      </c>
      <c r="Z404" s="70" t="n">
        <v>2.79</v>
      </c>
      <c r="AA404" s="170" t="s">
        <v>80</v>
      </c>
      <c r="AB404" s="51" t="n">
        <v>42615</v>
      </c>
      <c r="AC404" s="38" t="n">
        <v>42709</v>
      </c>
      <c r="AD404" s="38" t="n">
        <v>42709</v>
      </c>
      <c r="AE404" s="50" t="n">
        <v>44232</v>
      </c>
      <c r="AF404" s="143" t="n">
        <v>44225</v>
      </c>
      <c r="AG404" s="63" t="e">
        <f aca="false">X404/SUMIF($Z$7:$Z$7,Z404,$X$7:$X$7)*(VLOOKUP(Z404,'затраты по департаментам-2 '!$A$2:$C$182,2,FALSE())+VLOOKUP(Z404,'затраты по департаментам-2 '!$A$2:$C$182,3,FALSE()))</f>
        <v>#DIV/0!</v>
      </c>
      <c r="AH404" s="63"/>
      <c r="AI404" s="63"/>
      <c r="AJ404" s="73" t="n">
        <v>359632105297979</v>
      </c>
      <c r="AK404" s="43" t="s">
        <v>4015</v>
      </c>
      <c r="AL404" s="43"/>
      <c r="AM404" s="43"/>
      <c r="AN404" s="43"/>
      <c r="AO404" s="43"/>
      <c r="AP404" s="43"/>
    </row>
    <row r="405" s="2" customFormat="true" ht="12.75" hidden="false" customHeight="true" outlineLevel="0" collapsed="false">
      <c r="A405" s="26" t="n">
        <v>7</v>
      </c>
      <c r="B405" s="78" t="s">
        <v>4016</v>
      </c>
      <c r="C405" s="43" t="s">
        <v>3353</v>
      </c>
      <c r="D405" s="28" t="s">
        <v>46</v>
      </c>
      <c r="E405" s="43" t="n">
        <v>10.2</v>
      </c>
      <c r="F405" s="43" t="n">
        <v>1.8</v>
      </c>
      <c r="G405" s="43" t="n">
        <v>178</v>
      </c>
      <c r="H405" s="43" t="n">
        <v>2016</v>
      </c>
      <c r="I405" s="55" t="n">
        <v>1451</v>
      </c>
      <c r="J405" s="43" t="s">
        <v>74</v>
      </c>
      <c r="K405" s="30" t="s">
        <v>2799</v>
      </c>
      <c r="L405" s="35"/>
      <c r="M405" s="31" t="s">
        <v>2800</v>
      </c>
      <c r="N405" s="32" t="s">
        <v>2801</v>
      </c>
      <c r="O405" s="28" t="s">
        <v>100</v>
      </c>
      <c r="P405" s="48" t="s">
        <v>2802</v>
      </c>
      <c r="Q405" s="33" t="n">
        <v>9000</v>
      </c>
      <c r="R405" s="34" t="s">
        <v>122</v>
      </c>
      <c r="S405" s="35" t="n">
        <v>4190</v>
      </c>
      <c r="T405" s="35" t="s">
        <v>102</v>
      </c>
      <c r="U405" s="28" t="n">
        <v>920015.65</v>
      </c>
      <c r="V405" s="60" t="n">
        <v>24.820658</v>
      </c>
      <c r="W405" s="60"/>
      <c r="X405" s="112" t="n">
        <f aca="false">U405/V405</f>
        <v>37066.5294207752</v>
      </c>
      <c r="Y405" s="112" t="n">
        <v>787.83</v>
      </c>
      <c r="Z405" s="28" t="n">
        <v>2.53</v>
      </c>
      <c r="AA405" s="62" t="s">
        <v>80</v>
      </c>
      <c r="AB405" s="38" t="n">
        <v>42067</v>
      </c>
      <c r="AC405" s="38" t="n">
        <v>42391</v>
      </c>
      <c r="AD405" s="38" t="n">
        <v>42390</v>
      </c>
      <c r="AE405" s="50" t="n">
        <v>44217</v>
      </c>
      <c r="AF405" s="38" t="n">
        <v>44224</v>
      </c>
      <c r="AG405" s="63" t="e">
        <f aca="false">X405/SUMIF($Z$2:$Z$398,Z405,$X$2:$X$398)*(VLOOKUP(Z405,'затраты по департаментам-2 '!$A$2:$C$182,2,FALSE())+VLOOKUP(Z405,'затраты по департаментам-2 '!$A$2:$C$182,3,FALSE()))</f>
        <v>#DIV/0!</v>
      </c>
      <c r="AH405" s="63"/>
      <c r="AI405" s="63"/>
      <c r="AJ405" s="43"/>
      <c r="AK405" s="43" t="s">
        <v>4017</v>
      </c>
      <c r="AL405" s="43"/>
      <c r="AM405" s="43"/>
      <c r="AN405" s="43"/>
      <c r="AO405" s="43"/>
      <c r="AP405" s="43"/>
    </row>
    <row r="406" s="2" customFormat="true" ht="12.75" hidden="false" customHeight="true" outlineLevel="0" collapsed="false">
      <c r="A406" s="26" t="n">
        <v>9</v>
      </c>
      <c r="B406" s="78" t="s">
        <v>4018</v>
      </c>
      <c r="C406" s="27" t="s">
        <v>2928</v>
      </c>
      <c r="D406" s="28" t="s">
        <v>73</v>
      </c>
      <c r="E406" s="43" t="n">
        <v>6.2</v>
      </c>
      <c r="F406" s="43" t="n">
        <v>2</v>
      </c>
      <c r="G406" s="43" t="n">
        <v>155</v>
      </c>
      <c r="H406" s="43" t="n">
        <v>2016</v>
      </c>
      <c r="I406" s="55" t="n">
        <v>1451</v>
      </c>
      <c r="J406" s="43" t="s">
        <v>4019</v>
      </c>
      <c r="K406" s="30" t="s">
        <v>2828</v>
      </c>
      <c r="L406" s="35"/>
      <c r="M406" s="31" t="s">
        <v>2829</v>
      </c>
      <c r="N406" s="32" t="s">
        <v>141</v>
      </c>
      <c r="O406" s="28" t="s">
        <v>52</v>
      </c>
      <c r="P406" s="56" t="s">
        <v>327</v>
      </c>
      <c r="Q406" s="28" t="n">
        <v>1000</v>
      </c>
      <c r="R406" s="34" t="s">
        <v>144</v>
      </c>
      <c r="S406" s="35" t="n">
        <v>4191</v>
      </c>
      <c r="T406" s="35" t="s">
        <v>145</v>
      </c>
      <c r="U406" s="28" t="n">
        <v>837586.25</v>
      </c>
      <c r="V406" s="60" t="n">
        <v>24.820658</v>
      </c>
      <c r="W406" s="60"/>
      <c r="X406" s="112" t="n">
        <f aca="false">U406/V406</f>
        <v>33745.5296310033</v>
      </c>
      <c r="Y406" s="112" t="n">
        <v>664.3</v>
      </c>
      <c r="Z406" s="28" t="n">
        <v>2.57</v>
      </c>
      <c r="AA406" s="62" t="s">
        <v>80</v>
      </c>
      <c r="AB406" s="38" t="n">
        <v>42067</v>
      </c>
      <c r="AC406" s="38" t="n">
        <v>42328</v>
      </c>
      <c r="AD406" s="38" t="n">
        <v>42419</v>
      </c>
      <c r="AE406" s="50" t="n">
        <v>44246</v>
      </c>
      <c r="AF406" s="38" t="n">
        <v>44232</v>
      </c>
      <c r="AG406" s="63" t="e">
        <f aca="false">X406/SUMIF($Z$2:$Z$396,Z406,$X$2:$X$396)*(VLOOKUP(Z406,'затраты по департаментам-2 '!$A$2:$C$182,2,FALSE())+VLOOKUP(Z406,'затраты по департаментам-2 '!$A$2:$C$182,3,FALSE()))</f>
        <v>#DIV/0!</v>
      </c>
      <c r="AH406" s="63"/>
      <c r="AI406" s="63"/>
      <c r="AJ406" s="43"/>
      <c r="AK406" s="43" t="s">
        <v>4020</v>
      </c>
      <c r="AL406" s="43"/>
      <c r="AM406" s="43"/>
      <c r="AN406" s="43"/>
      <c r="AO406" s="43"/>
      <c r="AP406" s="43"/>
    </row>
    <row r="407" s="2" customFormat="true" ht="12.75" hidden="false" customHeight="true" outlineLevel="0" collapsed="false">
      <c r="A407" s="26" t="n">
        <v>10</v>
      </c>
      <c r="B407" s="78" t="s">
        <v>2835</v>
      </c>
      <c r="C407" s="27" t="s">
        <v>2928</v>
      </c>
      <c r="D407" s="28" t="s">
        <v>73</v>
      </c>
      <c r="E407" s="43" t="n">
        <v>6.2</v>
      </c>
      <c r="F407" s="43" t="n">
        <v>2</v>
      </c>
      <c r="G407" s="43" t="n">
        <v>155</v>
      </c>
      <c r="H407" s="43" t="n">
        <v>2016</v>
      </c>
      <c r="I407" s="55" t="n">
        <v>1451</v>
      </c>
      <c r="J407" s="43" t="s">
        <v>74</v>
      </c>
      <c r="K407" s="30" t="s">
        <v>2836</v>
      </c>
      <c r="L407" s="35"/>
      <c r="M407" s="31" t="s">
        <v>2837</v>
      </c>
      <c r="N407" s="32" t="s">
        <v>141</v>
      </c>
      <c r="O407" s="28" t="s">
        <v>197</v>
      </c>
      <c r="P407" s="48" t="s">
        <v>198</v>
      </c>
      <c r="Q407" s="28" t="n">
        <v>1000</v>
      </c>
      <c r="R407" s="34" t="s">
        <v>144</v>
      </c>
      <c r="S407" s="35" t="n">
        <v>4194</v>
      </c>
      <c r="T407" s="35" t="s">
        <v>145</v>
      </c>
      <c r="U407" s="28" t="n">
        <v>837586.25</v>
      </c>
      <c r="V407" s="60" t="n">
        <v>24.820658</v>
      </c>
      <c r="W407" s="60"/>
      <c r="X407" s="112" t="n">
        <f aca="false">U407/V407</f>
        <v>33745.5296310033</v>
      </c>
      <c r="Y407" s="112" t="n">
        <v>664.3</v>
      </c>
      <c r="Z407" s="28" t="n">
        <v>2.57</v>
      </c>
      <c r="AA407" s="62" t="s">
        <v>80</v>
      </c>
      <c r="AB407" s="38" t="n">
        <v>42067</v>
      </c>
      <c r="AC407" s="38" t="n">
        <v>42328</v>
      </c>
      <c r="AD407" s="38" t="n">
        <v>42419</v>
      </c>
      <c r="AE407" s="50" t="n">
        <v>44246</v>
      </c>
      <c r="AF407" s="38" t="n">
        <v>44214</v>
      </c>
      <c r="AG407" s="63" t="e">
        <f aca="false">X407/SUMIF($Z$2:$Z$396,Z407,$X$2:$X$396)*(VLOOKUP(Z407,'затраты по департаментам-2 '!$A$2:$C$182,2,FALSE())+VLOOKUP(Z407,'затраты по департаментам-2 '!$A$2:$C$182,3,FALSE()))</f>
        <v>#DIV/0!</v>
      </c>
      <c r="AH407" s="63"/>
      <c r="AI407" s="63"/>
      <c r="AJ407" s="43"/>
      <c r="AK407" s="43" t="s">
        <v>4021</v>
      </c>
      <c r="AL407" s="43"/>
      <c r="AM407" s="43"/>
      <c r="AN407" s="43"/>
      <c r="AO407" s="43"/>
      <c r="AP407" s="43"/>
    </row>
    <row r="408" s="2" customFormat="true" ht="12.75" hidden="false" customHeight="true" outlineLevel="0" collapsed="false">
      <c r="A408" s="26" t="n">
        <v>11</v>
      </c>
      <c r="B408" s="78" t="s">
        <v>4022</v>
      </c>
      <c r="C408" s="27" t="s">
        <v>2928</v>
      </c>
      <c r="D408" s="28" t="s">
        <v>73</v>
      </c>
      <c r="E408" s="43" t="n">
        <v>6.2</v>
      </c>
      <c r="F408" s="43" t="n">
        <v>2</v>
      </c>
      <c r="G408" s="43" t="n">
        <v>155</v>
      </c>
      <c r="H408" s="43" t="n">
        <v>2016</v>
      </c>
      <c r="I408" s="55" t="n">
        <v>1451</v>
      </c>
      <c r="J408" s="43" t="s">
        <v>74</v>
      </c>
      <c r="K408" s="30" t="s">
        <v>2844</v>
      </c>
      <c r="L408" s="28"/>
      <c r="M408" s="31" t="s">
        <v>2845</v>
      </c>
      <c r="N408" s="32" t="s">
        <v>141</v>
      </c>
      <c r="O408" s="28" t="s">
        <v>313</v>
      </c>
      <c r="P408" s="56" t="s">
        <v>181</v>
      </c>
      <c r="Q408" s="28" t="n">
        <v>1000</v>
      </c>
      <c r="R408" s="68" t="s">
        <v>144</v>
      </c>
      <c r="S408" s="35" t="n">
        <v>4193</v>
      </c>
      <c r="T408" s="35" t="s">
        <v>145</v>
      </c>
      <c r="U408" s="28" t="n">
        <v>837586.25</v>
      </c>
      <c r="V408" s="60" t="n">
        <v>24.820658</v>
      </c>
      <c r="W408" s="60"/>
      <c r="X408" s="112" t="n">
        <f aca="false">U408/V408</f>
        <v>33745.5296310033</v>
      </c>
      <c r="Y408" s="112" t="n">
        <v>664.3</v>
      </c>
      <c r="Z408" s="28" t="n">
        <v>2.57</v>
      </c>
      <c r="AA408" s="62" t="s">
        <v>80</v>
      </c>
      <c r="AB408" s="38" t="n">
        <v>42067</v>
      </c>
      <c r="AC408" s="38" t="n">
        <v>42328</v>
      </c>
      <c r="AD408" s="38" t="n">
        <v>42419</v>
      </c>
      <c r="AE408" s="50" t="n">
        <v>44246</v>
      </c>
      <c r="AF408" s="38" t="n">
        <v>44228</v>
      </c>
      <c r="AG408" s="63" t="e">
        <f aca="false">X408/SUMIF($Z$2:$Z$396,Z408,$X$2:$X$396)*(VLOOKUP(Z408,'затраты по департаментам-2 '!$A$2:$C$182,2,FALSE())+VLOOKUP(Z408,'затраты по департаментам-2 '!$A$2:$C$182,3,FALSE()))</f>
        <v>#DIV/0!</v>
      </c>
      <c r="AH408" s="63"/>
      <c r="AI408" s="63"/>
      <c r="AJ408" s="43"/>
      <c r="AK408" s="43" t="s">
        <v>4023</v>
      </c>
      <c r="AL408" s="43"/>
      <c r="AM408" s="43"/>
      <c r="AN408" s="43"/>
      <c r="AO408" s="43"/>
      <c r="AP408" s="43"/>
    </row>
    <row r="409" s="2" customFormat="true" ht="12.75" hidden="false" customHeight="true" outlineLevel="0" collapsed="false">
      <c r="A409" s="26" t="n">
        <v>12</v>
      </c>
      <c r="B409" s="78" t="s">
        <v>4024</v>
      </c>
      <c r="C409" s="27" t="s">
        <v>4011</v>
      </c>
      <c r="D409" s="28" t="s">
        <v>46</v>
      </c>
      <c r="E409" s="43" t="n">
        <v>10.2</v>
      </c>
      <c r="F409" s="43" t="n">
        <v>1.8</v>
      </c>
      <c r="G409" s="43" t="n">
        <v>160</v>
      </c>
      <c r="H409" s="43" t="n">
        <v>2015</v>
      </c>
      <c r="I409" s="55" t="n">
        <v>1451</v>
      </c>
      <c r="J409" s="43" t="s">
        <v>74</v>
      </c>
      <c r="K409" s="30" t="s">
        <v>4025</v>
      </c>
      <c r="L409" s="35"/>
      <c r="M409" s="31" t="s">
        <v>4026</v>
      </c>
      <c r="N409" s="32" t="s">
        <v>4027</v>
      </c>
      <c r="O409" s="33" t="s">
        <v>100</v>
      </c>
      <c r="P409" s="56" t="s">
        <v>2639</v>
      </c>
      <c r="Q409" s="28" t="n">
        <v>1000</v>
      </c>
      <c r="R409" s="43" t="s">
        <v>53</v>
      </c>
      <c r="S409" s="35" t="n">
        <v>3610</v>
      </c>
      <c r="T409" s="35" t="s">
        <v>102</v>
      </c>
      <c r="U409" s="28" t="n">
        <v>1008972.89</v>
      </c>
      <c r="V409" s="60" t="n">
        <v>24.820658</v>
      </c>
      <c r="W409" s="60"/>
      <c r="X409" s="112" t="n">
        <f aca="false">U409/V409</f>
        <v>40650.5294903946</v>
      </c>
      <c r="Y409" s="112" t="n">
        <v>819</v>
      </c>
      <c r="Z409" s="28" t="n">
        <v>2.58</v>
      </c>
      <c r="AA409" s="62" t="s">
        <v>80</v>
      </c>
      <c r="AB409" s="38" t="n">
        <v>42067</v>
      </c>
      <c r="AC409" s="38" t="n">
        <v>42302</v>
      </c>
      <c r="AD409" s="38" t="n">
        <v>42300</v>
      </c>
      <c r="AE409" s="50" t="n">
        <v>44250</v>
      </c>
      <c r="AF409" s="38" t="n">
        <v>44222</v>
      </c>
      <c r="AG409" s="63" t="e">
        <f aca="false">X409/SUMIF($Z$2:$Z$396,Z409,$X$2:$X$396)*(VLOOKUP(Z409,'затраты по департаментам-2 '!$A$2:$C$182,2,FALSE())+VLOOKUP(Z409,'затраты по департаментам-2 '!$A$2:$C$182,3,FALSE()))</f>
        <v>#DIV/0!</v>
      </c>
      <c r="AH409" s="63"/>
      <c r="AI409" s="63"/>
      <c r="AJ409" s="43"/>
      <c r="AK409" s="43" t="s">
        <v>4028</v>
      </c>
      <c r="AL409" s="43"/>
      <c r="AM409" s="43"/>
      <c r="AN409" s="43"/>
      <c r="AO409" s="43"/>
      <c r="AP409" s="43"/>
    </row>
    <row r="410" s="2" customFormat="true" ht="12.75" hidden="false" customHeight="true" outlineLevel="0" collapsed="false">
      <c r="A410" s="26" t="n">
        <v>14</v>
      </c>
      <c r="B410" s="78" t="s">
        <v>4029</v>
      </c>
      <c r="C410" s="43" t="s">
        <v>3353</v>
      </c>
      <c r="D410" s="28" t="s">
        <v>46</v>
      </c>
      <c r="E410" s="43" t="n">
        <v>10.2</v>
      </c>
      <c r="F410" s="43" t="n">
        <v>1.8</v>
      </c>
      <c r="G410" s="43" t="n">
        <v>178</v>
      </c>
      <c r="H410" s="43" t="n">
        <v>2016</v>
      </c>
      <c r="I410" s="55" t="n">
        <v>1451</v>
      </c>
      <c r="J410" s="43" t="s">
        <v>74</v>
      </c>
      <c r="K410" s="30" t="s">
        <v>2868</v>
      </c>
      <c r="L410" s="59"/>
      <c r="M410" s="31" t="s">
        <v>2869</v>
      </c>
      <c r="N410" s="32" t="s">
        <v>2870</v>
      </c>
      <c r="O410" s="93" t="s">
        <v>100</v>
      </c>
      <c r="P410" s="130" t="s">
        <v>1310</v>
      </c>
      <c r="Q410" s="93" t="n">
        <v>1000</v>
      </c>
      <c r="R410" s="34" t="s">
        <v>171</v>
      </c>
      <c r="S410" s="69" t="n">
        <v>4130</v>
      </c>
      <c r="T410" s="35" t="s">
        <v>102</v>
      </c>
      <c r="U410" s="70" t="n">
        <v>1079357.82</v>
      </c>
      <c r="V410" s="167" t="n">
        <v>25.257239</v>
      </c>
      <c r="W410" s="167"/>
      <c r="X410" s="206" t="n">
        <f aca="false">U410/V410</f>
        <v>42734.5926449047</v>
      </c>
      <c r="Y410" s="206" t="n">
        <f aca="false">22479/V410</f>
        <v>890.002268260597</v>
      </c>
      <c r="Z410" s="70" t="n">
        <v>2.83</v>
      </c>
      <c r="AA410" s="170" t="s">
        <v>80</v>
      </c>
      <c r="AB410" s="51" t="n">
        <v>42517</v>
      </c>
      <c r="AC410" s="38" t="n">
        <v>42551</v>
      </c>
      <c r="AD410" s="38" t="n">
        <v>42566</v>
      </c>
      <c r="AE410" s="50" t="n">
        <v>44202</v>
      </c>
      <c r="AF410" s="143" t="n">
        <v>44225</v>
      </c>
      <c r="AG410" s="63" t="e">
        <f aca="false">X410/SUMIF($Z$2:$Z$392,Z410,$X$2:$X$392)*(VLOOKUP(Z410,'затраты по департаментам-2 '!$A$2:$C$182,2,FALSE())+VLOOKUP(Z410,'затраты по департаментам-2 '!$A$2:$C$182,3,FALSE()))</f>
        <v>#DIV/0!</v>
      </c>
      <c r="AH410" s="63"/>
      <c r="AI410" s="63"/>
      <c r="AJ410" s="43"/>
      <c r="AK410" s="43" t="s">
        <v>4030</v>
      </c>
      <c r="AL410" s="43"/>
      <c r="AM410" s="43"/>
      <c r="AN410" s="43"/>
      <c r="AO410" s="43"/>
      <c r="AP410" s="43"/>
    </row>
    <row r="411" s="2" customFormat="true" ht="12.75" hidden="false" customHeight="true" outlineLevel="0" collapsed="false">
      <c r="A411" s="26" t="n">
        <v>6</v>
      </c>
      <c r="B411" s="152" t="s">
        <v>4031</v>
      </c>
      <c r="C411" s="43" t="s">
        <v>3353</v>
      </c>
      <c r="D411" s="28" t="s">
        <v>46</v>
      </c>
      <c r="E411" s="43" t="n">
        <v>10.2</v>
      </c>
      <c r="F411" s="43" t="n">
        <v>1.8</v>
      </c>
      <c r="G411" s="43" t="n">
        <v>178</v>
      </c>
      <c r="H411" s="43" t="n">
        <v>2016</v>
      </c>
      <c r="I411" s="55" t="n">
        <v>1451</v>
      </c>
      <c r="J411" s="43" t="s">
        <v>74</v>
      </c>
      <c r="K411" s="30" t="s">
        <v>4032</v>
      </c>
      <c r="L411" s="35"/>
      <c r="M411" s="31" t="s">
        <v>4033</v>
      </c>
      <c r="N411" s="32" t="s">
        <v>4034</v>
      </c>
      <c r="O411" s="28" t="s">
        <v>100</v>
      </c>
      <c r="P411" s="56" t="s">
        <v>4035</v>
      </c>
      <c r="Q411" s="33" t="n">
        <v>1000</v>
      </c>
      <c r="R411" s="34" t="s">
        <v>4036</v>
      </c>
      <c r="S411" s="35" t="n">
        <v>4140</v>
      </c>
      <c r="T411" s="35" t="s">
        <v>102</v>
      </c>
      <c r="U411" s="28" t="n">
        <v>920015.65</v>
      </c>
      <c r="V411" s="60" t="n">
        <v>24.820658</v>
      </c>
      <c r="W411" s="60"/>
      <c r="X411" s="112" t="n">
        <f aca="false">U411/V411</f>
        <v>37066.5294207752</v>
      </c>
      <c r="Y411" s="112" t="n">
        <v>787.83</v>
      </c>
      <c r="Z411" s="28" t="n">
        <v>2.53</v>
      </c>
      <c r="AA411" s="62" t="s">
        <v>80</v>
      </c>
      <c r="AB411" s="38" t="n">
        <v>42067</v>
      </c>
      <c r="AC411" s="38" t="n">
        <v>42391</v>
      </c>
      <c r="AD411" s="38" t="n">
        <v>42390</v>
      </c>
      <c r="AE411" s="50" t="n">
        <v>44398</v>
      </c>
      <c r="AF411" s="38" t="n">
        <v>44363</v>
      </c>
      <c r="AG411" s="63" t="n">
        <f aca="false">X411/SUMIF($Z$411:$Z$412,Z411,$X$411:$X$412)*(VLOOKUP(Z411,'затраты по департаментам-2 '!$A$2:$C$182,2,FALSE())+VLOOKUP(Z411,'затраты по департаментам-2 '!$A$2:$C$182,3,FALSE()))</f>
        <v>0</v>
      </c>
      <c r="AH411" s="63"/>
      <c r="AI411" s="63" t="s">
        <v>100</v>
      </c>
      <c r="AJ411" s="43"/>
      <c r="AK411" s="43" t="s">
        <v>4037</v>
      </c>
      <c r="AL411" s="43"/>
      <c r="AM411" s="43"/>
      <c r="AN411" s="43"/>
      <c r="AO411" s="43"/>
      <c r="AP411" s="43"/>
      <c r="AQ411" s="64"/>
      <c r="AR411" s="64"/>
    </row>
    <row r="412" s="2" customFormat="true" ht="12.75" hidden="false" customHeight="true" outlineLevel="0" collapsed="false">
      <c r="A412" s="26" t="n">
        <v>7</v>
      </c>
      <c r="B412" s="152" t="s">
        <v>4038</v>
      </c>
      <c r="C412" s="157" t="s">
        <v>4039</v>
      </c>
      <c r="D412" s="28" t="s">
        <v>73</v>
      </c>
      <c r="E412" s="43" t="n">
        <v>11.5</v>
      </c>
      <c r="F412" s="43" t="n">
        <v>2</v>
      </c>
      <c r="G412" s="43" t="n">
        <v>221</v>
      </c>
      <c r="H412" s="43" t="n">
        <v>2016</v>
      </c>
      <c r="I412" s="55" t="n">
        <v>1451</v>
      </c>
      <c r="J412" s="281" t="s">
        <v>74</v>
      </c>
      <c r="K412" s="30" t="s">
        <v>2764</v>
      </c>
      <c r="L412" s="59"/>
      <c r="M412" s="31" t="s">
        <v>2765</v>
      </c>
      <c r="N412" s="32" t="s">
        <v>131</v>
      </c>
      <c r="O412" s="93" t="s">
        <v>100</v>
      </c>
      <c r="P412" s="56" t="s">
        <v>132</v>
      </c>
      <c r="Q412" s="79" t="n">
        <v>4000</v>
      </c>
      <c r="R412" s="58" t="s">
        <v>78</v>
      </c>
      <c r="S412" s="69" t="n">
        <v>5311</v>
      </c>
      <c r="T412" s="35" t="s">
        <v>79</v>
      </c>
      <c r="U412" s="28" t="n">
        <v>1498535.51</v>
      </c>
      <c r="V412" s="60" t="n">
        <v>23.146841</v>
      </c>
      <c r="W412" s="185"/>
      <c r="X412" s="273" t="n">
        <f aca="false">U412/V412</f>
        <v>64740.389844126</v>
      </c>
      <c r="Y412" s="273" t="n">
        <v>1377.5</v>
      </c>
      <c r="Z412" s="180" t="n">
        <v>2.68</v>
      </c>
      <c r="AA412" s="282" t="s">
        <v>80</v>
      </c>
      <c r="AB412" s="190" t="n">
        <v>42387</v>
      </c>
      <c r="AC412" s="190" t="n">
        <v>42502</v>
      </c>
      <c r="AD412" s="38" t="n">
        <v>42508</v>
      </c>
      <c r="AE412" s="50" t="n">
        <v>44457</v>
      </c>
      <c r="AF412" s="143" t="n">
        <v>44371</v>
      </c>
      <c r="AG412" s="63" t="n">
        <f aca="false">X412/SUMIF($Z$411:$Z$412,Z412,$X$411:$X$412)*(VLOOKUP(Z412,'затраты по департаментам-2 '!$A$2:$C$182,2,FALSE())+VLOOKUP(Z412,'затраты по департаментам-2 '!$A$2:$C$182,3,FALSE()))</f>
        <v>0</v>
      </c>
      <c r="AH412" s="63"/>
      <c r="AI412" s="72" t="s">
        <v>100</v>
      </c>
      <c r="AJ412" s="177"/>
      <c r="AK412" s="43" t="s">
        <v>4040</v>
      </c>
      <c r="AL412" s="43"/>
      <c r="AM412" s="43"/>
      <c r="AN412" s="43"/>
      <c r="AO412" s="43"/>
      <c r="AP412" s="43"/>
      <c r="AQ412" s="64"/>
      <c r="AR412" s="64"/>
    </row>
    <row r="413" s="2" customFormat="true" ht="15" hidden="false" customHeight="true" outlineLevel="0" collapsed="false">
      <c r="A413" s="26" t="n">
        <v>19</v>
      </c>
      <c r="B413" s="152" t="s">
        <v>4041</v>
      </c>
      <c r="C413" s="43" t="s">
        <v>165</v>
      </c>
      <c r="D413" s="28" t="s">
        <v>46</v>
      </c>
      <c r="E413" s="43" t="n">
        <v>6.7</v>
      </c>
      <c r="F413" s="43" t="n">
        <v>1.2</v>
      </c>
      <c r="G413" s="43" t="n">
        <v>108</v>
      </c>
      <c r="H413" s="43" t="n">
        <v>2019</v>
      </c>
      <c r="I413" s="43" t="s">
        <v>96</v>
      </c>
      <c r="J413" s="43" t="s">
        <v>74</v>
      </c>
      <c r="K413" s="86" t="s">
        <v>2887</v>
      </c>
      <c r="L413" s="5"/>
      <c r="M413" s="31" t="s">
        <v>4042</v>
      </c>
      <c r="N413" s="32" t="s">
        <v>168</v>
      </c>
      <c r="O413" s="28" t="s">
        <v>100</v>
      </c>
      <c r="P413" s="56" t="s">
        <v>188</v>
      </c>
      <c r="Q413" s="28" t="n">
        <v>9000</v>
      </c>
      <c r="R413" s="34" t="s">
        <v>92</v>
      </c>
      <c r="S413" s="35" t="n">
        <v>4140</v>
      </c>
      <c r="T413" s="35" t="s">
        <v>172</v>
      </c>
      <c r="U413" s="28" t="n">
        <v>425034.65</v>
      </c>
      <c r="V413" s="60" t="n">
        <v>28.023739</v>
      </c>
      <c r="W413" s="71" t="n">
        <f aca="false">5921425.44/50</f>
        <v>118428.5088</v>
      </c>
      <c r="X413" s="61" t="n">
        <f aca="false">U413/V413</f>
        <v>15166.9500633017</v>
      </c>
      <c r="Y413" s="61" t="n">
        <v>251.65</v>
      </c>
      <c r="Z413" s="28" t="n">
        <v>4.4</v>
      </c>
      <c r="AA413" s="62" t="s">
        <v>80</v>
      </c>
      <c r="AB413" s="38" t="n">
        <v>43474</v>
      </c>
      <c r="AC413" s="38" t="n">
        <v>43524</v>
      </c>
      <c r="AD413" s="38" t="n">
        <v>43531</v>
      </c>
      <c r="AE413" s="38" t="n">
        <v>45358</v>
      </c>
      <c r="AF413" s="143" t="n">
        <v>44383</v>
      </c>
      <c r="AG413" s="63" t="n">
        <f aca="false">X413/SUMIF($Z$413:$Z$413,Z413,$X$413:$X$413)*(VLOOKUP(Z413,'затраты по департаментам-2 '!$A$2:$C$182,2,FALSE())+VLOOKUP(Z413,'затраты по департаментам-2 '!$A$2:$C$182,3,FALSE()))</f>
        <v>248464.341866444</v>
      </c>
      <c r="AH413" s="63" t="n">
        <f aca="false">W413/60</f>
        <v>1973.80848</v>
      </c>
      <c r="AI413" s="63" t="s">
        <v>100</v>
      </c>
      <c r="AJ413" s="43" t="n">
        <v>89678527</v>
      </c>
      <c r="AK413" s="99" t="s">
        <v>4043</v>
      </c>
      <c r="AL413" s="85" t="s">
        <v>4044</v>
      </c>
      <c r="AM413" s="48" t="s">
        <v>4045</v>
      </c>
      <c r="AN413" s="275" t="n">
        <v>44042</v>
      </c>
      <c r="AO413" s="43"/>
      <c r="AP413" s="43"/>
      <c r="AQ413" s="64"/>
      <c r="AR413" s="64"/>
    </row>
    <row r="414" s="2" customFormat="true" ht="15" hidden="false" customHeight="true" outlineLevel="0" collapsed="false">
      <c r="A414" s="26" t="n">
        <v>22</v>
      </c>
      <c r="B414" s="152" t="s">
        <v>4046</v>
      </c>
      <c r="C414" s="43" t="s">
        <v>165</v>
      </c>
      <c r="D414" s="28" t="s">
        <v>46</v>
      </c>
      <c r="E414" s="43" t="n">
        <v>6.7</v>
      </c>
      <c r="F414" s="43" t="n">
        <v>1.2</v>
      </c>
      <c r="G414" s="43" t="n">
        <v>108</v>
      </c>
      <c r="H414" s="43" t="n">
        <v>2019</v>
      </c>
      <c r="I414" s="43" t="s">
        <v>96</v>
      </c>
      <c r="J414" s="43" t="s">
        <v>74</v>
      </c>
      <c r="K414" s="86" t="s">
        <v>2887</v>
      </c>
      <c r="L414" s="82"/>
      <c r="M414" s="31" t="s">
        <v>1089</v>
      </c>
      <c r="N414" s="32" t="s">
        <v>236</v>
      </c>
      <c r="O414" s="28" t="s">
        <v>681</v>
      </c>
      <c r="P414" s="56" t="s">
        <v>181</v>
      </c>
      <c r="Q414" s="87" t="n">
        <v>7031</v>
      </c>
      <c r="R414" s="34" t="s">
        <v>171</v>
      </c>
      <c r="S414" s="69" t="n">
        <v>4133</v>
      </c>
      <c r="T414" s="35" t="s">
        <v>172</v>
      </c>
      <c r="U414" s="28" t="n">
        <v>425034.65</v>
      </c>
      <c r="V414" s="60" t="n">
        <v>28.023739</v>
      </c>
      <c r="W414" s="71" t="n">
        <f aca="false">5921425.44/50</f>
        <v>118428.5088</v>
      </c>
      <c r="X414" s="61" t="n">
        <f aca="false">U414/V414</f>
        <v>15166.9500633017</v>
      </c>
      <c r="Y414" s="61" t="n">
        <v>251.65</v>
      </c>
      <c r="Z414" s="28" t="n">
        <v>4.4</v>
      </c>
      <c r="AA414" s="62" t="s">
        <v>80</v>
      </c>
      <c r="AB414" s="38" t="n">
        <v>43474</v>
      </c>
      <c r="AC414" s="38" t="n">
        <v>43524</v>
      </c>
      <c r="AD414" s="38" t="n">
        <v>43539</v>
      </c>
      <c r="AE414" s="38" t="n">
        <v>45365</v>
      </c>
      <c r="AF414" s="143" t="n">
        <v>44385</v>
      </c>
      <c r="AG414" s="63" t="n">
        <f aca="false">X414/SUMIF($Z$414:$Z$415,Z414,$X$414:$X$415)*(VLOOKUP(Z414,'затраты по департаментам-2 '!$A$2:$C$182,2,FALSE())+VLOOKUP(Z414,'затраты по департаментам-2 '!$A$2:$C$182,3,FALSE()))</f>
        <v>124232.170933222</v>
      </c>
      <c r="AH414" s="63" t="n">
        <f aca="false">W414/60</f>
        <v>1973.80848</v>
      </c>
      <c r="AI414" s="63" t="s">
        <v>100</v>
      </c>
      <c r="AJ414" s="43" t="n">
        <v>89570534</v>
      </c>
      <c r="AK414" s="99" t="s">
        <v>4047</v>
      </c>
      <c r="AL414" s="85" t="s">
        <v>4048</v>
      </c>
      <c r="AM414" s="48" t="s">
        <v>4049</v>
      </c>
      <c r="AN414" s="275" t="n">
        <v>44111</v>
      </c>
      <c r="AO414" s="43"/>
      <c r="AP414" s="43"/>
      <c r="AQ414" s="64"/>
      <c r="AR414" s="64"/>
    </row>
    <row r="415" s="2" customFormat="true" ht="15" hidden="false" customHeight="true" outlineLevel="0" collapsed="false">
      <c r="A415" s="26" t="n">
        <v>23</v>
      </c>
      <c r="B415" s="152" t="s">
        <v>4050</v>
      </c>
      <c r="C415" s="43" t="s">
        <v>165</v>
      </c>
      <c r="D415" s="28" t="s">
        <v>46</v>
      </c>
      <c r="E415" s="43" t="n">
        <v>6.7</v>
      </c>
      <c r="F415" s="43" t="n">
        <v>1.2</v>
      </c>
      <c r="G415" s="43" t="n">
        <v>108</v>
      </c>
      <c r="H415" s="43" t="n">
        <v>2019</v>
      </c>
      <c r="I415" s="43" t="s">
        <v>96</v>
      </c>
      <c r="J415" s="43" t="s">
        <v>74</v>
      </c>
      <c r="K415" s="86" t="s">
        <v>2887</v>
      </c>
      <c r="L415" s="82"/>
      <c r="M415" s="31" t="s">
        <v>3013</v>
      </c>
      <c r="N415" s="32" t="s">
        <v>179</v>
      </c>
      <c r="O415" s="33" t="s">
        <v>60</v>
      </c>
      <c r="P415" s="48" t="s">
        <v>91</v>
      </c>
      <c r="Q415" s="33" t="n">
        <v>7082</v>
      </c>
      <c r="R415" s="34" t="s">
        <v>171</v>
      </c>
      <c r="S415" s="35" t="n">
        <v>4138</v>
      </c>
      <c r="T415" s="35" t="s">
        <v>172</v>
      </c>
      <c r="U415" s="28" t="n">
        <v>425034.65</v>
      </c>
      <c r="V415" s="60" t="n">
        <v>28.023739</v>
      </c>
      <c r="W415" s="71" t="n">
        <f aca="false">5921425.44/50</f>
        <v>118428.5088</v>
      </c>
      <c r="X415" s="61" t="n">
        <f aca="false">U415/V415</f>
        <v>15166.9500633017</v>
      </c>
      <c r="Y415" s="61" t="n">
        <v>251.65</v>
      </c>
      <c r="Z415" s="28" t="n">
        <v>4.4</v>
      </c>
      <c r="AA415" s="62" t="s">
        <v>80</v>
      </c>
      <c r="AB415" s="38" t="n">
        <v>43474</v>
      </c>
      <c r="AC415" s="38" t="n">
        <v>43524</v>
      </c>
      <c r="AD415" s="38" t="n">
        <v>43531</v>
      </c>
      <c r="AE415" s="38" t="n">
        <v>45358</v>
      </c>
      <c r="AF415" s="143" t="n">
        <v>44385</v>
      </c>
      <c r="AG415" s="63" t="n">
        <f aca="false">X415/SUMIF($Z$414:$Z$415,Z415,$X$414:$X$415)*(VLOOKUP(Z415,'затраты по департаментам-2 '!$A$2:$C$182,2,FALSE())+VLOOKUP(Z415,'затраты по департаментам-2 '!$A$2:$C$182,3,FALSE()))</f>
        <v>124232.170933222</v>
      </c>
      <c r="AH415" s="63" t="n">
        <f aca="false">W415/60</f>
        <v>1973.80848</v>
      </c>
      <c r="AI415" s="63" t="s">
        <v>82</v>
      </c>
      <c r="AJ415" s="98" t="n">
        <v>82433961</v>
      </c>
      <c r="AK415" s="43"/>
      <c r="AL415" s="78" t="s">
        <v>4051</v>
      </c>
      <c r="AM415" s="48" t="s">
        <v>4052</v>
      </c>
      <c r="AN415" s="275" t="n">
        <v>44140</v>
      </c>
      <c r="AO415" s="43"/>
      <c r="AP415" s="43"/>
      <c r="AQ415" s="64"/>
      <c r="AR415" s="64"/>
    </row>
    <row r="416" s="2" customFormat="true" ht="14.25" hidden="false" customHeight="true" outlineLevel="0" collapsed="false">
      <c r="A416" s="26" t="n">
        <v>29</v>
      </c>
      <c r="B416" s="152" t="s">
        <v>4053</v>
      </c>
      <c r="C416" s="43" t="s">
        <v>165</v>
      </c>
      <c r="D416" s="28" t="s">
        <v>46</v>
      </c>
      <c r="E416" s="43" t="n">
        <v>6.7</v>
      </c>
      <c r="F416" s="43" t="n">
        <v>1.2</v>
      </c>
      <c r="G416" s="43" t="n">
        <v>108</v>
      </c>
      <c r="H416" s="43" t="n">
        <v>2019</v>
      </c>
      <c r="I416" s="43" t="s">
        <v>96</v>
      </c>
      <c r="J416" s="43" t="s">
        <v>74</v>
      </c>
      <c r="K416" s="86" t="s">
        <v>2887</v>
      </c>
      <c r="L416" s="82"/>
      <c r="M416" s="31" t="s">
        <v>3049</v>
      </c>
      <c r="N416" s="84" t="s">
        <v>179</v>
      </c>
      <c r="O416" s="283" t="s">
        <v>100</v>
      </c>
      <c r="P416" s="56" t="s">
        <v>198</v>
      </c>
      <c r="Q416" s="33" t="n">
        <v>7032</v>
      </c>
      <c r="R416" s="68" t="s">
        <v>92</v>
      </c>
      <c r="S416" s="35" t="n">
        <v>4144</v>
      </c>
      <c r="T416" s="35" t="s">
        <v>172</v>
      </c>
      <c r="U416" s="28" t="n">
        <v>425034.65</v>
      </c>
      <c r="V416" s="60" t="n">
        <v>28.023739</v>
      </c>
      <c r="W416" s="71" t="n">
        <f aca="false">5921425.44/50</f>
        <v>118428.5088</v>
      </c>
      <c r="X416" s="61" t="n">
        <f aca="false">U416/V416</f>
        <v>15166.9500633017</v>
      </c>
      <c r="Y416" s="61" t="n">
        <v>251.65</v>
      </c>
      <c r="Z416" s="28" t="n">
        <v>4.4</v>
      </c>
      <c r="AA416" s="62" t="s">
        <v>80</v>
      </c>
      <c r="AB416" s="38" t="n">
        <v>43474</v>
      </c>
      <c r="AC416" s="38" t="n">
        <v>43524</v>
      </c>
      <c r="AD416" s="38" t="n">
        <v>43539</v>
      </c>
      <c r="AE416" s="38" t="n">
        <v>45365</v>
      </c>
      <c r="AF416" s="143" t="n">
        <v>44386</v>
      </c>
      <c r="AG416" s="63" t="n">
        <f aca="false">X416/SUMIF($Z$416:$Z$417,Z416,$X$416:$X$417)*(VLOOKUP(Z416,'затраты по департаментам-2 '!$A$2:$C$182,2,FALSE())+VLOOKUP(Z416,'затраты по департаментам-2 '!$A$2:$C$182,3,FALSE()))</f>
        <v>124232.170933222</v>
      </c>
      <c r="AH416" s="63" t="n">
        <f aca="false">W416/60</f>
        <v>1973.80848</v>
      </c>
      <c r="AI416" s="63" t="s">
        <v>197</v>
      </c>
      <c r="AJ416" s="88" t="n">
        <v>82124388</v>
      </c>
      <c r="AK416" s="81" t="s">
        <v>4054</v>
      </c>
      <c r="AL416" s="78" t="s">
        <v>4055</v>
      </c>
      <c r="AM416" s="48" t="s">
        <v>4056</v>
      </c>
      <c r="AN416" s="275" t="n">
        <v>44215</v>
      </c>
      <c r="AO416" s="43"/>
      <c r="AP416" s="43"/>
      <c r="AQ416" s="64"/>
      <c r="AR416" s="64"/>
    </row>
    <row r="417" s="2" customFormat="true" ht="14.25" hidden="false" customHeight="false" outlineLevel="0" collapsed="false">
      <c r="A417" s="26" t="n">
        <v>30</v>
      </c>
      <c r="B417" s="152" t="s">
        <v>4057</v>
      </c>
      <c r="C417" s="43" t="s">
        <v>165</v>
      </c>
      <c r="D417" s="28" t="s">
        <v>46</v>
      </c>
      <c r="E417" s="43" t="n">
        <v>6.7</v>
      </c>
      <c r="F417" s="43" t="n">
        <v>1.2</v>
      </c>
      <c r="G417" s="43" t="n">
        <v>108</v>
      </c>
      <c r="H417" s="43" t="n">
        <v>2019</v>
      </c>
      <c r="I417" s="43" t="s">
        <v>96</v>
      </c>
      <c r="J417" s="43" t="s">
        <v>74</v>
      </c>
      <c r="K417" s="86" t="s">
        <v>2887</v>
      </c>
      <c r="L417" s="28"/>
      <c r="M417" s="31" t="s">
        <v>2991</v>
      </c>
      <c r="N417" s="32" t="s">
        <v>1090</v>
      </c>
      <c r="O417" s="57" t="s">
        <v>2992</v>
      </c>
      <c r="P417" s="28" t="s">
        <v>327</v>
      </c>
      <c r="Q417" s="28" t="n">
        <v>1000</v>
      </c>
      <c r="R417" s="34" t="s">
        <v>171</v>
      </c>
      <c r="S417" s="35" t="n">
        <v>4131</v>
      </c>
      <c r="T417" s="35" t="s">
        <v>172</v>
      </c>
      <c r="U417" s="28" t="n">
        <v>425034.65</v>
      </c>
      <c r="V417" s="60" t="n">
        <v>28.023739</v>
      </c>
      <c r="W417" s="71" t="n">
        <f aca="false">5921425.44/50</f>
        <v>118428.5088</v>
      </c>
      <c r="X417" s="61" t="n">
        <f aca="false">U417/V417</f>
        <v>15166.9500633017</v>
      </c>
      <c r="Y417" s="61" t="n">
        <v>251.65</v>
      </c>
      <c r="Z417" s="28" t="n">
        <v>4.4</v>
      </c>
      <c r="AA417" s="62" t="s">
        <v>80</v>
      </c>
      <c r="AB417" s="38" t="n">
        <v>43474</v>
      </c>
      <c r="AC417" s="38" t="n">
        <v>43524</v>
      </c>
      <c r="AD417" s="38" t="n">
        <v>43539</v>
      </c>
      <c r="AE417" s="38" t="n">
        <v>45365</v>
      </c>
      <c r="AF417" s="143" t="n">
        <v>44385</v>
      </c>
      <c r="AG417" s="63" t="n">
        <f aca="false">X417/SUMIF($Z$416:$Z$417,Z417,$X$416:$X$417)*(VLOOKUP(Z417,'затраты по департаментам-2 '!$A$2:$C$182,2,FALSE())+VLOOKUP(Z417,'затраты по департаментам-2 '!$A$2:$C$182,3,FALSE()))</f>
        <v>124232.170933222</v>
      </c>
      <c r="AH417" s="63" t="n">
        <f aca="false">W417/60</f>
        <v>1973.80848</v>
      </c>
      <c r="AI417" s="63" t="s">
        <v>52</v>
      </c>
      <c r="AJ417" s="88" t="n">
        <v>89565708</v>
      </c>
      <c r="AK417" s="81" t="s">
        <v>4058</v>
      </c>
      <c r="AL417" s="85" t="s">
        <v>4059</v>
      </c>
      <c r="AM417" s="48" t="s">
        <v>4060</v>
      </c>
      <c r="AN417" s="275" t="n">
        <v>44098</v>
      </c>
      <c r="AO417" s="43"/>
      <c r="AP417" s="43"/>
      <c r="AQ417" s="64"/>
      <c r="AR417" s="64"/>
    </row>
    <row r="418" s="2" customFormat="true" ht="15" hidden="false" customHeight="true" outlineLevel="0" collapsed="false">
      <c r="A418" s="26" t="n">
        <v>32</v>
      </c>
      <c r="B418" s="284" t="s">
        <v>4061</v>
      </c>
      <c r="C418" s="43" t="s">
        <v>165</v>
      </c>
      <c r="D418" s="28" t="s">
        <v>46</v>
      </c>
      <c r="E418" s="43" t="n">
        <v>6.7</v>
      </c>
      <c r="F418" s="43" t="n">
        <v>1.2</v>
      </c>
      <c r="G418" s="43" t="n">
        <v>108</v>
      </c>
      <c r="H418" s="43" t="n">
        <v>2019</v>
      </c>
      <c r="I418" s="43" t="s">
        <v>96</v>
      </c>
      <c r="J418" s="43" t="s">
        <v>74</v>
      </c>
      <c r="K418" s="86" t="s">
        <v>2887</v>
      </c>
      <c r="L418" s="35"/>
      <c r="M418" s="31" t="s">
        <v>1029</v>
      </c>
      <c r="N418" s="32" t="s">
        <v>913</v>
      </c>
      <c r="O418" s="28" t="s">
        <v>100</v>
      </c>
      <c r="P418" s="56" t="s">
        <v>1030</v>
      </c>
      <c r="Q418" s="33" t="n">
        <v>1000</v>
      </c>
      <c r="R418" s="68" t="s">
        <v>92</v>
      </c>
      <c r="S418" s="35" t="n">
        <v>4140</v>
      </c>
      <c r="T418" s="35" t="s">
        <v>172</v>
      </c>
      <c r="U418" s="28" t="n">
        <v>425034.65</v>
      </c>
      <c r="V418" s="60" t="n">
        <v>28.023739</v>
      </c>
      <c r="W418" s="71" t="n">
        <f aca="false">5921425.44/50</f>
        <v>118428.5088</v>
      </c>
      <c r="X418" s="61" t="n">
        <f aca="false">U418/V418</f>
        <v>15166.9500633017</v>
      </c>
      <c r="Y418" s="61" t="n">
        <v>251.65</v>
      </c>
      <c r="Z418" s="28" t="n">
        <v>4.4</v>
      </c>
      <c r="AA418" s="62" t="s">
        <v>80</v>
      </c>
      <c r="AB418" s="38" t="n">
        <v>43474</v>
      </c>
      <c r="AC418" s="38" t="n">
        <v>43524</v>
      </c>
      <c r="AD418" s="38" t="n">
        <v>43539</v>
      </c>
      <c r="AE418" s="38" t="n">
        <v>45365</v>
      </c>
      <c r="AF418" s="143" t="n">
        <v>44383</v>
      </c>
      <c r="AG418" s="63" t="n">
        <f aca="false">X418/SUMIF($Z$418:$Z$418,Z418,$X$418:$X$418)*(VLOOKUP(Z418,'затраты по департаментам-2 '!$A$2:$C$182,2,FALSE())+VLOOKUP(Z418,'затраты по департаментам-2 '!$A$2:$C$182,3,FALSE()))</f>
        <v>248464.341866444</v>
      </c>
      <c r="AH418" s="63" t="n">
        <f aca="false">W418/60</f>
        <v>1973.80848</v>
      </c>
      <c r="AI418" s="63" t="s">
        <v>100</v>
      </c>
      <c r="AJ418" s="88" t="n">
        <v>89570591</v>
      </c>
      <c r="AK418" s="99" t="s">
        <v>4062</v>
      </c>
      <c r="AL418" s="85" t="s">
        <v>4063</v>
      </c>
      <c r="AM418" s="48" t="s">
        <v>4064</v>
      </c>
      <c r="AN418" s="275" t="n">
        <v>44034</v>
      </c>
      <c r="AO418" s="43"/>
      <c r="AP418" s="43"/>
      <c r="AQ418" s="64"/>
      <c r="AR418" s="64"/>
    </row>
    <row r="419" s="2" customFormat="true" ht="14.25" hidden="false" customHeight="false" outlineLevel="0" collapsed="false">
      <c r="A419" s="26" t="n">
        <v>36</v>
      </c>
      <c r="B419" s="152" t="s">
        <v>4065</v>
      </c>
      <c r="C419" s="43" t="s">
        <v>165</v>
      </c>
      <c r="D419" s="28" t="s">
        <v>46</v>
      </c>
      <c r="E419" s="43" t="n">
        <v>6.7</v>
      </c>
      <c r="F419" s="43" t="n">
        <v>1.2</v>
      </c>
      <c r="G419" s="43" t="n">
        <v>108</v>
      </c>
      <c r="H419" s="43" t="n">
        <v>2019</v>
      </c>
      <c r="I419" s="43" t="s">
        <v>96</v>
      </c>
      <c r="J419" s="43" t="s">
        <v>74</v>
      </c>
      <c r="K419" s="86" t="s">
        <v>2887</v>
      </c>
      <c r="L419" s="35"/>
      <c r="M419" s="31" t="s">
        <v>3874</v>
      </c>
      <c r="N419" s="84" t="s">
        <v>179</v>
      </c>
      <c r="O419" s="28" t="s">
        <v>60</v>
      </c>
      <c r="P419" s="56" t="s">
        <v>91</v>
      </c>
      <c r="Q419" s="33" t="n">
        <v>7081</v>
      </c>
      <c r="R419" s="34" t="s">
        <v>171</v>
      </c>
      <c r="S419" s="35" t="n">
        <v>4138</v>
      </c>
      <c r="T419" s="35" t="s">
        <v>172</v>
      </c>
      <c r="U419" s="28" t="n">
        <v>425034.65</v>
      </c>
      <c r="V419" s="60" t="n">
        <v>28.023739</v>
      </c>
      <c r="W419" s="71" t="n">
        <f aca="false">5921425.44/50</f>
        <v>118428.5088</v>
      </c>
      <c r="X419" s="61" t="n">
        <f aca="false">U419/V419</f>
        <v>15166.9500633017</v>
      </c>
      <c r="Y419" s="61" t="n">
        <v>251.65</v>
      </c>
      <c r="Z419" s="28" t="n">
        <v>4.4</v>
      </c>
      <c r="AA419" s="62" t="s">
        <v>80</v>
      </c>
      <c r="AB419" s="38" t="n">
        <v>43474</v>
      </c>
      <c r="AC419" s="38" t="n">
        <v>43524</v>
      </c>
      <c r="AD419" s="38" t="n">
        <v>43539</v>
      </c>
      <c r="AE419" s="38" t="n">
        <v>45365</v>
      </c>
      <c r="AF419" s="143" t="n">
        <v>44383</v>
      </c>
      <c r="AG419" s="63" t="n">
        <f aca="false">X419/SUMIF($Z$419:$Z$420,Z419,$X$419:$X$420)*(VLOOKUP(Z419,'затраты по департаментам-2 '!$A$2:$C$182,2,FALSE())+VLOOKUP(Z419,'затраты по департаментам-2 '!$A$2:$C$182,3,FALSE()))</f>
        <v>124232.170933222</v>
      </c>
      <c r="AH419" s="63" t="n">
        <f aca="false">W419/60</f>
        <v>1973.80848</v>
      </c>
      <c r="AI419" s="63" t="s">
        <v>82</v>
      </c>
      <c r="AJ419" s="88" t="n">
        <v>87613195</v>
      </c>
      <c r="AK419" s="43"/>
      <c r="AL419" s="78" t="s">
        <v>4066</v>
      </c>
      <c r="AM419" s="48" t="s">
        <v>4067</v>
      </c>
      <c r="AN419" s="275" t="n">
        <v>44491</v>
      </c>
      <c r="AO419" s="43"/>
      <c r="AP419" s="43"/>
      <c r="AQ419" s="64"/>
      <c r="AR419" s="64"/>
    </row>
    <row r="420" s="2" customFormat="true" ht="14.25" hidden="false" customHeight="true" outlineLevel="0" collapsed="false">
      <c r="A420" s="26" t="n">
        <v>37</v>
      </c>
      <c r="B420" s="285" t="s">
        <v>4068</v>
      </c>
      <c r="C420" s="43" t="s">
        <v>165</v>
      </c>
      <c r="D420" s="28" t="s">
        <v>46</v>
      </c>
      <c r="E420" s="43" t="n">
        <v>6.7</v>
      </c>
      <c r="F420" s="43" t="n">
        <v>1.2</v>
      </c>
      <c r="G420" s="43" t="n">
        <v>108</v>
      </c>
      <c r="H420" s="43" t="n">
        <v>2019</v>
      </c>
      <c r="I420" s="43" t="s">
        <v>96</v>
      </c>
      <c r="J420" s="43" t="s">
        <v>74</v>
      </c>
      <c r="K420" s="86" t="s">
        <v>2887</v>
      </c>
      <c r="L420" s="35"/>
      <c r="M420" s="31" t="s">
        <v>4069</v>
      </c>
      <c r="N420" s="286" t="s">
        <v>4070</v>
      </c>
      <c r="O420" s="28" t="s">
        <v>52</v>
      </c>
      <c r="P420" s="57" t="s">
        <v>52</v>
      </c>
      <c r="Q420" s="87" t="n">
        <v>1000</v>
      </c>
      <c r="R420" s="58" t="s">
        <v>1330</v>
      </c>
      <c r="S420" s="69" t="n">
        <v>3490</v>
      </c>
      <c r="T420" s="35" t="s">
        <v>172</v>
      </c>
      <c r="U420" s="28" t="n">
        <v>425034.65</v>
      </c>
      <c r="V420" s="60" t="n">
        <v>28.023739</v>
      </c>
      <c r="W420" s="71" t="n">
        <f aca="false">5921425.44/50</f>
        <v>118428.5088</v>
      </c>
      <c r="X420" s="61" t="n">
        <f aca="false">U420/V420</f>
        <v>15166.9500633017</v>
      </c>
      <c r="Y420" s="61" t="n">
        <v>251.65</v>
      </c>
      <c r="Z420" s="28" t="n">
        <v>4.4</v>
      </c>
      <c r="AA420" s="62" t="s">
        <v>80</v>
      </c>
      <c r="AB420" s="38" t="n">
        <v>43474</v>
      </c>
      <c r="AC420" s="38" t="n">
        <v>43524</v>
      </c>
      <c r="AD420" s="38" t="n">
        <v>43539</v>
      </c>
      <c r="AE420" s="38" t="n">
        <v>45365</v>
      </c>
      <c r="AF420" s="143" t="n">
        <v>44383</v>
      </c>
      <c r="AG420" s="63" t="n">
        <f aca="false">X420/SUMIF($Z$419:$Z$420,Z420,$X$419:$X$420)*(VLOOKUP(Z420,'затраты по департаментам-2 '!$A$2:$C$182,2,FALSE())+VLOOKUP(Z420,'затраты по департаментам-2 '!$A$2:$C$182,3,FALSE()))</f>
        <v>124232.170933222</v>
      </c>
      <c r="AH420" s="63" t="n">
        <f aca="false">W420/60</f>
        <v>1973.80848</v>
      </c>
      <c r="AI420" s="63" t="s">
        <v>52</v>
      </c>
      <c r="AJ420" s="88" t="n">
        <v>89570492</v>
      </c>
      <c r="AK420" s="81" t="s">
        <v>4071</v>
      </c>
      <c r="AL420" s="85" t="s">
        <v>4072</v>
      </c>
      <c r="AM420" s="48" t="s">
        <v>4073</v>
      </c>
      <c r="AN420" s="275" t="n">
        <v>44054</v>
      </c>
      <c r="AO420" s="43"/>
      <c r="AP420" s="43"/>
      <c r="AQ420" s="64"/>
      <c r="AR420" s="64"/>
    </row>
    <row r="421" s="2" customFormat="true" ht="14.25" hidden="false" customHeight="true" outlineLevel="0" collapsed="false">
      <c r="A421" s="26" t="n">
        <v>43</v>
      </c>
      <c r="B421" s="152" t="s">
        <v>4074</v>
      </c>
      <c r="C421" s="43" t="s">
        <v>165</v>
      </c>
      <c r="D421" s="28" t="s">
        <v>46</v>
      </c>
      <c r="E421" s="43" t="n">
        <v>6.7</v>
      </c>
      <c r="F421" s="43" t="n">
        <v>1.2</v>
      </c>
      <c r="G421" s="43" t="n">
        <v>108</v>
      </c>
      <c r="H421" s="43" t="n">
        <v>2019</v>
      </c>
      <c r="I421" s="43" t="s">
        <v>96</v>
      </c>
      <c r="J421" s="43" t="s">
        <v>74</v>
      </c>
      <c r="K421" s="86" t="s">
        <v>2887</v>
      </c>
      <c r="L421" s="35"/>
      <c r="M421" s="31" t="s">
        <v>2047</v>
      </c>
      <c r="N421" s="32" t="s">
        <v>179</v>
      </c>
      <c r="O421" s="28" t="s">
        <v>2048</v>
      </c>
      <c r="P421" s="56" t="s">
        <v>181</v>
      </c>
      <c r="Q421" s="33" t="n">
        <v>7031</v>
      </c>
      <c r="R421" s="97" t="s">
        <v>171</v>
      </c>
      <c r="S421" s="35" t="n">
        <v>4133</v>
      </c>
      <c r="T421" s="35" t="s">
        <v>172</v>
      </c>
      <c r="U421" s="28" t="n">
        <v>425034.65</v>
      </c>
      <c r="V421" s="60" t="n">
        <v>28.023739</v>
      </c>
      <c r="W421" s="71" t="n">
        <f aca="false">5921425.44/50</f>
        <v>118428.5088</v>
      </c>
      <c r="X421" s="61" t="n">
        <f aca="false">U421/V421</f>
        <v>15166.9500633017</v>
      </c>
      <c r="Y421" s="61" t="n">
        <v>251.65</v>
      </c>
      <c r="Z421" s="28" t="n">
        <v>4.4</v>
      </c>
      <c r="AA421" s="62" t="s">
        <v>80</v>
      </c>
      <c r="AB421" s="38" t="n">
        <v>43474</v>
      </c>
      <c r="AC421" s="38" t="n">
        <v>43524</v>
      </c>
      <c r="AD421" s="38" t="n">
        <v>43539</v>
      </c>
      <c r="AE421" s="38" t="n">
        <v>45365</v>
      </c>
      <c r="AF421" s="143" t="n">
        <v>44385</v>
      </c>
      <c r="AG421" s="63" t="n">
        <f aca="false">X421/SUMIF($Z$421:$Z$421,Z421,$X$421:$X$421)*(VLOOKUP(Z421,'затраты по департаментам-2 '!$A$2:$C$182,2,FALSE())+VLOOKUP(Z421,'затраты по департаментам-2 '!$A$2:$C$182,3,FALSE()))</f>
        <v>248464.341866444</v>
      </c>
      <c r="AH421" s="63" t="n">
        <f aca="false">W421/60</f>
        <v>1973.80848</v>
      </c>
      <c r="AI421" s="63" t="s">
        <v>82</v>
      </c>
      <c r="AJ421" s="88" t="n">
        <v>86508503</v>
      </c>
      <c r="AK421" s="43"/>
      <c r="AL421" s="85" t="s">
        <v>4075</v>
      </c>
      <c r="AM421" s="48" t="s">
        <v>4076</v>
      </c>
      <c r="AN421" s="275" t="n">
        <v>44491</v>
      </c>
      <c r="AO421" s="43"/>
      <c r="AP421" s="43"/>
      <c r="AQ421" s="64"/>
      <c r="AR421" s="64"/>
    </row>
    <row r="422" s="2" customFormat="true" ht="14.25" hidden="false" customHeight="false" outlineLevel="0" collapsed="false">
      <c r="A422" s="26" t="n">
        <v>47</v>
      </c>
      <c r="B422" s="152" t="s">
        <v>4077</v>
      </c>
      <c r="C422" s="43" t="s">
        <v>165</v>
      </c>
      <c r="D422" s="28" t="s">
        <v>46</v>
      </c>
      <c r="E422" s="43" t="n">
        <v>6.7</v>
      </c>
      <c r="F422" s="43" t="n">
        <v>1.2</v>
      </c>
      <c r="G422" s="43" t="n">
        <v>108</v>
      </c>
      <c r="H422" s="43" t="n">
        <v>2019</v>
      </c>
      <c r="I422" s="43" t="s">
        <v>96</v>
      </c>
      <c r="J422" s="43" t="s">
        <v>74</v>
      </c>
      <c r="K422" s="86" t="s">
        <v>2887</v>
      </c>
      <c r="L422" s="35"/>
      <c r="M422" s="31" t="s">
        <v>990</v>
      </c>
      <c r="N422" s="84" t="s">
        <v>179</v>
      </c>
      <c r="O422" s="28" t="s">
        <v>732</v>
      </c>
      <c r="P422" s="56" t="s">
        <v>91</v>
      </c>
      <c r="Q422" s="33" t="n">
        <v>7080</v>
      </c>
      <c r="R422" s="34" t="s">
        <v>171</v>
      </c>
      <c r="S422" s="35" t="n">
        <v>4138</v>
      </c>
      <c r="T422" s="35" t="s">
        <v>172</v>
      </c>
      <c r="U422" s="28" t="n">
        <v>425034.65</v>
      </c>
      <c r="V422" s="60" t="n">
        <v>28.023739</v>
      </c>
      <c r="W422" s="71" t="n">
        <f aca="false">5921425.44/50</f>
        <v>118428.5088</v>
      </c>
      <c r="X422" s="61" t="n">
        <f aca="false">U422/V422</f>
        <v>15166.9500633017</v>
      </c>
      <c r="Y422" s="61" t="n">
        <v>251.65</v>
      </c>
      <c r="Z422" s="28" t="n">
        <v>4.4</v>
      </c>
      <c r="AA422" s="62" t="s">
        <v>80</v>
      </c>
      <c r="AB422" s="38" t="n">
        <v>43474</v>
      </c>
      <c r="AC422" s="38" t="n">
        <v>43524</v>
      </c>
      <c r="AD422" s="38" t="n">
        <v>43539</v>
      </c>
      <c r="AE422" s="38" t="n">
        <v>45365</v>
      </c>
      <c r="AF422" s="143" t="n">
        <v>44383</v>
      </c>
      <c r="AG422" s="63" t="n">
        <f aca="false">X422/SUMIF($Z$422:$Z$422,Z422,$X$422:$X$422)*(VLOOKUP(Z422,'затраты по департаментам-2 '!$A$2:$C$182,2,FALSE())+VLOOKUP(Z422,'затраты по департаментам-2 '!$A$2:$C$182,3,FALSE()))</f>
        <v>248464.341866444</v>
      </c>
      <c r="AH422" s="63" t="n">
        <f aca="false">W422/60</f>
        <v>1973.80848</v>
      </c>
      <c r="AI422" s="63" t="s">
        <v>82</v>
      </c>
      <c r="AJ422" s="43" t="n">
        <v>86509105</v>
      </c>
      <c r="AK422" s="43"/>
      <c r="AL422" s="85" t="s">
        <v>4078</v>
      </c>
      <c r="AM422" s="48" t="s">
        <v>4079</v>
      </c>
      <c r="AN422" s="275" t="n">
        <v>44174</v>
      </c>
      <c r="AO422" s="43"/>
      <c r="AP422" s="43"/>
      <c r="AQ422" s="64"/>
      <c r="AR422" s="64"/>
    </row>
    <row r="423" s="2" customFormat="true" ht="14.25" hidden="false" customHeight="false" outlineLevel="0" collapsed="false">
      <c r="A423" s="26" t="n">
        <v>52</v>
      </c>
      <c r="B423" s="152" t="s">
        <v>4080</v>
      </c>
      <c r="C423" s="43" t="s">
        <v>165</v>
      </c>
      <c r="D423" s="28" t="s">
        <v>46</v>
      </c>
      <c r="E423" s="43" t="n">
        <v>6.7</v>
      </c>
      <c r="F423" s="43" t="n">
        <v>1.2</v>
      </c>
      <c r="G423" s="43" t="n">
        <v>108</v>
      </c>
      <c r="H423" s="43" t="n">
        <v>2019</v>
      </c>
      <c r="I423" s="43" t="s">
        <v>96</v>
      </c>
      <c r="J423" s="43" t="s">
        <v>74</v>
      </c>
      <c r="K423" s="86" t="s">
        <v>2887</v>
      </c>
      <c r="L423" s="35"/>
      <c r="M423" s="31" t="s">
        <v>325</v>
      </c>
      <c r="N423" s="32" t="s">
        <v>179</v>
      </c>
      <c r="O423" s="70" t="s">
        <v>326</v>
      </c>
      <c r="P423" s="48" t="s">
        <v>327</v>
      </c>
      <c r="Q423" s="33" t="n">
        <v>7050</v>
      </c>
      <c r="R423" s="34" t="s">
        <v>171</v>
      </c>
      <c r="S423" s="35" t="n">
        <v>4131</v>
      </c>
      <c r="T423" s="35" t="s">
        <v>172</v>
      </c>
      <c r="U423" s="28" t="n">
        <v>425034.65</v>
      </c>
      <c r="V423" s="60" t="n">
        <v>28.023739</v>
      </c>
      <c r="W423" s="71" t="n">
        <f aca="false">5921425.44/50</f>
        <v>118428.5088</v>
      </c>
      <c r="X423" s="61" t="n">
        <f aca="false">U423/V423</f>
        <v>15166.9500633017</v>
      </c>
      <c r="Y423" s="61" t="n">
        <v>251.65</v>
      </c>
      <c r="Z423" s="28" t="n">
        <v>4.4</v>
      </c>
      <c r="AA423" s="62" t="s">
        <v>80</v>
      </c>
      <c r="AB423" s="38" t="n">
        <v>43474</v>
      </c>
      <c r="AC423" s="38" t="n">
        <v>43524</v>
      </c>
      <c r="AD423" s="38" t="n">
        <v>43531</v>
      </c>
      <c r="AE423" s="38" t="n">
        <v>45358</v>
      </c>
      <c r="AF423" s="143" t="n">
        <v>44354</v>
      </c>
      <c r="AG423" s="63" t="n">
        <f aca="false">X423/SUMIF($Z$423:$Z$423,Z423,$X$423:$X$423)*(VLOOKUP(Z423,'затраты по департаментам-2 '!$A$2:$C$182,2,FALSE())+VLOOKUP(Z423,'затраты по департаментам-2 '!$A$2:$C$182,3,FALSE()))</f>
        <v>248464.341866444</v>
      </c>
      <c r="AH423" s="63" t="n">
        <f aca="false">W423/60</f>
        <v>1973.80848</v>
      </c>
      <c r="AI423" s="63" t="s">
        <v>52</v>
      </c>
      <c r="AJ423" s="43" t="n">
        <v>159028590</v>
      </c>
      <c r="AK423" s="81" t="s">
        <v>4081</v>
      </c>
      <c r="AL423" s="85" t="s">
        <v>4082</v>
      </c>
      <c r="AM423" s="48" t="s">
        <v>4083</v>
      </c>
      <c r="AN423" s="275" t="n">
        <v>44111</v>
      </c>
      <c r="AO423" s="43"/>
      <c r="AP423" s="43"/>
      <c r="AQ423" s="64"/>
      <c r="AR423" s="64"/>
    </row>
    <row r="424" s="2" customFormat="true" ht="14.25" hidden="false" customHeight="false" outlineLevel="0" collapsed="false">
      <c r="A424" s="26" t="n">
        <v>102</v>
      </c>
      <c r="B424" s="152" t="s">
        <v>4084</v>
      </c>
      <c r="C424" s="43" t="s">
        <v>165</v>
      </c>
      <c r="D424" s="28" t="s">
        <v>46</v>
      </c>
      <c r="E424" s="43" t="n">
        <v>6.7</v>
      </c>
      <c r="F424" s="43" t="n">
        <v>1.2</v>
      </c>
      <c r="G424" s="43" t="n">
        <v>108</v>
      </c>
      <c r="H424" s="43" t="n">
        <v>2019</v>
      </c>
      <c r="I424" s="43" t="s">
        <v>96</v>
      </c>
      <c r="J424" s="43" t="s">
        <v>74</v>
      </c>
      <c r="K424" s="86" t="s">
        <v>2887</v>
      </c>
      <c r="L424" s="35"/>
      <c r="M424" s="31" t="s">
        <v>3245</v>
      </c>
      <c r="N424" s="84" t="s">
        <v>179</v>
      </c>
      <c r="O424" s="28" t="s">
        <v>606</v>
      </c>
      <c r="P424" s="56" t="s">
        <v>181</v>
      </c>
      <c r="Q424" s="33" t="n">
        <v>7030</v>
      </c>
      <c r="R424" s="34" t="s">
        <v>171</v>
      </c>
      <c r="S424" s="35" t="n">
        <v>4133</v>
      </c>
      <c r="T424" s="35" t="s">
        <v>172</v>
      </c>
      <c r="U424" s="28" t="n">
        <v>421491.01</v>
      </c>
      <c r="V424" s="60" t="n">
        <v>27.790097</v>
      </c>
      <c r="W424" s="71" t="n">
        <f aca="false">3714165.41/32</f>
        <v>116067.6690625</v>
      </c>
      <c r="X424" s="112" t="n">
        <f aca="false">U424/V424</f>
        <v>15166.9499390376</v>
      </c>
      <c r="Y424" s="117" t="n">
        <f aca="false">223784.82/32/V424</f>
        <v>251.64631937053</v>
      </c>
      <c r="Z424" s="28" t="n">
        <v>4.21</v>
      </c>
      <c r="AA424" s="62" t="s">
        <v>80</v>
      </c>
      <c r="AB424" s="38" t="n">
        <v>43494</v>
      </c>
      <c r="AC424" s="38" t="n">
        <v>43600</v>
      </c>
      <c r="AD424" s="38" t="n">
        <v>43587</v>
      </c>
      <c r="AE424" s="38" t="n">
        <v>45414</v>
      </c>
      <c r="AF424" s="38" t="n">
        <v>44384</v>
      </c>
      <c r="AG424" s="63" t="n">
        <f aca="false">X424/SUMIF($Z$424:$Z$424,Z424,$X$424:$X$424)*(VLOOKUP(Z424,'затраты по департаментам-2 '!$A$2:$C$182,2,FALSE())+VLOOKUP(Z424,'затраты по департаментам-2 '!$A$2:$C$182,3,FALSE()))</f>
        <v>248463.544585109</v>
      </c>
      <c r="AH424" s="63" t="n">
        <f aca="false">W424/60</f>
        <v>1934.46115104167</v>
      </c>
      <c r="AI424" s="63" t="s">
        <v>100</v>
      </c>
      <c r="AJ424" s="119" t="n">
        <v>11215</v>
      </c>
      <c r="AK424" s="81" t="s">
        <v>4085</v>
      </c>
      <c r="AL424" s="78" t="s">
        <v>4086</v>
      </c>
      <c r="AM424" s="43" t="s">
        <v>4087</v>
      </c>
      <c r="AN424" s="275" t="n">
        <v>44111</v>
      </c>
      <c r="AO424" s="43"/>
      <c r="AP424" s="43"/>
      <c r="AQ424" s="64"/>
      <c r="AR424" s="64"/>
    </row>
    <row r="425" s="2" customFormat="true" ht="14.25" hidden="false" customHeight="false" outlineLevel="0" collapsed="false">
      <c r="A425" s="26" t="n">
        <v>107</v>
      </c>
      <c r="B425" s="152" t="s">
        <v>4088</v>
      </c>
      <c r="C425" s="43" t="s">
        <v>165</v>
      </c>
      <c r="D425" s="28" t="s">
        <v>46</v>
      </c>
      <c r="E425" s="43" t="n">
        <v>6.7</v>
      </c>
      <c r="F425" s="43" t="n">
        <v>1.2</v>
      </c>
      <c r="G425" s="43" t="n">
        <v>108</v>
      </c>
      <c r="H425" s="43" t="n">
        <v>2019</v>
      </c>
      <c r="I425" s="43" t="s">
        <v>96</v>
      </c>
      <c r="J425" s="43" t="s">
        <v>74</v>
      </c>
      <c r="K425" s="86" t="s">
        <v>2887</v>
      </c>
      <c r="L425" s="287"/>
      <c r="M425" s="31" t="s">
        <v>803</v>
      </c>
      <c r="N425" s="84" t="s">
        <v>179</v>
      </c>
      <c r="O425" s="28" t="s">
        <v>326</v>
      </c>
      <c r="P425" s="56" t="s">
        <v>327</v>
      </c>
      <c r="Q425" s="33" t="n">
        <v>7010</v>
      </c>
      <c r="R425" s="34" t="s">
        <v>171</v>
      </c>
      <c r="S425" s="35" t="n">
        <v>4131</v>
      </c>
      <c r="T425" s="35" t="s">
        <v>172</v>
      </c>
      <c r="U425" s="28" t="n">
        <v>421491.01</v>
      </c>
      <c r="V425" s="60" t="n">
        <v>27.790097</v>
      </c>
      <c r="W425" s="71" t="n">
        <f aca="false">3714165.41/32</f>
        <v>116067.6690625</v>
      </c>
      <c r="X425" s="112" t="n">
        <f aca="false">U425/V425</f>
        <v>15166.9499390376</v>
      </c>
      <c r="Y425" s="117" t="n">
        <f aca="false">223784.82/32/V425</f>
        <v>251.64631937053</v>
      </c>
      <c r="Z425" s="28" t="n">
        <v>4.21</v>
      </c>
      <c r="AA425" s="62" t="s">
        <v>80</v>
      </c>
      <c r="AB425" s="38" t="n">
        <v>43494</v>
      </c>
      <c r="AC425" s="38" t="n">
        <v>43600</v>
      </c>
      <c r="AD425" s="38" t="n">
        <v>43572</v>
      </c>
      <c r="AE425" s="38" t="n">
        <v>45399</v>
      </c>
      <c r="AF425" s="38" t="n">
        <v>44385</v>
      </c>
      <c r="AG425" s="63" t="n">
        <f aca="false">X425/SUMIF($Z$425:$Z$425,Z425,$X$425:$X$425)*(VLOOKUP(Z425,'затраты по департаментам-2 '!$A$2:$C$182,2,FALSE())+VLOOKUP(Z425,'затраты по департаментам-2 '!$A$2:$C$182,3,FALSE()))</f>
        <v>248463.544585109</v>
      </c>
      <c r="AH425" s="63" t="n">
        <f aca="false">W425/60</f>
        <v>1934.46115104167</v>
      </c>
      <c r="AI425" s="63" t="s">
        <v>52</v>
      </c>
      <c r="AJ425" s="119" t="n">
        <v>66913</v>
      </c>
      <c r="AK425" s="81" t="s">
        <v>4089</v>
      </c>
      <c r="AL425" s="78" t="s">
        <v>4090</v>
      </c>
      <c r="AM425" s="43" t="s">
        <v>628</v>
      </c>
      <c r="AN425" s="275" t="n">
        <v>44111</v>
      </c>
      <c r="AO425" s="43"/>
      <c r="AP425" s="43"/>
      <c r="AQ425" s="64"/>
      <c r="AR425" s="64"/>
    </row>
    <row r="426" s="2" customFormat="true" ht="12.75" hidden="false" customHeight="false" outlineLevel="0" collapsed="false">
      <c r="A426" s="26" t="n">
        <v>109</v>
      </c>
      <c r="B426" s="152" t="s">
        <v>4091</v>
      </c>
      <c r="C426" s="43" t="s">
        <v>165</v>
      </c>
      <c r="D426" s="28" t="s">
        <v>46</v>
      </c>
      <c r="E426" s="43" t="n">
        <v>6.7</v>
      </c>
      <c r="F426" s="43" t="n">
        <v>1.2</v>
      </c>
      <c r="G426" s="43" t="n">
        <v>108</v>
      </c>
      <c r="H426" s="43" t="n">
        <v>2019</v>
      </c>
      <c r="I426" s="43" t="s">
        <v>96</v>
      </c>
      <c r="J426" s="43" t="s">
        <v>74</v>
      </c>
      <c r="K426" s="86" t="s">
        <v>2887</v>
      </c>
      <c r="L426" s="28"/>
      <c r="M426" s="31" t="s">
        <v>1122</v>
      </c>
      <c r="N426" s="130" t="s">
        <v>227</v>
      </c>
      <c r="O426" s="57" t="s">
        <v>218</v>
      </c>
      <c r="P426" s="130" t="s">
        <v>228</v>
      </c>
      <c r="Q426" s="87" t="n">
        <v>1000</v>
      </c>
      <c r="R426" s="58" t="s">
        <v>189</v>
      </c>
      <c r="S426" s="69" t="n">
        <v>4171</v>
      </c>
      <c r="T426" s="35" t="s">
        <v>172</v>
      </c>
      <c r="U426" s="28" t="n">
        <v>421491.01</v>
      </c>
      <c r="V426" s="60" t="n">
        <v>27.790097</v>
      </c>
      <c r="W426" s="71" t="n">
        <f aca="false">3714165.41/32</f>
        <v>116067.6690625</v>
      </c>
      <c r="X426" s="112" t="n">
        <f aca="false">U426/V426</f>
        <v>15166.9499390376</v>
      </c>
      <c r="Y426" s="117" t="n">
        <f aca="false">223784.82/32/V426</f>
        <v>251.64631937053</v>
      </c>
      <c r="Z426" s="28" t="n">
        <v>4.21</v>
      </c>
      <c r="AA426" s="62" t="s">
        <v>80</v>
      </c>
      <c r="AB426" s="38" t="n">
        <v>43494</v>
      </c>
      <c r="AC426" s="38" t="n">
        <v>43600</v>
      </c>
      <c r="AD426" s="38" t="n">
        <v>43572</v>
      </c>
      <c r="AE426" s="38" t="n">
        <v>45399</v>
      </c>
      <c r="AF426" s="38" t="n">
        <v>44384</v>
      </c>
      <c r="AG426" s="63" t="n">
        <f aca="false">X426/SUMIF($Z$426:$Z$426,Z426,$X$426:$X$426)*(VLOOKUP(Z426,'затраты по департаментам-2 '!$A$2:$C$182,2,FALSE())+VLOOKUP(Z426,'затраты по департаментам-2 '!$A$2:$C$182,3,FALSE()))</f>
        <v>248463.544585109</v>
      </c>
      <c r="AH426" s="63" t="n">
        <f aca="false">W426/60</f>
        <v>1934.46115104167</v>
      </c>
      <c r="AI426" s="63" t="s">
        <v>52</v>
      </c>
      <c r="AJ426" s="119" t="n">
        <v>65724</v>
      </c>
      <c r="AK426" s="81" t="s">
        <v>4092</v>
      </c>
      <c r="AL426" s="78" t="s">
        <v>4093</v>
      </c>
      <c r="AM426" s="43" t="s">
        <v>4094</v>
      </c>
      <c r="AN426" s="275" t="n">
        <v>44084</v>
      </c>
      <c r="AO426" s="43"/>
      <c r="AP426" s="43"/>
      <c r="AQ426" s="64"/>
      <c r="AR426" s="64"/>
    </row>
    <row r="427" s="2" customFormat="true" ht="14.25" hidden="false" customHeight="false" outlineLevel="0" collapsed="false">
      <c r="A427" s="26" t="n">
        <v>119</v>
      </c>
      <c r="B427" s="152" t="s">
        <v>4095</v>
      </c>
      <c r="C427" s="43" t="s">
        <v>165</v>
      </c>
      <c r="D427" s="28" t="s">
        <v>46</v>
      </c>
      <c r="E427" s="43" t="n">
        <v>6.7</v>
      </c>
      <c r="F427" s="43" t="n">
        <v>1.2</v>
      </c>
      <c r="G427" s="43" t="n">
        <v>108</v>
      </c>
      <c r="H427" s="43" t="n">
        <v>2019</v>
      </c>
      <c r="I427" s="43" t="s">
        <v>96</v>
      </c>
      <c r="J427" s="43" t="s">
        <v>74</v>
      </c>
      <c r="K427" s="86" t="s">
        <v>2887</v>
      </c>
      <c r="L427" s="35"/>
      <c r="M427" s="31" t="s">
        <v>1203</v>
      </c>
      <c r="N427" s="32" t="s">
        <v>179</v>
      </c>
      <c r="O427" s="28" t="s">
        <v>1204</v>
      </c>
      <c r="P427" s="48" t="s">
        <v>327</v>
      </c>
      <c r="Q427" s="33" t="n">
        <v>7011</v>
      </c>
      <c r="R427" s="34" t="s">
        <v>171</v>
      </c>
      <c r="S427" s="35" t="n">
        <v>4131</v>
      </c>
      <c r="T427" s="35" t="s">
        <v>172</v>
      </c>
      <c r="U427" s="28" t="n">
        <v>421491.01</v>
      </c>
      <c r="V427" s="60" t="n">
        <v>27.790097</v>
      </c>
      <c r="W427" s="71" t="n">
        <f aca="false">3714165.41/32</f>
        <v>116067.6690625</v>
      </c>
      <c r="X427" s="112" t="n">
        <f aca="false">U427/V427</f>
        <v>15166.9499390376</v>
      </c>
      <c r="Y427" s="117" t="n">
        <f aca="false">223784.82/32/V427</f>
        <v>251.64631937053</v>
      </c>
      <c r="Z427" s="28" t="n">
        <v>4.21</v>
      </c>
      <c r="AA427" s="62" t="s">
        <v>80</v>
      </c>
      <c r="AB427" s="38" t="n">
        <v>43494</v>
      </c>
      <c r="AC427" s="38" t="n">
        <v>43600</v>
      </c>
      <c r="AD427" s="38" t="n">
        <v>43572</v>
      </c>
      <c r="AE427" s="38" t="n">
        <v>45399</v>
      </c>
      <c r="AF427" s="38" t="n">
        <v>44385</v>
      </c>
      <c r="AG427" s="63" t="n">
        <f aca="false">X427/SUMIF($Z$427:$Z$427,Z427,$X$427:$X$427)*(VLOOKUP(Z427,'затраты по департаментам-2 '!$A$2:$C$182,2,FALSE())+VLOOKUP(Z427,'затраты по департаментам-2 '!$A$2:$C$182,3,FALSE()))</f>
        <v>248463.544585109</v>
      </c>
      <c r="AH427" s="63" t="n">
        <f aca="false">W427/60</f>
        <v>1934.46115104167</v>
      </c>
      <c r="AI427" s="63" t="s">
        <v>52</v>
      </c>
      <c r="AJ427" s="119" t="n">
        <v>30680</v>
      </c>
      <c r="AK427" s="81" t="s">
        <v>4096</v>
      </c>
      <c r="AL427" s="78" t="s">
        <v>4097</v>
      </c>
      <c r="AM427" s="43" t="s">
        <v>4098</v>
      </c>
      <c r="AN427" s="275" t="n">
        <v>44111</v>
      </c>
      <c r="AO427" s="43"/>
      <c r="AP427" s="43"/>
      <c r="AQ427" s="64"/>
      <c r="AR427" s="64"/>
    </row>
    <row r="428" s="2" customFormat="true" ht="14.25" hidden="false" customHeight="false" outlineLevel="0" collapsed="false">
      <c r="A428" s="26" t="n">
        <v>127</v>
      </c>
      <c r="B428" s="152" t="s">
        <v>4099</v>
      </c>
      <c r="C428" s="43" t="s">
        <v>165</v>
      </c>
      <c r="D428" s="28" t="s">
        <v>46</v>
      </c>
      <c r="E428" s="43" t="n">
        <v>6.7</v>
      </c>
      <c r="F428" s="43" t="n">
        <v>1.2</v>
      </c>
      <c r="G428" s="43" t="n">
        <v>108</v>
      </c>
      <c r="H428" s="43" t="n">
        <v>2019</v>
      </c>
      <c r="I428" s="43" t="s">
        <v>96</v>
      </c>
      <c r="J428" s="43" t="s">
        <v>74</v>
      </c>
      <c r="K428" s="86" t="s">
        <v>2887</v>
      </c>
      <c r="L428" s="28"/>
      <c r="M428" s="31" t="s">
        <v>1692</v>
      </c>
      <c r="N428" s="84" t="s">
        <v>179</v>
      </c>
      <c r="O428" s="283" t="s">
        <v>100</v>
      </c>
      <c r="P428" s="56" t="s">
        <v>198</v>
      </c>
      <c r="Q428" s="33" t="n">
        <v>7040</v>
      </c>
      <c r="R428" s="171" t="s">
        <v>92</v>
      </c>
      <c r="S428" s="35" t="n">
        <v>4144</v>
      </c>
      <c r="T428" s="35" t="s">
        <v>172</v>
      </c>
      <c r="U428" s="28" t="n">
        <v>421491.01</v>
      </c>
      <c r="V428" s="60" t="n">
        <v>27.790097</v>
      </c>
      <c r="W428" s="71" t="n">
        <f aca="false">3714165.41/32</f>
        <v>116067.6690625</v>
      </c>
      <c r="X428" s="112" t="n">
        <f aca="false">U428/V428</f>
        <v>15166.9499390376</v>
      </c>
      <c r="Y428" s="117" t="n">
        <f aca="false">223784.82/32/V428</f>
        <v>251.64631937053</v>
      </c>
      <c r="Z428" s="28" t="n">
        <v>4.21</v>
      </c>
      <c r="AA428" s="62" t="s">
        <v>80</v>
      </c>
      <c r="AB428" s="38" t="n">
        <v>43494</v>
      </c>
      <c r="AC428" s="38" t="n">
        <v>43600</v>
      </c>
      <c r="AD428" s="38" t="n">
        <v>43587</v>
      </c>
      <c r="AE428" s="38" t="n">
        <v>45414</v>
      </c>
      <c r="AF428" s="38" t="n">
        <v>44384</v>
      </c>
      <c r="AG428" s="63" t="n">
        <f aca="false">X428/SUMIF($Z$428:$Z$428,Z428,$X$428:$X$428)*(VLOOKUP(Z428,'затраты по департаментам-2 '!$A$2:$C$182,2,FALSE())+VLOOKUP(Z428,'затраты по департаментам-2 '!$A$2:$C$182,3,FALSE()))</f>
        <v>248463.544585109</v>
      </c>
      <c r="AH428" s="63" t="n">
        <f aca="false">W428/60</f>
        <v>1934.46115104167</v>
      </c>
      <c r="AI428" s="63" t="s">
        <v>197</v>
      </c>
      <c r="AJ428" s="119" t="n">
        <v>53908</v>
      </c>
      <c r="AK428" s="81" t="s">
        <v>4100</v>
      </c>
      <c r="AL428" s="78" t="s">
        <v>4101</v>
      </c>
      <c r="AM428" s="43" t="s">
        <v>4102</v>
      </c>
      <c r="AN428" s="275" t="n">
        <v>44169</v>
      </c>
      <c r="AO428" s="43"/>
      <c r="AP428" s="43"/>
      <c r="AQ428" s="64"/>
      <c r="AR428" s="64"/>
    </row>
    <row r="429" customFormat="false" ht="14.25" hidden="false" customHeight="false" outlineLevel="0" collapsed="false">
      <c r="A429" s="288" t="n">
        <v>58</v>
      </c>
      <c r="B429" s="152" t="s">
        <v>4103</v>
      </c>
      <c r="C429" s="43" t="s">
        <v>379</v>
      </c>
      <c r="D429" s="28" t="s">
        <v>73</v>
      </c>
      <c r="E429" s="43" t="n">
        <v>12.5</v>
      </c>
      <c r="F429" s="43" t="n">
        <v>2</v>
      </c>
      <c r="G429" s="43" t="n">
        <v>193</v>
      </c>
      <c r="H429" s="43" t="n">
        <v>2019</v>
      </c>
      <c r="I429" s="43" t="s">
        <v>96</v>
      </c>
      <c r="J429" s="43" t="s">
        <v>74</v>
      </c>
      <c r="K429" s="30" t="s">
        <v>498</v>
      </c>
      <c r="L429" s="35"/>
      <c r="M429" s="31" t="s">
        <v>499</v>
      </c>
      <c r="N429" s="32" t="s">
        <v>500</v>
      </c>
      <c r="O429" s="28" t="s">
        <v>100</v>
      </c>
      <c r="P429" s="56" t="s">
        <v>501</v>
      </c>
      <c r="Q429" s="28" t="n">
        <v>1000</v>
      </c>
      <c r="R429" s="34" t="s">
        <v>122</v>
      </c>
      <c r="S429" s="35" t="n">
        <v>4190</v>
      </c>
      <c r="T429" s="59" t="s">
        <v>493</v>
      </c>
      <c r="U429" s="28" t="n">
        <v>2065431.99</v>
      </c>
      <c r="V429" s="60" t="n">
        <v>27.159961</v>
      </c>
      <c r="W429" s="71" t="n">
        <v>427127.28</v>
      </c>
      <c r="X429" s="112" t="n">
        <f aca="false">U429/V429</f>
        <v>76046.9424090852</v>
      </c>
      <c r="Y429" s="112" t="n">
        <f aca="false">32399.28/V429</f>
        <v>1192.90598392244</v>
      </c>
      <c r="Z429" s="28" t="n">
        <v>4.13</v>
      </c>
      <c r="AA429" s="62" t="s">
        <v>80</v>
      </c>
      <c r="AB429" s="80" t="n">
        <v>43511</v>
      </c>
      <c r="AC429" s="38" t="n">
        <v>43675</v>
      </c>
      <c r="AD429" s="38" t="n">
        <v>43671</v>
      </c>
      <c r="AE429" s="50" t="n">
        <v>45497</v>
      </c>
      <c r="AF429" s="28" t="n">
        <f aca="false">YEAR(AE429)</f>
        <v>2024</v>
      </c>
      <c r="AG429" s="63" t="e">
        <f aca="false">X429/SUMIF($Z$2:$Z$382,Z429,$X$2:$X$382)*(VLOOKUP(Z429,'затраты по департаментам-2 '!$A$2:$C$182,2,FALSE())+VLOOKUP(Z429,'затраты по департаментам-2 '!$A$2:$C$182,3,FALSE()))</f>
        <v>#DIV/0!</v>
      </c>
      <c r="AH429" s="63" t="n">
        <f aca="false">W429/60</f>
        <v>7118.788</v>
      </c>
      <c r="AI429" s="64" t="s">
        <v>81</v>
      </c>
      <c r="AJ429" s="63" t="s">
        <v>100</v>
      </c>
      <c r="AK429" s="43" t="n">
        <v>82902638</v>
      </c>
      <c r="AL429" s="43"/>
      <c r="AM429" s="78" t="s">
        <v>4104</v>
      </c>
      <c r="AN429" s="43" t="s">
        <v>4105</v>
      </c>
      <c r="AO429" s="275" t="n">
        <v>44103</v>
      </c>
      <c r="AP429" s="43"/>
      <c r="AQ429" s="66" t="s">
        <v>504</v>
      </c>
    </row>
    <row r="430" s="2" customFormat="true" ht="12.75" hidden="false" customHeight="true" outlineLevel="0" collapsed="false">
      <c r="A430" s="26" t="n">
        <v>6</v>
      </c>
      <c r="B430" s="43" t="s">
        <v>4106</v>
      </c>
      <c r="C430" s="43" t="s">
        <v>4107</v>
      </c>
      <c r="D430" s="28" t="s">
        <v>46</v>
      </c>
      <c r="E430" s="43" t="n">
        <v>14</v>
      </c>
      <c r="F430" s="43" t="n">
        <v>3</v>
      </c>
      <c r="G430" s="43" t="n">
        <v>264</v>
      </c>
      <c r="H430" s="43" t="n">
        <v>2017</v>
      </c>
      <c r="I430" s="55" t="n">
        <v>1451</v>
      </c>
      <c r="J430" s="43" t="s">
        <v>74</v>
      </c>
      <c r="K430" s="30" t="s">
        <v>4108</v>
      </c>
      <c r="L430" s="35"/>
      <c r="M430" s="31" t="s">
        <v>4109</v>
      </c>
      <c r="N430" s="32" t="s">
        <v>2862</v>
      </c>
      <c r="O430" s="28" t="s">
        <v>100</v>
      </c>
      <c r="P430" s="56" t="s">
        <v>2863</v>
      </c>
      <c r="Q430" s="28" t="n">
        <v>1000</v>
      </c>
      <c r="R430" s="255" t="s">
        <v>2864</v>
      </c>
      <c r="S430" s="35" t="n">
        <v>5111</v>
      </c>
      <c r="T430" s="35" t="s">
        <v>2865</v>
      </c>
      <c r="U430" s="28" t="n">
        <v>2283959.37</v>
      </c>
      <c r="V430" s="60" t="n">
        <v>26.246584</v>
      </c>
      <c r="W430" s="60"/>
      <c r="X430" s="112" t="n">
        <f aca="false">U430/V430</f>
        <v>87019.3001115879</v>
      </c>
      <c r="Y430" s="61" t="n">
        <v>1435.3</v>
      </c>
      <c r="Z430" s="28" t="n">
        <v>2.85</v>
      </c>
      <c r="AA430" s="62" t="s">
        <v>80</v>
      </c>
      <c r="AB430" s="38" t="n">
        <v>42922</v>
      </c>
      <c r="AC430" s="38" t="n">
        <v>42984</v>
      </c>
      <c r="AD430" s="38" t="n">
        <v>42984</v>
      </c>
      <c r="AE430" s="50" t="n">
        <v>44445</v>
      </c>
      <c r="AF430" s="57" t="n">
        <f aca="false">YEAR(AE430)</f>
        <v>2021</v>
      </c>
      <c r="AG430" s="63" t="n">
        <f aca="false">X430/SUMIF($Z$430:$Z$430,Z430,$X$430:$X$430)*(VLOOKUP(Z430,'затраты по департаментам-2 '!$A$2:$C$182,2,FALSE())+VLOOKUP(Z430,'затраты по департаментам-2 '!$A$2:$C$182,3,FALSE()))</f>
        <v>0</v>
      </c>
      <c r="AH430" s="63"/>
      <c r="AI430" s="64" t="s">
        <v>81</v>
      </c>
      <c r="AJ430" s="72" t="s">
        <v>100</v>
      </c>
      <c r="AK430" s="43"/>
      <c r="AL430" s="43" t="s">
        <v>4110</v>
      </c>
      <c r="AM430" s="43"/>
      <c r="AN430" s="43"/>
      <c r="AO430" s="43"/>
      <c r="AP430" s="43"/>
      <c r="AQ430" s="64"/>
      <c r="AR430" s="64"/>
    </row>
    <row r="431" s="2" customFormat="true" ht="14.25" hidden="false" customHeight="false" outlineLevel="0" collapsed="false">
      <c r="A431" s="26" t="n">
        <v>7</v>
      </c>
      <c r="B431" s="152" t="s">
        <v>4111</v>
      </c>
      <c r="C431" s="27" t="s">
        <v>86</v>
      </c>
      <c r="D431" s="28" t="s">
        <v>73</v>
      </c>
      <c r="E431" s="43" t="n">
        <v>5.8</v>
      </c>
      <c r="F431" s="43" t="n">
        <v>1.6</v>
      </c>
      <c r="G431" s="43" t="n">
        <v>139</v>
      </c>
      <c r="H431" s="43" t="n">
        <v>2017</v>
      </c>
      <c r="I431" s="55" t="n">
        <v>1451</v>
      </c>
      <c r="J431" s="67" t="s">
        <v>87</v>
      </c>
      <c r="K431" s="86" t="s">
        <v>2887</v>
      </c>
      <c r="L431" s="5"/>
      <c r="N431" s="32" t="s">
        <v>475</v>
      </c>
      <c r="O431" s="28" t="s">
        <v>100</v>
      </c>
      <c r="P431" s="56" t="s">
        <v>181</v>
      </c>
      <c r="Q431" s="33" t="n">
        <v>7900</v>
      </c>
      <c r="R431" s="34" t="s">
        <v>171</v>
      </c>
      <c r="S431" s="35" t="n">
        <v>4133</v>
      </c>
      <c r="T431" s="59" t="s">
        <v>79</v>
      </c>
      <c r="U431" s="28" t="n">
        <v>449540.84</v>
      </c>
      <c r="V431" s="60" t="n">
        <v>26.636246</v>
      </c>
      <c r="W431" s="60"/>
      <c r="X431" s="61" t="n">
        <f aca="false">U431/V431</f>
        <v>16877.0343989164</v>
      </c>
      <c r="Y431" s="61" t="n">
        <v>380</v>
      </c>
      <c r="Z431" s="28" t="n">
        <v>2.88</v>
      </c>
      <c r="AA431" s="62" t="s">
        <v>80</v>
      </c>
      <c r="AB431" s="38" t="n">
        <v>43054</v>
      </c>
      <c r="AC431" s="38" t="n">
        <v>43095</v>
      </c>
      <c r="AD431" s="38" t="n">
        <v>43088</v>
      </c>
      <c r="AE431" s="38" t="n">
        <v>44549</v>
      </c>
      <c r="AF431" s="143" t="n">
        <v>44536</v>
      </c>
      <c r="AG431" s="63" t="n">
        <f aca="false">X431/SUMIF($Z$431:$Z$431,Z431,$X$431:$X$431)*(VLOOKUP(Z431,'затраты по департаментам-2 '!$A$2:$C$182,2,FALSE())+VLOOKUP(Z431,'затраты по департаментам-2 '!$A$2:$C$182,3,FALSE()))</f>
        <v>13892.3426940868</v>
      </c>
      <c r="AH431" s="63"/>
      <c r="AI431" s="64" t="s">
        <v>81</v>
      </c>
      <c r="AJ431" s="72" t="s">
        <v>100</v>
      </c>
      <c r="AK431" s="43"/>
      <c r="AL431" s="43" t="s">
        <v>4112</v>
      </c>
      <c r="AM431" s="43"/>
      <c r="AN431" s="43"/>
      <c r="AO431" s="43"/>
      <c r="AP431" s="43"/>
      <c r="AQ431" s="66"/>
      <c r="AR431" s="64"/>
    </row>
  </sheetData>
  <sheetProtection sheet="true"/>
  <conditionalFormatting sqref="M2 M27 M37 K25:K28 K37:K38">
    <cfRule type="expression" priority="2" aboveAverage="0" equalAverage="0" bottom="0" percent="0" rank="0" text="" dxfId="1457">
      <formula>#REF!=1</formula>
    </cfRule>
    <cfRule type="expression" priority="3" aboveAverage="0" equalAverage="0" bottom="0" percent="0" rank="0" text="" dxfId="1458">
      <formula>#REF!=2</formula>
    </cfRule>
    <cfRule type="expression" priority="4" aboveAverage="0" equalAverage="0" bottom="0" percent="0" rank="0" text="" dxfId="1459">
      <formula>#REF!=3</formula>
    </cfRule>
  </conditionalFormatting>
  <conditionalFormatting sqref="N2 N7:N105 N107:N169 N171:N207 N209:N212 N214:N235 N237:N256 N258:N309 N311:N351 N353:N367 N369:N378 N380:N382 N384:N385 N387:N402">
    <cfRule type="expression" priority="5" aboveAverage="0" equalAverage="0" bottom="0" percent="0" rank="0" text="" dxfId="1460">
      <formula>$A2=1</formula>
    </cfRule>
    <cfRule type="expression" priority="6" aboveAverage="0" equalAverage="0" bottom="0" percent="0" rank="0" text="" dxfId="1461">
      <formula>$A2=2</formula>
    </cfRule>
    <cfRule type="expression" priority="7" aboveAverage="0" equalAverage="0" bottom="0" percent="0" rank="0" text="" dxfId="1462">
      <formula>$A2=3</formula>
    </cfRule>
  </conditionalFormatting>
  <conditionalFormatting sqref="K2">
    <cfRule type="expression" priority="8" aboveAverage="0" equalAverage="0" bottom="0" percent="0" rank="0" text="" dxfId="1463">
      <formula>#REF!=1</formula>
    </cfRule>
    <cfRule type="expression" priority="9" aboveAverage="0" equalAverage="0" bottom="0" percent="0" rank="0" text="" dxfId="1464">
      <formula>#REF!=2</formula>
    </cfRule>
    <cfRule type="expression" priority="10" aboveAverage="0" equalAverage="0" bottom="0" percent="0" rank="0" text="" dxfId="1465">
      <formula>#REF!=3</formula>
    </cfRule>
  </conditionalFormatting>
  <conditionalFormatting sqref="K3">
    <cfRule type="expression" priority="11" aboveAverage="0" equalAverage="0" bottom="0" percent="0" rank="0" text="" dxfId="1466">
      <formula>#REF!=1</formula>
    </cfRule>
    <cfRule type="expression" priority="12" aboveAverage="0" equalAverage="0" bottom="0" percent="0" rank="0" text="" dxfId="1467">
      <formula>#REF!=2</formula>
    </cfRule>
    <cfRule type="expression" priority="13" aboveAverage="0" equalAverage="0" bottom="0" percent="0" rank="0" text="" dxfId="1468">
      <formula>#REF!=3</formula>
    </cfRule>
  </conditionalFormatting>
  <conditionalFormatting sqref="M3">
    <cfRule type="expression" priority="14" aboveAverage="0" equalAverage="0" bottom="0" percent="0" rank="0" text="" dxfId="1469">
      <formula>#REF!=1</formula>
    </cfRule>
    <cfRule type="expression" priority="15" aboveAverage="0" equalAverage="0" bottom="0" percent="0" rank="0" text="" dxfId="1470">
      <formula>#REF!=2</formula>
    </cfRule>
    <cfRule type="expression" priority="16" aboveAverage="0" equalAverage="0" bottom="0" percent="0" rank="0" text="" dxfId="1471">
      <formula>#REF!=3</formula>
    </cfRule>
  </conditionalFormatting>
  <conditionalFormatting sqref="N3">
    <cfRule type="expression" priority="17" aboveAverage="0" equalAverage="0" bottom="0" percent="0" rank="0" text="" dxfId="1472">
      <formula>$A3=1</formula>
    </cfRule>
    <cfRule type="expression" priority="18" aboveAverage="0" equalAverage="0" bottom="0" percent="0" rank="0" text="" dxfId="1473">
      <formula>$A3=2</formula>
    </cfRule>
    <cfRule type="expression" priority="19" aboveAverage="0" equalAverage="0" bottom="0" percent="0" rank="0" text="" dxfId="1474">
      <formula>$A3=3</formula>
    </cfRule>
  </conditionalFormatting>
  <conditionalFormatting sqref="K4">
    <cfRule type="expression" priority="20" aboveAverage="0" equalAverage="0" bottom="0" percent="0" rank="0" text="" dxfId="1475">
      <formula>#REF!=1</formula>
    </cfRule>
    <cfRule type="expression" priority="21" aboveAverage="0" equalAverage="0" bottom="0" percent="0" rank="0" text="" dxfId="1476">
      <formula>#REF!=2</formula>
    </cfRule>
    <cfRule type="expression" priority="22" aboveAverage="0" equalAverage="0" bottom="0" percent="0" rank="0" text="" dxfId="1477">
      <formula>#REF!=3</formula>
    </cfRule>
  </conditionalFormatting>
  <conditionalFormatting sqref="M4">
    <cfRule type="expression" priority="23" aboveAverage="0" equalAverage="0" bottom="0" percent="0" rank="0" text="" dxfId="1478">
      <formula>#REF!=1</formula>
    </cfRule>
    <cfRule type="expression" priority="24" aboveAverage="0" equalAverage="0" bottom="0" percent="0" rank="0" text="" dxfId="1479">
      <formula>#REF!=2</formula>
    </cfRule>
    <cfRule type="expression" priority="25" aboveAverage="0" equalAverage="0" bottom="0" percent="0" rank="0" text="" dxfId="1480">
      <formula>#REF!=3</formula>
    </cfRule>
  </conditionalFormatting>
  <conditionalFormatting sqref="N4">
    <cfRule type="expression" priority="26" aboveAverage="0" equalAverage="0" bottom="0" percent="0" rank="0" text="" dxfId="1481">
      <formula>$A4=1</formula>
    </cfRule>
    <cfRule type="expression" priority="27" aboveAverage="0" equalAverage="0" bottom="0" percent="0" rank="0" text="" dxfId="1482">
      <formula>$A4=2</formula>
    </cfRule>
    <cfRule type="expression" priority="28" aboveAverage="0" equalAverage="0" bottom="0" percent="0" rank="0" text="" dxfId="1483">
      <formula>$A4=3</formula>
    </cfRule>
  </conditionalFormatting>
  <conditionalFormatting sqref="K5">
    <cfRule type="expression" priority="29" aboveAverage="0" equalAverage="0" bottom="0" percent="0" rank="0" text="" dxfId="1484">
      <formula>#REF!=1</formula>
    </cfRule>
    <cfRule type="expression" priority="30" aboveAverage="0" equalAverage="0" bottom="0" percent="0" rank="0" text="" dxfId="1485">
      <formula>#REF!=2</formula>
    </cfRule>
    <cfRule type="expression" priority="31" aboveAverage="0" equalAverage="0" bottom="0" percent="0" rank="0" text="" dxfId="1486">
      <formula>#REF!=3</formula>
    </cfRule>
  </conditionalFormatting>
  <conditionalFormatting sqref="M5">
    <cfRule type="expression" priority="32" aboveAverage="0" equalAverage="0" bottom="0" percent="0" rank="0" text="" dxfId="1487">
      <formula>#REF!=1</formula>
    </cfRule>
    <cfRule type="expression" priority="33" aboveAverage="0" equalAverage="0" bottom="0" percent="0" rank="0" text="" dxfId="1488">
      <formula>#REF!=2</formula>
    </cfRule>
    <cfRule type="expression" priority="34" aboveAverage="0" equalAverage="0" bottom="0" percent="0" rank="0" text="" dxfId="1489">
      <formula>#REF!=3</formula>
    </cfRule>
  </conditionalFormatting>
  <conditionalFormatting sqref="N5">
    <cfRule type="expression" priority="35" aboveAverage="0" equalAverage="0" bottom="0" percent="0" rank="0" text="" dxfId="1490">
      <formula>$A5=1</formula>
    </cfRule>
    <cfRule type="expression" priority="36" aboveAverage="0" equalAverage="0" bottom="0" percent="0" rank="0" text="" dxfId="1491">
      <formula>$A5=2</formula>
    </cfRule>
    <cfRule type="expression" priority="37" aboveAverage="0" equalAverage="0" bottom="0" percent="0" rank="0" text="" dxfId="1492">
      <formula>$A5=3</formula>
    </cfRule>
  </conditionalFormatting>
  <conditionalFormatting sqref="K6">
    <cfRule type="expression" priority="38" aboveAverage="0" equalAverage="0" bottom="0" percent="0" rank="0" text="" dxfId="1493">
      <formula>#REF!=1</formula>
    </cfRule>
    <cfRule type="expression" priority="39" aboveAverage="0" equalAverage="0" bottom="0" percent="0" rank="0" text="" dxfId="1494">
      <formula>#REF!=2</formula>
    </cfRule>
    <cfRule type="expression" priority="40" aboveAverage="0" equalAverage="0" bottom="0" percent="0" rank="0" text="" dxfId="1495">
      <formula>#REF!=3</formula>
    </cfRule>
  </conditionalFormatting>
  <conditionalFormatting sqref="M6">
    <cfRule type="expression" priority="41" aboveAverage="0" equalAverage="0" bottom="0" percent="0" rank="0" text="" dxfId="1496">
      <formula>#REF!=1</formula>
    </cfRule>
    <cfRule type="expression" priority="42" aboveAverage="0" equalAverage="0" bottom="0" percent="0" rank="0" text="" dxfId="1497">
      <formula>#REF!=2</formula>
    </cfRule>
    <cfRule type="expression" priority="43" aboveAverage="0" equalAverage="0" bottom="0" percent="0" rank="0" text="" dxfId="1498">
      <formula>#REF!=3</formula>
    </cfRule>
  </conditionalFormatting>
  <conditionalFormatting sqref="N6">
    <cfRule type="expression" priority="44" aboveAverage="0" equalAverage="0" bottom="0" percent="0" rank="0" text="" dxfId="1499">
      <formula>$A6=1</formula>
    </cfRule>
    <cfRule type="expression" priority="45" aboveAverage="0" equalAverage="0" bottom="0" percent="0" rank="0" text="" dxfId="1500">
      <formula>$A6=2</formula>
    </cfRule>
    <cfRule type="expression" priority="46" aboveAverage="0" equalAverage="0" bottom="0" percent="0" rank="0" text="" dxfId="1501">
      <formula>$A6=3</formula>
    </cfRule>
  </conditionalFormatting>
  <conditionalFormatting sqref="K7">
    <cfRule type="expression" priority="47" aboveAverage="0" equalAverage="0" bottom="0" percent="0" rank="0" text="" dxfId="1502">
      <formula>#REF!=1</formula>
    </cfRule>
    <cfRule type="expression" priority="48" aboveAverage="0" equalAverage="0" bottom="0" percent="0" rank="0" text="" dxfId="1503">
      <formula>#REF!=2</formula>
    </cfRule>
    <cfRule type="expression" priority="49" aboveAverage="0" equalAverage="0" bottom="0" percent="0" rank="0" text="" dxfId="1504">
      <formula>#REF!=3</formula>
    </cfRule>
  </conditionalFormatting>
  <conditionalFormatting sqref="M7">
    <cfRule type="expression" priority="50" aboveAverage="0" equalAverage="0" bottom="0" percent="0" rank="0" text="" dxfId="1505">
      <formula>#REF!=1</formula>
    </cfRule>
    <cfRule type="expression" priority="51" aboveAverage="0" equalAverage="0" bottom="0" percent="0" rank="0" text="" dxfId="1506">
      <formula>#REF!=2</formula>
    </cfRule>
    <cfRule type="expression" priority="52" aboveAverage="0" equalAverage="0" bottom="0" percent="0" rank="0" text="" dxfId="1507">
      <formula>#REF!=3</formula>
    </cfRule>
  </conditionalFormatting>
  <conditionalFormatting sqref="K8">
    <cfRule type="expression" priority="53" aboveAverage="0" equalAverage="0" bottom="0" percent="0" rank="0" text="" dxfId="1508">
      <formula>#REF!=1</formula>
    </cfRule>
    <cfRule type="expression" priority="54" aboveAverage="0" equalAverage="0" bottom="0" percent="0" rank="0" text="" dxfId="1509">
      <formula>#REF!=2</formula>
    </cfRule>
    <cfRule type="expression" priority="55" aboveAverage="0" equalAverage="0" bottom="0" percent="0" rank="0" text="" dxfId="1510">
      <formula>#REF!=3</formula>
    </cfRule>
  </conditionalFormatting>
  <conditionalFormatting sqref="M8">
    <cfRule type="expression" priority="56" aboveAverage="0" equalAverage="0" bottom="0" percent="0" rank="0" text="" dxfId="1511">
      <formula>#REF!=1</formula>
    </cfRule>
    <cfRule type="expression" priority="57" aboveAverage="0" equalAverage="0" bottom="0" percent="0" rank="0" text="" dxfId="1512">
      <formula>#REF!=2</formula>
    </cfRule>
    <cfRule type="expression" priority="58" aboveAverage="0" equalAverage="0" bottom="0" percent="0" rank="0" text="" dxfId="1513">
      <formula>#REF!=3</formula>
    </cfRule>
  </conditionalFormatting>
  <conditionalFormatting sqref="K9">
    <cfRule type="expression" priority="59" aboveAverage="0" equalAverage="0" bottom="0" percent="0" rank="0" text="" dxfId="1514">
      <formula>#REF!=1</formula>
    </cfRule>
    <cfRule type="expression" priority="60" aboveAverage="0" equalAverage="0" bottom="0" percent="0" rank="0" text="" dxfId="1515">
      <formula>#REF!=2</formula>
    </cfRule>
    <cfRule type="expression" priority="61" aboveAverage="0" equalAverage="0" bottom="0" percent="0" rank="0" text="" dxfId="1516">
      <formula>#REF!=3</formula>
    </cfRule>
  </conditionalFormatting>
  <conditionalFormatting sqref="M9">
    <cfRule type="expression" priority="62" aboveAverage="0" equalAverage="0" bottom="0" percent="0" rank="0" text="" dxfId="1517">
      <formula>#REF!=1</formula>
    </cfRule>
    <cfRule type="expression" priority="63" aboveAverage="0" equalAverage="0" bottom="0" percent="0" rank="0" text="" dxfId="1518">
      <formula>#REF!=2</formula>
    </cfRule>
    <cfRule type="expression" priority="64" aboveAverage="0" equalAverage="0" bottom="0" percent="0" rank="0" text="" dxfId="1519">
      <formula>#REF!=3</formula>
    </cfRule>
  </conditionalFormatting>
  <conditionalFormatting sqref="K10">
    <cfRule type="expression" priority="65" aboveAverage="0" equalAverage="0" bottom="0" percent="0" rank="0" text="" dxfId="1520">
      <formula>#REF!=1</formula>
    </cfRule>
    <cfRule type="expression" priority="66" aboveAverage="0" equalAverage="0" bottom="0" percent="0" rank="0" text="" dxfId="1521">
      <formula>#REF!=2</formula>
    </cfRule>
    <cfRule type="expression" priority="67" aboveAverage="0" equalAverage="0" bottom="0" percent="0" rank="0" text="" dxfId="1522">
      <formula>#REF!=3</formula>
    </cfRule>
  </conditionalFormatting>
  <conditionalFormatting sqref="M10">
    <cfRule type="expression" priority="68" aboveAverage="0" equalAverage="0" bottom="0" percent="0" rank="0" text="" dxfId="1523">
      <formula>#REF!=1</formula>
    </cfRule>
    <cfRule type="expression" priority="69" aboveAverage="0" equalAverage="0" bottom="0" percent="0" rank="0" text="" dxfId="1524">
      <formula>#REF!=2</formula>
    </cfRule>
    <cfRule type="expression" priority="70" aboveAverage="0" equalAverage="0" bottom="0" percent="0" rank="0" text="" dxfId="1525">
      <formula>#REF!=3</formula>
    </cfRule>
  </conditionalFormatting>
  <conditionalFormatting sqref="K11">
    <cfRule type="expression" priority="71" aboveAverage="0" equalAverage="0" bottom="0" percent="0" rank="0" text="" dxfId="1526">
      <formula>#REF!=1</formula>
    </cfRule>
    <cfRule type="expression" priority="72" aboveAverage="0" equalAverage="0" bottom="0" percent="0" rank="0" text="" dxfId="1527">
      <formula>#REF!=2</formula>
    </cfRule>
    <cfRule type="expression" priority="73" aboveAverage="0" equalAverage="0" bottom="0" percent="0" rank="0" text="" dxfId="1528">
      <formula>#REF!=3</formula>
    </cfRule>
  </conditionalFormatting>
  <conditionalFormatting sqref="M11">
    <cfRule type="expression" priority="74" aboveAverage="0" equalAverage="0" bottom="0" percent="0" rank="0" text="" dxfId="1529">
      <formula>#REF!=1</formula>
    </cfRule>
    <cfRule type="expression" priority="75" aboveAverage="0" equalAverage="0" bottom="0" percent="0" rank="0" text="" dxfId="1530">
      <formula>#REF!=2</formula>
    </cfRule>
    <cfRule type="expression" priority="76" aboveAverage="0" equalAverage="0" bottom="0" percent="0" rank="0" text="" dxfId="1531">
      <formula>#REF!=3</formula>
    </cfRule>
  </conditionalFormatting>
  <conditionalFormatting sqref="K12">
    <cfRule type="expression" priority="77" aboveAverage="0" equalAverage="0" bottom="0" percent="0" rank="0" text="" dxfId="1532">
      <formula>#REF!=1</formula>
    </cfRule>
    <cfRule type="expression" priority="78" aboveAverage="0" equalAverage="0" bottom="0" percent="0" rank="0" text="" dxfId="1533">
      <formula>#REF!=2</formula>
    </cfRule>
    <cfRule type="expression" priority="79" aboveAverage="0" equalAverage="0" bottom="0" percent="0" rank="0" text="" dxfId="1534">
      <formula>#REF!=3</formula>
    </cfRule>
  </conditionalFormatting>
  <conditionalFormatting sqref="M12">
    <cfRule type="expression" priority="80" aboveAverage="0" equalAverage="0" bottom="0" percent="0" rank="0" text="" dxfId="1535">
      <formula>#REF!=1</formula>
    </cfRule>
    <cfRule type="expression" priority="81" aboveAverage="0" equalAverage="0" bottom="0" percent="0" rank="0" text="" dxfId="1536">
      <formula>#REF!=2</formula>
    </cfRule>
    <cfRule type="expression" priority="82" aboveAverage="0" equalAverage="0" bottom="0" percent="0" rank="0" text="" dxfId="1537">
      <formula>#REF!=3</formula>
    </cfRule>
  </conditionalFormatting>
  <conditionalFormatting sqref="K13">
    <cfRule type="expression" priority="83" aboveAverage="0" equalAverage="0" bottom="0" percent="0" rank="0" text="" dxfId="1538">
      <formula>#REF!=1</formula>
    </cfRule>
    <cfRule type="expression" priority="84" aboveAverage="0" equalAverage="0" bottom="0" percent="0" rank="0" text="" dxfId="1539">
      <formula>#REF!=2</formula>
    </cfRule>
    <cfRule type="expression" priority="85" aboveAverage="0" equalAverage="0" bottom="0" percent="0" rank="0" text="" dxfId="1540">
      <formula>#REF!=3</formula>
    </cfRule>
  </conditionalFormatting>
  <conditionalFormatting sqref="M13">
    <cfRule type="expression" priority="86" aboveAverage="0" equalAverage="0" bottom="0" percent="0" rank="0" text="" dxfId="1541">
      <formula>#REF!=1</formula>
    </cfRule>
    <cfRule type="expression" priority="87" aboveAverage="0" equalAverage="0" bottom="0" percent="0" rank="0" text="" dxfId="1542">
      <formula>#REF!=2</formula>
    </cfRule>
    <cfRule type="expression" priority="88" aboveAverage="0" equalAverage="0" bottom="0" percent="0" rank="0" text="" dxfId="1543">
      <formula>#REF!=3</formula>
    </cfRule>
  </conditionalFormatting>
  <conditionalFormatting sqref="K14">
    <cfRule type="expression" priority="89" aboveAverage="0" equalAverage="0" bottom="0" percent="0" rank="0" text="" dxfId="1544">
      <formula>#REF!=1</formula>
    </cfRule>
    <cfRule type="expression" priority="90" aboveAverage="0" equalAverage="0" bottom="0" percent="0" rank="0" text="" dxfId="1545">
      <formula>#REF!=2</formula>
    </cfRule>
    <cfRule type="expression" priority="91" aboveAverage="0" equalAverage="0" bottom="0" percent="0" rank="0" text="" dxfId="1546">
      <formula>#REF!=3</formula>
    </cfRule>
  </conditionalFormatting>
  <conditionalFormatting sqref="M14">
    <cfRule type="expression" priority="92" aboveAverage="0" equalAverage="0" bottom="0" percent="0" rank="0" text="" dxfId="1547">
      <formula>#REF!=1</formula>
    </cfRule>
    <cfRule type="expression" priority="93" aboveAverage="0" equalAverage="0" bottom="0" percent="0" rank="0" text="" dxfId="1548">
      <formula>#REF!=2</formula>
    </cfRule>
    <cfRule type="expression" priority="94" aboveAverage="0" equalAverage="0" bottom="0" percent="0" rank="0" text="" dxfId="1549">
      <formula>#REF!=3</formula>
    </cfRule>
  </conditionalFormatting>
  <conditionalFormatting sqref="K15">
    <cfRule type="expression" priority="95" aboveAverage="0" equalAverage="0" bottom="0" percent="0" rank="0" text="" dxfId="1550">
      <formula>#REF!=1</formula>
    </cfRule>
    <cfRule type="expression" priority="96" aboveAverage="0" equalAverage="0" bottom="0" percent="0" rank="0" text="" dxfId="1551">
      <formula>#REF!=2</formula>
    </cfRule>
    <cfRule type="expression" priority="97" aboveAverage="0" equalAverage="0" bottom="0" percent="0" rank="0" text="" dxfId="1552">
      <formula>#REF!=3</formula>
    </cfRule>
  </conditionalFormatting>
  <conditionalFormatting sqref="M15">
    <cfRule type="expression" priority="98" aboveAverage="0" equalAverage="0" bottom="0" percent="0" rank="0" text="" dxfId="1553">
      <formula>#REF!=1</formula>
    </cfRule>
    <cfRule type="expression" priority="99" aboveAverage="0" equalAverage="0" bottom="0" percent="0" rank="0" text="" dxfId="1554">
      <formula>#REF!=2</formula>
    </cfRule>
    <cfRule type="expression" priority="100" aboveAverage="0" equalAverage="0" bottom="0" percent="0" rank="0" text="" dxfId="1555">
      <formula>#REF!=3</formula>
    </cfRule>
  </conditionalFormatting>
  <conditionalFormatting sqref="K16">
    <cfRule type="expression" priority="101" aboveAverage="0" equalAverage="0" bottom="0" percent="0" rank="0" text="" dxfId="1556">
      <formula>#REF!=1</formula>
    </cfRule>
    <cfRule type="expression" priority="102" aboveAverage="0" equalAverage="0" bottom="0" percent="0" rank="0" text="" dxfId="1557">
      <formula>#REF!=2</formula>
    </cfRule>
    <cfRule type="expression" priority="103" aboveAverage="0" equalAverage="0" bottom="0" percent="0" rank="0" text="" dxfId="1558">
      <formula>#REF!=3</formula>
    </cfRule>
  </conditionalFormatting>
  <conditionalFormatting sqref="M16">
    <cfRule type="expression" priority="104" aboveAverage="0" equalAverage="0" bottom="0" percent="0" rank="0" text="" dxfId="1559">
      <formula>#REF!=1</formula>
    </cfRule>
    <cfRule type="expression" priority="105" aboveAverage="0" equalAverage="0" bottom="0" percent="0" rank="0" text="" dxfId="1560">
      <formula>#REF!=2</formula>
    </cfRule>
    <cfRule type="expression" priority="106" aboveAverage="0" equalAverage="0" bottom="0" percent="0" rank="0" text="" dxfId="1561">
      <formula>#REF!=3</formula>
    </cfRule>
  </conditionalFormatting>
  <conditionalFormatting sqref="K17">
    <cfRule type="expression" priority="107" aboveAverage="0" equalAverage="0" bottom="0" percent="0" rank="0" text="" dxfId="1562">
      <formula>#REF!=1</formula>
    </cfRule>
    <cfRule type="expression" priority="108" aboveAverage="0" equalAverage="0" bottom="0" percent="0" rank="0" text="" dxfId="1563">
      <formula>#REF!=2</formula>
    </cfRule>
    <cfRule type="expression" priority="109" aboveAverage="0" equalAverage="0" bottom="0" percent="0" rank="0" text="" dxfId="1564">
      <formula>#REF!=3</formula>
    </cfRule>
  </conditionalFormatting>
  <conditionalFormatting sqref="M17">
    <cfRule type="expression" priority="110" aboveAverage="0" equalAverage="0" bottom="0" percent="0" rank="0" text="" dxfId="1565">
      <formula>#REF!=1</formula>
    </cfRule>
    <cfRule type="expression" priority="111" aboveAverage="0" equalAverage="0" bottom="0" percent="0" rank="0" text="" dxfId="1566">
      <formula>#REF!=2</formula>
    </cfRule>
    <cfRule type="expression" priority="112" aboveAverage="0" equalAverage="0" bottom="0" percent="0" rank="0" text="" dxfId="1567">
      <formula>#REF!=3</formula>
    </cfRule>
  </conditionalFormatting>
  <conditionalFormatting sqref="K18">
    <cfRule type="expression" priority="113" aboveAverage="0" equalAverage="0" bottom="0" percent="0" rank="0" text="" dxfId="1568">
      <formula>#REF!=1</formula>
    </cfRule>
    <cfRule type="expression" priority="114" aboveAverage="0" equalAverage="0" bottom="0" percent="0" rank="0" text="" dxfId="1569">
      <formula>#REF!=2</formula>
    </cfRule>
    <cfRule type="expression" priority="115" aboveAverage="0" equalAverage="0" bottom="0" percent="0" rank="0" text="" dxfId="1570">
      <formula>#REF!=3</formula>
    </cfRule>
  </conditionalFormatting>
  <conditionalFormatting sqref="M18">
    <cfRule type="expression" priority="116" aboveAverage="0" equalAverage="0" bottom="0" percent="0" rank="0" text="" dxfId="1571">
      <formula>#REF!=1</formula>
    </cfRule>
    <cfRule type="expression" priority="117" aboveAverage="0" equalAverage="0" bottom="0" percent="0" rank="0" text="" dxfId="1572">
      <formula>#REF!=2</formula>
    </cfRule>
    <cfRule type="expression" priority="118" aboveAverage="0" equalAverage="0" bottom="0" percent="0" rank="0" text="" dxfId="1573">
      <formula>#REF!=3</formula>
    </cfRule>
  </conditionalFormatting>
  <conditionalFormatting sqref="K19">
    <cfRule type="expression" priority="119" aboveAverage="0" equalAverage="0" bottom="0" percent="0" rank="0" text="" dxfId="1574">
      <formula>#REF!=1</formula>
    </cfRule>
    <cfRule type="expression" priority="120" aboveAverage="0" equalAverage="0" bottom="0" percent="0" rank="0" text="" dxfId="1575">
      <formula>#REF!=2</formula>
    </cfRule>
    <cfRule type="expression" priority="121" aboveAverage="0" equalAverage="0" bottom="0" percent="0" rank="0" text="" dxfId="1576">
      <formula>#REF!=3</formula>
    </cfRule>
  </conditionalFormatting>
  <conditionalFormatting sqref="M19">
    <cfRule type="expression" priority="122" aboveAverage="0" equalAverage="0" bottom="0" percent="0" rank="0" text="" dxfId="1577">
      <formula>#REF!=1</formula>
    </cfRule>
    <cfRule type="expression" priority="123" aboveAverage="0" equalAverage="0" bottom="0" percent="0" rank="0" text="" dxfId="1578">
      <formula>#REF!=2</formula>
    </cfRule>
    <cfRule type="expression" priority="124" aboveAverage="0" equalAverage="0" bottom="0" percent="0" rank="0" text="" dxfId="1579">
      <formula>#REF!=3</formula>
    </cfRule>
  </conditionalFormatting>
  <conditionalFormatting sqref="K20">
    <cfRule type="expression" priority="125" aboveAverage="0" equalAverage="0" bottom="0" percent="0" rank="0" text="" dxfId="1580">
      <formula>#REF!=1</formula>
    </cfRule>
    <cfRule type="expression" priority="126" aboveAverage="0" equalAverage="0" bottom="0" percent="0" rank="0" text="" dxfId="1581">
      <formula>#REF!=2</formula>
    </cfRule>
    <cfRule type="expression" priority="127" aboveAverage="0" equalAverage="0" bottom="0" percent="0" rank="0" text="" dxfId="1582">
      <formula>#REF!=3</formula>
    </cfRule>
  </conditionalFormatting>
  <conditionalFormatting sqref="M20">
    <cfRule type="expression" priority="128" aboveAverage="0" equalAverage="0" bottom="0" percent="0" rank="0" text="" dxfId="1583">
      <formula>#REF!=1</formula>
    </cfRule>
    <cfRule type="expression" priority="129" aboveAverage="0" equalAverage="0" bottom="0" percent="0" rank="0" text="" dxfId="1584">
      <formula>#REF!=2</formula>
    </cfRule>
    <cfRule type="expression" priority="130" aboveAverage="0" equalAverage="0" bottom="0" percent="0" rank="0" text="" dxfId="1585">
      <formula>#REF!=3</formula>
    </cfRule>
  </conditionalFormatting>
  <conditionalFormatting sqref="K21">
    <cfRule type="expression" priority="131" aboveAverage="0" equalAverage="0" bottom="0" percent="0" rank="0" text="" dxfId="1586">
      <formula>#REF!=1</formula>
    </cfRule>
    <cfRule type="expression" priority="132" aboveAverage="0" equalAverage="0" bottom="0" percent="0" rank="0" text="" dxfId="1587">
      <formula>#REF!=2</formula>
    </cfRule>
    <cfRule type="expression" priority="133" aboveAverage="0" equalAverage="0" bottom="0" percent="0" rank="0" text="" dxfId="1588">
      <formula>#REF!=3</formula>
    </cfRule>
  </conditionalFormatting>
  <conditionalFormatting sqref="M21">
    <cfRule type="expression" priority="134" aboveAverage="0" equalAverage="0" bottom="0" percent="0" rank="0" text="" dxfId="1589">
      <formula>#REF!=1</formula>
    </cfRule>
    <cfRule type="expression" priority="135" aboveAverage="0" equalAverage="0" bottom="0" percent="0" rank="0" text="" dxfId="1590">
      <formula>#REF!=2</formula>
    </cfRule>
    <cfRule type="expression" priority="136" aboveAverage="0" equalAverage="0" bottom="0" percent="0" rank="0" text="" dxfId="1591">
      <formula>#REF!=3</formula>
    </cfRule>
  </conditionalFormatting>
  <conditionalFormatting sqref="K22">
    <cfRule type="expression" priority="137" aboveAverage="0" equalAverage="0" bottom="0" percent="0" rank="0" text="" dxfId="1592">
      <formula>#REF!=1</formula>
    </cfRule>
    <cfRule type="expression" priority="138" aboveAverage="0" equalAverage="0" bottom="0" percent="0" rank="0" text="" dxfId="1593">
      <formula>#REF!=2</formula>
    </cfRule>
    <cfRule type="expression" priority="139" aboveAverage="0" equalAverage="0" bottom="0" percent="0" rank="0" text="" dxfId="1594">
      <formula>#REF!=3</formula>
    </cfRule>
  </conditionalFormatting>
  <conditionalFormatting sqref="M22">
    <cfRule type="expression" priority="140" aboveAverage="0" equalAverage="0" bottom="0" percent="0" rank="0" text="" dxfId="1595">
      <formula>#REF!=1</formula>
    </cfRule>
    <cfRule type="expression" priority="141" aboveAverage="0" equalAverage="0" bottom="0" percent="0" rank="0" text="" dxfId="1596">
      <formula>#REF!=2</formula>
    </cfRule>
    <cfRule type="expression" priority="142" aboveAverage="0" equalAverage="0" bottom="0" percent="0" rank="0" text="" dxfId="1597">
      <formula>#REF!=3</formula>
    </cfRule>
  </conditionalFormatting>
  <conditionalFormatting sqref="K23">
    <cfRule type="expression" priority="143" aboveAverage="0" equalAverage="0" bottom="0" percent="0" rank="0" text="" dxfId="1598">
      <formula>#REF!=1</formula>
    </cfRule>
    <cfRule type="expression" priority="144" aboveAverage="0" equalAverage="0" bottom="0" percent="0" rank="0" text="" dxfId="1599">
      <formula>#REF!=2</formula>
    </cfRule>
    <cfRule type="expression" priority="145" aboveAverage="0" equalAverage="0" bottom="0" percent="0" rank="0" text="" dxfId="1600">
      <formula>#REF!=3</formula>
    </cfRule>
  </conditionalFormatting>
  <conditionalFormatting sqref="M23">
    <cfRule type="expression" priority="146" aboveAverage="0" equalAverage="0" bottom="0" percent="0" rank="0" text="" dxfId="1601">
      <formula>#REF!=1</formula>
    </cfRule>
    <cfRule type="expression" priority="147" aboveAverage="0" equalAverage="0" bottom="0" percent="0" rank="0" text="" dxfId="1602">
      <formula>#REF!=2</formula>
    </cfRule>
    <cfRule type="expression" priority="148" aboveAverage="0" equalAverage="0" bottom="0" percent="0" rank="0" text="" dxfId="1603">
      <formula>#REF!=3</formula>
    </cfRule>
  </conditionalFormatting>
  <conditionalFormatting sqref="K24">
    <cfRule type="expression" priority="149" aboveAverage="0" equalAverage="0" bottom="0" percent="0" rank="0" text="" dxfId="1604">
      <formula>#REF!=1</formula>
    </cfRule>
    <cfRule type="expression" priority="150" aboveAverage="0" equalAverage="0" bottom="0" percent="0" rank="0" text="" dxfId="1605">
      <formula>#REF!=2</formula>
    </cfRule>
    <cfRule type="expression" priority="151" aboveAverage="0" equalAverage="0" bottom="0" percent="0" rank="0" text="" dxfId="1606">
      <formula>#REF!=3</formula>
    </cfRule>
  </conditionalFormatting>
  <conditionalFormatting sqref="M24">
    <cfRule type="expression" priority="152" aboveAverage="0" equalAverage="0" bottom="0" percent="0" rank="0" text="" dxfId="1607">
      <formula>#REF!=1</formula>
    </cfRule>
    <cfRule type="expression" priority="153" aboveAverage="0" equalAverage="0" bottom="0" percent="0" rank="0" text="" dxfId="1608">
      <formula>#REF!=2</formula>
    </cfRule>
    <cfRule type="expression" priority="154" aboveAverage="0" equalAverage="0" bottom="0" percent="0" rank="0" text="" dxfId="1609">
      <formula>#REF!=3</formula>
    </cfRule>
  </conditionalFormatting>
  <conditionalFormatting sqref="M26">
    <cfRule type="expression" priority="155" aboveAverage="0" equalAverage="0" bottom="0" percent="0" rank="0" text="" dxfId="1610">
      <formula>#REF!=1</formula>
    </cfRule>
    <cfRule type="expression" priority="156" aboveAverage="0" equalAverage="0" bottom="0" percent="0" rank="0" text="" dxfId="1611">
      <formula>#REF!=2</formula>
    </cfRule>
    <cfRule type="expression" priority="157" aboveAverage="0" equalAverage="0" bottom="0" percent="0" rank="0" text="" dxfId="1612">
      <formula>#REF!=3</formula>
    </cfRule>
  </conditionalFormatting>
  <conditionalFormatting sqref="M25">
    <cfRule type="expression" priority="158" aboveAverage="0" equalAverage="0" bottom="0" percent="0" rank="0" text="" dxfId="1613">
      <formula>#REF!=1</formula>
    </cfRule>
    <cfRule type="expression" priority="159" aboveAverage="0" equalAverage="0" bottom="0" percent="0" rank="0" text="" dxfId="1614">
      <formula>#REF!=2</formula>
    </cfRule>
    <cfRule type="expression" priority="160" aboveAverage="0" equalAverage="0" bottom="0" percent="0" rank="0" text="" dxfId="1615">
      <formula>#REF!=3</formula>
    </cfRule>
  </conditionalFormatting>
  <conditionalFormatting sqref="M28 M38">
    <cfRule type="expression" priority="161" aboveAverage="0" equalAverage="0" bottom="0" percent="0" rank="0" text="" dxfId="1616">
      <formula>#REF!=1</formula>
    </cfRule>
    <cfRule type="expression" priority="162" aboveAverage="0" equalAverage="0" bottom="0" percent="0" rank="0" text="" dxfId="1617">
      <formula>#REF!=2</formula>
    </cfRule>
    <cfRule type="expression" priority="163" aboveAverage="0" equalAverage="0" bottom="0" percent="0" rank="0" text="" dxfId="1618">
      <formula>#REF!=3</formula>
    </cfRule>
  </conditionalFormatting>
  <conditionalFormatting sqref="K29">
    <cfRule type="expression" priority="164" aboveAverage="0" equalAverage="0" bottom="0" percent="0" rank="0" text="" dxfId="1619">
      <formula>#REF!=1</formula>
    </cfRule>
    <cfRule type="expression" priority="165" aboveAverage="0" equalAverage="0" bottom="0" percent="0" rank="0" text="" dxfId="1620">
      <formula>#REF!=2</formula>
    </cfRule>
    <cfRule type="expression" priority="166" aboveAverage="0" equalAverage="0" bottom="0" percent="0" rank="0" text="" dxfId="1621">
      <formula>#REF!=3</formula>
    </cfRule>
  </conditionalFormatting>
  <conditionalFormatting sqref="M29">
    <cfRule type="expression" priority="167" aboveAverage="0" equalAverage="0" bottom="0" percent="0" rank="0" text="" dxfId="1622">
      <formula>#REF!=1</formula>
    </cfRule>
    <cfRule type="expression" priority="168" aboveAverage="0" equalAverage="0" bottom="0" percent="0" rank="0" text="" dxfId="1623">
      <formula>#REF!=2</formula>
    </cfRule>
    <cfRule type="expression" priority="169" aboveAverage="0" equalAverage="0" bottom="0" percent="0" rank="0" text="" dxfId="1624">
      <formula>#REF!=3</formula>
    </cfRule>
  </conditionalFormatting>
  <conditionalFormatting sqref="K30">
    <cfRule type="expression" priority="170" aboveAverage="0" equalAverage="0" bottom="0" percent="0" rank="0" text="" dxfId="1625">
      <formula>#REF!=1</formula>
    </cfRule>
    <cfRule type="expression" priority="171" aboveAverage="0" equalAverage="0" bottom="0" percent="0" rank="0" text="" dxfId="1626">
      <formula>#REF!=2</formula>
    </cfRule>
    <cfRule type="expression" priority="172" aboveAverage="0" equalAverage="0" bottom="0" percent="0" rank="0" text="" dxfId="1627">
      <formula>#REF!=3</formula>
    </cfRule>
  </conditionalFormatting>
  <conditionalFormatting sqref="M30">
    <cfRule type="expression" priority="173" aboveAverage="0" equalAverage="0" bottom="0" percent="0" rank="0" text="" dxfId="1628">
      <formula>#REF!=1</formula>
    </cfRule>
    <cfRule type="expression" priority="174" aboveAverage="0" equalAverage="0" bottom="0" percent="0" rank="0" text="" dxfId="1629">
      <formula>#REF!=2</formula>
    </cfRule>
    <cfRule type="expression" priority="175" aboveAverage="0" equalAverage="0" bottom="0" percent="0" rank="0" text="" dxfId="1630">
      <formula>#REF!=3</formula>
    </cfRule>
  </conditionalFormatting>
  <conditionalFormatting sqref="K31">
    <cfRule type="expression" priority="176" aboveAverage="0" equalAverage="0" bottom="0" percent="0" rank="0" text="" dxfId="1631">
      <formula>#REF!=1</formula>
    </cfRule>
    <cfRule type="expression" priority="177" aboveAverage="0" equalAverage="0" bottom="0" percent="0" rank="0" text="" dxfId="1632">
      <formula>#REF!=2</formula>
    </cfRule>
    <cfRule type="expression" priority="178" aboveAverage="0" equalAverage="0" bottom="0" percent="0" rank="0" text="" dxfId="1633">
      <formula>#REF!=3</formula>
    </cfRule>
  </conditionalFormatting>
  <conditionalFormatting sqref="M31">
    <cfRule type="expression" priority="179" aboveAverage="0" equalAverage="0" bottom="0" percent="0" rank="0" text="" dxfId="1634">
      <formula>#REF!=1</formula>
    </cfRule>
    <cfRule type="expression" priority="180" aboveAverage="0" equalAverage="0" bottom="0" percent="0" rank="0" text="" dxfId="1635">
      <formula>#REF!=2</formula>
    </cfRule>
    <cfRule type="expression" priority="181" aboveAverage="0" equalAverage="0" bottom="0" percent="0" rank="0" text="" dxfId="1636">
      <formula>#REF!=3</formula>
    </cfRule>
  </conditionalFormatting>
  <conditionalFormatting sqref="K32">
    <cfRule type="expression" priority="182" aboveAverage="0" equalAverage="0" bottom="0" percent="0" rank="0" text="" dxfId="1637">
      <formula>#REF!=1</formula>
    </cfRule>
    <cfRule type="expression" priority="183" aboveAverage="0" equalAverage="0" bottom="0" percent="0" rank="0" text="" dxfId="1638">
      <formula>#REF!=2</formula>
    </cfRule>
    <cfRule type="expression" priority="184" aboveAverage="0" equalAverage="0" bottom="0" percent="0" rank="0" text="" dxfId="1639">
      <formula>#REF!=3</formula>
    </cfRule>
  </conditionalFormatting>
  <conditionalFormatting sqref="M32">
    <cfRule type="expression" priority="185" aboveAverage="0" equalAverage="0" bottom="0" percent="0" rank="0" text="" dxfId="1640">
      <formula>#REF!=1</formula>
    </cfRule>
    <cfRule type="expression" priority="186" aboveAverage="0" equalAverage="0" bottom="0" percent="0" rank="0" text="" dxfId="1641">
      <formula>#REF!=2</formula>
    </cfRule>
    <cfRule type="expression" priority="187" aboveAverage="0" equalAverage="0" bottom="0" percent="0" rank="0" text="" dxfId="1642">
      <formula>#REF!=3</formula>
    </cfRule>
  </conditionalFormatting>
  <conditionalFormatting sqref="K33">
    <cfRule type="expression" priority="188" aboveAverage="0" equalAverage="0" bottom="0" percent="0" rank="0" text="" dxfId="1643">
      <formula>#REF!=1</formula>
    </cfRule>
    <cfRule type="expression" priority="189" aboveAverage="0" equalAverage="0" bottom="0" percent="0" rank="0" text="" dxfId="1644">
      <formula>#REF!=2</formula>
    </cfRule>
    <cfRule type="expression" priority="190" aboveAverage="0" equalAverage="0" bottom="0" percent="0" rank="0" text="" dxfId="1645">
      <formula>#REF!=3</formula>
    </cfRule>
  </conditionalFormatting>
  <conditionalFormatting sqref="M33">
    <cfRule type="expression" priority="191" aboveAverage="0" equalAverage="0" bottom="0" percent="0" rank="0" text="" dxfId="1646">
      <formula>#REF!=1</formula>
    </cfRule>
    <cfRule type="expression" priority="192" aboveAverage="0" equalAverage="0" bottom="0" percent="0" rank="0" text="" dxfId="1647">
      <formula>#REF!=2</formula>
    </cfRule>
    <cfRule type="expression" priority="193" aboveAverage="0" equalAverage="0" bottom="0" percent="0" rank="0" text="" dxfId="1648">
      <formula>#REF!=3</formula>
    </cfRule>
  </conditionalFormatting>
  <conditionalFormatting sqref="K34">
    <cfRule type="expression" priority="194" aboveAverage="0" equalAverage="0" bottom="0" percent="0" rank="0" text="" dxfId="1649">
      <formula>#REF!=1</formula>
    </cfRule>
    <cfRule type="expression" priority="195" aboveAverage="0" equalAverage="0" bottom="0" percent="0" rank="0" text="" dxfId="1650">
      <formula>#REF!=2</formula>
    </cfRule>
    <cfRule type="expression" priority="196" aboveAverage="0" equalAverage="0" bottom="0" percent="0" rank="0" text="" dxfId="1651">
      <formula>#REF!=3</formula>
    </cfRule>
  </conditionalFormatting>
  <conditionalFormatting sqref="M34">
    <cfRule type="expression" priority="197" aboveAverage="0" equalAverage="0" bottom="0" percent="0" rank="0" text="" dxfId="1652">
      <formula>#REF!=1</formula>
    </cfRule>
    <cfRule type="expression" priority="198" aboveAverage="0" equalAverage="0" bottom="0" percent="0" rank="0" text="" dxfId="1653">
      <formula>#REF!=2</formula>
    </cfRule>
    <cfRule type="expression" priority="199" aboveAverage="0" equalAverage="0" bottom="0" percent="0" rank="0" text="" dxfId="1654">
      <formula>#REF!=3</formula>
    </cfRule>
  </conditionalFormatting>
  <conditionalFormatting sqref="K35">
    <cfRule type="expression" priority="200" aboveAverage="0" equalAverage="0" bottom="0" percent="0" rank="0" text="" dxfId="1655">
      <formula>#REF!=1</formula>
    </cfRule>
    <cfRule type="expression" priority="201" aboveAverage="0" equalAverage="0" bottom="0" percent="0" rank="0" text="" dxfId="1656">
      <formula>#REF!=2</formula>
    </cfRule>
    <cfRule type="expression" priority="202" aboveAverage="0" equalAverage="0" bottom="0" percent="0" rank="0" text="" dxfId="1657">
      <formula>#REF!=3</formula>
    </cfRule>
  </conditionalFormatting>
  <conditionalFormatting sqref="M35">
    <cfRule type="expression" priority="203" aboveAverage="0" equalAverage="0" bottom="0" percent="0" rank="0" text="" dxfId="1658">
      <formula>#REF!=1</formula>
    </cfRule>
    <cfRule type="expression" priority="204" aboveAverage="0" equalAverage="0" bottom="0" percent="0" rank="0" text="" dxfId="1659">
      <formula>#REF!=2</formula>
    </cfRule>
    <cfRule type="expression" priority="205" aboveAverage="0" equalAverage="0" bottom="0" percent="0" rank="0" text="" dxfId="1660">
      <formula>#REF!=3</formula>
    </cfRule>
  </conditionalFormatting>
  <conditionalFormatting sqref="K36">
    <cfRule type="expression" priority="206" aboveAverage="0" equalAverage="0" bottom="0" percent="0" rank="0" text="" dxfId="1661">
      <formula>#REF!=1</formula>
    </cfRule>
    <cfRule type="expression" priority="207" aboveAverage="0" equalAverage="0" bottom="0" percent="0" rank="0" text="" dxfId="1662">
      <formula>#REF!=2</formula>
    </cfRule>
    <cfRule type="expression" priority="208" aboveAverage="0" equalAverage="0" bottom="0" percent="0" rank="0" text="" dxfId="1663">
      <formula>#REF!=3</formula>
    </cfRule>
  </conditionalFormatting>
  <conditionalFormatting sqref="M36">
    <cfRule type="expression" priority="209" aboveAverage="0" equalAverage="0" bottom="0" percent="0" rank="0" text="" dxfId="1664">
      <formula>#REF!=1</formula>
    </cfRule>
    <cfRule type="expression" priority="210" aboveAverage="0" equalAverage="0" bottom="0" percent="0" rank="0" text="" dxfId="1665">
      <formula>#REF!=2</formula>
    </cfRule>
    <cfRule type="expression" priority="211" aboveAverage="0" equalAverage="0" bottom="0" percent="0" rank="0" text="" dxfId="1666">
      <formula>#REF!=3</formula>
    </cfRule>
  </conditionalFormatting>
  <conditionalFormatting sqref="K39:K41">
    <cfRule type="expression" priority="212" aboveAverage="0" equalAverage="0" bottom="0" percent="0" rank="0" text="" dxfId="1667">
      <formula>#REF!=1</formula>
    </cfRule>
    <cfRule type="expression" priority="213" aboveAverage="0" equalAverage="0" bottom="0" percent="0" rank="0" text="" dxfId="1668">
      <formula>#REF!=2</formula>
    </cfRule>
    <cfRule type="expression" priority="214" aboveAverage="0" equalAverage="0" bottom="0" percent="0" rank="0" text="" dxfId="1669">
      <formula>#REF!=3</formula>
    </cfRule>
  </conditionalFormatting>
  <conditionalFormatting sqref="M40">
    <cfRule type="expression" priority="215" aboveAverage="0" equalAverage="0" bottom="0" percent="0" rank="0" text="" dxfId="1670">
      <formula>#REF!=1</formula>
    </cfRule>
    <cfRule type="expression" priority="216" aboveAverage="0" equalAverage="0" bottom="0" percent="0" rank="0" text="" dxfId="1671">
      <formula>#REF!=2</formula>
    </cfRule>
    <cfRule type="expression" priority="217" aboveAverage="0" equalAverage="0" bottom="0" percent="0" rank="0" text="" dxfId="1672">
      <formula>#REF!=3</formula>
    </cfRule>
  </conditionalFormatting>
  <conditionalFormatting sqref="M41">
    <cfRule type="expression" priority="218" aboveAverage="0" equalAverage="0" bottom="0" percent="0" rank="0" text="" dxfId="1673">
      <formula>#REF!=1</formula>
    </cfRule>
    <cfRule type="expression" priority="219" aboveAverage="0" equalAverage="0" bottom="0" percent="0" rank="0" text="" dxfId="1674">
      <formula>#REF!=2</formula>
    </cfRule>
    <cfRule type="expression" priority="220" aboveAverage="0" equalAverage="0" bottom="0" percent="0" rank="0" text="" dxfId="1675">
      <formula>#REF!=3</formula>
    </cfRule>
  </conditionalFormatting>
  <conditionalFormatting sqref="M39">
    <cfRule type="expression" priority="221" aboveAverage="0" equalAverage="0" bottom="0" percent="0" rank="0" text="" dxfId="1676">
      <formula>#REF!=1</formula>
    </cfRule>
    <cfRule type="expression" priority="222" aboveAverage="0" equalAverage="0" bottom="0" percent="0" rank="0" text="" dxfId="1677">
      <formula>#REF!=2</formula>
    </cfRule>
    <cfRule type="expression" priority="223" aboveAverage="0" equalAverage="0" bottom="0" percent="0" rank="0" text="" dxfId="1678">
      <formula>#REF!=3</formula>
    </cfRule>
  </conditionalFormatting>
  <conditionalFormatting sqref="K42">
    <cfRule type="expression" priority="224" aboveAverage="0" equalAverage="0" bottom="0" percent="0" rank="0" text="" dxfId="1679">
      <formula>#REF!=1</formula>
    </cfRule>
    <cfRule type="expression" priority="225" aboveAverage="0" equalAverage="0" bottom="0" percent="0" rank="0" text="" dxfId="1680">
      <formula>#REF!=2</formula>
    </cfRule>
    <cfRule type="expression" priority="226" aboveAverage="0" equalAverage="0" bottom="0" percent="0" rank="0" text="" dxfId="1681">
      <formula>#REF!=3</formula>
    </cfRule>
  </conditionalFormatting>
  <conditionalFormatting sqref="M42">
    <cfRule type="expression" priority="227" aboveAverage="0" equalAverage="0" bottom="0" percent="0" rank="0" text="" dxfId="1682">
      <formula>#REF!=1</formula>
    </cfRule>
    <cfRule type="expression" priority="228" aboveAverage="0" equalAverage="0" bottom="0" percent="0" rank="0" text="" dxfId="1683">
      <formula>#REF!=2</formula>
    </cfRule>
    <cfRule type="expression" priority="229" aboveAverage="0" equalAverage="0" bottom="0" percent="0" rank="0" text="" dxfId="1684">
      <formula>#REF!=3</formula>
    </cfRule>
  </conditionalFormatting>
  <conditionalFormatting sqref="K43">
    <cfRule type="expression" priority="230" aboveAverage="0" equalAverage="0" bottom="0" percent="0" rank="0" text="" dxfId="1685">
      <formula>#REF!=1</formula>
    </cfRule>
    <cfRule type="expression" priority="231" aboveAverage="0" equalAverage="0" bottom="0" percent="0" rank="0" text="" dxfId="1686">
      <formula>#REF!=2</formula>
    </cfRule>
    <cfRule type="expression" priority="232" aboveAverage="0" equalAverage="0" bottom="0" percent="0" rank="0" text="" dxfId="1687">
      <formula>#REF!=3</formula>
    </cfRule>
  </conditionalFormatting>
  <conditionalFormatting sqref="M43">
    <cfRule type="expression" priority="233" aboveAverage="0" equalAverage="0" bottom="0" percent="0" rank="0" text="" dxfId="1688">
      <formula>#REF!=1</formula>
    </cfRule>
    <cfRule type="expression" priority="234" aboveAverage="0" equalAverage="0" bottom="0" percent="0" rank="0" text="" dxfId="1689">
      <formula>#REF!=2</formula>
    </cfRule>
    <cfRule type="expression" priority="235" aboveAverage="0" equalAverage="0" bottom="0" percent="0" rank="0" text="" dxfId="1690">
      <formula>#REF!=3</formula>
    </cfRule>
  </conditionalFormatting>
  <conditionalFormatting sqref="K44">
    <cfRule type="expression" priority="236" aboveAverage="0" equalAverage="0" bottom="0" percent="0" rank="0" text="" dxfId="1691">
      <formula>#REF!=1</formula>
    </cfRule>
    <cfRule type="expression" priority="237" aboveAverage="0" equalAverage="0" bottom="0" percent="0" rank="0" text="" dxfId="1692">
      <formula>#REF!=2</formula>
    </cfRule>
    <cfRule type="expression" priority="238" aboveAverage="0" equalAverage="0" bottom="0" percent="0" rank="0" text="" dxfId="1693">
      <formula>#REF!=3</formula>
    </cfRule>
  </conditionalFormatting>
  <conditionalFormatting sqref="M44">
    <cfRule type="expression" priority="239" aboveAverage="0" equalAverage="0" bottom="0" percent="0" rank="0" text="" dxfId="1694">
      <formula>#REF!=1</formula>
    </cfRule>
    <cfRule type="expression" priority="240" aboveAverage="0" equalAverage="0" bottom="0" percent="0" rank="0" text="" dxfId="1695">
      <formula>#REF!=2</formula>
    </cfRule>
    <cfRule type="expression" priority="241" aboveAverage="0" equalAverage="0" bottom="0" percent="0" rank="0" text="" dxfId="1696">
      <formula>#REF!=3</formula>
    </cfRule>
  </conditionalFormatting>
  <conditionalFormatting sqref="K45">
    <cfRule type="expression" priority="242" aboveAverage="0" equalAverage="0" bottom="0" percent="0" rank="0" text="" dxfId="1697">
      <formula>#REF!=1</formula>
    </cfRule>
    <cfRule type="expression" priority="243" aboveAverage="0" equalAverage="0" bottom="0" percent="0" rank="0" text="" dxfId="1698">
      <formula>#REF!=2</formula>
    </cfRule>
    <cfRule type="expression" priority="244" aboveAverage="0" equalAverage="0" bottom="0" percent="0" rank="0" text="" dxfId="1699">
      <formula>#REF!=3</formula>
    </cfRule>
  </conditionalFormatting>
  <conditionalFormatting sqref="M45">
    <cfRule type="expression" priority="245" aboveAverage="0" equalAverage="0" bottom="0" percent="0" rank="0" text="" dxfId="1700">
      <formula>#REF!=1</formula>
    </cfRule>
    <cfRule type="expression" priority="246" aboveAverage="0" equalAverage="0" bottom="0" percent="0" rank="0" text="" dxfId="1701">
      <formula>#REF!=2</formula>
    </cfRule>
    <cfRule type="expression" priority="247" aboveAverage="0" equalAverage="0" bottom="0" percent="0" rank="0" text="" dxfId="1702">
      <formula>#REF!=3</formula>
    </cfRule>
  </conditionalFormatting>
  <conditionalFormatting sqref="K46">
    <cfRule type="expression" priority="248" aboveAverage="0" equalAverage="0" bottom="0" percent="0" rank="0" text="" dxfId="1703">
      <formula>#REF!=1</formula>
    </cfRule>
    <cfRule type="expression" priority="249" aboveAverage="0" equalAverage="0" bottom="0" percent="0" rank="0" text="" dxfId="1704">
      <formula>#REF!=2</formula>
    </cfRule>
    <cfRule type="expression" priority="250" aboveAverage="0" equalAverage="0" bottom="0" percent="0" rank="0" text="" dxfId="1705">
      <formula>#REF!=3</formula>
    </cfRule>
  </conditionalFormatting>
  <conditionalFormatting sqref="M46">
    <cfRule type="expression" priority="251" aboveAverage="0" equalAverage="0" bottom="0" percent="0" rank="0" text="" dxfId="1706">
      <formula>#REF!=1</formula>
    </cfRule>
    <cfRule type="expression" priority="252" aboveAverage="0" equalAverage="0" bottom="0" percent="0" rank="0" text="" dxfId="1707">
      <formula>#REF!=2</formula>
    </cfRule>
    <cfRule type="expression" priority="253" aboveAverage="0" equalAverage="0" bottom="0" percent="0" rank="0" text="" dxfId="1708">
      <formula>#REF!=3</formula>
    </cfRule>
  </conditionalFormatting>
  <conditionalFormatting sqref="K47">
    <cfRule type="expression" priority="254" aboveAverage="0" equalAverage="0" bottom="0" percent="0" rank="0" text="" dxfId="1709">
      <formula>#REF!=1</formula>
    </cfRule>
    <cfRule type="expression" priority="255" aboveAverage="0" equalAverage="0" bottom="0" percent="0" rank="0" text="" dxfId="1710">
      <formula>#REF!=2</formula>
    </cfRule>
    <cfRule type="expression" priority="256" aboveAverage="0" equalAverage="0" bottom="0" percent="0" rank="0" text="" dxfId="1711">
      <formula>#REF!=3</formula>
    </cfRule>
  </conditionalFormatting>
  <conditionalFormatting sqref="M47">
    <cfRule type="expression" priority="257" aboveAverage="0" equalAverage="0" bottom="0" percent="0" rank="0" text="" dxfId="1712">
      <formula>#REF!=1</formula>
    </cfRule>
    <cfRule type="expression" priority="258" aboveAverage="0" equalAverage="0" bottom="0" percent="0" rank="0" text="" dxfId="1713">
      <formula>#REF!=2</formula>
    </cfRule>
    <cfRule type="expression" priority="259" aboveAverage="0" equalAverage="0" bottom="0" percent="0" rank="0" text="" dxfId="1714">
      <formula>#REF!=3</formula>
    </cfRule>
  </conditionalFormatting>
  <conditionalFormatting sqref="K48">
    <cfRule type="expression" priority="260" aboveAverage="0" equalAverage="0" bottom="0" percent="0" rank="0" text="" dxfId="1715">
      <formula>#REF!=1</formula>
    </cfRule>
    <cfRule type="expression" priority="261" aboveAverage="0" equalAverage="0" bottom="0" percent="0" rank="0" text="" dxfId="1716">
      <formula>#REF!=2</formula>
    </cfRule>
    <cfRule type="expression" priority="262" aboveAverage="0" equalAverage="0" bottom="0" percent="0" rank="0" text="" dxfId="1717">
      <formula>#REF!=3</formula>
    </cfRule>
  </conditionalFormatting>
  <conditionalFormatting sqref="M48">
    <cfRule type="expression" priority="263" aboveAverage="0" equalAverage="0" bottom="0" percent="0" rank="0" text="" dxfId="1718">
      <formula>#REF!=1</formula>
    </cfRule>
    <cfRule type="expression" priority="264" aboveAverage="0" equalAverage="0" bottom="0" percent="0" rank="0" text="" dxfId="1719">
      <formula>#REF!=2</formula>
    </cfRule>
    <cfRule type="expression" priority="265" aboveAverage="0" equalAverage="0" bottom="0" percent="0" rank="0" text="" dxfId="1720">
      <formula>#REF!=3</formula>
    </cfRule>
  </conditionalFormatting>
  <conditionalFormatting sqref="K49">
    <cfRule type="expression" priority="266" aboveAverage="0" equalAverage="0" bottom="0" percent="0" rank="0" text="" dxfId="1721">
      <formula>#REF!=1</formula>
    </cfRule>
    <cfRule type="expression" priority="267" aboveAverage="0" equalAverage="0" bottom="0" percent="0" rank="0" text="" dxfId="1722">
      <formula>#REF!=2</formula>
    </cfRule>
    <cfRule type="expression" priority="268" aboveAverage="0" equalAverage="0" bottom="0" percent="0" rank="0" text="" dxfId="1723">
      <formula>#REF!=3</formula>
    </cfRule>
  </conditionalFormatting>
  <conditionalFormatting sqref="M49">
    <cfRule type="expression" priority="269" aboveAverage="0" equalAverage="0" bottom="0" percent="0" rank="0" text="" dxfId="1724">
      <formula>#REF!=1</formula>
    </cfRule>
    <cfRule type="expression" priority="270" aboveAverage="0" equalAverage="0" bottom="0" percent="0" rank="0" text="" dxfId="1725">
      <formula>#REF!=2</formula>
    </cfRule>
    <cfRule type="expression" priority="271" aboveAverage="0" equalAverage="0" bottom="0" percent="0" rank="0" text="" dxfId="1726">
      <formula>#REF!=3</formula>
    </cfRule>
  </conditionalFormatting>
  <conditionalFormatting sqref="K50">
    <cfRule type="expression" priority="272" aboveAverage="0" equalAverage="0" bottom="0" percent="0" rank="0" text="" dxfId="1727">
      <formula>#REF!=1</formula>
    </cfRule>
    <cfRule type="expression" priority="273" aboveAverage="0" equalAverage="0" bottom="0" percent="0" rank="0" text="" dxfId="1728">
      <formula>#REF!=2</formula>
    </cfRule>
    <cfRule type="expression" priority="274" aboveAverage="0" equalAverage="0" bottom="0" percent="0" rank="0" text="" dxfId="1729">
      <formula>#REF!=3</formula>
    </cfRule>
  </conditionalFormatting>
  <conditionalFormatting sqref="M50">
    <cfRule type="expression" priority="275" aboveAverage="0" equalAverage="0" bottom="0" percent="0" rank="0" text="" dxfId="1730">
      <formula>#REF!=1</formula>
    </cfRule>
    <cfRule type="expression" priority="276" aboveAverage="0" equalAverage="0" bottom="0" percent="0" rank="0" text="" dxfId="1731">
      <formula>#REF!=2</formula>
    </cfRule>
    <cfRule type="expression" priority="277" aboveAverage="0" equalAverage="0" bottom="0" percent="0" rank="0" text="" dxfId="1732">
      <formula>#REF!=3</formula>
    </cfRule>
  </conditionalFormatting>
  <conditionalFormatting sqref="K51">
    <cfRule type="expression" priority="278" aboveAverage="0" equalAverage="0" bottom="0" percent="0" rank="0" text="" dxfId="1733">
      <formula>#REF!=1</formula>
    </cfRule>
    <cfRule type="expression" priority="279" aboveAverage="0" equalAverage="0" bottom="0" percent="0" rank="0" text="" dxfId="1734">
      <formula>#REF!=2</formula>
    </cfRule>
    <cfRule type="expression" priority="280" aboveAverage="0" equalAverage="0" bottom="0" percent="0" rank="0" text="" dxfId="1735">
      <formula>#REF!=3</formula>
    </cfRule>
  </conditionalFormatting>
  <conditionalFormatting sqref="M51">
    <cfRule type="expression" priority="281" aboveAverage="0" equalAverage="0" bottom="0" percent="0" rank="0" text="" dxfId="1736">
      <formula>#REF!=1</formula>
    </cfRule>
    <cfRule type="expression" priority="282" aboveAverage="0" equalAverage="0" bottom="0" percent="0" rank="0" text="" dxfId="1737">
      <formula>#REF!=2</formula>
    </cfRule>
    <cfRule type="expression" priority="283" aboveAverage="0" equalAverage="0" bottom="0" percent="0" rank="0" text="" dxfId="1738">
      <formula>#REF!=3</formula>
    </cfRule>
  </conditionalFormatting>
  <conditionalFormatting sqref="K52">
    <cfRule type="expression" priority="284" aboveAverage="0" equalAverage="0" bottom="0" percent="0" rank="0" text="" dxfId="1739">
      <formula>#REF!=1</formula>
    </cfRule>
    <cfRule type="expression" priority="285" aboveAverage="0" equalAverage="0" bottom="0" percent="0" rank="0" text="" dxfId="1740">
      <formula>#REF!=2</formula>
    </cfRule>
    <cfRule type="expression" priority="286" aboveAverage="0" equalAverage="0" bottom="0" percent="0" rank="0" text="" dxfId="1741">
      <formula>#REF!=3</formula>
    </cfRule>
  </conditionalFormatting>
  <conditionalFormatting sqref="M52">
    <cfRule type="expression" priority="287" aboveAverage="0" equalAverage="0" bottom="0" percent="0" rank="0" text="" dxfId="1742">
      <formula>#REF!=1</formula>
    </cfRule>
    <cfRule type="expression" priority="288" aboveAverage="0" equalAverage="0" bottom="0" percent="0" rank="0" text="" dxfId="1743">
      <formula>#REF!=2</formula>
    </cfRule>
    <cfRule type="expression" priority="289" aboveAverage="0" equalAverage="0" bottom="0" percent="0" rank="0" text="" dxfId="1744">
      <formula>#REF!=3</formula>
    </cfRule>
  </conditionalFormatting>
  <conditionalFormatting sqref="K53">
    <cfRule type="expression" priority="290" aboveAverage="0" equalAverage="0" bottom="0" percent="0" rank="0" text="" dxfId="1745">
      <formula>#REF!=1</formula>
    </cfRule>
    <cfRule type="expression" priority="291" aboveAverage="0" equalAverage="0" bottom="0" percent="0" rank="0" text="" dxfId="1746">
      <formula>#REF!=2</formula>
    </cfRule>
    <cfRule type="expression" priority="292" aboveAverage="0" equalAverage="0" bottom="0" percent="0" rank="0" text="" dxfId="1747">
      <formula>#REF!=3</formula>
    </cfRule>
  </conditionalFormatting>
  <conditionalFormatting sqref="M53">
    <cfRule type="expression" priority="293" aboveAverage="0" equalAverage="0" bottom="0" percent="0" rank="0" text="" dxfId="1748">
      <formula>#REF!=1</formula>
    </cfRule>
    <cfRule type="expression" priority="294" aboveAverage="0" equalAverage="0" bottom="0" percent="0" rank="0" text="" dxfId="1749">
      <formula>#REF!=2</formula>
    </cfRule>
    <cfRule type="expression" priority="295" aboveAverage="0" equalAverage="0" bottom="0" percent="0" rank="0" text="" dxfId="1750">
      <formula>#REF!=3</formula>
    </cfRule>
  </conditionalFormatting>
  <conditionalFormatting sqref="K54">
    <cfRule type="expression" priority="296" aboveAverage="0" equalAverage="0" bottom="0" percent="0" rank="0" text="" dxfId="1751">
      <formula>#REF!=1</formula>
    </cfRule>
    <cfRule type="expression" priority="297" aboveAverage="0" equalAverage="0" bottom="0" percent="0" rank="0" text="" dxfId="1752">
      <formula>#REF!=2</formula>
    </cfRule>
    <cfRule type="expression" priority="298" aboveAverage="0" equalAverage="0" bottom="0" percent="0" rank="0" text="" dxfId="1753">
      <formula>#REF!=3</formula>
    </cfRule>
  </conditionalFormatting>
  <conditionalFormatting sqref="M54">
    <cfRule type="expression" priority="299" aboveAverage="0" equalAverage="0" bottom="0" percent="0" rank="0" text="" dxfId="1754">
      <formula>#REF!=1</formula>
    </cfRule>
    <cfRule type="expression" priority="300" aboveAverage="0" equalAverage="0" bottom="0" percent="0" rank="0" text="" dxfId="1755">
      <formula>#REF!=2</formula>
    </cfRule>
    <cfRule type="expression" priority="301" aboveAverage="0" equalAverage="0" bottom="0" percent="0" rank="0" text="" dxfId="1756">
      <formula>#REF!=3</formula>
    </cfRule>
  </conditionalFormatting>
  <conditionalFormatting sqref="K55">
    <cfRule type="expression" priority="302" aboveAverage="0" equalAverage="0" bottom="0" percent="0" rank="0" text="" dxfId="1757">
      <formula>#REF!=1</formula>
    </cfRule>
    <cfRule type="expression" priority="303" aboveAverage="0" equalAverage="0" bottom="0" percent="0" rank="0" text="" dxfId="1758">
      <formula>#REF!=2</formula>
    </cfRule>
    <cfRule type="expression" priority="304" aboveAverage="0" equalAverage="0" bottom="0" percent="0" rank="0" text="" dxfId="1759">
      <formula>#REF!=3</formula>
    </cfRule>
  </conditionalFormatting>
  <conditionalFormatting sqref="M55">
    <cfRule type="expression" priority="305" aboveAverage="0" equalAverage="0" bottom="0" percent="0" rank="0" text="" dxfId="1760">
      <formula>#REF!=1</formula>
    </cfRule>
    <cfRule type="expression" priority="306" aboveAverage="0" equalAverage="0" bottom="0" percent="0" rank="0" text="" dxfId="1761">
      <formula>#REF!=2</formula>
    </cfRule>
    <cfRule type="expression" priority="307" aboveAverage="0" equalAverage="0" bottom="0" percent="0" rank="0" text="" dxfId="1762">
      <formula>#REF!=3</formula>
    </cfRule>
  </conditionalFormatting>
  <conditionalFormatting sqref="K56">
    <cfRule type="expression" priority="308" aboveAverage="0" equalAverage="0" bottom="0" percent="0" rank="0" text="" dxfId="1763">
      <formula>#REF!=1</formula>
    </cfRule>
    <cfRule type="expression" priority="309" aboveAverage="0" equalAverage="0" bottom="0" percent="0" rank="0" text="" dxfId="1764">
      <formula>#REF!=2</formula>
    </cfRule>
    <cfRule type="expression" priority="310" aboveAverage="0" equalAverage="0" bottom="0" percent="0" rank="0" text="" dxfId="1765">
      <formula>#REF!=3</formula>
    </cfRule>
  </conditionalFormatting>
  <conditionalFormatting sqref="M56">
    <cfRule type="expression" priority="311" aboveAverage="0" equalAverage="0" bottom="0" percent="0" rank="0" text="" dxfId="1766">
      <formula>#REF!=1</formula>
    </cfRule>
    <cfRule type="expression" priority="312" aboveAverage="0" equalAverage="0" bottom="0" percent="0" rank="0" text="" dxfId="1767">
      <formula>#REF!=2</formula>
    </cfRule>
    <cfRule type="expression" priority="313" aboveAverage="0" equalAverage="0" bottom="0" percent="0" rank="0" text="" dxfId="1768">
      <formula>#REF!=3</formula>
    </cfRule>
  </conditionalFormatting>
  <conditionalFormatting sqref="K57">
    <cfRule type="expression" priority="314" aboveAverage="0" equalAverage="0" bottom="0" percent="0" rank="0" text="" dxfId="1769">
      <formula>#REF!=1</formula>
    </cfRule>
    <cfRule type="expression" priority="315" aboveAverage="0" equalAverage="0" bottom="0" percent="0" rank="0" text="" dxfId="1770">
      <formula>#REF!=2</formula>
    </cfRule>
    <cfRule type="expression" priority="316" aboveAverage="0" equalAverage="0" bottom="0" percent="0" rank="0" text="" dxfId="1771">
      <formula>#REF!=3</formula>
    </cfRule>
  </conditionalFormatting>
  <conditionalFormatting sqref="M57">
    <cfRule type="expression" priority="317" aboveAverage="0" equalAverage="0" bottom="0" percent="0" rank="0" text="" dxfId="1772">
      <formula>#REF!=1</formula>
    </cfRule>
    <cfRule type="expression" priority="318" aboveAverage="0" equalAverage="0" bottom="0" percent="0" rank="0" text="" dxfId="1773">
      <formula>#REF!=2</formula>
    </cfRule>
    <cfRule type="expression" priority="319" aboveAverage="0" equalAverage="0" bottom="0" percent="0" rank="0" text="" dxfId="1774">
      <formula>#REF!=3</formula>
    </cfRule>
  </conditionalFormatting>
  <conditionalFormatting sqref="K58">
    <cfRule type="expression" priority="320" aboveAverage="0" equalAverage="0" bottom="0" percent="0" rank="0" text="" dxfId="1775">
      <formula>#REF!=1</formula>
    </cfRule>
    <cfRule type="expression" priority="321" aboveAverage="0" equalAverage="0" bottom="0" percent="0" rank="0" text="" dxfId="1776">
      <formula>#REF!=2</formula>
    </cfRule>
    <cfRule type="expression" priority="322" aboveAverage="0" equalAverage="0" bottom="0" percent="0" rank="0" text="" dxfId="1777">
      <formula>#REF!=3</formula>
    </cfRule>
  </conditionalFormatting>
  <conditionalFormatting sqref="M58">
    <cfRule type="expression" priority="323" aboveAverage="0" equalAverage="0" bottom="0" percent="0" rank="0" text="" dxfId="1778">
      <formula>#REF!=1</formula>
    </cfRule>
    <cfRule type="expression" priority="324" aboveAverage="0" equalAverage="0" bottom="0" percent="0" rank="0" text="" dxfId="1779">
      <formula>#REF!=2</formula>
    </cfRule>
    <cfRule type="expression" priority="325" aboveAverage="0" equalAverage="0" bottom="0" percent="0" rank="0" text="" dxfId="1780">
      <formula>#REF!=3</formula>
    </cfRule>
  </conditionalFormatting>
  <conditionalFormatting sqref="K59">
    <cfRule type="expression" priority="326" aboveAverage="0" equalAverage="0" bottom="0" percent="0" rank="0" text="" dxfId="1781">
      <formula>#REF!=1</formula>
    </cfRule>
    <cfRule type="expression" priority="327" aboveAverage="0" equalAverage="0" bottom="0" percent="0" rank="0" text="" dxfId="1782">
      <formula>#REF!=2</formula>
    </cfRule>
    <cfRule type="expression" priority="328" aboveAverage="0" equalAverage="0" bottom="0" percent="0" rank="0" text="" dxfId="1783">
      <formula>#REF!=3</formula>
    </cfRule>
  </conditionalFormatting>
  <conditionalFormatting sqref="M59">
    <cfRule type="expression" priority="329" aboveAverage="0" equalAverage="0" bottom="0" percent="0" rank="0" text="" dxfId="1784">
      <formula>#REF!=1</formula>
    </cfRule>
    <cfRule type="expression" priority="330" aboveAverage="0" equalAverage="0" bottom="0" percent="0" rank="0" text="" dxfId="1785">
      <formula>#REF!=2</formula>
    </cfRule>
    <cfRule type="expression" priority="331" aboveAverage="0" equalAverage="0" bottom="0" percent="0" rank="0" text="" dxfId="1786">
      <formula>#REF!=3</formula>
    </cfRule>
  </conditionalFormatting>
  <conditionalFormatting sqref="K60">
    <cfRule type="expression" priority="332" aboveAverage="0" equalAverage="0" bottom="0" percent="0" rank="0" text="" dxfId="1787">
      <formula>#REF!=1</formula>
    </cfRule>
    <cfRule type="expression" priority="333" aboveAverage="0" equalAverage="0" bottom="0" percent="0" rank="0" text="" dxfId="1788">
      <formula>#REF!=2</formula>
    </cfRule>
    <cfRule type="expression" priority="334" aboveAverage="0" equalAverage="0" bottom="0" percent="0" rank="0" text="" dxfId="1789">
      <formula>#REF!=3</formula>
    </cfRule>
  </conditionalFormatting>
  <conditionalFormatting sqref="M60">
    <cfRule type="expression" priority="335" aboveAverage="0" equalAverage="0" bottom="0" percent="0" rank="0" text="" dxfId="1790">
      <formula>#REF!=1</formula>
    </cfRule>
    <cfRule type="expression" priority="336" aboveAverage="0" equalAverage="0" bottom="0" percent="0" rank="0" text="" dxfId="1791">
      <formula>#REF!=2</formula>
    </cfRule>
    <cfRule type="expression" priority="337" aboveAverage="0" equalAverage="0" bottom="0" percent="0" rank="0" text="" dxfId="1792">
      <formula>#REF!=3</formula>
    </cfRule>
  </conditionalFormatting>
  <conditionalFormatting sqref="L61 L68 N106 L152 L394 L397 L400">
    <cfRule type="expression" priority="338" aboveAverage="0" equalAverage="0" bottom="0" percent="0" rank="0" text="" dxfId="1793">
      <formula>$B61=1</formula>
    </cfRule>
    <cfRule type="expression" priority="339" aboveAverage="0" equalAverage="0" bottom="0" percent="0" rank="0" text="" dxfId="1794">
      <formula>$B61=2</formula>
    </cfRule>
    <cfRule type="expression" priority="340" aboveAverage="0" equalAverage="0" bottom="0" percent="0" rank="0" text="" dxfId="1795">
      <formula>$B61=3</formula>
    </cfRule>
  </conditionalFormatting>
  <conditionalFormatting sqref="K61">
    <cfRule type="expression" priority="341" aboveAverage="0" equalAverage="0" bottom="0" percent="0" rank="0" text="" dxfId="1796">
      <formula>#REF!=1</formula>
    </cfRule>
    <cfRule type="expression" priority="342" aboveAverage="0" equalAverage="0" bottom="0" percent="0" rank="0" text="" dxfId="1797">
      <formula>#REF!=2</formula>
    </cfRule>
    <cfRule type="expression" priority="343" aboveAverage="0" equalAverage="0" bottom="0" percent="0" rank="0" text="" dxfId="1798">
      <formula>#REF!=3</formula>
    </cfRule>
  </conditionalFormatting>
  <conditionalFormatting sqref="M61">
    <cfRule type="expression" priority="344" aboveAverage="0" equalAverage="0" bottom="0" percent="0" rank="0" text="" dxfId="1799">
      <formula>#REF!=1</formula>
    </cfRule>
    <cfRule type="expression" priority="345" aboveAverage="0" equalAverage="0" bottom="0" percent="0" rank="0" text="" dxfId="1800">
      <formula>#REF!=2</formula>
    </cfRule>
    <cfRule type="expression" priority="346" aboveAverage="0" equalAverage="0" bottom="0" percent="0" rank="0" text="" dxfId="1801">
      <formula>#REF!=3</formula>
    </cfRule>
  </conditionalFormatting>
  <conditionalFormatting sqref="K62">
    <cfRule type="expression" priority="347" aboveAverage="0" equalAverage="0" bottom="0" percent="0" rank="0" text="" dxfId="1802">
      <formula>#REF!=1</formula>
    </cfRule>
    <cfRule type="expression" priority="348" aboveAverage="0" equalAverage="0" bottom="0" percent="0" rank="0" text="" dxfId="1803">
      <formula>#REF!=2</formula>
    </cfRule>
    <cfRule type="expression" priority="349" aboveAverage="0" equalAverage="0" bottom="0" percent="0" rank="0" text="" dxfId="1804">
      <formula>#REF!=3</formula>
    </cfRule>
  </conditionalFormatting>
  <conditionalFormatting sqref="M62">
    <cfRule type="expression" priority="350" aboveAverage="0" equalAverage="0" bottom="0" percent="0" rank="0" text="" dxfId="1805">
      <formula>#REF!=1</formula>
    </cfRule>
    <cfRule type="expression" priority="351" aboveAverage="0" equalAverage="0" bottom="0" percent="0" rank="0" text="" dxfId="1806">
      <formula>#REF!=2</formula>
    </cfRule>
    <cfRule type="expression" priority="352" aboveAverage="0" equalAverage="0" bottom="0" percent="0" rank="0" text="" dxfId="1807">
      <formula>#REF!=3</formula>
    </cfRule>
  </conditionalFormatting>
  <conditionalFormatting sqref="K63">
    <cfRule type="expression" priority="353" aboveAverage="0" equalAverage="0" bottom="0" percent="0" rank="0" text="" dxfId="1808">
      <formula>#REF!=1</formula>
    </cfRule>
    <cfRule type="expression" priority="354" aboveAverage="0" equalAverage="0" bottom="0" percent="0" rank="0" text="" dxfId="1809">
      <formula>#REF!=2</formula>
    </cfRule>
    <cfRule type="expression" priority="355" aboveAverage="0" equalAverage="0" bottom="0" percent="0" rank="0" text="" dxfId="1810">
      <formula>#REF!=3</formula>
    </cfRule>
  </conditionalFormatting>
  <conditionalFormatting sqref="M63">
    <cfRule type="expression" priority="356" aboveAverage="0" equalAverage="0" bottom="0" percent="0" rank="0" text="" dxfId="1811">
      <formula>#REF!=1</formula>
    </cfRule>
    <cfRule type="expression" priority="357" aboveAverage="0" equalAverage="0" bottom="0" percent="0" rank="0" text="" dxfId="1812">
      <formula>#REF!=2</formula>
    </cfRule>
    <cfRule type="expression" priority="358" aboveAverage="0" equalAverage="0" bottom="0" percent="0" rank="0" text="" dxfId="1813">
      <formula>#REF!=3</formula>
    </cfRule>
  </conditionalFormatting>
  <conditionalFormatting sqref="K64:K65">
    <cfRule type="expression" priority="359" aboveAverage="0" equalAverage="0" bottom="0" percent="0" rank="0" text="" dxfId="1814">
      <formula>#REF!=1</formula>
    </cfRule>
    <cfRule type="expression" priority="360" aboveAverage="0" equalAverage="0" bottom="0" percent="0" rank="0" text="" dxfId="1815">
      <formula>#REF!=2</formula>
    </cfRule>
    <cfRule type="expression" priority="361" aboveAverage="0" equalAverage="0" bottom="0" percent="0" rank="0" text="" dxfId="1816">
      <formula>#REF!=3</formula>
    </cfRule>
  </conditionalFormatting>
  <conditionalFormatting sqref="M64">
    <cfRule type="expression" priority="362" aboveAverage="0" equalAverage="0" bottom="0" percent="0" rank="0" text="" dxfId="1817">
      <formula>#REF!=1</formula>
    </cfRule>
    <cfRule type="expression" priority="363" aboveAverage="0" equalAverage="0" bottom="0" percent="0" rank="0" text="" dxfId="1818">
      <formula>#REF!=2</formula>
    </cfRule>
    <cfRule type="expression" priority="364" aboveAverage="0" equalAverage="0" bottom="0" percent="0" rank="0" text="" dxfId="1819">
      <formula>#REF!=3</formula>
    </cfRule>
  </conditionalFormatting>
  <conditionalFormatting sqref="M65">
    <cfRule type="expression" priority="365" aboveAverage="0" equalAverage="0" bottom="0" percent="0" rank="0" text="" dxfId="1820">
      <formula>#REF!=1</formula>
    </cfRule>
    <cfRule type="expression" priority="366" aboveAverage="0" equalAverage="0" bottom="0" percent="0" rank="0" text="" dxfId="1821">
      <formula>#REF!=2</formula>
    </cfRule>
    <cfRule type="expression" priority="367" aboveAverage="0" equalAverage="0" bottom="0" percent="0" rank="0" text="" dxfId="1822">
      <formula>#REF!=3</formula>
    </cfRule>
  </conditionalFormatting>
  <conditionalFormatting sqref="K66">
    <cfRule type="expression" priority="368" aboveAverage="0" equalAverage="0" bottom="0" percent="0" rank="0" text="" dxfId="1823">
      <formula>#REF!=1</formula>
    </cfRule>
    <cfRule type="expression" priority="369" aboveAverage="0" equalAverage="0" bottom="0" percent="0" rank="0" text="" dxfId="1824">
      <formula>#REF!=2</formula>
    </cfRule>
    <cfRule type="expression" priority="370" aboveAverage="0" equalAverage="0" bottom="0" percent="0" rank="0" text="" dxfId="1825">
      <formula>#REF!=3</formula>
    </cfRule>
  </conditionalFormatting>
  <conditionalFormatting sqref="M66">
    <cfRule type="expression" priority="371" aboveAverage="0" equalAverage="0" bottom="0" percent="0" rank="0" text="" dxfId="1826">
      <formula>#REF!=1</formula>
    </cfRule>
    <cfRule type="expression" priority="372" aboveAverage="0" equalAverage="0" bottom="0" percent="0" rank="0" text="" dxfId="1827">
      <formula>#REF!=2</formula>
    </cfRule>
    <cfRule type="expression" priority="373" aboveAverage="0" equalAverage="0" bottom="0" percent="0" rank="0" text="" dxfId="1828">
      <formula>#REF!=3</formula>
    </cfRule>
  </conditionalFormatting>
  <conditionalFormatting sqref="K67">
    <cfRule type="expression" priority="374" aboveAverage="0" equalAverage="0" bottom="0" percent="0" rank="0" text="" dxfId="1829">
      <formula>#REF!=1</formula>
    </cfRule>
    <cfRule type="expression" priority="375" aboveAverage="0" equalAverage="0" bottom="0" percent="0" rank="0" text="" dxfId="1830">
      <formula>#REF!=2</formula>
    </cfRule>
    <cfRule type="expression" priority="376" aboveAverage="0" equalAverage="0" bottom="0" percent="0" rank="0" text="" dxfId="1831">
      <formula>#REF!=3</formula>
    </cfRule>
  </conditionalFormatting>
  <conditionalFormatting sqref="M67">
    <cfRule type="expression" priority="377" aboveAverage="0" equalAverage="0" bottom="0" percent="0" rank="0" text="" dxfId="1832">
      <formula>#REF!=1</formula>
    </cfRule>
    <cfRule type="expression" priority="378" aboveAverage="0" equalAverage="0" bottom="0" percent="0" rank="0" text="" dxfId="1833">
      <formula>#REF!=2</formula>
    </cfRule>
    <cfRule type="expression" priority="379" aboveAverage="0" equalAverage="0" bottom="0" percent="0" rank="0" text="" dxfId="1834">
      <formula>#REF!=3</formula>
    </cfRule>
  </conditionalFormatting>
  <conditionalFormatting sqref="K68">
    <cfRule type="expression" priority="380" aboveAverage="0" equalAverage="0" bottom="0" percent="0" rank="0" text="" dxfId="1835">
      <formula>#REF!=1</formula>
    </cfRule>
    <cfRule type="expression" priority="381" aboveAverage="0" equalAverage="0" bottom="0" percent="0" rank="0" text="" dxfId="1836">
      <formula>#REF!=2</formula>
    </cfRule>
    <cfRule type="expression" priority="382" aboveAverage="0" equalAverage="0" bottom="0" percent="0" rank="0" text="" dxfId="1837">
      <formula>#REF!=3</formula>
    </cfRule>
  </conditionalFormatting>
  <conditionalFormatting sqref="M68">
    <cfRule type="expression" priority="383" aboveAverage="0" equalAverage="0" bottom="0" percent="0" rank="0" text="" dxfId="1838">
      <formula>#REF!=1</formula>
    </cfRule>
    <cfRule type="expression" priority="384" aboveAverage="0" equalAverage="0" bottom="0" percent="0" rank="0" text="" dxfId="1839">
      <formula>#REF!=2</formula>
    </cfRule>
    <cfRule type="expression" priority="385" aboveAverage="0" equalAverage="0" bottom="0" percent="0" rank="0" text="" dxfId="1840">
      <formula>#REF!=3</formula>
    </cfRule>
  </conditionalFormatting>
  <conditionalFormatting sqref="K69">
    <cfRule type="expression" priority="386" aboveAverage="0" equalAverage="0" bottom="0" percent="0" rank="0" text="" dxfId="1841">
      <formula>#REF!=1</formula>
    </cfRule>
    <cfRule type="expression" priority="387" aboveAverage="0" equalAverage="0" bottom="0" percent="0" rank="0" text="" dxfId="1842">
      <formula>#REF!=2</formula>
    </cfRule>
    <cfRule type="expression" priority="388" aboveAverage="0" equalAverage="0" bottom="0" percent="0" rank="0" text="" dxfId="1843">
      <formula>#REF!=3</formula>
    </cfRule>
  </conditionalFormatting>
  <conditionalFormatting sqref="M69">
    <cfRule type="expression" priority="389" aboveAverage="0" equalAverage="0" bottom="0" percent="0" rank="0" text="" dxfId="1844">
      <formula>#REF!=1</formula>
    </cfRule>
    <cfRule type="expression" priority="390" aboveAverage="0" equalAverage="0" bottom="0" percent="0" rank="0" text="" dxfId="1845">
      <formula>#REF!=2</formula>
    </cfRule>
    <cfRule type="expression" priority="391" aboveAverage="0" equalAverage="0" bottom="0" percent="0" rank="0" text="" dxfId="1846">
      <formula>#REF!=3</formula>
    </cfRule>
  </conditionalFormatting>
  <conditionalFormatting sqref="K70">
    <cfRule type="expression" priority="392" aboveAverage="0" equalAverage="0" bottom="0" percent="0" rank="0" text="" dxfId="1847">
      <formula>#REF!=1</formula>
    </cfRule>
    <cfRule type="expression" priority="393" aboveAverage="0" equalAverage="0" bottom="0" percent="0" rank="0" text="" dxfId="1848">
      <formula>#REF!=2</formula>
    </cfRule>
    <cfRule type="expression" priority="394" aboveAverage="0" equalAverage="0" bottom="0" percent="0" rank="0" text="" dxfId="1849">
      <formula>#REF!=3</formula>
    </cfRule>
  </conditionalFormatting>
  <conditionalFormatting sqref="M70">
    <cfRule type="expression" priority="395" aboveAverage="0" equalAverage="0" bottom="0" percent="0" rank="0" text="" dxfId="1850">
      <formula>#REF!=1</formula>
    </cfRule>
    <cfRule type="expression" priority="396" aboveAverage="0" equalAverage="0" bottom="0" percent="0" rank="0" text="" dxfId="1851">
      <formula>#REF!=2</formula>
    </cfRule>
    <cfRule type="expression" priority="397" aboveAverage="0" equalAverage="0" bottom="0" percent="0" rank="0" text="" dxfId="1852">
      <formula>#REF!=3</formula>
    </cfRule>
  </conditionalFormatting>
  <conditionalFormatting sqref="K71">
    <cfRule type="expression" priority="398" aboveAverage="0" equalAverage="0" bottom="0" percent="0" rank="0" text="" dxfId="1853">
      <formula>#REF!=1</formula>
    </cfRule>
    <cfRule type="expression" priority="399" aboveAverage="0" equalAverage="0" bottom="0" percent="0" rank="0" text="" dxfId="1854">
      <formula>#REF!=2</formula>
    </cfRule>
    <cfRule type="expression" priority="400" aboveAverage="0" equalAverage="0" bottom="0" percent="0" rank="0" text="" dxfId="1855">
      <formula>#REF!=3</formula>
    </cfRule>
  </conditionalFormatting>
  <conditionalFormatting sqref="M71">
    <cfRule type="expression" priority="401" aboveAverage="0" equalAverage="0" bottom="0" percent="0" rank="0" text="" dxfId="1856">
      <formula>#REF!=1</formula>
    </cfRule>
    <cfRule type="expression" priority="402" aboveAverage="0" equalAverage="0" bottom="0" percent="0" rank="0" text="" dxfId="1857">
      <formula>#REF!=2</formula>
    </cfRule>
    <cfRule type="expression" priority="403" aboveAverage="0" equalAverage="0" bottom="0" percent="0" rank="0" text="" dxfId="1858">
      <formula>#REF!=3</formula>
    </cfRule>
  </conditionalFormatting>
  <conditionalFormatting sqref="K72">
    <cfRule type="expression" priority="404" aboveAverage="0" equalAverage="0" bottom="0" percent="0" rank="0" text="" dxfId="1859">
      <formula>#REF!=1</formula>
    </cfRule>
    <cfRule type="expression" priority="405" aboveAverage="0" equalAverage="0" bottom="0" percent="0" rank="0" text="" dxfId="1860">
      <formula>#REF!=2</formula>
    </cfRule>
    <cfRule type="expression" priority="406" aboveAverage="0" equalAverage="0" bottom="0" percent="0" rank="0" text="" dxfId="1861">
      <formula>#REF!=3</formula>
    </cfRule>
  </conditionalFormatting>
  <conditionalFormatting sqref="M72">
    <cfRule type="expression" priority="407" aboveAverage="0" equalAverage="0" bottom="0" percent="0" rank="0" text="" dxfId="1862">
      <formula>#REF!=1</formula>
    </cfRule>
    <cfRule type="expression" priority="408" aboveAverage="0" equalAverage="0" bottom="0" percent="0" rank="0" text="" dxfId="1863">
      <formula>#REF!=2</formula>
    </cfRule>
    <cfRule type="expression" priority="409" aboveAverage="0" equalAverage="0" bottom="0" percent="0" rank="0" text="" dxfId="1864">
      <formula>#REF!=3</formula>
    </cfRule>
  </conditionalFormatting>
  <conditionalFormatting sqref="K73:K74">
    <cfRule type="expression" priority="410" aboveAverage="0" equalAverage="0" bottom="0" percent="0" rank="0" text="" dxfId="1865">
      <formula>#REF!=1</formula>
    </cfRule>
    <cfRule type="expression" priority="411" aboveAverage="0" equalAverage="0" bottom="0" percent="0" rank="0" text="" dxfId="1866">
      <formula>#REF!=2</formula>
    </cfRule>
    <cfRule type="expression" priority="412" aboveAverage="0" equalAverage="0" bottom="0" percent="0" rank="0" text="" dxfId="1867">
      <formula>#REF!=3</formula>
    </cfRule>
  </conditionalFormatting>
  <conditionalFormatting sqref="M73">
    <cfRule type="expression" priority="413" aboveAverage="0" equalAverage="0" bottom="0" percent="0" rank="0" text="" dxfId="1868">
      <formula>#REF!=1</formula>
    </cfRule>
    <cfRule type="expression" priority="414" aboveAverage="0" equalAverage="0" bottom="0" percent="0" rank="0" text="" dxfId="1869">
      <formula>#REF!=2</formula>
    </cfRule>
    <cfRule type="expression" priority="415" aboveAverage="0" equalAverage="0" bottom="0" percent="0" rank="0" text="" dxfId="1870">
      <formula>#REF!=3</formula>
    </cfRule>
  </conditionalFormatting>
  <conditionalFormatting sqref="M74">
    <cfRule type="expression" priority="416" aboveAverage="0" equalAverage="0" bottom="0" percent="0" rank="0" text="" dxfId="1871">
      <formula>#REF!=1</formula>
    </cfRule>
    <cfRule type="expression" priority="417" aboveAverage="0" equalAverage="0" bottom="0" percent="0" rank="0" text="" dxfId="1872">
      <formula>#REF!=2</formula>
    </cfRule>
    <cfRule type="expression" priority="418" aboveAverage="0" equalAverage="0" bottom="0" percent="0" rank="0" text="" dxfId="1873">
      <formula>#REF!=3</formula>
    </cfRule>
  </conditionalFormatting>
  <conditionalFormatting sqref="K75">
    <cfRule type="expression" priority="419" aboveAverage="0" equalAverage="0" bottom="0" percent="0" rank="0" text="" dxfId="1874">
      <formula>#REF!=1</formula>
    </cfRule>
    <cfRule type="expression" priority="420" aboveAverage="0" equalAverage="0" bottom="0" percent="0" rank="0" text="" dxfId="1875">
      <formula>#REF!=2</formula>
    </cfRule>
    <cfRule type="expression" priority="421" aboveAverage="0" equalAverage="0" bottom="0" percent="0" rank="0" text="" dxfId="1876">
      <formula>#REF!=3</formula>
    </cfRule>
  </conditionalFormatting>
  <conditionalFormatting sqref="M75">
    <cfRule type="expression" priority="422" aboveAverage="0" equalAverage="0" bottom="0" percent="0" rank="0" text="" dxfId="1877">
      <formula>#REF!=1</formula>
    </cfRule>
    <cfRule type="expression" priority="423" aboveAverage="0" equalAverage="0" bottom="0" percent="0" rank="0" text="" dxfId="1878">
      <formula>#REF!=2</formula>
    </cfRule>
    <cfRule type="expression" priority="424" aboveAverage="0" equalAverage="0" bottom="0" percent="0" rank="0" text="" dxfId="1879">
      <formula>#REF!=3</formula>
    </cfRule>
  </conditionalFormatting>
  <conditionalFormatting sqref="K76">
    <cfRule type="expression" priority="425" aboveAverage="0" equalAverage="0" bottom="0" percent="0" rank="0" text="" dxfId="1880">
      <formula>#REF!=1</formula>
    </cfRule>
    <cfRule type="expression" priority="426" aboveAverage="0" equalAverage="0" bottom="0" percent="0" rank="0" text="" dxfId="1881">
      <formula>#REF!=2</formula>
    </cfRule>
    <cfRule type="expression" priority="427" aboveAverage="0" equalAverage="0" bottom="0" percent="0" rank="0" text="" dxfId="1882">
      <formula>#REF!=3</formula>
    </cfRule>
  </conditionalFormatting>
  <conditionalFormatting sqref="M76">
    <cfRule type="expression" priority="428" aboveAverage="0" equalAverage="0" bottom="0" percent="0" rank="0" text="" dxfId="1883">
      <formula>#REF!=1</formula>
    </cfRule>
    <cfRule type="expression" priority="429" aboveAverage="0" equalAverage="0" bottom="0" percent="0" rank="0" text="" dxfId="1884">
      <formula>#REF!=2</formula>
    </cfRule>
    <cfRule type="expression" priority="430" aboveAverage="0" equalAverage="0" bottom="0" percent="0" rank="0" text="" dxfId="1885">
      <formula>#REF!=3</formula>
    </cfRule>
  </conditionalFormatting>
  <conditionalFormatting sqref="K77">
    <cfRule type="expression" priority="431" aboveAverage="0" equalAverage="0" bottom="0" percent="0" rank="0" text="" dxfId="1886">
      <formula>#REF!=1</formula>
    </cfRule>
    <cfRule type="expression" priority="432" aboveAverage="0" equalAverage="0" bottom="0" percent="0" rank="0" text="" dxfId="1887">
      <formula>#REF!=2</formula>
    </cfRule>
    <cfRule type="expression" priority="433" aboveAverage="0" equalAverage="0" bottom="0" percent="0" rank="0" text="" dxfId="1888">
      <formula>#REF!=3</formula>
    </cfRule>
  </conditionalFormatting>
  <conditionalFormatting sqref="M77">
    <cfRule type="expression" priority="434" aboveAverage="0" equalAverage="0" bottom="0" percent="0" rank="0" text="" dxfId="1889">
      <formula>#REF!=1</formula>
    </cfRule>
    <cfRule type="expression" priority="435" aboveAverage="0" equalAverage="0" bottom="0" percent="0" rank="0" text="" dxfId="1890">
      <formula>#REF!=2</formula>
    </cfRule>
    <cfRule type="expression" priority="436" aboveAverage="0" equalAverage="0" bottom="0" percent="0" rank="0" text="" dxfId="1891">
      <formula>#REF!=3</formula>
    </cfRule>
  </conditionalFormatting>
  <conditionalFormatting sqref="K78">
    <cfRule type="expression" priority="437" aboveAverage="0" equalAverage="0" bottom="0" percent="0" rank="0" text="" dxfId="1892">
      <formula>#REF!=1</formula>
    </cfRule>
    <cfRule type="expression" priority="438" aboveAverage="0" equalAverage="0" bottom="0" percent="0" rank="0" text="" dxfId="1893">
      <formula>#REF!=2</formula>
    </cfRule>
    <cfRule type="expression" priority="439" aboveAverage="0" equalAverage="0" bottom="0" percent="0" rank="0" text="" dxfId="1894">
      <formula>#REF!=3</formula>
    </cfRule>
  </conditionalFormatting>
  <conditionalFormatting sqref="M78">
    <cfRule type="expression" priority="440" aboveAverage="0" equalAverage="0" bottom="0" percent="0" rank="0" text="" dxfId="1895">
      <formula>#REF!=1</formula>
    </cfRule>
    <cfRule type="expression" priority="441" aboveAverage="0" equalAverage="0" bottom="0" percent="0" rank="0" text="" dxfId="1896">
      <formula>#REF!=2</formula>
    </cfRule>
    <cfRule type="expression" priority="442" aboveAverage="0" equalAverage="0" bottom="0" percent="0" rank="0" text="" dxfId="1897">
      <formula>#REF!=3</formula>
    </cfRule>
  </conditionalFormatting>
  <conditionalFormatting sqref="K79:K81">
    <cfRule type="expression" priority="443" aboveAverage="0" equalAverage="0" bottom="0" percent="0" rank="0" text="" dxfId="1898">
      <formula>#REF!=1</formula>
    </cfRule>
    <cfRule type="expression" priority="444" aboveAverage="0" equalAverage="0" bottom="0" percent="0" rank="0" text="" dxfId="1899">
      <formula>#REF!=2</formula>
    </cfRule>
    <cfRule type="expression" priority="445" aboveAverage="0" equalAverage="0" bottom="0" percent="0" rank="0" text="" dxfId="1900">
      <formula>#REF!=3</formula>
    </cfRule>
  </conditionalFormatting>
  <conditionalFormatting sqref="M80">
    <cfRule type="expression" priority="446" aboveAverage="0" equalAverage="0" bottom="0" percent="0" rank="0" text="" dxfId="1901">
      <formula>#REF!=1</formula>
    </cfRule>
    <cfRule type="expression" priority="447" aboveAverage="0" equalAverage="0" bottom="0" percent="0" rank="0" text="" dxfId="1902">
      <formula>#REF!=2</formula>
    </cfRule>
    <cfRule type="expression" priority="448" aboveAverage="0" equalAverage="0" bottom="0" percent="0" rank="0" text="" dxfId="1903">
      <formula>#REF!=3</formula>
    </cfRule>
  </conditionalFormatting>
  <conditionalFormatting sqref="M79">
    <cfRule type="expression" priority="449" aboveAverage="0" equalAverage="0" bottom="0" percent="0" rank="0" text="" dxfId="1904">
      <formula>#REF!=1</formula>
    </cfRule>
    <cfRule type="expression" priority="450" aboveAverage="0" equalAverage="0" bottom="0" percent="0" rank="0" text="" dxfId="1905">
      <formula>#REF!=2</formula>
    </cfRule>
    <cfRule type="expression" priority="451" aboveAverage="0" equalAverage="0" bottom="0" percent="0" rank="0" text="" dxfId="1906">
      <formula>#REF!=3</formula>
    </cfRule>
  </conditionalFormatting>
  <conditionalFormatting sqref="M81">
    <cfRule type="expression" priority="452" aboveAverage="0" equalAverage="0" bottom="0" percent="0" rank="0" text="" dxfId="1907">
      <formula>#REF!=1</formula>
    </cfRule>
    <cfRule type="expression" priority="453" aboveAverage="0" equalAverage="0" bottom="0" percent="0" rank="0" text="" dxfId="1908">
      <formula>#REF!=2</formula>
    </cfRule>
    <cfRule type="expression" priority="454" aboveAverage="0" equalAverage="0" bottom="0" percent="0" rank="0" text="" dxfId="1909">
      <formula>#REF!=3</formula>
    </cfRule>
  </conditionalFormatting>
  <conditionalFormatting sqref="K82">
    <cfRule type="expression" priority="455" aboveAverage="0" equalAverage="0" bottom="0" percent="0" rank="0" text="" dxfId="1910">
      <formula>#REF!=1</formula>
    </cfRule>
    <cfRule type="expression" priority="456" aboveAverage="0" equalAverage="0" bottom="0" percent="0" rank="0" text="" dxfId="1911">
      <formula>#REF!=2</formula>
    </cfRule>
    <cfRule type="expression" priority="457" aboveAverage="0" equalAverage="0" bottom="0" percent="0" rank="0" text="" dxfId="1912">
      <formula>#REF!=3</formula>
    </cfRule>
  </conditionalFormatting>
  <conditionalFormatting sqref="M82">
    <cfRule type="expression" priority="458" aboveAverage="0" equalAverage="0" bottom="0" percent="0" rank="0" text="" dxfId="1913">
      <formula>#REF!=1</formula>
    </cfRule>
    <cfRule type="expression" priority="459" aboveAverage="0" equalAverage="0" bottom="0" percent="0" rank="0" text="" dxfId="1914">
      <formula>#REF!=2</formula>
    </cfRule>
    <cfRule type="expression" priority="460" aboveAverage="0" equalAverage="0" bottom="0" percent="0" rank="0" text="" dxfId="1915">
      <formula>#REF!=3</formula>
    </cfRule>
  </conditionalFormatting>
  <conditionalFormatting sqref="K83">
    <cfRule type="expression" priority="461" aboveAverage="0" equalAverage="0" bottom="0" percent="0" rank="0" text="" dxfId="1916">
      <formula>#REF!=1</formula>
    </cfRule>
    <cfRule type="expression" priority="462" aboveAverage="0" equalAverage="0" bottom="0" percent="0" rank="0" text="" dxfId="1917">
      <formula>#REF!=2</formula>
    </cfRule>
    <cfRule type="expression" priority="463" aboveAverage="0" equalAverage="0" bottom="0" percent="0" rank="0" text="" dxfId="1918">
      <formula>#REF!=3</formula>
    </cfRule>
  </conditionalFormatting>
  <conditionalFormatting sqref="M83">
    <cfRule type="expression" priority="464" aboveAverage="0" equalAverage="0" bottom="0" percent="0" rank="0" text="" dxfId="1919">
      <formula>#REF!=1</formula>
    </cfRule>
    <cfRule type="expression" priority="465" aboveAverage="0" equalAverage="0" bottom="0" percent="0" rank="0" text="" dxfId="1920">
      <formula>#REF!=2</formula>
    </cfRule>
    <cfRule type="expression" priority="466" aboveAverage="0" equalAverage="0" bottom="0" percent="0" rank="0" text="" dxfId="1921">
      <formula>#REF!=3</formula>
    </cfRule>
  </conditionalFormatting>
  <conditionalFormatting sqref="K84:K88">
    <cfRule type="expression" priority="467" aboveAverage="0" equalAverage="0" bottom="0" percent="0" rank="0" text="" dxfId="1922">
      <formula>#REF!=1</formula>
    </cfRule>
    <cfRule type="expression" priority="468" aboveAverage="0" equalAverage="0" bottom="0" percent="0" rank="0" text="" dxfId="1923">
      <formula>#REF!=2</formula>
    </cfRule>
    <cfRule type="expression" priority="469" aboveAverage="0" equalAverage="0" bottom="0" percent="0" rank="0" text="" dxfId="1924">
      <formula>#REF!=3</formula>
    </cfRule>
  </conditionalFormatting>
  <conditionalFormatting sqref="M88">
    <cfRule type="expression" priority="470" aboveAverage="0" equalAverage="0" bottom="0" percent="0" rank="0" text="" dxfId="1925">
      <formula>#REF!=1</formula>
    </cfRule>
    <cfRule type="expression" priority="471" aboveAverage="0" equalAverage="0" bottom="0" percent="0" rank="0" text="" dxfId="1926">
      <formula>#REF!=2</formula>
    </cfRule>
    <cfRule type="expression" priority="472" aboveAverage="0" equalAverage="0" bottom="0" percent="0" rank="0" text="" dxfId="1927">
      <formula>#REF!=3</formula>
    </cfRule>
  </conditionalFormatting>
  <conditionalFormatting sqref="M84">
    <cfRule type="expression" priority="473" aboveAverage="0" equalAverage="0" bottom="0" percent="0" rank="0" text="" dxfId="1928">
      <formula>#REF!=1</formula>
    </cfRule>
    <cfRule type="expression" priority="474" aboveAverage="0" equalAverage="0" bottom="0" percent="0" rank="0" text="" dxfId="1929">
      <formula>#REF!=2</formula>
    </cfRule>
    <cfRule type="expression" priority="475" aboveAverage="0" equalAverage="0" bottom="0" percent="0" rank="0" text="" dxfId="1930">
      <formula>#REF!=3</formula>
    </cfRule>
  </conditionalFormatting>
  <conditionalFormatting sqref="M87">
    <cfRule type="expression" priority="476" aboveAverage="0" equalAverage="0" bottom="0" percent="0" rank="0" text="" dxfId="1931">
      <formula>#REF!=1</formula>
    </cfRule>
    <cfRule type="expression" priority="477" aboveAverage="0" equalAverage="0" bottom="0" percent="0" rank="0" text="" dxfId="1932">
      <formula>#REF!=2</formula>
    </cfRule>
    <cfRule type="expression" priority="478" aboveAverage="0" equalAverage="0" bottom="0" percent="0" rank="0" text="" dxfId="1933">
      <formula>#REF!=3</formula>
    </cfRule>
  </conditionalFormatting>
  <conditionalFormatting sqref="M85">
    <cfRule type="expression" priority="479" aboveAverage="0" equalAverage="0" bottom="0" percent="0" rank="0" text="" dxfId="1934">
      <formula>#REF!=1</formula>
    </cfRule>
    <cfRule type="expression" priority="480" aboveAverage="0" equalAverage="0" bottom="0" percent="0" rank="0" text="" dxfId="1935">
      <formula>#REF!=2</formula>
    </cfRule>
    <cfRule type="expression" priority="481" aboveAverage="0" equalAverage="0" bottom="0" percent="0" rank="0" text="" dxfId="1936">
      <formula>#REF!=3</formula>
    </cfRule>
  </conditionalFormatting>
  <conditionalFormatting sqref="M86">
    <cfRule type="expression" priority="482" aboveAverage="0" equalAverage="0" bottom="0" percent="0" rank="0" text="" dxfId="1937">
      <formula>#REF!=1</formula>
    </cfRule>
    <cfRule type="expression" priority="483" aboveAverage="0" equalAverage="0" bottom="0" percent="0" rank="0" text="" dxfId="1938">
      <formula>#REF!=2</formula>
    </cfRule>
    <cfRule type="expression" priority="484" aboveAverage="0" equalAverage="0" bottom="0" percent="0" rank="0" text="" dxfId="1939">
      <formula>#REF!=3</formula>
    </cfRule>
  </conditionalFormatting>
  <conditionalFormatting sqref="K89">
    <cfRule type="expression" priority="485" aboveAverage="0" equalAverage="0" bottom="0" percent="0" rank="0" text="" dxfId="1940">
      <formula>#REF!=1</formula>
    </cfRule>
    <cfRule type="expression" priority="486" aboveAverage="0" equalAverage="0" bottom="0" percent="0" rank="0" text="" dxfId="1941">
      <formula>#REF!=2</formula>
    </cfRule>
    <cfRule type="expression" priority="487" aboveAverage="0" equalAverage="0" bottom="0" percent="0" rank="0" text="" dxfId="1942">
      <formula>#REF!=3</formula>
    </cfRule>
  </conditionalFormatting>
  <conditionalFormatting sqref="M89">
    <cfRule type="expression" priority="488" aboveAverage="0" equalAverage="0" bottom="0" percent="0" rank="0" text="" dxfId="1943">
      <formula>#REF!=1</formula>
    </cfRule>
    <cfRule type="expression" priority="489" aboveAverage="0" equalAverage="0" bottom="0" percent="0" rank="0" text="" dxfId="1944">
      <formula>#REF!=2</formula>
    </cfRule>
    <cfRule type="expression" priority="490" aboveAverage="0" equalAverage="0" bottom="0" percent="0" rank="0" text="" dxfId="1945">
      <formula>#REF!=3</formula>
    </cfRule>
  </conditionalFormatting>
  <conditionalFormatting sqref="K90">
    <cfRule type="expression" priority="491" aboveAverage="0" equalAverage="0" bottom="0" percent="0" rank="0" text="" dxfId="1946">
      <formula>#REF!=1</formula>
    </cfRule>
    <cfRule type="expression" priority="492" aboveAverage="0" equalAverage="0" bottom="0" percent="0" rank="0" text="" dxfId="1947">
      <formula>#REF!=2</formula>
    </cfRule>
    <cfRule type="expression" priority="493" aboveAverage="0" equalAverage="0" bottom="0" percent="0" rank="0" text="" dxfId="1948">
      <formula>#REF!=3</formula>
    </cfRule>
  </conditionalFormatting>
  <conditionalFormatting sqref="M90">
    <cfRule type="expression" priority="494" aboveAverage="0" equalAverage="0" bottom="0" percent="0" rank="0" text="" dxfId="1949">
      <formula>#REF!=1</formula>
    </cfRule>
    <cfRule type="expression" priority="495" aboveAverage="0" equalAverage="0" bottom="0" percent="0" rank="0" text="" dxfId="1950">
      <formula>#REF!=2</formula>
    </cfRule>
    <cfRule type="expression" priority="496" aboveAverage="0" equalAverage="0" bottom="0" percent="0" rank="0" text="" dxfId="1951">
      <formula>#REF!=3</formula>
    </cfRule>
  </conditionalFormatting>
  <conditionalFormatting sqref="K91">
    <cfRule type="expression" priority="497" aboveAverage="0" equalAverage="0" bottom="0" percent="0" rank="0" text="" dxfId="1952">
      <formula>#REF!=1</formula>
    </cfRule>
    <cfRule type="expression" priority="498" aboveAverage="0" equalAverage="0" bottom="0" percent="0" rank="0" text="" dxfId="1953">
      <formula>#REF!=2</formula>
    </cfRule>
    <cfRule type="expression" priority="499" aboveAverage="0" equalAverage="0" bottom="0" percent="0" rank="0" text="" dxfId="1954">
      <formula>#REF!=3</formula>
    </cfRule>
  </conditionalFormatting>
  <conditionalFormatting sqref="M91">
    <cfRule type="expression" priority="500" aboveAverage="0" equalAverage="0" bottom="0" percent="0" rank="0" text="" dxfId="1955">
      <formula>#REF!=1</formula>
    </cfRule>
    <cfRule type="expression" priority="501" aboveAverage="0" equalAverage="0" bottom="0" percent="0" rank="0" text="" dxfId="1956">
      <formula>#REF!=2</formula>
    </cfRule>
    <cfRule type="expression" priority="502" aboveAverage="0" equalAverage="0" bottom="0" percent="0" rank="0" text="" dxfId="1957">
      <formula>#REF!=3</formula>
    </cfRule>
  </conditionalFormatting>
  <conditionalFormatting sqref="K92:K100">
    <cfRule type="expression" priority="503" aboveAverage="0" equalAverage="0" bottom="0" percent="0" rank="0" text="" dxfId="1958">
      <formula>#REF!=1</formula>
    </cfRule>
    <cfRule type="expression" priority="504" aboveAverage="0" equalAverage="0" bottom="0" percent="0" rank="0" text="" dxfId="1959">
      <formula>#REF!=2</formula>
    </cfRule>
    <cfRule type="expression" priority="505" aboveAverage="0" equalAverage="0" bottom="0" percent="0" rank="0" text="" dxfId="1960">
      <formula>#REF!=3</formula>
    </cfRule>
  </conditionalFormatting>
  <conditionalFormatting sqref="M93">
    <cfRule type="expression" priority="506" aboveAverage="0" equalAverage="0" bottom="0" percent="0" rank="0" text="" dxfId="1961">
      <formula>#REF!=1</formula>
    </cfRule>
    <cfRule type="expression" priority="507" aboveAverage="0" equalAverage="0" bottom="0" percent="0" rank="0" text="" dxfId="1962">
      <formula>#REF!=2</formula>
    </cfRule>
    <cfRule type="expression" priority="508" aboveAverage="0" equalAverage="0" bottom="0" percent="0" rank="0" text="" dxfId="1963">
      <formula>#REF!=3</formula>
    </cfRule>
  </conditionalFormatting>
  <conditionalFormatting sqref="M96">
    <cfRule type="expression" priority="509" aboveAverage="0" equalAverage="0" bottom="0" percent="0" rank="0" text="" dxfId="1964">
      <formula>#REF!=1</formula>
    </cfRule>
    <cfRule type="expression" priority="510" aboveAverage="0" equalAverage="0" bottom="0" percent="0" rank="0" text="" dxfId="1965">
      <formula>#REF!=2</formula>
    </cfRule>
    <cfRule type="expression" priority="511" aboveAverage="0" equalAverage="0" bottom="0" percent="0" rank="0" text="" dxfId="1966">
      <formula>#REF!=3</formula>
    </cfRule>
  </conditionalFormatting>
  <conditionalFormatting sqref="M92">
    <cfRule type="expression" priority="512" aboveAverage="0" equalAverage="0" bottom="0" percent="0" rank="0" text="" dxfId="1967">
      <formula>#REF!=1</formula>
    </cfRule>
    <cfRule type="expression" priority="513" aboveAverage="0" equalAverage="0" bottom="0" percent="0" rank="0" text="" dxfId="1968">
      <formula>#REF!=2</formula>
    </cfRule>
    <cfRule type="expression" priority="514" aboveAverage="0" equalAverage="0" bottom="0" percent="0" rank="0" text="" dxfId="1969">
      <formula>#REF!=3</formula>
    </cfRule>
  </conditionalFormatting>
  <conditionalFormatting sqref="M98">
    <cfRule type="expression" priority="515" aboveAverage="0" equalAverage="0" bottom="0" percent="0" rank="0" text="" dxfId="1970">
      <formula>#REF!=1</formula>
    </cfRule>
    <cfRule type="expression" priority="516" aboveAverage="0" equalAverage="0" bottom="0" percent="0" rank="0" text="" dxfId="1971">
      <formula>#REF!=2</formula>
    </cfRule>
    <cfRule type="expression" priority="517" aboveAverage="0" equalAverage="0" bottom="0" percent="0" rank="0" text="" dxfId="1972">
      <formula>#REF!=3</formula>
    </cfRule>
  </conditionalFormatting>
  <conditionalFormatting sqref="M97">
    <cfRule type="expression" priority="518" aboveAverage="0" equalAverage="0" bottom="0" percent="0" rank="0" text="" dxfId="1973">
      <formula>#REF!=1</formula>
    </cfRule>
    <cfRule type="expression" priority="519" aboveAverage="0" equalAverage="0" bottom="0" percent="0" rank="0" text="" dxfId="1974">
      <formula>#REF!=2</formula>
    </cfRule>
    <cfRule type="expression" priority="520" aboveAverage="0" equalAverage="0" bottom="0" percent="0" rank="0" text="" dxfId="1975">
      <formula>#REF!=3</formula>
    </cfRule>
  </conditionalFormatting>
  <conditionalFormatting sqref="M99 M94">
    <cfRule type="expression" priority="521" aboveAverage="0" equalAverage="0" bottom="0" percent="0" rank="0" text="" dxfId="1976">
      <formula>#REF!=1</formula>
    </cfRule>
    <cfRule type="expression" priority="522" aboveAverage="0" equalAverage="0" bottom="0" percent="0" rank="0" text="" dxfId="1977">
      <formula>#REF!=2</formula>
    </cfRule>
    <cfRule type="expression" priority="523" aboveAverage="0" equalAverage="0" bottom="0" percent="0" rank="0" text="" dxfId="1978">
      <formula>#REF!=3</formula>
    </cfRule>
  </conditionalFormatting>
  <conditionalFormatting sqref="M95">
    <cfRule type="expression" priority="524" aboveAverage="0" equalAverage="0" bottom="0" percent="0" rank="0" text="" dxfId="1979">
      <formula>#REF!=1</formula>
    </cfRule>
    <cfRule type="expression" priority="525" aboveAverage="0" equalAverage="0" bottom="0" percent="0" rank="0" text="" dxfId="1980">
      <formula>#REF!=2</formula>
    </cfRule>
    <cfRule type="expression" priority="526" aboveAverage="0" equalAverage="0" bottom="0" percent="0" rank="0" text="" dxfId="1981">
      <formula>#REF!=3</formula>
    </cfRule>
  </conditionalFormatting>
  <conditionalFormatting sqref="M100">
    <cfRule type="expression" priority="527" aboveAverage="0" equalAverage="0" bottom="0" percent="0" rank="0" text="" dxfId="1982">
      <formula>#REF!=1</formula>
    </cfRule>
    <cfRule type="expression" priority="528" aboveAverage="0" equalAverage="0" bottom="0" percent="0" rank="0" text="" dxfId="1983">
      <formula>#REF!=2</formula>
    </cfRule>
    <cfRule type="expression" priority="529" aboveAverage="0" equalAverage="0" bottom="0" percent="0" rank="0" text="" dxfId="1984">
      <formula>#REF!=3</formula>
    </cfRule>
  </conditionalFormatting>
  <conditionalFormatting sqref="K101:K102">
    <cfRule type="expression" priority="530" aboveAverage="0" equalAverage="0" bottom="0" percent="0" rank="0" text="" dxfId="1985">
      <formula>#REF!=1</formula>
    </cfRule>
    <cfRule type="expression" priority="531" aboveAverage="0" equalAverage="0" bottom="0" percent="0" rank="0" text="" dxfId="1986">
      <formula>#REF!=2</formula>
    </cfRule>
    <cfRule type="expression" priority="532" aboveAverage="0" equalAverage="0" bottom="0" percent="0" rank="0" text="" dxfId="1987">
      <formula>#REF!=3</formula>
    </cfRule>
  </conditionalFormatting>
  <conditionalFormatting sqref="M101">
    <cfRule type="expression" priority="533" aboveAverage="0" equalAverage="0" bottom="0" percent="0" rank="0" text="" dxfId="1988">
      <formula>#REF!=1</formula>
    </cfRule>
    <cfRule type="expression" priority="534" aboveAverage="0" equalAverage="0" bottom="0" percent="0" rank="0" text="" dxfId="1989">
      <formula>#REF!=2</formula>
    </cfRule>
    <cfRule type="expression" priority="535" aboveAverage="0" equalAverage="0" bottom="0" percent="0" rank="0" text="" dxfId="1990">
      <formula>#REF!=3</formula>
    </cfRule>
  </conditionalFormatting>
  <conditionalFormatting sqref="M102">
    <cfRule type="expression" priority="536" aboveAverage="0" equalAverage="0" bottom="0" percent="0" rank="0" text="" dxfId="1991">
      <formula>#REF!=1</formula>
    </cfRule>
    <cfRule type="expression" priority="537" aboveAverage="0" equalAverage="0" bottom="0" percent="0" rank="0" text="" dxfId="1992">
      <formula>#REF!=2</formula>
    </cfRule>
    <cfRule type="expression" priority="538" aboveAverage="0" equalAverage="0" bottom="0" percent="0" rank="0" text="" dxfId="1993">
      <formula>#REF!=3</formula>
    </cfRule>
  </conditionalFormatting>
  <conditionalFormatting sqref="K103">
    <cfRule type="expression" priority="539" aboveAverage="0" equalAverage="0" bottom="0" percent="0" rank="0" text="" dxfId="1994">
      <formula>#REF!=1</formula>
    </cfRule>
    <cfRule type="expression" priority="540" aboveAverage="0" equalAverage="0" bottom="0" percent="0" rank="0" text="" dxfId="1995">
      <formula>#REF!=2</formula>
    </cfRule>
    <cfRule type="expression" priority="541" aboveAverage="0" equalAverage="0" bottom="0" percent="0" rank="0" text="" dxfId="1996">
      <formula>#REF!=3</formula>
    </cfRule>
  </conditionalFormatting>
  <conditionalFormatting sqref="M103">
    <cfRule type="expression" priority="542" aboveAverage="0" equalAverage="0" bottom="0" percent="0" rank="0" text="" dxfId="1997">
      <formula>#REF!=1</formula>
    </cfRule>
    <cfRule type="expression" priority="543" aboveAverage="0" equalAverage="0" bottom="0" percent="0" rank="0" text="" dxfId="1998">
      <formula>#REF!=2</formula>
    </cfRule>
    <cfRule type="expression" priority="544" aboveAverage="0" equalAverage="0" bottom="0" percent="0" rank="0" text="" dxfId="1999">
      <formula>#REF!=3</formula>
    </cfRule>
  </conditionalFormatting>
  <conditionalFormatting sqref="K104">
    <cfRule type="expression" priority="545" aboveAverage="0" equalAverage="0" bottom="0" percent="0" rank="0" text="" dxfId="2000">
      <formula>#REF!=1</formula>
    </cfRule>
    <cfRule type="expression" priority="546" aboveAverage="0" equalAverage="0" bottom="0" percent="0" rank="0" text="" dxfId="2001">
      <formula>#REF!=2</formula>
    </cfRule>
    <cfRule type="expression" priority="547" aboveAverage="0" equalAverage="0" bottom="0" percent="0" rank="0" text="" dxfId="2002">
      <formula>#REF!=3</formula>
    </cfRule>
  </conditionalFormatting>
  <conditionalFormatting sqref="M104">
    <cfRule type="expression" priority="548" aboveAverage="0" equalAverage="0" bottom="0" percent="0" rank="0" text="" dxfId="2003">
      <formula>#REF!=1</formula>
    </cfRule>
    <cfRule type="expression" priority="549" aboveAverage="0" equalAverage="0" bottom="0" percent="0" rank="0" text="" dxfId="2004">
      <formula>#REF!=2</formula>
    </cfRule>
    <cfRule type="expression" priority="550" aboveAverage="0" equalAverage="0" bottom="0" percent="0" rank="0" text="" dxfId="2005">
      <formula>#REF!=3</formula>
    </cfRule>
  </conditionalFormatting>
  <conditionalFormatting sqref="K105">
    <cfRule type="expression" priority="551" aboveAverage="0" equalAverage="0" bottom="0" percent="0" rank="0" text="" dxfId="2006">
      <formula>#REF!=1</formula>
    </cfRule>
    <cfRule type="expression" priority="552" aboveAverage="0" equalAverage="0" bottom="0" percent="0" rank="0" text="" dxfId="2007">
      <formula>#REF!=2</formula>
    </cfRule>
    <cfRule type="expression" priority="553" aboveAverage="0" equalAverage="0" bottom="0" percent="0" rank="0" text="" dxfId="2008">
      <formula>#REF!=3</formula>
    </cfRule>
  </conditionalFormatting>
  <conditionalFormatting sqref="M105">
    <cfRule type="expression" priority="554" aboveAverage="0" equalAverage="0" bottom="0" percent="0" rank="0" text="" dxfId="2009">
      <formula>#REF!=1</formula>
    </cfRule>
    <cfRule type="expression" priority="555" aboveAverage="0" equalAverage="0" bottom="0" percent="0" rank="0" text="" dxfId="2010">
      <formula>#REF!=2</formula>
    </cfRule>
    <cfRule type="expression" priority="556" aboveAverage="0" equalAverage="0" bottom="0" percent="0" rank="0" text="" dxfId="2011">
      <formula>#REF!=3</formula>
    </cfRule>
  </conditionalFormatting>
  <conditionalFormatting sqref="K106">
    <cfRule type="expression" priority="557" aboveAverage="0" equalAverage="0" bottom="0" percent="0" rank="0" text="" dxfId="2012">
      <formula>#REF!=1</formula>
    </cfRule>
    <cfRule type="expression" priority="558" aboveAverage="0" equalAverage="0" bottom="0" percent="0" rank="0" text="" dxfId="2013">
      <formula>#REF!=2</formula>
    </cfRule>
    <cfRule type="expression" priority="559" aboveAverage="0" equalAverage="0" bottom="0" percent="0" rank="0" text="" dxfId="2014">
      <formula>#REF!=3</formula>
    </cfRule>
  </conditionalFormatting>
  <conditionalFormatting sqref="M106">
    <cfRule type="expression" priority="560" aboveAverage="0" equalAverage="0" bottom="0" percent="0" rank="0" text="" dxfId="2015">
      <formula>#REF!=1</formula>
    </cfRule>
    <cfRule type="expression" priority="561" aboveAverage="0" equalAverage="0" bottom="0" percent="0" rank="0" text="" dxfId="2016">
      <formula>#REF!=2</formula>
    </cfRule>
    <cfRule type="expression" priority="562" aboveAverage="0" equalAverage="0" bottom="0" percent="0" rank="0" text="" dxfId="2017">
      <formula>#REF!=3</formula>
    </cfRule>
  </conditionalFormatting>
  <conditionalFormatting sqref="K107">
    <cfRule type="expression" priority="563" aboveAverage="0" equalAverage="0" bottom="0" percent="0" rank="0" text="" dxfId="2018">
      <formula>#REF!=1</formula>
    </cfRule>
    <cfRule type="expression" priority="564" aboveAverage="0" equalAverage="0" bottom="0" percent="0" rank="0" text="" dxfId="2019">
      <formula>#REF!=2</formula>
    </cfRule>
    <cfRule type="expression" priority="565" aboveAverage="0" equalAverage="0" bottom="0" percent="0" rank="0" text="" dxfId="2020">
      <formula>#REF!=3</formula>
    </cfRule>
  </conditionalFormatting>
  <conditionalFormatting sqref="M107">
    <cfRule type="expression" priority="566" aboveAverage="0" equalAverage="0" bottom="0" percent="0" rank="0" text="" dxfId="2021">
      <formula>#REF!=1</formula>
    </cfRule>
    <cfRule type="expression" priority="567" aboveAverage="0" equalAverage="0" bottom="0" percent="0" rank="0" text="" dxfId="2022">
      <formula>#REF!=2</formula>
    </cfRule>
    <cfRule type="expression" priority="568" aboveAverage="0" equalAverage="0" bottom="0" percent="0" rank="0" text="" dxfId="2023">
      <formula>#REF!=3</formula>
    </cfRule>
  </conditionalFormatting>
  <conditionalFormatting sqref="K108">
    <cfRule type="expression" priority="569" aboveAverage="0" equalAverage="0" bottom="0" percent="0" rank="0" text="" dxfId="2024">
      <formula>#REF!=1</formula>
    </cfRule>
    <cfRule type="expression" priority="570" aboveAverage="0" equalAverage="0" bottom="0" percent="0" rank="0" text="" dxfId="2025">
      <formula>#REF!=2</formula>
    </cfRule>
    <cfRule type="expression" priority="571" aboveAverage="0" equalAverage="0" bottom="0" percent="0" rank="0" text="" dxfId="2026">
      <formula>#REF!=3</formula>
    </cfRule>
  </conditionalFormatting>
  <conditionalFormatting sqref="M108">
    <cfRule type="expression" priority="572" aboveAverage="0" equalAverage="0" bottom="0" percent="0" rank="0" text="" dxfId="2027">
      <formula>#REF!=1</formula>
    </cfRule>
    <cfRule type="expression" priority="573" aboveAverage="0" equalAverage="0" bottom="0" percent="0" rank="0" text="" dxfId="2028">
      <formula>#REF!=2</formula>
    </cfRule>
    <cfRule type="expression" priority="574" aboveAverage="0" equalAverage="0" bottom="0" percent="0" rank="0" text="" dxfId="2029">
      <formula>#REF!=3</formula>
    </cfRule>
  </conditionalFormatting>
  <conditionalFormatting sqref="K109:K111">
    <cfRule type="expression" priority="575" aboveAverage="0" equalAverage="0" bottom="0" percent="0" rank="0" text="" dxfId="2030">
      <formula>#REF!=1</formula>
    </cfRule>
    <cfRule type="expression" priority="576" aboveAverage="0" equalAverage="0" bottom="0" percent="0" rank="0" text="" dxfId="2031">
      <formula>#REF!=2</formula>
    </cfRule>
    <cfRule type="expression" priority="577" aboveAverage="0" equalAverage="0" bottom="0" percent="0" rank="0" text="" dxfId="2032">
      <formula>#REF!=3</formula>
    </cfRule>
  </conditionalFormatting>
  <conditionalFormatting sqref="M109">
    <cfRule type="expression" priority="578" aboveAverage="0" equalAverage="0" bottom="0" percent="0" rank="0" text="" dxfId="2033">
      <formula>#REF!=1</formula>
    </cfRule>
    <cfRule type="expression" priority="579" aboveAverage="0" equalAverage="0" bottom="0" percent="0" rank="0" text="" dxfId="2034">
      <formula>#REF!=2</formula>
    </cfRule>
    <cfRule type="expression" priority="580" aboveAverage="0" equalAverage="0" bottom="0" percent="0" rank="0" text="" dxfId="2035">
      <formula>#REF!=3</formula>
    </cfRule>
  </conditionalFormatting>
  <conditionalFormatting sqref="M110">
    <cfRule type="expression" priority="581" aboveAverage="0" equalAverage="0" bottom="0" percent="0" rank="0" text="" dxfId="2036">
      <formula>#REF!=1</formula>
    </cfRule>
    <cfRule type="expression" priority="582" aboveAverage="0" equalAverage="0" bottom="0" percent="0" rank="0" text="" dxfId="2037">
      <formula>#REF!=2</formula>
    </cfRule>
    <cfRule type="expression" priority="583" aboveAverage="0" equalAverage="0" bottom="0" percent="0" rank="0" text="" dxfId="2038">
      <formula>#REF!=3</formula>
    </cfRule>
  </conditionalFormatting>
  <conditionalFormatting sqref="M111">
    <cfRule type="expression" priority="584" aboveAverage="0" equalAverage="0" bottom="0" percent="0" rank="0" text="" dxfId="2039">
      <formula>#REF!=1</formula>
    </cfRule>
    <cfRule type="expression" priority="585" aboveAverage="0" equalAverage="0" bottom="0" percent="0" rank="0" text="" dxfId="2040">
      <formula>#REF!=2</formula>
    </cfRule>
    <cfRule type="expression" priority="586" aboveAverage="0" equalAverage="0" bottom="0" percent="0" rank="0" text="" dxfId="2041">
      <formula>#REF!=3</formula>
    </cfRule>
  </conditionalFormatting>
  <conditionalFormatting sqref="K112:K113">
    <cfRule type="expression" priority="587" aboveAverage="0" equalAverage="0" bottom="0" percent="0" rank="0" text="" dxfId="2042">
      <formula>#REF!=1</formula>
    </cfRule>
    <cfRule type="expression" priority="588" aboveAverage="0" equalAverage="0" bottom="0" percent="0" rank="0" text="" dxfId="2043">
      <formula>#REF!=2</formula>
    </cfRule>
    <cfRule type="expression" priority="589" aboveAverage="0" equalAverage="0" bottom="0" percent="0" rank="0" text="" dxfId="2044">
      <formula>#REF!=3</formula>
    </cfRule>
  </conditionalFormatting>
  <conditionalFormatting sqref="M112">
    <cfRule type="expression" priority="590" aboveAverage="0" equalAverage="0" bottom="0" percent="0" rank="0" text="" dxfId="2045">
      <formula>#REF!=1</formula>
    </cfRule>
    <cfRule type="expression" priority="591" aboveAverage="0" equalAverage="0" bottom="0" percent="0" rank="0" text="" dxfId="2046">
      <formula>#REF!=2</formula>
    </cfRule>
    <cfRule type="expression" priority="592" aboveAverage="0" equalAverage="0" bottom="0" percent="0" rank="0" text="" dxfId="2047">
      <formula>#REF!=3</formula>
    </cfRule>
  </conditionalFormatting>
  <conditionalFormatting sqref="M113">
    <cfRule type="expression" priority="593" aboveAverage="0" equalAverage="0" bottom="0" percent="0" rank="0" text="" dxfId="2048">
      <formula>#REF!=1</formula>
    </cfRule>
    <cfRule type="expression" priority="594" aboveAverage="0" equalAverage="0" bottom="0" percent="0" rank="0" text="" dxfId="2049">
      <formula>#REF!=2</formula>
    </cfRule>
    <cfRule type="expression" priority="595" aboveAverage="0" equalAverage="0" bottom="0" percent="0" rank="0" text="" dxfId="2050">
      <formula>#REF!=3</formula>
    </cfRule>
  </conditionalFormatting>
  <conditionalFormatting sqref="K114">
    <cfRule type="expression" priority="596" aboveAverage="0" equalAverage="0" bottom="0" percent="0" rank="0" text="" dxfId="2051">
      <formula>#REF!=1</formula>
    </cfRule>
    <cfRule type="expression" priority="597" aboveAverage="0" equalAverage="0" bottom="0" percent="0" rank="0" text="" dxfId="2052">
      <formula>#REF!=2</formula>
    </cfRule>
    <cfRule type="expression" priority="598" aboveAverage="0" equalAverage="0" bottom="0" percent="0" rank="0" text="" dxfId="2053">
      <formula>#REF!=3</formula>
    </cfRule>
  </conditionalFormatting>
  <conditionalFormatting sqref="M114">
    <cfRule type="expression" priority="599" aboveAverage="0" equalAverage="0" bottom="0" percent="0" rank="0" text="" dxfId="2054">
      <formula>#REF!=1</formula>
    </cfRule>
    <cfRule type="expression" priority="600" aboveAverage="0" equalAverage="0" bottom="0" percent="0" rank="0" text="" dxfId="2055">
      <formula>#REF!=2</formula>
    </cfRule>
    <cfRule type="expression" priority="601" aboveAverage="0" equalAverage="0" bottom="0" percent="0" rank="0" text="" dxfId="2056">
      <formula>#REF!=3</formula>
    </cfRule>
  </conditionalFormatting>
  <conditionalFormatting sqref="K115">
    <cfRule type="expression" priority="602" aboveAverage="0" equalAverage="0" bottom="0" percent="0" rank="0" text="" dxfId="2057">
      <formula>#REF!=1</formula>
    </cfRule>
    <cfRule type="expression" priority="603" aboveAverage="0" equalAverage="0" bottom="0" percent="0" rank="0" text="" dxfId="2058">
      <formula>#REF!=2</formula>
    </cfRule>
    <cfRule type="expression" priority="604" aboveAverage="0" equalAverage="0" bottom="0" percent="0" rank="0" text="" dxfId="2059">
      <formula>#REF!=3</formula>
    </cfRule>
  </conditionalFormatting>
  <conditionalFormatting sqref="M115">
    <cfRule type="expression" priority="605" aboveAverage="0" equalAverage="0" bottom="0" percent="0" rank="0" text="" dxfId="2060">
      <formula>#REF!=1</formula>
    </cfRule>
    <cfRule type="expression" priority="606" aboveAverage="0" equalAverage="0" bottom="0" percent="0" rank="0" text="" dxfId="2061">
      <formula>#REF!=2</formula>
    </cfRule>
    <cfRule type="expression" priority="607" aboveAverage="0" equalAverage="0" bottom="0" percent="0" rank="0" text="" dxfId="2062">
      <formula>#REF!=3</formula>
    </cfRule>
  </conditionalFormatting>
  <conditionalFormatting sqref="K116">
    <cfRule type="expression" priority="608" aboveAverage="0" equalAverage="0" bottom="0" percent="0" rank="0" text="" dxfId="2063">
      <formula>#REF!=1</formula>
    </cfRule>
    <cfRule type="expression" priority="609" aboveAverage="0" equalAverage="0" bottom="0" percent="0" rank="0" text="" dxfId="2064">
      <formula>#REF!=2</formula>
    </cfRule>
    <cfRule type="expression" priority="610" aboveAverage="0" equalAverage="0" bottom="0" percent="0" rank="0" text="" dxfId="2065">
      <formula>#REF!=3</formula>
    </cfRule>
  </conditionalFormatting>
  <conditionalFormatting sqref="M116">
    <cfRule type="expression" priority="611" aboveAverage="0" equalAverage="0" bottom="0" percent="0" rank="0" text="" dxfId="2066">
      <formula>#REF!=1</formula>
    </cfRule>
    <cfRule type="expression" priority="612" aboveAverage="0" equalAverage="0" bottom="0" percent="0" rank="0" text="" dxfId="2067">
      <formula>#REF!=2</formula>
    </cfRule>
    <cfRule type="expression" priority="613" aboveAverage="0" equalAverage="0" bottom="0" percent="0" rank="0" text="" dxfId="2068">
      <formula>#REF!=3</formula>
    </cfRule>
  </conditionalFormatting>
  <conditionalFormatting sqref="K117">
    <cfRule type="expression" priority="614" aboveAverage="0" equalAverage="0" bottom="0" percent="0" rank="0" text="" dxfId="2069">
      <formula>#REF!=1</formula>
    </cfRule>
    <cfRule type="expression" priority="615" aboveAverage="0" equalAverage="0" bottom="0" percent="0" rank="0" text="" dxfId="2070">
      <formula>#REF!=2</formula>
    </cfRule>
    <cfRule type="expression" priority="616" aboveAverage="0" equalAverage="0" bottom="0" percent="0" rank="0" text="" dxfId="2071">
      <formula>#REF!=3</formula>
    </cfRule>
  </conditionalFormatting>
  <conditionalFormatting sqref="M117">
    <cfRule type="expression" priority="617" aboveAverage="0" equalAverage="0" bottom="0" percent="0" rank="0" text="" dxfId="2072">
      <formula>#REF!=1</formula>
    </cfRule>
    <cfRule type="expression" priority="618" aboveAverage="0" equalAverage="0" bottom="0" percent="0" rank="0" text="" dxfId="2073">
      <formula>#REF!=2</formula>
    </cfRule>
    <cfRule type="expression" priority="619" aboveAverage="0" equalAverage="0" bottom="0" percent="0" rank="0" text="" dxfId="2074">
      <formula>#REF!=3</formula>
    </cfRule>
  </conditionalFormatting>
  <conditionalFormatting sqref="K118:K121">
    <cfRule type="expression" priority="620" aboveAverage="0" equalAverage="0" bottom="0" percent="0" rank="0" text="" dxfId="2075">
      <formula>#REF!=1</formula>
    </cfRule>
    <cfRule type="expression" priority="621" aboveAverage="0" equalAverage="0" bottom="0" percent="0" rank="0" text="" dxfId="2076">
      <formula>#REF!=2</formula>
    </cfRule>
    <cfRule type="expression" priority="622" aboveAverage="0" equalAverage="0" bottom="0" percent="0" rank="0" text="" dxfId="2077">
      <formula>#REF!=3</formula>
    </cfRule>
  </conditionalFormatting>
  <conditionalFormatting sqref="M118">
    <cfRule type="expression" priority="623" aboveAverage="0" equalAverage="0" bottom="0" percent="0" rank="0" text="" dxfId="2078">
      <formula>#REF!=1</formula>
    </cfRule>
    <cfRule type="expression" priority="624" aboveAverage="0" equalAverage="0" bottom="0" percent="0" rank="0" text="" dxfId="2079">
      <formula>#REF!=2</formula>
    </cfRule>
    <cfRule type="expression" priority="625" aboveAverage="0" equalAverage="0" bottom="0" percent="0" rank="0" text="" dxfId="2080">
      <formula>#REF!=3</formula>
    </cfRule>
  </conditionalFormatting>
  <conditionalFormatting sqref="M121">
    <cfRule type="expression" priority="626" aboveAverage="0" equalAverage="0" bottom="0" percent="0" rank="0" text="" dxfId="2081">
      <formula>#REF!=1</formula>
    </cfRule>
    <cfRule type="expression" priority="627" aboveAverage="0" equalAverage="0" bottom="0" percent="0" rank="0" text="" dxfId="2082">
      <formula>#REF!=2</formula>
    </cfRule>
    <cfRule type="expression" priority="628" aboveAverage="0" equalAverage="0" bottom="0" percent="0" rank="0" text="" dxfId="2083">
      <formula>#REF!=3</formula>
    </cfRule>
  </conditionalFormatting>
  <conditionalFormatting sqref="M119:M120">
    <cfRule type="expression" priority="629" aboveAverage="0" equalAverage="0" bottom="0" percent="0" rank="0" text="" dxfId="2084">
      <formula>#REF!=1</formula>
    </cfRule>
    <cfRule type="expression" priority="630" aboveAverage="0" equalAverage="0" bottom="0" percent="0" rank="0" text="" dxfId="2085">
      <formula>#REF!=2</formula>
    </cfRule>
    <cfRule type="expression" priority="631" aboveAverage="0" equalAverage="0" bottom="0" percent="0" rank="0" text="" dxfId="2086">
      <formula>#REF!=3</formula>
    </cfRule>
  </conditionalFormatting>
  <conditionalFormatting sqref="K122">
    <cfRule type="expression" priority="632" aboveAverage="0" equalAverage="0" bottom="0" percent="0" rank="0" text="" dxfId="2087">
      <formula>#REF!=1</formula>
    </cfRule>
    <cfRule type="expression" priority="633" aboveAverage="0" equalAverage="0" bottom="0" percent="0" rank="0" text="" dxfId="2088">
      <formula>#REF!=2</formula>
    </cfRule>
    <cfRule type="expression" priority="634" aboveAverage="0" equalAverage="0" bottom="0" percent="0" rank="0" text="" dxfId="2089">
      <formula>#REF!=3</formula>
    </cfRule>
  </conditionalFormatting>
  <conditionalFormatting sqref="M122">
    <cfRule type="expression" priority="635" aboveAverage="0" equalAverage="0" bottom="0" percent="0" rank="0" text="" dxfId="2090">
      <formula>#REF!=1</formula>
    </cfRule>
    <cfRule type="expression" priority="636" aboveAverage="0" equalAverage="0" bottom="0" percent="0" rank="0" text="" dxfId="2091">
      <formula>#REF!=2</formula>
    </cfRule>
    <cfRule type="expression" priority="637" aboveAverage="0" equalAverage="0" bottom="0" percent="0" rank="0" text="" dxfId="2092">
      <formula>#REF!=3</formula>
    </cfRule>
  </conditionalFormatting>
  <conditionalFormatting sqref="K123">
    <cfRule type="expression" priority="638" aboveAverage="0" equalAverage="0" bottom="0" percent="0" rank="0" text="" dxfId="2093">
      <formula>#REF!=1</formula>
    </cfRule>
    <cfRule type="expression" priority="639" aboveAverage="0" equalAverage="0" bottom="0" percent="0" rank="0" text="" dxfId="2094">
      <formula>#REF!=2</formula>
    </cfRule>
    <cfRule type="expression" priority="640" aboveAverage="0" equalAverage="0" bottom="0" percent="0" rank="0" text="" dxfId="2095">
      <formula>#REF!=3</formula>
    </cfRule>
  </conditionalFormatting>
  <conditionalFormatting sqref="M123">
    <cfRule type="expression" priority="641" aboveAverage="0" equalAverage="0" bottom="0" percent="0" rank="0" text="" dxfId="2096">
      <formula>#REF!=1</formula>
    </cfRule>
    <cfRule type="expression" priority="642" aboveAverage="0" equalAverage="0" bottom="0" percent="0" rank="0" text="" dxfId="2097">
      <formula>#REF!=2</formula>
    </cfRule>
    <cfRule type="expression" priority="643" aboveAverage="0" equalAverage="0" bottom="0" percent="0" rank="0" text="" dxfId="2098">
      <formula>#REF!=3</formula>
    </cfRule>
  </conditionalFormatting>
  <conditionalFormatting sqref="K124">
    <cfRule type="expression" priority="644" aboveAverage="0" equalAverage="0" bottom="0" percent="0" rank="0" text="" dxfId="2099">
      <formula>#REF!=1</formula>
    </cfRule>
    <cfRule type="expression" priority="645" aboveAverage="0" equalAverage="0" bottom="0" percent="0" rank="0" text="" dxfId="2100">
      <formula>#REF!=2</formula>
    </cfRule>
    <cfRule type="expression" priority="646" aboveAverage="0" equalAverage="0" bottom="0" percent="0" rank="0" text="" dxfId="2101">
      <formula>#REF!=3</formula>
    </cfRule>
  </conditionalFormatting>
  <conditionalFormatting sqref="M124">
    <cfRule type="expression" priority="647" aboveAverage="0" equalAverage="0" bottom="0" percent="0" rank="0" text="" dxfId="2102">
      <formula>#REF!=1</formula>
    </cfRule>
    <cfRule type="expression" priority="648" aboveAverage="0" equalAverage="0" bottom="0" percent="0" rank="0" text="" dxfId="2103">
      <formula>#REF!=2</formula>
    </cfRule>
    <cfRule type="expression" priority="649" aboveAverage="0" equalAverage="0" bottom="0" percent="0" rank="0" text="" dxfId="2104">
      <formula>#REF!=3</formula>
    </cfRule>
  </conditionalFormatting>
  <conditionalFormatting sqref="K125">
    <cfRule type="expression" priority="650" aboveAverage="0" equalAverage="0" bottom="0" percent="0" rank="0" text="" dxfId="2105">
      <formula>#REF!=1</formula>
    </cfRule>
    <cfRule type="expression" priority="651" aboveAverage="0" equalAverage="0" bottom="0" percent="0" rank="0" text="" dxfId="2106">
      <formula>#REF!=2</formula>
    </cfRule>
    <cfRule type="expression" priority="652" aboveAverage="0" equalAverage="0" bottom="0" percent="0" rank="0" text="" dxfId="2107">
      <formula>#REF!=3</formula>
    </cfRule>
  </conditionalFormatting>
  <conditionalFormatting sqref="M125">
    <cfRule type="expression" priority="653" aboveAverage="0" equalAverage="0" bottom="0" percent="0" rank="0" text="" dxfId="2108">
      <formula>#REF!=1</formula>
    </cfRule>
    <cfRule type="expression" priority="654" aboveAverage="0" equalAverage="0" bottom="0" percent="0" rank="0" text="" dxfId="2109">
      <formula>#REF!=2</formula>
    </cfRule>
    <cfRule type="expression" priority="655" aboveAverage="0" equalAverage="0" bottom="0" percent="0" rank="0" text="" dxfId="2110">
      <formula>#REF!=3</formula>
    </cfRule>
  </conditionalFormatting>
  <conditionalFormatting sqref="K126">
    <cfRule type="expression" priority="656" aboveAverage="0" equalAverage="0" bottom="0" percent="0" rank="0" text="" dxfId="2111">
      <formula>#REF!=1</formula>
    </cfRule>
    <cfRule type="expression" priority="657" aboveAverage="0" equalAverage="0" bottom="0" percent="0" rank="0" text="" dxfId="2112">
      <formula>#REF!=2</formula>
    </cfRule>
    <cfRule type="expression" priority="658" aboveAverage="0" equalAverage="0" bottom="0" percent="0" rank="0" text="" dxfId="2113">
      <formula>#REF!=3</formula>
    </cfRule>
  </conditionalFormatting>
  <conditionalFormatting sqref="M126">
    <cfRule type="expression" priority="659" aboveAverage="0" equalAverage="0" bottom="0" percent="0" rank="0" text="" dxfId="2114">
      <formula>#REF!=1</formula>
    </cfRule>
    <cfRule type="expression" priority="660" aboveAverage="0" equalAverage="0" bottom="0" percent="0" rank="0" text="" dxfId="2115">
      <formula>#REF!=2</formula>
    </cfRule>
    <cfRule type="expression" priority="661" aboveAverage="0" equalAverage="0" bottom="0" percent="0" rank="0" text="" dxfId="2116">
      <formula>#REF!=3</formula>
    </cfRule>
  </conditionalFormatting>
  <conditionalFormatting sqref="K127">
    <cfRule type="expression" priority="662" aboveAverage="0" equalAverage="0" bottom="0" percent="0" rank="0" text="" dxfId="2117">
      <formula>#REF!=1</formula>
    </cfRule>
    <cfRule type="expression" priority="663" aboveAverage="0" equalAverage="0" bottom="0" percent="0" rank="0" text="" dxfId="2118">
      <formula>#REF!=2</formula>
    </cfRule>
    <cfRule type="expression" priority="664" aboveAverage="0" equalAverage="0" bottom="0" percent="0" rank="0" text="" dxfId="2119">
      <formula>#REF!=3</formula>
    </cfRule>
  </conditionalFormatting>
  <conditionalFormatting sqref="M127">
    <cfRule type="expression" priority="665" aboveAverage="0" equalAverage="0" bottom="0" percent="0" rank="0" text="" dxfId="2120">
      <formula>#REF!=1</formula>
    </cfRule>
    <cfRule type="expression" priority="666" aboveAverage="0" equalAverage="0" bottom="0" percent="0" rank="0" text="" dxfId="2121">
      <formula>#REF!=2</formula>
    </cfRule>
    <cfRule type="expression" priority="667" aboveAverage="0" equalAverage="0" bottom="0" percent="0" rank="0" text="" dxfId="2122">
      <formula>#REF!=3</formula>
    </cfRule>
  </conditionalFormatting>
  <conditionalFormatting sqref="K128">
    <cfRule type="expression" priority="668" aboveAverage="0" equalAverage="0" bottom="0" percent="0" rank="0" text="" dxfId="2123">
      <formula>#REF!=1</formula>
    </cfRule>
    <cfRule type="expression" priority="669" aboveAverage="0" equalAverage="0" bottom="0" percent="0" rank="0" text="" dxfId="2124">
      <formula>#REF!=2</formula>
    </cfRule>
    <cfRule type="expression" priority="670" aboveAverage="0" equalAverage="0" bottom="0" percent="0" rank="0" text="" dxfId="2125">
      <formula>#REF!=3</formula>
    </cfRule>
  </conditionalFormatting>
  <conditionalFormatting sqref="M128">
    <cfRule type="expression" priority="671" aboveAverage="0" equalAverage="0" bottom="0" percent="0" rank="0" text="" dxfId="2126">
      <formula>#REF!=1</formula>
    </cfRule>
    <cfRule type="expression" priority="672" aboveAverage="0" equalAverage="0" bottom="0" percent="0" rank="0" text="" dxfId="2127">
      <formula>#REF!=2</formula>
    </cfRule>
    <cfRule type="expression" priority="673" aboveAverage="0" equalAverage="0" bottom="0" percent="0" rank="0" text="" dxfId="2128">
      <formula>#REF!=3</formula>
    </cfRule>
  </conditionalFormatting>
  <conditionalFormatting sqref="K129:K130">
    <cfRule type="expression" priority="674" aboveAverage="0" equalAverage="0" bottom="0" percent="0" rank="0" text="" dxfId="2129">
      <formula>#REF!=1</formula>
    </cfRule>
    <cfRule type="expression" priority="675" aboveAverage="0" equalAverage="0" bottom="0" percent="0" rank="0" text="" dxfId="2130">
      <formula>#REF!=2</formula>
    </cfRule>
    <cfRule type="expression" priority="676" aboveAverage="0" equalAverage="0" bottom="0" percent="0" rank="0" text="" dxfId="2131">
      <formula>#REF!=3</formula>
    </cfRule>
  </conditionalFormatting>
  <conditionalFormatting sqref="M130">
    <cfRule type="expression" priority="677" aboveAverage="0" equalAverage="0" bottom="0" percent="0" rank="0" text="" dxfId="2132">
      <formula>#REF!=1</formula>
    </cfRule>
    <cfRule type="expression" priority="678" aboveAverage="0" equalAverage="0" bottom="0" percent="0" rank="0" text="" dxfId="2133">
      <formula>#REF!=2</formula>
    </cfRule>
    <cfRule type="expression" priority="679" aboveAverage="0" equalAverage="0" bottom="0" percent="0" rank="0" text="" dxfId="2134">
      <formula>#REF!=3</formula>
    </cfRule>
  </conditionalFormatting>
  <conditionalFormatting sqref="M129">
    <cfRule type="expression" priority="680" aboveAverage="0" equalAverage="0" bottom="0" percent="0" rank="0" text="" dxfId="2135">
      <formula>#REF!=1</formula>
    </cfRule>
    <cfRule type="expression" priority="681" aboveAverage="0" equalAverage="0" bottom="0" percent="0" rank="0" text="" dxfId="2136">
      <formula>#REF!=2</formula>
    </cfRule>
    <cfRule type="expression" priority="682" aboveAverage="0" equalAverage="0" bottom="0" percent="0" rank="0" text="" dxfId="2137">
      <formula>#REF!=3</formula>
    </cfRule>
  </conditionalFormatting>
  <conditionalFormatting sqref="K131">
    <cfRule type="expression" priority="683" aboveAverage="0" equalAverage="0" bottom="0" percent="0" rank="0" text="" dxfId="2138">
      <formula>#REF!=1</formula>
    </cfRule>
    <cfRule type="expression" priority="684" aboveAverage="0" equalAverage="0" bottom="0" percent="0" rank="0" text="" dxfId="2139">
      <formula>#REF!=2</formula>
    </cfRule>
    <cfRule type="expression" priority="685" aboveAverage="0" equalAverage="0" bottom="0" percent="0" rank="0" text="" dxfId="2140">
      <formula>#REF!=3</formula>
    </cfRule>
  </conditionalFormatting>
  <conditionalFormatting sqref="M131">
    <cfRule type="expression" priority="686" aboveAverage="0" equalAverage="0" bottom="0" percent="0" rank="0" text="" dxfId="2141">
      <formula>#REF!=1</formula>
    </cfRule>
    <cfRule type="expression" priority="687" aboveAverage="0" equalAverage="0" bottom="0" percent="0" rank="0" text="" dxfId="2142">
      <formula>#REF!=2</formula>
    </cfRule>
    <cfRule type="expression" priority="688" aboveAverage="0" equalAverage="0" bottom="0" percent="0" rank="0" text="" dxfId="2143">
      <formula>#REF!=3</formula>
    </cfRule>
  </conditionalFormatting>
  <conditionalFormatting sqref="M132">
    <cfRule type="expression" priority="689" aboveAverage="0" equalAverage="0" bottom="0" percent="0" rank="0" text="" dxfId="2144">
      <formula>#REF!=1</formula>
    </cfRule>
    <cfRule type="expression" priority="690" aboveAverage="0" equalAverage="0" bottom="0" percent="0" rank="0" text="" dxfId="2145">
      <formula>#REF!=2</formula>
    </cfRule>
    <cfRule type="expression" priority="691" aboveAverage="0" equalAverage="0" bottom="0" percent="0" rank="0" text="" dxfId="2146">
      <formula>#REF!=3</formula>
    </cfRule>
  </conditionalFormatting>
  <conditionalFormatting sqref="K133">
    <cfRule type="expression" priority="692" aboveAverage="0" equalAverage="0" bottom="0" percent="0" rank="0" text="" dxfId="2147">
      <formula>#REF!=1</formula>
    </cfRule>
    <cfRule type="expression" priority="693" aboveAverage="0" equalAverage="0" bottom="0" percent="0" rank="0" text="" dxfId="2148">
      <formula>#REF!=2</formula>
    </cfRule>
    <cfRule type="expression" priority="694" aboveAverage="0" equalAverage="0" bottom="0" percent="0" rank="0" text="" dxfId="2149">
      <formula>#REF!=3</formula>
    </cfRule>
  </conditionalFormatting>
  <conditionalFormatting sqref="M133">
    <cfRule type="expression" priority="695" aboveAverage="0" equalAverage="0" bottom="0" percent="0" rank="0" text="" dxfId="2150">
      <formula>#REF!=1</formula>
    </cfRule>
    <cfRule type="expression" priority="696" aboveAverage="0" equalAverage="0" bottom="0" percent="0" rank="0" text="" dxfId="2151">
      <formula>#REF!=2</formula>
    </cfRule>
    <cfRule type="expression" priority="697" aboveAverage="0" equalAverage="0" bottom="0" percent="0" rank="0" text="" dxfId="2152">
      <formula>#REF!=3</formula>
    </cfRule>
  </conditionalFormatting>
  <conditionalFormatting sqref="K134">
    <cfRule type="expression" priority="698" aboveAverage="0" equalAverage="0" bottom="0" percent="0" rank="0" text="" dxfId="2153">
      <formula>#REF!=1</formula>
    </cfRule>
    <cfRule type="expression" priority="699" aboveAverage="0" equalAverage="0" bottom="0" percent="0" rank="0" text="" dxfId="2154">
      <formula>#REF!=2</formula>
    </cfRule>
    <cfRule type="expression" priority="700" aboveAverage="0" equalAverage="0" bottom="0" percent="0" rank="0" text="" dxfId="2155">
      <formula>#REF!=3</formula>
    </cfRule>
  </conditionalFormatting>
  <conditionalFormatting sqref="M134">
    <cfRule type="expression" priority="701" aboveAverage="0" equalAverage="0" bottom="0" percent="0" rank="0" text="" dxfId="2156">
      <formula>#REF!=1</formula>
    </cfRule>
    <cfRule type="expression" priority="702" aboveAverage="0" equalAverage="0" bottom="0" percent="0" rank="0" text="" dxfId="2157">
      <formula>#REF!=2</formula>
    </cfRule>
    <cfRule type="expression" priority="703" aboveAverage="0" equalAverage="0" bottom="0" percent="0" rank="0" text="" dxfId="2158">
      <formula>#REF!=3</formula>
    </cfRule>
  </conditionalFormatting>
  <conditionalFormatting sqref="K135:K136">
    <cfRule type="expression" priority="704" aboveAverage="0" equalAverage="0" bottom="0" percent="0" rank="0" text="" dxfId="2159">
      <formula>#REF!=1</formula>
    </cfRule>
    <cfRule type="expression" priority="705" aboveAverage="0" equalAverage="0" bottom="0" percent="0" rank="0" text="" dxfId="2160">
      <formula>#REF!=2</formula>
    </cfRule>
    <cfRule type="expression" priority="706" aboveAverage="0" equalAverage="0" bottom="0" percent="0" rank="0" text="" dxfId="2161">
      <formula>#REF!=3</formula>
    </cfRule>
  </conditionalFormatting>
  <conditionalFormatting sqref="M135:M136">
    <cfRule type="expression" priority="707" aboveAverage="0" equalAverage="0" bottom="0" percent="0" rank="0" text="" dxfId="2162">
      <formula>#REF!=1</formula>
    </cfRule>
    <cfRule type="expression" priority="708" aboveAverage="0" equalAverage="0" bottom="0" percent="0" rank="0" text="" dxfId="2163">
      <formula>#REF!=2</formula>
    </cfRule>
    <cfRule type="expression" priority="709" aboveAverage="0" equalAverage="0" bottom="0" percent="0" rank="0" text="" dxfId="2164">
      <formula>#REF!=3</formula>
    </cfRule>
  </conditionalFormatting>
  <conditionalFormatting sqref="K137">
    <cfRule type="expression" priority="710" aboveAverage="0" equalAverage="0" bottom="0" percent="0" rank="0" text="" dxfId="2165">
      <formula>#REF!=1</formula>
    </cfRule>
    <cfRule type="expression" priority="711" aboveAverage="0" equalAverage="0" bottom="0" percent="0" rank="0" text="" dxfId="2166">
      <formula>#REF!=2</formula>
    </cfRule>
    <cfRule type="expression" priority="712" aboveAverage="0" equalAverage="0" bottom="0" percent="0" rank="0" text="" dxfId="2167">
      <formula>#REF!=3</formula>
    </cfRule>
  </conditionalFormatting>
  <conditionalFormatting sqref="M137">
    <cfRule type="expression" priority="713" aboveAverage="0" equalAverage="0" bottom="0" percent="0" rank="0" text="" dxfId="2168">
      <formula>#REF!=1</formula>
    </cfRule>
    <cfRule type="expression" priority="714" aboveAverage="0" equalAverage="0" bottom="0" percent="0" rank="0" text="" dxfId="2169">
      <formula>#REF!=2</formula>
    </cfRule>
    <cfRule type="expression" priority="715" aboveAverage="0" equalAverage="0" bottom="0" percent="0" rank="0" text="" dxfId="2170">
      <formula>#REF!=3</formula>
    </cfRule>
  </conditionalFormatting>
  <conditionalFormatting sqref="K138:K142">
    <cfRule type="expression" priority="716" aboveAverage="0" equalAverage="0" bottom="0" percent="0" rank="0" text="" dxfId="2171">
      <formula>#REF!=1</formula>
    </cfRule>
    <cfRule type="expression" priority="717" aboveAverage="0" equalAverage="0" bottom="0" percent="0" rank="0" text="" dxfId="2172">
      <formula>#REF!=2</formula>
    </cfRule>
    <cfRule type="expression" priority="718" aboveAverage="0" equalAverage="0" bottom="0" percent="0" rank="0" text="" dxfId="2173">
      <formula>#REF!=3</formula>
    </cfRule>
  </conditionalFormatting>
  <conditionalFormatting sqref="M138">
    <cfRule type="expression" priority="719" aboveAverage="0" equalAverage="0" bottom="0" percent="0" rank="0" text="" dxfId="2174">
      <formula>#REF!=1</formula>
    </cfRule>
    <cfRule type="expression" priority="720" aboveAverage="0" equalAverage="0" bottom="0" percent="0" rank="0" text="" dxfId="2175">
      <formula>#REF!=2</formula>
    </cfRule>
    <cfRule type="expression" priority="721" aboveAverage="0" equalAverage="0" bottom="0" percent="0" rank="0" text="" dxfId="2176">
      <formula>#REF!=3</formula>
    </cfRule>
  </conditionalFormatting>
  <conditionalFormatting sqref="M141:M142">
    <cfRule type="expression" priority="722" aboveAverage="0" equalAverage="0" bottom="0" percent="0" rank="0" text="" dxfId="2177">
      <formula>#REF!=1</formula>
    </cfRule>
    <cfRule type="expression" priority="723" aboveAverage="0" equalAverage="0" bottom="0" percent="0" rank="0" text="" dxfId="2178">
      <formula>#REF!=2</formula>
    </cfRule>
    <cfRule type="expression" priority="724" aboveAverage="0" equalAverage="0" bottom="0" percent="0" rank="0" text="" dxfId="2179">
      <formula>#REF!=3</formula>
    </cfRule>
  </conditionalFormatting>
  <conditionalFormatting sqref="M139:M140">
    <cfRule type="expression" priority="725" aboveAverage="0" equalAverage="0" bottom="0" percent="0" rank="0" text="" dxfId="2180">
      <formula>#REF!=1</formula>
    </cfRule>
    <cfRule type="expression" priority="726" aboveAverage="0" equalAverage="0" bottom="0" percent="0" rank="0" text="" dxfId="2181">
      <formula>#REF!=2</formula>
    </cfRule>
    <cfRule type="expression" priority="727" aboveAverage="0" equalAverage="0" bottom="0" percent="0" rank="0" text="" dxfId="2182">
      <formula>#REF!=3</formula>
    </cfRule>
  </conditionalFormatting>
  <conditionalFormatting sqref="K143:K145">
    <cfRule type="expression" priority="728" aboveAverage="0" equalAverage="0" bottom="0" percent="0" rank="0" text="" dxfId="2183">
      <formula>#REF!=1</formula>
    </cfRule>
    <cfRule type="expression" priority="729" aboveAverage="0" equalAverage="0" bottom="0" percent="0" rank="0" text="" dxfId="2184">
      <formula>#REF!=2</formula>
    </cfRule>
    <cfRule type="expression" priority="730" aboveAverage="0" equalAverage="0" bottom="0" percent="0" rank="0" text="" dxfId="2185">
      <formula>#REF!=3</formula>
    </cfRule>
  </conditionalFormatting>
  <conditionalFormatting sqref="M144">
    <cfRule type="expression" priority="731" aboveAverage="0" equalAverage="0" bottom="0" percent="0" rank="0" text="" dxfId="2186">
      <formula>#REF!=1</formula>
    </cfRule>
    <cfRule type="expression" priority="732" aboveAverage="0" equalAverage="0" bottom="0" percent="0" rank="0" text="" dxfId="2187">
      <formula>#REF!=2</formula>
    </cfRule>
    <cfRule type="expression" priority="733" aboveAverage="0" equalAverage="0" bottom="0" percent="0" rank="0" text="" dxfId="2188">
      <formula>#REF!=3</formula>
    </cfRule>
  </conditionalFormatting>
  <conditionalFormatting sqref="M143 M145">
    <cfRule type="expression" priority="734" aboveAverage="0" equalAverage="0" bottom="0" percent="0" rank="0" text="" dxfId="2189">
      <formula>#REF!=1</formula>
    </cfRule>
    <cfRule type="expression" priority="735" aboveAverage="0" equalAverage="0" bottom="0" percent="0" rank="0" text="" dxfId="2190">
      <formula>#REF!=2</formula>
    </cfRule>
    <cfRule type="expression" priority="736" aboveAverage="0" equalAverage="0" bottom="0" percent="0" rank="0" text="" dxfId="2191">
      <formula>#REF!=3</formula>
    </cfRule>
  </conditionalFormatting>
  <conditionalFormatting sqref="K146:K149">
    <cfRule type="expression" priority="737" aboveAverage="0" equalAverage="0" bottom="0" percent="0" rank="0" text="" dxfId="2192">
      <formula>#REF!=1</formula>
    </cfRule>
    <cfRule type="expression" priority="738" aboveAverage="0" equalAverage="0" bottom="0" percent="0" rank="0" text="" dxfId="2193">
      <formula>#REF!=2</formula>
    </cfRule>
    <cfRule type="expression" priority="739" aboveAverage="0" equalAverage="0" bottom="0" percent="0" rank="0" text="" dxfId="2194">
      <formula>#REF!=3</formula>
    </cfRule>
  </conditionalFormatting>
  <conditionalFormatting sqref="M147:M148">
    <cfRule type="expression" priority="740" aboveAverage="0" equalAverage="0" bottom="0" percent="0" rank="0" text="" dxfId="2195">
      <formula>#REF!=1</formula>
    </cfRule>
    <cfRule type="expression" priority="741" aboveAverage="0" equalAverage="0" bottom="0" percent="0" rank="0" text="" dxfId="2196">
      <formula>#REF!=2</formula>
    </cfRule>
    <cfRule type="expression" priority="742" aboveAverage="0" equalAverage="0" bottom="0" percent="0" rank="0" text="" dxfId="2197">
      <formula>#REF!=3</formula>
    </cfRule>
  </conditionalFormatting>
  <conditionalFormatting sqref="M149">
    <cfRule type="expression" priority="743" aboveAverage="0" equalAverage="0" bottom="0" percent="0" rank="0" text="" dxfId="2198">
      <formula>#REF!=1</formula>
    </cfRule>
    <cfRule type="expression" priority="744" aboveAverage="0" equalAverage="0" bottom="0" percent="0" rank="0" text="" dxfId="2199">
      <formula>#REF!=2</formula>
    </cfRule>
    <cfRule type="expression" priority="745" aboveAverage="0" equalAverage="0" bottom="0" percent="0" rank="0" text="" dxfId="2200">
      <formula>#REF!=3</formula>
    </cfRule>
  </conditionalFormatting>
  <conditionalFormatting sqref="M146">
    <cfRule type="expression" priority="746" aboveAverage="0" equalAverage="0" bottom="0" percent="0" rank="0" text="" dxfId="2201">
      <formula>#REF!=1</formula>
    </cfRule>
    <cfRule type="expression" priority="747" aboveAverage="0" equalAverage="0" bottom="0" percent="0" rank="0" text="" dxfId="2202">
      <formula>#REF!=2</formula>
    </cfRule>
    <cfRule type="expression" priority="748" aboveAverage="0" equalAverage="0" bottom="0" percent="0" rank="0" text="" dxfId="2203">
      <formula>#REF!=3</formula>
    </cfRule>
  </conditionalFormatting>
  <conditionalFormatting sqref="K150:K155">
    <cfRule type="expression" priority="749" aboveAverage="0" equalAverage="0" bottom="0" percent="0" rank="0" text="" dxfId="2204">
      <formula>#REF!=1</formula>
    </cfRule>
    <cfRule type="expression" priority="750" aboveAverage="0" equalAverage="0" bottom="0" percent="0" rank="0" text="" dxfId="2205">
      <formula>#REF!=2</formula>
    </cfRule>
    <cfRule type="expression" priority="751" aboveAverage="0" equalAverage="0" bottom="0" percent="0" rank="0" text="" dxfId="2206">
      <formula>#REF!=3</formula>
    </cfRule>
  </conditionalFormatting>
  <conditionalFormatting sqref="M154">
    <cfRule type="expression" priority="752" aboveAverage="0" equalAverage="0" bottom="0" percent="0" rank="0" text="" dxfId="2207">
      <formula>#REF!=1</formula>
    </cfRule>
    <cfRule type="expression" priority="753" aboveAverage="0" equalAverage="0" bottom="0" percent="0" rank="0" text="" dxfId="2208">
      <formula>#REF!=2</formula>
    </cfRule>
    <cfRule type="expression" priority="754" aboveAverage="0" equalAverage="0" bottom="0" percent="0" rank="0" text="" dxfId="2209">
      <formula>#REF!=3</formula>
    </cfRule>
  </conditionalFormatting>
  <conditionalFormatting sqref="M152">
    <cfRule type="expression" priority="755" aboveAverage="0" equalAverage="0" bottom="0" percent="0" rank="0" text="" dxfId="2210">
      <formula>#REF!=1</formula>
    </cfRule>
    <cfRule type="expression" priority="756" aboveAverage="0" equalAverage="0" bottom="0" percent="0" rank="0" text="" dxfId="2211">
      <formula>#REF!=2</formula>
    </cfRule>
    <cfRule type="expression" priority="757" aboveAverage="0" equalAverage="0" bottom="0" percent="0" rank="0" text="" dxfId="2212">
      <formula>#REF!=3</formula>
    </cfRule>
  </conditionalFormatting>
  <conditionalFormatting sqref="M153">
    <cfRule type="expression" priority="758" aboveAverage="0" equalAverage="0" bottom="0" percent="0" rank="0" text="" dxfId="2213">
      <formula>#REF!=1</formula>
    </cfRule>
    <cfRule type="expression" priority="759" aboveAverage="0" equalAverage="0" bottom="0" percent="0" rank="0" text="" dxfId="2214">
      <formula>#REF!=2</formula>
    </cfRule>
    <cfRule type="expression" priority="760" aboveAverage="0" equalAverage="0" bottom="0" percent="0" rank="0" text="" dxfId="2215">
      <formula>#REF!=3</formula>
    </cfRule>
  </conditionalFormatting>
  <conditionalFormatting sqref="M150:M151 M155:M156">
    <cfRule type="expression" priority="761" aboveAverage="0" equalAverage="0" bottom="0" percent="0" rank="0" text="" dxfId="2216">
      <formula>#REF!=1</formula>
    </cfRule>
    <cfRule type="expression" priority="762" aboveAverage="0" equalAverage="0" bottom="0" percent="0" rank="0" text="" dxfId="2217">
      <formula>#REF!=2</formula>
    </cfRule>
    <cfRule type="expression" priority="763" aboveAverage="0" equalAverage="0" bottom="0" percent="0" rank="0" text="" dxfId="2218">
      <formula>#REF!=3</formula>
    </cfRule>
  </conditionalFormatting>
  <conditionalFormatting sqref="K156">
    <cfRule type="expression" priority="764" aboveAverage="0" equalAverage="0" bottom="0" percent="0" rank="0" text="" dxfId="2219">
      <formula>#REF!=1</formula>
    </cfRule>
    <cfRule type="expression" priority="765" aboveAverage="0" equalAverage="0" bottom="0" percent="0" rank="0" text="" dxfId="2220">
      <formula>#REF!=2</formula>
    </cfRule>
    <cfRule type="expression" priority="766" aboveAverage="0" equalAverage="0" bottom="0" percent="0" rank="0" text="" dxfId="2221">
      <formula>#REF!=3</formula>
    </cfRule>
  </conditionalFormatting>
  <conditionalFormatting sqref="K157:K159">
    <cfRule type="expression" priority="767" aboveAverage="0" equalAverage="0" bottom="0" percent="0" rank="0" text="" dxfId="2222">
      <formula>#REF!=1</formula>
    </cfRule>
    <cfRule type="expression" priority="768" aboveAverage="0" equalAverage="0" bottom="0" percent="0" rank="0" text="" dxfId="2223">
      <formula>#REF!=2</formula>
    </cfRule>
    <cfRule type="expression" priority="769" aboveAverage="0" equalAverage="0" bottom="0" percent="0" rank="0" text="" dxfId="2224">
      <formula>#REF!=3</formula>
    </cfRule>
  </conditionalFormatting>
  <conditionalFormatting sqref="M158">
    <cfRule type="expression" priority="770" aboveAverage="0" equalAverage="0" bottom="0" percent="0" rank="0" text="" dxfId="2225">
      <formula>#REF!=1</formula>
    </cfRule>
    <cfRule type="expression" priority="771" aboveAverage="0" equalAverage="0" bottom="0" percent="0" rank="0" text="" dxfId="2226">
      <formula>#REF!=2</formula>
    </cfRule>
    <cfRule type="expression" priority="772" aboveAverage="0" equalAverage="0" bottom="0" percent="0" rank="0" text="" dxfId="2227">
      <formula>#REF!=3</formula>
    </cfRule>
  </conditionalFormatting>
  <conditionalFormatting sqref="M159">
    <cfRule type="expression" priority="773" aboveAverage="0" equalAverage="0" bottom="0" percent="0" rank="0" text="" dxfId="2228">
      <formula>#REF!=1</formula>
    </cfRule>
    <cfRule type="expression" priority="774" aboveAverage="0" equalAverage="0" bottom="0" percent="0" rank="0" text="" dxfId="2229">
      <formula>#REF!=2</formula>
    </cfRule>
    <cfRule type="expression" priority="775" aboveAverage="0" equalAverage="0" bottom="0" percent="0" rank="0" text="" dxfId="2230">
      <formula>#REF!=3</formula>
    </cfRule>
  </conditionalFormatting>
  <conditionalFormatting sqref="M157">
    <cfRule type="expression" priority="776" aboveAverage="0" equalAverage="0" bottom="0" percent="0" rank="0" text="" dxfId="2231">
      <formula>#REF!=1</formula>
    </cfRule>
    <cfRule type="expression" priority="777" aboveAverage="0" equalAverage="0" bottom="0" percent="0" rank="0" text="" dxfId="2232">
      <formula>#REF!=2</formula>
    </cfRule>
    <cfRule type="expression" priority="778" aboveAverage="0" equalAverage="0" bottom="0" percent="0" rank="0" text="" dxfId="2233">
      <formula>#REF!=3</formula>
    </cfRule>
  </conditionalFormatting>
  <conditionalFormatting sqref="K160">
    <cfRule type="expression" priority="779" aboveAverage="0" equalAverage="0" bottom="0" percent="0" rank="0" text="" dxfId="2234">
      <formula>#REF!=1</formula>
    </cfRule>
    <cfRule type="expression" priority="780" aboveAverage="0" equalAverage="0" bottom="0" percent="0" rank="0" text="" dxfId="2235">
      <formula>#REF!=2</formula>
    </cfRule>
    <cfRule type="expression" priority="781" aboveAverage="0" equalAverage="0" bottom="0" percent="0" rank="0" text="" dxfId="2236">
      <formula>#REF!=3</formula>
    </cfRule>
  </conditionalFormatting>
  <conditionalFormatting sqref="M160">
    <cfRule type="expression" priority="782" aboveAverage="0" equalAverage="0" bottom="0" percent="0" rank="0" text="" dxfId="2237">
      <formula>#REF!=1</formula>
    </cfRule>
    <cfRule type="expression" priority="783" aboveAverage="0" equalAverage="0" bottom="0" percent="0" rank="0" text="" dxfId="2238">
      <formula>#REF!=2</formula>
    </cfRule>
    <cfRule type="expression" priority="784" aboveAverage="0" equalAverage="0" bottom="0" percent="0" rank="0" text="" dxfId="2239">
      <formula>#REF!=3</formula>
    </cfRule>
  </conditionalFormatting>
  <conditionalFormatting sqref="K161:K162">
    <cfRule type="expression" priority="785" aboveAverage="0" equalAverage="0" bottom="0" percent="0" rank="0" text="" dxfId="2240">
      <formula>#REF!=1</formula>
    </cfRule>
    <cfRule type="expression" priority="786" aboveAverage="0" equalAverage="0" bottom="0" percent="0" rank="0" text="" dxfId="2241">
      <formula>#REF!=2</formula>
    </cfRule>
    <cfRule type="expression" priority="787" aboveAverage="0" equalAverage="0" bottom="0" percent="0" rank="0" text="" dxfId="2242">
      <formula>#REF!=3</formula>
    </cfRule>
  </conditionalFormatting>
  <conditionalFormatting sqref="M161:M162">
    <cfRule type="expression" priority="788" aboveAverage="0" equalAverage="0" bottom="0" percent="0" rank="0" text="" dxfId="2243">
      <formula>#REF!=1</formula>
    </cfRule>
    <cfRule type="expression" priority="789" aboveAverage="0" equalAverage="0" bottom="0" percent="0" rank="0" text="" dxfId="2244">
      <formula>#REF!=2</formula>
    </cfRule>
    <cfRule type="expression" priority="790" aboveAverage="0" equalAverage="0" bottom="0" percent="0" rank="0" text="" dxfId="2245">
      <formula>#REF!=3</formula>
    </cfRule>
  </conditionalFormatting>
  <conditionalFormatting sqref="K163">
    <cfRule type="expression" priority="791" aboveAverage="0" equalAverage="0" bottom="0" percent="0" rank="0" text="" dxfId="2246">
      <formula>#REF!=1</formula>
    </cfRule>
    <cfRule type="expression" priority="792" aboveAverage="0" equalAverage="0" bottom="0" percent="0" rank="0" text="" dxfId="2247">
      <formula>#REF!=2</formula>
    </cfRule>
    <cfRule type="expression" priority="793" aboveAverage="0" equalAverage="0" bottom="0" percent="0" rank="0" text="" dxfId="2248">
      <formula>#REF!=3</formula>
    </cfRule>
  </conditionalFormatting>
  <conditionalFormatting sqref="M163">
    <cfRule type="expression" priority="794" aboveAverage="0" equalAverage="0" bottom="0" percent="0" rank="0" text="" dxfId="2249">
      <formula>#REF!=1</formula>
    </cfRule>
    <cfRule type="expression" priority="795" aboveAverage="0" equalAverage="0" bottom="0" percent="0" rank="0" text="" dxfId="2250">
      <formula>#REF!=2</formula>
    </cfRule>
    <cfRule type="expression" priority="796" aboveAverage="0" equalAverage="0" bottom="0" percent="0" rank="0" text="" dxfId="2251">
      <formula>#REF!=3</formula>
    </cfRule>
  </conditionalFormatting>
  <conditionalFormatting sqref="K164">
    <cfRule type="expression" priority="797" aboveAverage="0" equalAverage="0" bottom="0" percent="0" rank="0" text="" dxfId="2252">
      <formula>#REF!=1</formula>
    </cfRule>
    <cfRule type="expression" priority="798" aboveAverage="0" equalAverage="0" bottom="0" percent="0" rank="0" text="" dxfId="2253">
      <formula>#REF!=2</formula>
    </cfRule>
    <cfRule type="expression" priority="799" aboveAverage="0" equalAverage="0" bottom="0" percent="0" rank="0" text="" dxfId="2254">
      <formula>#REF!=3</formula>
    </cfRule>
  </conditionalFormatting>
  <conditionalFormatting sqref="M164">
    <cfRule type="expression" priority="800" aboveAverage="0" equalAverage="0" bottom="0" percent="0" rank="0" text="" dxfId="2255">
      <formula>#REF!=1</formula>
    </cfRule>
    <cfRule type="expression" priority="801" aboveAverage="0" equalAverage="0" bottom="0" percent="0" rank="0" text="" dxfId="2256">
      <formula>#REF!=2</formula>
    </cfRule>
    <cfRule type="expression" priority="802" aboveAverage="0" equalAverage="0" bottom="0" percent="0" rank="0" text="" dxfId="2257">
      <formula>#REF!=3</formula>
    </cfRule>
  </conditionalFormatting>
  <conditionalFormatting sqref="K165">
    <cfRule type="expression" priority="803" aboveAverage="0" equalAverage="0" bottom="0" percent="0" rank="0" text="" dxfId="2258">
      <formula>#REF!=1</formula>
    </cfRule>
    <cfRule type="expression" priority="804" aboveAverage="0" equalAverage="0" bottom="0" percent="0" rank="0" text="" dxfId="2259">
      <formula>#REF!=2</formula>
    </cfRule>
    <cfRule type="expression" priority="805" aboveAverage="0" equalAverage="0" bottom="0" percent="0" rank="0" text="" dxfId="2260">
      <formula>#REF!=3</formula>
    </cfRule>
  </conditionalFormatting>
  <conditionalFormatting sqref="M165">
    <cfRule type="expression" priority="806" aboveAverage="0" equalAverage="0" bottom="0" percent="0" rank="0" text="" dxfId="2261">
      <formula>#REF!=1</formula>
    </cfRule>
    <cfRule type="expression" priority="807" aboveAverage="0" equalAverage="0" bottom="0" percent="0" rank="0" text="" dxfId="2262">
      <formula>#REF!=2</formula>
    </cfRule>
    <cfRule type="expression" priority="808" aboveAverage="0" equalAverage="0" bottom="0" percent="0" rank="0" text="" dxfId="2263">
      <formula>#REF!=3</formula>
    </cfRule>
  </conditionalFormatting>
  <conditionalFormatting sqref="K166">
    <cfRule type="expression" priority="809" aboveAverage="0" equalAverage="0" bottom="0" percent="0" rank="0" text="" dxfId="2264">
      <formula>#REF!=1</formula>
    </cfRule>
    <cfRule type="expression" priority="810" aboveAverage="0" equalAverage="0" bottom="0" percent="0" rank="0" text="" dxfId="2265">
      <formula>#REF!=2</formula>
    </cfRule>
    <cfRule type="expression" priority="811" aboveAverage="0" equalAverage="0" bottom="0" percent="0" rank="0" text="" dxfId="2266">
      <formula>#REF!=3</formula>
    </cfRule>
  </conditionalFormatting>
  <conditionalFormatting sqref="M166">
    <cfRule type="expression" priority="812" aboveAverage="0" equalAverage="0" bottom="0" percent="0" rank="0" text="" dxfId="2267">
      <formula>#REF!=1</formula>
    </cfRule>
    <cfRule type="expression" priority="813" aboveAverage="0" equalAverage="0" bottom="0" percent="0" rank="0" text="" dxfId="2268">
      <formula>#REF!=2</formula>
    </cfRule>
    <cfRule type="expression" priority="814" aboveAverage="0" equalAverage="0" bottom="0" percent="0" rank="0" text="" dxfId="2269">
      <formula>#REF!=3</formula>
    </cfRule>
  </conditionalFormatting>
  <conditionalFormatting sqref="K167">
    <cfRule type="expression" priority="815" aboveAverage="0" equalAverage="0" bottom="0" percent="0" rank="0" text="" dxfId="2270">
      <formula>#REF!=1</formula>
    </cfRule>
    <cfRule type="expression" priority="816" aboveAverage="0" equalAverage="0" bottom="0" percent="0" rank="0" text="" dxfId="2271">
      <formula>#REF!=2</formula>
    </cfRule>
    <cfRule type="expression" priority="817" aboveAverage="0" equalAverage="0" bottom="0" percent="0" rank="0" text="" dxfId="2272">
      <formula>#REF!=3</formula>
    </cfRule>
  </conditionalFormatting>
  <conditionalFormatting sqref="M167">
    <cfRule type="expression" priority="818" aboveAverage="0" equalAverage="0" bottom="0" percent="0" rank="0" text="" dxfId="2273">
      <formula>#REF!=1</formula>
    </cfRule>
    <cfRule type="expression" priority="819" aboveAverage="0" equalAverage="0" bottom="0" percent="0" rank="0" text="" dxfId="2274">
      <formula>#REF!=2</formula>
    </cfRule>
    <cfRule type="expression" priority="820" aboveAverage="0" equalAverage="0" bottom="0" percent="0" rank="0" text="" dxfId="2275">
      <formula>#REF!=3</formula>
    </cfRule>
  </conditionalFormatting>
  <conditionalFormatting sqref="K168">
    <cfRule type="expression" priority="821" aboveAverage="0" equalAverage="0" bottom="0" percent="0" rank="0" text="" dxfId="2276">
      <formula>#REF!=1</formula>
    </cfRule>
    <cfRule type="expression" priority="822" aboveAverage="0" equalAverage="0" bottom="0" percent="0" rank="0" text="" dxfId="2277">
      <formula>#REF!=2</formula>
    </cfRule>
    <cfRule type="expression" priority="823" aboveAverage="0" equalAverage="0" bottom="0" percent="0" rank="0" text="" dxfId="2278">
      <formula>#REF!=3</formula>
    </cfRule>
  </conditionalFormatting>
  <conditionalFormatting sqref="M168">
    <cfRule type="expression" priority="824" aboveAverage="0" equalAverage="0" bottom="0" percent="0" rank="0" text="" dxfId="2279">
      <formula>#REF!=1</formula>
    </cfRule>
    <cfRule type="expression" priority="825" aboveAverage="0" equalAverage="0" bottom="0" percent="0" rank="0" text="" dxfId="2280">
      <formula>#REF!=2</formula>
    </cfRule>
    <cfRule type="expression" priority="826" aboveAverage="0" equalAverage="0" bottom="0" percent="0" rank="0" text="" dxfId="2281">
      <formula>#REF!=3</formula>
    </cfRule>
  </conditionalFormatting>
  <conditionalFormatting sqref="K169">
    <cfRule type="expression" priority="827" aboveAverage="0" equalAverage="0" bottom="0" percent="0" rank="0" text="" dxfId="2282">
      <formula>#REF!=1</formula>
    </cfRule>
    <cfRule type="expression" priority="828" aboveAverage="0" equalAverage="0" bottom="0" percent="0" rank="0" text="" dxfId="2283">
      <formula>#REF!=2</formula>
    </cfRule>
    <cfRule type="expression" priority="829" aboveAverage="0" equalAverage="0" bottom="0" percent="0" rank="0" text="" dxfId="2284">
      <formula>#REF!=3</formula>
    </cfRule>
  </conditionalFormatting>
  <conditionalFormatting sqref="M169">
    <cfRule type="expression" priority="830" aboveAverage="0" equalAverage="0" bottom="0" percent="0" rank="0" text="" dxfId="2285">
      <formula>#REF!=1</formula>
    </cfRule>
    <cfRule type="expression" priority="831" aboveAverage="0" equalAverage="0" bottom="0" percent="0" rank="0" text="" dxfId="2286">
      <formula>#REF!=2</formula>
    </cfRule>
    <cfRule type="expression" priority="832" aboveAverage="0" equalAverage="0" bottom="0" percent="0" rank="0" text="" dxfId="2287">
      <formula>#REF!=3</formula>
    </cfRule>
  </conditionalFormatting>
  <conditionalFormatting sqref="K170:K171">
    <cfRule type="expression" priority="833" aboveAverage="0" equalAverage="0" bottom="0" percent="0" rank="0" text="" dxfId="2288">
      <formula>#REF!=1</formula>
    </cfRule>
    <cfRule type="expression" priority="834" aboveAverage="0" equalAverage="0" bottom="0" percent="0" rank="0" text="" dxfId="2289">
      <formula>#REF!=2</formula>
    </cfRule>
    <cfRule type="expression" priority="835" aboveAverage="0" equalAverage="0" bottom="0" percent="0" rank="0" text="" dxfId="2290">
      <formula>#REF!=3</formula>
    </cfRule>
  </conditionalFormatting>
  <conditionalFormatting sqref="M170">
    <cfRule type="expression" priority="836" aboveAverage="0" equalAverage="0" bottom="0" percent="0" rank="0" text="" dxfId="2291">
      <formula>#REF!=1</formula>
    </cfRule>
    <cfRule type="expression" priority="837" aboveAverage="0" equalAverage="0" bottom="0" percent="0" rank="0" text="" dxfId="2292">
      <formula>#REF!=2</formula>
    </cfRule>
    <cfRule type="expression" priority="838" aboveAverage="0" equalAverage="0" bottom="0" percent="0" rank="0" text="" dxfId="2293">
      <formula>#REF!=3</formula>
    </cfRule>
  </conditionalFormatting>
  <conditionalFormatting sqref="M171">
    <cfRule type="expression" priority="839" aboveAverage="0" equalAverage="0" bottom="0" percent="0" rank="0" text="" dxfId="2294">
      <formula>#REF!=1</formula>
    </cfRule>
    <cfRule type="expression" priority="840" aboveAverage="0" equalAverage="0" bottom="0" percent="0" rank="0" text="" dxfId="2295">
      <formula>#REF!=2</formula>
    </cfRule>
    <cfRule type="expression" priority="841" aboveAverage="0" equalAverage="0" bottom="0" percent="0" rank="0" text="" dxfId="2296">
      <formula>#REF!=3</formula>
    </cfRule>
  </conditionalFormatting>
  <conditionalFormatting sqref="N170">
    <cfRule type="expression" priority="842" aboveAverage="0" equalAverage="0" bottom="0" percent="0" rank="0" text="" dxfId="2297">
      <formula>$A200=1</formula>
    </cfRule>
    <cfRule type="expression" priority="843" aboveAverage="0" equalAverage="0" bottom="0" percent="0" rank="0" text="" dxfId="2298">
      <formula>$A200=2</formula>
    </cfRule>
    <cfRule type="expression" priority="844" aboveAverage="0" equalAverage="0" bottom="0" percent="0" rank="0" text="" dxfId="2299">
      <formula>$A200=3</formula>
    </cfRule>
  </conditionalFormatting>
  <conditionalFormatting sqref="K172:K173">
    <cfRule type="expression" priority="845" aboveAverage="0" equalAverage="0" bottom="0" percent="0" rank="0" text="" dxfId="2300">
      <formula>#REF!=1</formula>
    </cfRule>
    <cfRule type="expression" priority="846" aboveAverage="0" equalAverage="0" bottom="0" percent="0" rank="0" text="" dxfId="2301">
      <formula>#REF!=2</formula>
    </cfRule>
    <cfRule type="expression" priority="847" aboveAverage="0" equalAverage="0" bottom="0" percent="0" rank="0" text="" dxfId="2302">
      <formula>#REF!=3</formula>
    </cfRule>
  </conditionalFormatting>
  <conditionalFormatting sqref="M172">
    <cfRule type="expression" priority="848" aboveAverage="0" equalAverage="0" bottom="0" percent="0" rank="0" text="" dxfId="2303">
      <formula>#REF!=1</formula>
    </cfRule>
    <cfRule type="expression" priority="849" aboveAverage="0" equalAverage="0" bottom="0" percent="0" rank="0" text="" dxfId="2304">
      <formula>#REF!=2</formula>
    </cfRule>
    <cfRule type="expression" priority="850" aboveAverage="0" equalAverage="0" bottom="0" percent="0" rank="0" text="" dxfId="2305">
      <formula>#REF!=3</formula>
    </cfRule>
  </conditionalFormatting>
  <conditionalFormatting sqref="M173">
    <cfRule type="expression" priority="851" aboveAverage="0" equalAverage="0" bottom="0" percent="0" rank="0" text="" dxfId="2306">
      <formula>#REF!=1</formula>
    </cfRule>
    <cfRule type="expression" priority="852" aboveAverage="0" equalAverage="0" bottom="0" percent="0" rank="0" text="" dxfId="2307">
      <formula>#REF!=2</formula>
    </cfRule>
    <cfRule type="expression" priority="853" aboveAverage="0" equalAverage="0" bottom="0" percent="0" rank="0" text="" dxfId="2308">
      <formula>#REF!=3</formula>
    </cfRule>
  </conditionalFormatting>
  <conditionalFormatting sqref="K174">
    <cfRule type="expression" priority="854" aboveAverage="0" equalAverage="0" bottom="0" percent="0" rank="0" text="" dxfId="2309">
      <formula>#REF!=1</formula>
    </cfRule>
    <cfRule type="expression" priority="855" aboveAverage="0" equalAverage="0" bottom="0" percent="0" rank="0" text="" dxfId="2310">
      <formula>#REF!=2</formula>
    </cfRule>
    <cfRule type="expression" priority="856" aboveAverage="0" equalAverage="0" bottom="0" percent="0" rank="0" text="" dxfId="2311">
      <formula>#REF!=3</formula>
    </cfRule>
  </conditionalFormatting>
  <conditionalFormatting sqref="M174">
    <cfRule type="expression" priority="857" aboveAverage="0" equalAverage="0" bottom="0" percent="0" rank="0" text="" dxfId="2312">
      <formula>#REF!=1</formula>
    </cfRule>
    <cfRule type="expression" priority="858" aboveAverage="0" equalAverage="0" bottom="0" percent="0" rank="0" text="" dxfId="2313">
      <formula>#REF!=2</formula>
    </cfRule>
    <cfRule type="expression" priority="859" aboveAverage="0" equalAverage="0" bottom="0" percent="0" rank="0" text="" dxfId="2314">
      <formula>#REF!=3</formula>
    </cfRule>
  </conditionalFormatting>
  <conditionalFormatting sqref="K175">
    <cfRule type="expression" priority="860" aboveAverage="0" equalAverage="0" bottom="0" percent="0" rank="0" text="" dxfId="2315">
      <formula>#REF!=1</formula>
    </cfRule>
    <cfRule type="expression" priority="861" aboveAverage="0" equalAverage="0" bottom="0" percent="0" rank="0" text="" dxfId="2316">
      <formula>#REF!=2</formula>
    </cfRule>
    <cfRule type="expression" priority="862" aboveAverage="0" equalAverage="0" bottom="0" percent="0" rank="0" text="" dxfId="2317">
      <formula>#REF!=3</formula>
    </cfRule>
  </conditionalFormatting>
  <conditionalFormatting sqref="M175">
    <cfRule type="expression" priority="863" aboveAverage="0" equalAverage="0" bottom="0" percent="0" rank="0" text="" dxfId="2318">
      <formula>#REF!=1</formula>
    </cfRule>
    <cfRule type="expression" priority="864" aboveAverage="0" equalAverage="0" bottom="0" percent="0" rank="0" text="" dxfId="2319">
      <formula>#REF!=2</formula>
    </cfRule>
    <cfRule type="expression" priority="865" aboveAverage="0" equalAverage="0" bottom="0" percent="0" rank="0" text="" dxfId="2320">
      <formula>#REF!=3</formula>
    </cfRule>
  </conditionalFormatting>
  <conditionalFormatting sqref="M176">
    <cfRule type="expression" priority="866" aboveAverage="0" equalAverage="0" bottom="0" percent="0" rank="0" text="" dxfId="2321">
      <formula>#REF!=1</formula>
    </cfRule>
    <cfRule type="expression" priority="867" aboveAverage="0" equalAverage="0" bottom="0" percent="0" rank="0" text="" dxfId="2322">
      <formula>#REF!=2</formula>
    </cfRule>
    <cfRule type="expression" priority="868" aboveAverage="0" equalAverage="0" bottom="0" percent="0" rank="0" text="" dxfId="2323">
      <formula>#REF!=3</formula>
    </cfRule>
  </conditionalFormatting>
  <conditionalFormatting sqref="K176">
    <cfRule type="expression" priority="869" aboveAverage="0" equalAverage="0" bottom="0" percent="0" rank="0" text="" dxfId="2324">
      <formula>#REF!=1</formula>
    </cfRule>
    <cfRule type="expression" priority="870" aboveAverage="0" equalAverage="0" bottom="0" percent="0" rank="0" text="" dxfId="2325">
      <formula>#REF!=2</formula>
    </cfRule>
    <cfRule type="expression" priority="871" aboveAverage="0" equalAverage="0" bottom="0" percent="0" rank="0" text="" dxfId="2326">
      <formula>#REF!=3</formula>
    </cfRule>
  </conditionalFormatting>
  <conditionalFormatting sqref="K177">
    <cfRule type="expression" priority="872" aboveAverage="0" equalAverage="0" bottom="0" percent="0" rank="0" text="" dxfId="2327">
      <formula>#REF!=1</formula>
    </cfRule>
    <cfRule type="expression" priority="873" aboveAverage="0" equalAverage="0" bottom="0" percent="0" rank="0" text="" dxfId="2328">
      <formula>#REF!=2</formula>
    </cfRule>
    <cfRule type="expression" priority="874" aboveAverage="0" equalAverage="0" bottom="0" percent="0" rank="0" text="" dxfId="2329">
      <formula>#REF!=3</formula>
    </cfRule>
  </conditionalFormatting>
  <conditionalFormatting sqref="M177">
    <cfRule type="expression" priority="875" aboveAverage="0" equalAverage="0" bottom="0" percent="0" rank="0" text="" dxfId="2330">
      <formula>#REF!=1</formula>
    </cfRule>
    <cfRule type="expression" priority="876" aboveAverage="0" equalAverage="0" bottom="0" percent="0" rank="0" text="" dxfId="2331">
      <formula>#REF!=2</formula>
    </cfRule>
    <cfRule type="expression" priority="877" aboveAverage="0" equalAverage="0" bottom="0" percent="0" rank="0" text="" dxfId="2332">
      <formula>#REF!=3</formula>
    </cfRule>
  </conditionalFormatting>
  <conditionalFormatting sqref="K178">
    <cfRule type="expression" priority="878" aboveAverage="0" equalAverage="0" bottom="0" percent="0" rank="0" text="" dxfId="2333">
      <formula>#REF!=1</formula>
    </cfRule>
    <cfRule type="expression" priority="879" aboveAverage="0" equalAverage="0" bottom="0" percent="0" rank="0" text="" dxfId="2334">
      <formula>#REF!=2</formula>
    </cfRule>
    <cfRule type="expression" priority="880" aboveAverage="0" equalAverage="0" bottom="0" percent="0" rank="0" text="" dxfId="2335">
      <formula>#REF!=3</formula>
    </cfRule>
  </conditionalFormatting>
  <conditionalFormatting sqref="M178">
    <cfRule type="expression" priority="881" aboveAverage="0" equalAverage="0" bottom="0" percent="0" rank="0" text="" dxfId="2336">
      <formula>#REF!=1</formula>
    </cfRule>
    <cfRule type="expression" priority="882" aboveAverage="0" equalAverage="0" bottom="0" percent="0" rank="0" text="" dxfId="2337">
      <formula>#REF!=2</formula>
    </cfRule>
    <cfRule type="expression" priority="883" aboveAverage="0" equalAverage="0" bottom="0" percent="0" rank="0" text="" dxfId="2338">
      <formula>#REF!=3</formula>
    </cfRule>
  </conditionalFormatting>
  <conditionalFormatting sqref="K179">
    <cfRule type="expression" priority="884" aboveAverage="0" equalAverage="0" bottom="0" percent="0" rank="0" text="" dxfId="2339">
      <formula>#REF!=1</formula>
    </cfRule>
    <cfRule type="expression" priority="885" aboveAverage="0" equalAverage="0" bottom="0" percent="0" rank="0" text="" dxfId="2340">
      <formula>#REF!=2</formula>
    </cfRule>
    <cfRule type="expression" priority="886" aboveAverage="0" equalAverage="0" bottom="0" percent="0" rank="0" text="" dxfId="2341">
      <formula>#REF!=3</formula>
    </cfRule>
  </conditionalFormatting>
  <conditionalFormatting sqref="M179">
    <cfRule type="expression" priority="887" aboveAverage="0" equalAverage="0" bottom="0" percent="0" rank="0" text="" dxfId="2342">
      <formula>#REF!=1</formula>
    </cfRule>
    <cfRule type="expression" priority="888" aboveAverage="0" equalAverage="0" bottom="0" percent="0" rank="0" text="" dxfId="2343">
      <formula>#REF!=2</formula>
    </cfRule>
    <cfRule type="expression" priority="889" aboveAverage="0" equalAverage="0" bottom="0" percent="0" rank="0" text="" dxfId="2344">
      <formula>#REF!=3</formula>
    </cfRule>
  </conditionalFormatting>
  <conditionalFormatting sqref="K180">
    <cfRule type="expression" priority="890" aboveAverage="0" equalAverage="0" bottom="0" percent="0" rank="0" text="" dxfId="2345">
      <formula>#REF!=1</formula>
    </cfRule>
    <cfRule type="expression" priority="891" aboveAverage="0" equalAverage="0" bottom="0" percent="0" rank="0" text="" dxfId="2346">
      <formula>#REF!=2</formula>
    </cfRule>
    <cfRule type="expression" priority="892" aboveAverage="0" equalAverage="0" bottom="0" percent="0" rank="0" text="" dxfId="2347">
      <formula>#REF!=3</formula>
    </cfRule>
  </conditionalFormatting>
  <conditionalFormatting sqref="M180">
    <cfRule type="expression" priority="893" aboveAverage="0" equalAverage="0" bottom="0" percent="0" rank="0" text="" dxfId="2348">
      <formula>#REF!=1</formula>
    </cfRule>
    <cfRule type="expression" priority="894" aboveAverage="0" equalAverage="0" bottom="0" percent="0" rank="0" text="" dxfId="2349">
      <formula>#REF!=2</formula>
    </cfRule>
    <cfRule type="expression" priority="895" aboveAverage="0" equalAverage="0" bottom="0" percent="0" rank="0" text="" dxfId="2350">
      <formula>#REF!=3</formula>
    </cfRule>
  </conditionalFormatting>
  <conditionalFormatting sqref="K181">
    <cfRule type="expression" priority="896" aboveAverage="0" equalAverage="0" bottom="0" percent="0" rank="0" text="" dxfId="2351">
      <formula>#REF!=1</formula>
    </cfRule>
    <cfRule type="expression" priority="897" aboveAverage="0" equalAverage="0" bottom="0" percent="0" rank="0" text="" dxfId="2352">
      <formula>#REF!=2</formula>
    </cfRule>
    <cfRule type="expression" priority="898" aboveAverage="0" equalAverage="0" bottom="0" percent="0" rank="0" text="" dxfId="2353">
      <formula>#REF!=3</formula>
    </cfRule>
  </conditionalFormatting>
  <conditionalFormatting sqref="M181">
    <cfRule type="expression" priority="899" aboveAverage="0" equalAverage="0" bottom="0" percent="0" rank="0" text="" dxfId="2354">
      <formula>#REF!=1</formula>
    </cfRule>
    <cfRule type="expression" priority="900" aboveAverage="0" equalAverage="0" bottom="0" percent="0" rank="0" text="" dxfId="2355">
      <formula>#REF!=2</formula>
    </cfRule>
    <cfRule type="expression" priority="901" aboveAverage="0" equalAverage="0" bottom="0" percent="0" rank="0" text="" dxfId="2356">
      <formula>#REF!=3</formula>
    </cfRule>
  </conditionalFormatting>
  <conditionalFormatting sqref="K182">
    <cfRule type="expression" priority="902" aboveAverage="0" equalAverage="0" bottom="0" percent="0" rank="0" text="" dxfId="2357">
      <formula>#REF!=1</formula>
    </cfRule>
    <cfRule type="expression" priority="903" aboveAverage="0" equalAverage="0" bottom="0" percent="0" rank="0" text="" dxfId="2358">
      <formula>#REF!=2</formula>
    </cfRule>
    <cfRule type="expression" priority="904" aboveAverage="0" equalAverage="0" bottom="0" percent="0" rank="0" text="" dxfId="2359">
      <formula>#REF!=3</formula>
    </cfRule>
  </conditionalFormatting>
  <conditionalFormatting sqref="M182">
    <cfRule type="expression" priority="905" aboveAverage="0" equalAverage="0" bottom="0" percent="0" rank="0" text="" dxfId="2360">
      <formula>#REF!=1</formula>
    </cfRule>
    <cfRule type="expression" priority="906" aboveAverage="0" equalAverage="0" bottom="0" percent="0" rank="0" text="" dxfId="2361">
      <formula>#REF!=2</formula>
    </cfRule>
    <cfRule type="expression" priority="907" aboveAverage="0" equalAverage="0" bottom="0" percent="0" rank="0" text="" dxfId="2362">
      <formula>#REF!=3</formula>
    </cfRule>
  </conditionalFormatting>
  <conditionalFormatting sqref="K183">
    <cfRule type="expression" priority="908" aboveAverage="0" equalAverage="0" bottom="0" percent="0" rank="0" text="" dxfId="2363">
      <formula>#REF!=1</formula>
    </cfRule>
    <cfRule type="expression" priority="909" aboveAverage="0" equalAverage="0" bottom="0" percent="0" rank="0" text="" dxfId="2364">
      <formula>#REF!=2</formula>
    </cfRule>
    <cfRule type="expression" priority="910" aboveAverage="0" equalAverage="0" bottom="0" percent="0" rank="0" text="" dxfId="2365">
      <formula>#REF!=3</formula>
    </cfRule>
  </conditionalFormatting>
  <conditionalFormatting sqref="M183">
    <cfRule type="expression" priority="911" aboveAverage="0" equalAverage="0" bottom="0" percent="0" rank="0" text="" dxfId="2366">
      <formula>#REF!=1</formula>
    </cfRule>
    <cfRule type="expression" priority="912" aboveAverage="0" equalAverage="0" bottom="0" percent="0" rank="0" text="" dxfId="2367">
      <formula>#REF!=2</formula>
    </cfRule>
    <cfRule type="expression" priority="913" aboveAverage="0" equalAverage="0" bottom="0" percent="0" rank="0" text="" dxfId="2368">
      <formula>#REF!=3</formula>
    </cfRule>
  </conditionalFormatting>
  <conditionalFormatting sqref="K184">
    <cfRule type="expression" priority="914" aboveAverage="0" equalAverage="0" bottom="0" percent="0" rank="0" text="" dxfId="2369">
      <formula>#REF!=1</formula>
    </cfRule>
    <cfRule type="expression" priority="915" aboveAverage="0" equalAverage="0" bottom="0" percent="0" rank="0" text="" dxfId="2370">
      <formula>#REF!=2</formula>
    </cfRule>
    <cfRule type="expression" priority="916" aboveAverage="0" equalAverage="0" bottom="0" percent="0" rank="0" text="" dxfId="2371">
      <formula>#REF!=3</formula>
    </cfRule>
  </conditionalFormatting>
  <conditionalFormatting sqref="M184">
    <cfRule type="expression" priority="917" aboveAverage="0" equalAverage="0" bottom="0" percent="0" rank="0" text="" dxfId="2372">
      <formula>#REF!=1</formula>
    </cfRule>
    <cfRule type="expression" priority="918" aboveAverage="0" equalAverage="0" bottom="0" percent="0" rank="0" text="" dxfId="2373">
      <formula>#REF!=2</formula>
    </cfRule>
    <cfRule type="expression" priority="919" aboveAverage="0" equalAverage="0" bottom="0" percent="0" rank="0" text="" dxfId="2374">
      <formula>#REF!=3</formula>
    </cfRule>
  </conditionalFormatting>
  <conditionalFormatting sqref="K185">
    <cfRule type="expression" priority="920" aboveAverage="0" equalAverage="0" bottom="0" percent="0" rank="0" text="" dxfId="2375">
      <formula>#REF!=1</formula>
    </cfRule>
    <cfRule type="expression" priority="921" aboveAverage="0" equalAverage="0" bottom="0" percent="0" rank="0" text="" dxfId="2376">
      <formula>#REF!=2</formula>
    </cfRule>
    <cfRule type="expression" priority="922" aboveAverage="0" equalAverage="0" bottom="0" percent="0" rank="0" text="" dxfId="2377">
      <formula>#REF!=3</formula>
    </cfRule>
  </conditionalFormatting>
  <conditionalFormatting sqref="M185">
    <cfRule type="expression" priority="923" aboveAverage="0" equalAverage="0" bottom="0" percent="0" rank="0" text="" dxfId="2378">
      <formula>#REF!=1</formula>
    </cfRule>
    <cfRule type="expression" priority="924" aboveAverage="0" equalAverage="0" bottom="0" percent="0" rank="0" text="" dxfId="2379">
      <formula>#REF!=2</formula>
    </cfRule>
    <cfRule type="expression" priority="925" aboveAverage="0" equalAverage="0" bottom="0" percent="0" rank="0" text="" dxfId="2380">
      <formula>#REF!=3</formula>
    </cfRule>
  </conditionalFormatting>
  <conditionalFormatting sqref="K186">
    <cfRule type="expression" priority="926" aboveAverage="0" equalAverage="0" bottom="0" percent="0" rank="0" text="" dxfId="2381">
      <formula>#REF!=1</formula>
    </cfRule>
    <cfRule type="expression" priority="927" aboveAverage="0" equalAverage="0" bottom="0" percent="0" rank="0" text="" dxfId="2382">
      <formula>#REF!=2</formula>
    </cfRule>
    <cfRule type="expression" priority="928" aboveAverage="0" equalAverage="0" bottom="0" percent="0" rank="0" text="" dxfId="2383">
      <formula>#REF!=3</formula>
    </cfRule>
  </conditionalFormatting>
  <conditionalFormatting sqref="M186">
    <cfRule type="expression" priority="929" aboveAverage="0" equalAverage="0" bottom="0" percent="0" rank="0" text="" dxfId="2384">
      <formula>#REF!=1</formula>
    </cfRule>
    <cfRule type="expression" priority="930" aboveAverage="0" equalAverage="0" bottom="0" percent="0" rank="0" text="" dxfId="2385">
      <formula>#REF!=2</formula>
    </cfRule>
    <cfRule type="expression" priority="931" aboveAverage="0" equalAverage="0" bottom="0" percent="0" rank="0" text="" dxfId="2386">
      <formula>#REF!=3</formula>
    </cfRule>
  </conditionalFormatting>
  <conditionalFormatting sqref="K187">
    <cfRule type="expression" priority="932" aboveAverage="0" equalAverage="0" bottom="0" percent="0" rank="0" text="" dxfId="2387">
      <formula>#REF!=1</formula>
    </cfRule>
    <cfRule type="expression" priority="933" aboveAverage="0" equalAverage="0" bottom="0" percent="0" rank="0" text="" dxfId="2388">
      <formula>#REF!=2</formula>
    </cfRule>
    <cfRule type="expression" priority="934" aboveAverage="0" equalAverage="0" bottom="0" percent="0" rank="0" text="" dxfId="2389">
      <formula>#REF!=3</formula>
    </cfRule>
  </conditionalFormatting>
  <conditionalFormatting sqref="M187">
    <cfRule type="expression" priority="935" aboveAverage="0" equalAverage="0" bottom="0" percent="0" rank="0" text="" dxfId="2390">
      <formula>#REF!=1</formula>
    </cfRule>
    <cfRule type="expression" priority="936" aboveAverage="0" equalAverage="0" bottom="0" percent="0" rank="0" text="" dxfId="2391">
      <formula>#REF!=2</formula>
    </cfRule>
    <cfRule type="expression" priority="937" aboveAverage="0" equalAverage="0" bottom="0" percent="0" rank="0" text="" dxfId="2392">
      <formula>#REF!=3</formula>
    </cfRule>
  </conditionalFormatting>
  <conditionalFormatting sqref="K188">
    <cfRule type="expression" priority="938" aboveAverage="0" equalAverage="0" bottom="0" percent="0" rank="0" text="" dxfId="2393">
      <formula>#REF!=1</formula>
    </cfRule>
    <cfRule type="expression" priority="939" aboveAverage="0" equalAverage="0" bottom="0" percent="0" rank="0" text="" dxfId="2394">
      <formula>#REF!=2</formula>
    </cfRule>
    <cfRule type="expression" priority="940" aboveAverage="0" equalAverage="0" bottom="0" percent="0" rank="0" text="" dxfId="2395">
      <formula>#REF!=3</formula>
    </cfRule>
  </conditionalFormatting>
  <conditionalFormatting sqref="M188">
    <cfRule type="expression" priority="941" aboveAverage="0" equalAverage="0" bottom="0" percent="0" rank="0" text="" dxfId="2396">
      <formula>#REF!=1</formula>
    </cfRule>
    <cfRule type="expression" priority="942" aboveAverage="0" equalAverage="0" bottom="0" percent="0" rank="0" text="" dxfId="2397">
      <formula>#REF!=2</formula>
    </cfRule>
    <cfRule type="expression" priority="943" aboveAverage="0" equalAverage="0" bottom="0" percent="0" rank="0" text="" dxfId="2398">
      <formula>#REF!=3</formula>
    </cfRule>
  </conditionalFormatting>
  <conditionalFormatting sqref="K189">
    <cfRule type="expression" priority="944" aboveAverage="0" equalAverage="0" bottom="0" percent="0" rank="0" text="" dxfId="2399">
      <formula>#REF!=1</formula>
    </cfRule>
    <cfRule type="expression" priority="945" aboveAverage="0" equalAverage="0" bottom="0" percent="0" rank="0" text="" dxfId="2400">
      <formula>#REF!=2</formula>
    </cfRule>
    <cfRule type="expression" priority="946" aboveAverage="0" equalAverage="0" bottom="0" percent="0" rank="0" text="" dxfId="2401">
      <formula>#REF!=3</formula>
    </cfRule>
  </conditionalFormatting>
  <conditionalFormatting sqref="M189">
    <cfRule type="expression" priority="947" aboveAverage="0" equalAverage="0" bottom="0" percent="0" rank="0" text="" dxfId="2402">
      <formula>#REF!=1</formula>
    </cfRule>
    <cfRule type="expression" priority="948" aboveAverage="0" equalAverage="0" bottom="0" percent="0" rank="0" text="" dxfId="2403">
      <formula>#REF!=2</formula>
    </cfRule>
    <cfRule type="expression" priority="949" aboveAverage="0" equalAverage="0" bottom="0" percent="0" rank="0" text="" dxfId="2404">
      <formula>#REF!=3</formula>
    </cfRule>
  </conditionalFormatting>
  <conditionalFormatting sqref="K190">
    <cfRule type="expression" priority="950" aboveAverage="0" equalAverage="0" bottom="0" percent="0" rank="0" text="" dxfId="2405">
      <formula>#REF!=1</formula>
    </cfRule>
    <cfRule type="expression" priority="951" aboveAverage="0" equalAverage="0" bottom="0" percent="0" rank="0" text="" dxfId="2406">
      <formula>#REF!=2</formula>
    </cfRule>
    <cfRule type="expression" priority="952" aboveAverage="0" equalAverage="0" bottom="0" percent="0" rank="0" text="" dxfId="2407">
      <formula>#REF!=3</formula>
    </cfRule>
  </conditionalFormatting>
  <conditionalFormatting sqref="M190">
    <cfRule type="expression" priority="953" aboveAverage="0" equalAverage="0" bottom="0" percent="0" rank="0" text="" dxfId="2408">
      <formula>#REF!=1</formula>
    </cfRule>
    <cfRule type="expression" priority="954" aboveAverage="0" equalAverage="0" bottom="0" percent="0" rank="0" text="" dxfId="2409">
      <formula>#REF!=2</formula>
    </cfRule>
    <cfRule type="expression" priority="955" aboveAverage="0" equalAverage="0" bottom="0" percent="0" rank="0" text="" dxfId="2410">
      <formula>#REF!=3</formula>
    </cfRule>
  </conditionalFormatting>
  <conditionalFormatting sqref="K191">
    <cfRule type="expression" priority="956" aboveAverage="0" equalAverage="0" bottom="0" percent="0" rank="0" text="" dxfId="2411">
      <formula>#REF!=1</formula>
    </cfRule>
    <cfRule type="expression" priority="957" aboveAverage="0" equalAverage="0" bottom="0" percent="0" rank="0" text="" dxfId="2412">
      <formula>#REF!=2</formula>
    </cfRule>
    <cfRule type="expression" priority="958" aboveAverage="0" equalAverage="0" bottom="0" percent="0" rank="0" text="" dxfId="2413">
      <formula>#REF!=3</formula>
    </cfRule>
  </conditionalFormatting>
  <conditionalFormatting sqref="M191">
    <cfRule type="expression" priority="959" aboveAverage="0" equalAverage="0" bottom="0" percent="0" rank="0" text="" dxfId="2414">
      <formula>#REF!=1</formula>
    </cfRule>
    <cfRule type="expression" priority="960" aboveAverage="0" equalAverage="0" bottom="0" percent="0" rank="0" text="" dxfId="2415">
      <formula>#REF!=2</formula>
    </cfRule>
    <cfRule type="expression" priority="961" aboveAverage="0" equalAverage="0" bottom="0" percent="0" rank="0" text="" dxfId="2416">
      <formula>#REF!=3</formula>
    </cfRule>
  </conditionalFormatting>
  <conditionalFormatting sqref="K192">
    <cfRule type="expression" priority="962" aboveAverage="0" equalAverage="0" bottom="0" percent="0" rank="0" text="" dxfId="2417">
      <formula>#REF!=1</formula>
    </cfRule>
    <cfRule type="expression" priority="963" aboveAverage="0" equalAverage="0" bottom="0" percent="0" rank="0" text="" dxfId="2418">
      <formula>#REF!=2</formula>
    </cfRule>
    <cfRule type="expression" priority="964" aboveAverage="0" equalAverage="0" bottom="0" percent="0" rank="0" text="" dxfId="2419">
      <formula>#REF!=3</formula>
    </cfRule>
  </conditionalFormatting>
  <conditionalFormatting sqref="M192">
    <cfRule type="expression" priority="965" aboveAverage="0" equalAverage="0" bottom="0" percent="0" rank="0" text="" dxfId="2420">
      <formula>#REF!=1</formula>
    </cfRule>
    <cfRule type="expression" priority="966" aboveAverage="0" equalAverage="0" bottom="0" percent="0" rank="0" text="" dxfId="2421">
      <formula>#REF!=2</formula>
    </cfRule>
    <cfRule type="expression" priority="967" aboveAverage="0" equalAverage="0" bottom="0" percent="0" rank="0" text="" dxfId="2422">
      <formula>#REF!=3</formula>
    </cfRule>
  </conditionalFormatting>
  <conditionalFormatting sqref="M193">
    <cfRule type="expression" priority="968" aboveAverage="0" equalAverage="0" bottom="0" percent="0" rank="0" text="" dxfId="2423">
      <formula>#REF!=1</formula>
    </cfRule>
    <cfRule type="expression" priority="969" aboveAverage="0" equalAverage="0" bottom="0" percent="0" rank="0" text="" dxfId="2424">
      <formula>#REF!=2</formula>
    </cfRule>
    <cfRule type="expression" priority="970" aboveAverage="0" equalAverage="0" bottom="0" percent="0" rank="0" text="" dxfId="2425">
      <formula>#REF!=3</formula>
    </cfRule>
  </conditionalFormatting>
  <conditionalFormatting sqref="K193">
    <cfRule type="expression" priority="971" aboveAverage="0" equalAverage="0" bottom="0" percent="0" rank="0" text="" dxfId="2426">
      <formula>#REF!=1</formula>
    </cfRule>
    <cfRule type="expression" priority="972" aboveAverage="0" equalAverage="0" bottom="0" percent="0" rank="0" text="" dxfId="2427">
      <formula>#REF!=2</formula>
    </cfRule>
    <cfRule type="expression" priority="973" aboveAverage="0" equalAverage="0" bottom="0" percent="0" rank="0" text="" dxfId="2428">
      <formula>#REF!=3</formula>
    </cfRule>
  </conditionalFormatting>
  <conditionalFormatting sqref="K194">
    <cfRule type="expression" priority="974" aboveAverage="0" equalAverage="0" bottom="0" percent="0" rank="0" text="" dxfId="2429">
      <formula>#REF!=1</formula>
    </cfRule>
    <cfRule type="expression" priority="975" aboveAverage="0" equalAverage="0" bottom="0" percent="0" rank="0" text="" dxfId="2430">
      <formula>#REF!=2</formula>
    </cfRule>
    <cfRule type="expression" priority="976" aboveAverage="0" equalAverage="0" bottom="0" percent="0" rank="0" text="" dxfId="2431">
      <formula>#REF!=3</formula>
    </cfRule>
  </conditionalFormatting>
  <conditionalFormatting sqref="M194">
    <cfRule type="expression" priority="977" aboveAverage="0" equalAverage="0" bottom="0" percent="0" rank="0" text="" dxfId="2432">
      <formula>#REF!=1</formula>
    </cfRule>
    <cfRule type="expression" priority="978" aboveAverage="0" equalAverage="0" bottom="0" percent="0" rank="0" text="" dxfId="2433">
      <formula>#REF!=2</formula>
    </cfRule>
    <cfRule type="expression" priority="979" aboveAverage="0" equalAverage="0" bottom="0" percent="0" rank="0" text="" dxfId="2434">
      <formula>#REF!=3</formula>
    </cfRule>
  </conditionalFormatting>
  <conditionalFormatting sqref="K195">
    <cfRule type="expression" priority="980" aboveAverage="0" equalAverage="0" bottom="0" percent="0" rank="0" text="" dxfId="2435">
      <formula>#REF!=1</formula>
    </cfRule>
    <cfRule type="expression" priority="981" aboveAverage="0" equalAverage="0" bottom="0" percent="0" rank="0" text="" dxfId="2436">
      <formula>#REF!=2</formula>
    </cfRule>
    <cfRule type="expression" priority="982" aboveAverage="0" equalAverage="0" bottom="0" percent="0" rank="0" text="" dxfId="2437">
      <formula>#REF!=3</formula>
    </cfRule>
  </conditionalFormatting>
  <conditionalFormatting sqref="M195">
    <cfRule type="expression" priority="983" aboveAverage="0" equalAverage="0" bottom="0" percent="0" rank="0" text="" dxfId="2438">
      <formula>#REF!=1</formula>
    </cfRule>
    <cfRule type="expression" priority="984" aboveAverage="0" equalAverage="0" bottom="0" percent="0" rank="0" text="" dxfId="2439">
      <formula>#REF!=2</formula>
    </cfRule>
    <cfRule type="expression" priority="985" aboveAverage="0" equalAverage="0" bottom="0" percent="0" rank="0" text="" dxfId="2440">
      <formula>#REF!=3</formula>
    </cfRule>
  </conditionalFormatting>
  <conditionalFormatting sqref="K196">
    <cfRule type="expression" priority="986" aboveAverage="0" equalAverage="0" bottom="0" percent="0" rank="0" text="" dxfId="2441">
      <formula>#REF!=1</formula>
    </cfRule>
    <cfRule type="expression" priority="987" aboveAverage="0" equalAverage="0" bottom="0" percent="0" rank="0" text="" dxfId="2442">
      <formula>#REF!=2</formula>
    </cfRule>
    <cfRule type="expression" priority="988" aboveAverage="0" equalAverage="0" bottom="0" percent="0" rank="0" text="" dxfId="2443">
      <formula>#REF!=3</formula>
    </cfRule>
  </conditionalFormatting>
  <conditionalFormatting sqref="M196">
    <cfRule type="expression" priority="989" aboveAverage="0" equalAverage="0" bottom="0" percent="0" rank="0" text="" dxfId="2444">
      <formula>#REF!=1</formula>
    </cfRule>
    <cfRule type="expression" priority="990" aboveAverage="0" equalAverage="0" bottom="0" percent="0" rank="0" text="" dxfId="2445">
      <formula>#REF!=2</formula>
    </cfRule>
    <cfRule type="expression" priority="991" aboveAverage="0" equalAverage="0" bottom="0" percent="0" rank="0" text="" dxfId="2446">
      <formula>#REF!=3</formula>
    </cfRule>
  </conditionalFormatting>
  <conditionalFormatting sqref="K197">
    <cfRule type="expression" priority="992" aboveAverage="0" equalAverage="0" bottom="0" percent="0" rank="0" text="" dxfId="2447">
      <formula>#REF!=1</formula>
    </cfRule>
    <cfRule type="expression" priority="993" aboveAverage="0" equalAverage="0" bottom="0" percent="0" rank="0" text="" dxfId="2448">
      <formula>#REF!=2</formula>
    </cfRule>
    <cfRule type="expression" priority="994" aboveAverage="0" equalAverage="0" bottom="0" percent="0" rank="0" text="" dxfId="2449">
      <formula>#REF!=3</formula>
    </cfRule>
  </conditionalFormatting>
  <conditionalFormatting sqref="M197">
    <cfRule type="expression" priority="995" aboveAverage="0" equalAverage="0" bottom="0" percent="0" rank="0" text="" dxfId="2450">
      <formula>#REF!=1</formula>
    </cfRule>
    <cfRule type="expression" priority="996" aboveAverage="0" equalAverage="0" bottom="0" percent="0" rank="0" text="" dxfId="2451">
      <formula>#REF!=2</formula>
    </cfRule>
    <cfRule type="expression" priority="997" aboveAverage="0" equalAverage="0" bottom="0" percent="0" rank="0" text="" dxfId="2452">
      <formula>#REF!=3</formula>
    </cfRule>
  </conditionalFormatting>
  <conditionalFormatting sqref="K198">
    <cfRule type="expression" priority="998" aboveAverage="0" equalAverage="0" bottom="0" percent="0" rank="0" text="" dxfId="2453">
      <formula>#REF!=1</formula>
    </cfRule>
    <cfRule type="expression" priority="999" aboveAverage="0" equalAverage="0" bottom="0" percent="0" rank="0" text="" dxfId="2454">
      <formula>#REF!=2</formula>
    </cfRule>
    <cfRule type="expression" priority="1000" aboveAverage="0" equalAverage="0" bottom="0" percent="0" rank="0" text="" dxfId="2455">
      <formula>#REF!=3</formula>
    </cfRule>
  </conditionalFormatting>
  <conditionalFormatting sqref="M198">
    <cfRule type="expression" priority="1001" aboveAverage="0" equalAverage="0" bottom="0" percent="0" rank="0" text="" dxfId="2456">
      <formula>#REF!=1</formula>
    </cfRule>
    <cfRule type="expression" priority="1002" aboveAverage="0" equalAverage="0" bottom="0" percent="0" rank="0" text="" dxfId="2457">
      <formula>#REF!=2</formula>
    </cfRule>
    <cfRule type="expression" priority="1003" aboveAverage="0" equalAverage="0" bottom="0" percent="0" rank="0" text="" dxfId="2458">
      <formula>#REF!=3</formula>
    </cfRule>
  </conditionalFormatting>
  <conditionalFormatting sqref="K199">
    <cfRule type="expression" priority="1004" aboveAverage="0" equalAverage="0" bottom="0" percent="0" rank="0" text="" dxfId="2459">
      <formula>#REF!=1</formula>
    </cfRule>
    <cfRule type="expression" priority="1005" aboveAverage="0" equalAverage="0" bottom="0" percent="0" rank="0" text="" dxfId="2460">
      <formula>#REF!=2</formula>
    </cfRule>
    <cfRule type="expression" priority="1006" aboveAverage="0" equalAverage="0" bottom="0" percent="0" rank="0" text="" dxfId="2461">
      <formula>#REF!=3</formula>
    </cfRule>
  </conditionalFormatting>
  <conditionalFormatting sqref="M199">
    <cfRule type="expression" priority="1007" aboveAverage="0" equalAverage="0" bottom="0" percent="0" rank="0" text="" dxfId="2462">
      <formula>#REF!=1</formula>
    </cfRule>
    <cfRule type="expression" priority="1008" aboveAverage="0" equalAverage="0" bottom="0" percent="0" rank="0" text="" dxfId="2463">
      <formula>#REF!=2</formula>
    </cfRule>
    <cfRule type="expression" priority="1009" aboveAverage="0" equalAverage="0" bottom="0" percent="0" rank="0" text="" dxfId="2464">
      <formula>#REF!=3</formula>
    </cfRule>
  </conditionalFormatting>
  <conditionalFormatting sqref="K200">
    <cfRule type="expression" priority="1010" aboveAverage="0" equalAverage="0" bottom="0" percent="0" rank="0" text="" dxfId="2465">
      <formula>#REF!=1</formula>
    </cfRule>
    <cfRule type="expression" priority="1011" aboveAverage="0" equalAverage="0" bottom="0" percent="0" rank="0" text="" dxfId="2466">
      <formula>#REF!=2</formula>
    </cfRule>
    <cfRule type="expression" priority="1012" aboveAverage="0" equalAverage="0" bottom="0" percent="0" rank="0" text="" dxfId="2467">
      <formula>#REF!=3</formula>
    </cfRule>
  </conditionalFormatting>
  <conditionalFormatting sqref="M200">
    <cfRule type="expression" priority="1013" aboveAverage="0" equalAverage="0" bottom="0" percent="0" rank="0" text="" dxfId="2468">
      <formula>#REF!=1</formula>
    </cfRule>
    <cfRule type="expression" priority="1014" aboveAverage="0" equalAverage="0" bottom="0" percent="0" rank="0" text="" dxfId="2469">
      <formula>#REF!=2</formula>
    </cfRule>
    <cfRule type="expression" priority="1015" aboveAverage="0" equalAverage="0" bottom="0" percent="0" rank="0" text="" dxfId="2470">
      <formula>#REF!=3</formula>
    </cfRule>
  </conditionalFormatting>
  <conditionalFormatting sqref="K201">
    <cfRule type="expression" priority="1016" aboveAverage="0" equalAverage="0" bottom="0" percent="0" rank="0" text="" dxfId="2471">
      <formula>#REF!=1</formula>
    </cfRule>
    <cfRule type="expression" priority="1017" aboveAverage="0" equalAverage="0" bottom="0" percent="0" rank="0" text="" dxfId="2472">
      <formula>#REF!=2</formula>
    </cfRule>
    <cfRule type="expression" priority="1018" aboveAverage="0" equalAverage="0" bottom="0" percent="0" rank="0" text="" dxfId="2473">
      <formula>#REF!=3</formula>
    </cfRule>
  </conditionalFormatting>
  <conditionalFormatting sqref="M201">
    <cfRule type="expression" priority="1019" aboveAverage="0" equalAverage="0" bottom="0" percent="0" rank="0" text="" dxfId="2474">
      <formula>#REF!=1</formula>
    </cfRule>
    <cfRule type="expression" priority="1020" aboveAverage="0" equalAverage="0" bottom="0" percent="0" rank="0" text="" dxfId="2475">
      <formula>#REF!=2</formula>
    </cfRule>
    <cfRule type="expression" priority="1021" aboveAverage="0" equalAverage="0" bottom="0" percent="0" rank="0" text="" dxfId="2476">
      <formula>#REF!=3</formula>
    </cfRule>
  </conditionalFormatting>
  <conditionalFormatting sqref="K202">
    <cfRule type="expression" priority="1022" aboveAverage="0" equalAverage="0" bottom="0" percent="0" rank="0" text="" dxfId="2477">
      <formula>#REF!=1</formula>
    </cfRule>
    <cfRule type="expression" priority="1023" aboveAverage="0" equalAverage="0" bottom="0" percent="0" rank="0" text="" dxfId="2478">
      <formula>#REF!=2</formula>
    </cfRule>
    <cfRule type="expression" priority="1024" aboveAverage="0" equalAverage="0" bottom="0" percent="0" rank="0" text="" dxfId="2479">
      <formula>#REF!=3</formula>
    </cfRule>
  </conditionalFormatting>
  <conditionalFormatting sqref="M202">
    <cfRule type="expression" priority="1025" aboveAverage="0" equalAverage="0" bottom="0" percent="0" rank="0" text="" dxfId="2480">
      <formula>#REF!=1</formula>
    </cfRule>
    <cfRule type="expression" priority="1026" aboveAverage="0" equalAverage="0" bottom="0" percent="0" rank="0" text="" dxfId="2481">
      <formula>#REF!=2</formula>
    </cfRule>
    <cfRule type="expression" priority="1027" aboveAverage="0" equalAverage="0" bottom="0" percent="0" rank="0" text="" dxfId="2482">
      <formula>#REF!=3</formula>
    </cfRule>
  </conditionalFormatting>
  <conditionalFormatting sqref="K203">
    <cfRule type="expression" priority="1028" aboveAverage="0" equalAverage="0" bottom="0" percent="0" rank="0" text="" dxfId="2483">
      <formula>#REF!=1</formula>
    </cfRule>
    <cfRule type="expression" priority="1029" aboveAverage="0" equalAverage="0" bottom="0" percent="0" rank="0" text="" dxfId="2484">
      <formula>#REF!=2</formula>
    </cfRule>
    <cfRule type="expression" priority="1030" aboveAverage="0" equalAverage="0" bottom="0" percent="0" rank="0" text="" dxfId="2485">
      <formula>#REF!=3</formula>
    </cfRule>
  </conditionalFormatting>
  <conditionalFormatting sqref="M203">
    <cfRule type="expression" priority="1031" aboveAverage="0" equalAverage="0" bottom="0" percent="0" rank="0" text="" dxfId="2486">
      <formula>#REF!=1</formula>
    </cfRule>
    <cfRule type="expression" priority="1032" aboveAverage="0" equalAverage="0" bottom="0" percent="0" rank="0" text="" dxfId="2487">
      <formula>#REF!=2</formula>
    </cfRule>
    <cfRule type="expression" priority="1033" aboveAverage="0" equalAverage="0" bottom="0" percent="0" rank="0" text="" dxfId="2488">
      <formula>#REF!=3</formula>
    </cfRule>
  </conditionalFormatting>
  <conditionalFormatting sqref="M204">
    <cfRule type="expression" priority="1034" aboveAverage="0" equalAverage="0" bottom="0" percent="0" rank="0" text="" dxfId="2489">
      <formula>#REF!=1</formula>
    </cfRule>
    <cfRule type="expression" priority="1035" aboveAverage="0" equalAverage="0" bottom="0" percent="0" rank="0" text="" dxfId="2490">
      <formula>#REF!=2</formula>
    </cfRule>
    <cfRule type="expression" priority="1036" aboveAverage="0" equalAverage="0" bottom="0" percent="0" rank="0" text="" dxfId="2491">
      <formula>#REF!=3</formula>
    </cfRule>
  </conditionalFormatting>
  <conditionalFormatting sqref="K205">
    <cfRule type="expression" priority="1037" aboveAverage="0" equalAverage="0" bottom="0" percent="0" rank="0" text="" dxfId="2492">
      <formula>#REF!=1</formula>
    </cfRule>
    <cfRule type="expression" priority="1038" aboveAverage="0" equalAverage="0" bottom="0" percent="0" rank="0" text="" dxfId="2493">
      <formula>#REF!=2</formula>
    </cfRule>
    <cfRule type="expression" priority="1039" aboveAverage="0" equalAverage="0" bottom="0" percent="0" rank="0" text="" dxfId="2494">
      <formula>#REF!=3</formula>
    </cfRule>
  </conditionalFormatting>
  <conditionalFormatting sqref="M205">
    <cfRule type="expression" priority="1040" aboveAverage="0" equalAverage="0" bottom="0" percent="0" rank="0" text="" dxfId="2495">
      <formula>#REF!=1</formula>
    </cfRule>
    <cfRule type="expression" priority="1041" aboveAverage="0" equalAverage="0" bottom="0" percent="0" rank="0" text="" dxfId="2496">
      <formula>#REF!=2</formula>
    </cfRule>
    <cfRule type="expression" priority="1042" aboveAverage="0" equalAverage="0" bottom="0" percent="0" rank="0" text="" dxfId="2497">
      <formula>#REF!=3</formula>
    </cfRule>
  </conditionalFormatting>
  <conditionalFormatting sqref="K204">
    <cfRule type="expression" priority="1043" aboveAverage="0" equalAverage="0" bottom="0" percent="0" rank="0" text="" dxfId="2498">
      <formula>#REF!=1</formula>
    </cfRule>
    <cfRule type="expression" priority="1044" aboveAverage="0" equalAverage="0" bottom="0" percent="0" rank="0" text="" dxfId="2499">
      <formula>#REF!=2</formula>
    </cfRule>
    <cfRule type="expression" priority="1045" aboveAverage="0" equalAverage="0" bottom="0" percent="0" rank="0" text="" dxfId="2500">
      <formula>#REF!=3</formula>
    </cfRule>
  </conditionalFormatting>
  <conditionalFormatting sqref="K206">
    <cfRule type="expression" priority="1046" aboveAverage="0" equalAverage="0" bottom="0" percent="0" rank="0" text="" dxfId="2501">
      <formula>#REF!=1</formula>
    </cfRule>
    <cfRule type="expression" priority="1047" aboveAverage="0" equalAverage="0" bottom="0" percent="0" rank="0" text="" dxfId="2502">
      <formula>#REF!=2</formula>
    </cfRule>
    <cfRule type="expression" priority="1048" aboveAverage="0" equalAverage="0" bottom="0" percent="0" rank="0" text="" dxfId="2503">
      <formula>#REF!=3</formula>
    </cfRule>
  </conditionalFormatting>
  <conditionalFormatting sqref="M206">
    <cfRule type="expression" priority="1049" aboveAverage="0" equalAverage="0" bottom="0" percent="0" rank="0" text="" dxfId="2504">
      <formula>#REF!=1</formula>
    </cfRule>
    <cfRule type="expression" priority="1050" aboveAverage="0" equalAverage="0" bottom="0" percent="0" rank="0" text="" dxfId="2505">
      <formula>#REF!=2</formula>
    </cfRule>
    <cfRule type="expression" priority="1051" aboveAverage="0" equalAverage="0" bottom="0" percent="0" rank="0" text="" dxfId="2506">
      <formula>#REF!=3</formula>
    </cfRule>
  </conditionalFormatting>
  <conditionalFormatting sqref="K207">
    <cfRule type="expression" priority="1052" aboveAverage="0" equalAverage="0" bottom="0" percent="0" rank="0" text="" dxfId="2507">
      <formula>#REF!=1</formula>
    </cfRule>
    <cfRule type="expression" priority="1053" aboveAverage="0" equalAverage="0" bottom="0" percent="0" rank="0" text="" dxfId="2508">
      <formula>#REF!=2</formula>
    </cfRule>
    <cfRule type="expression" priority="1054" aboveAverage="0" equalAverage="0" bottom="0" percent="0" rank="0" text="" dxfId="2509">
      <formula>#REF!=3</formula>
    </cfRule>
  </conditionalFormatting>
  <conditionalFormatting sqref="M207">
    <cfRule type="expression" priority="1055" aboveAverage="0" equalAverage="0" bottom="0" percent="0" rank="0" text="" dxfId="2510">
      <formula>#REF!=1</formula>
    </cfRule>
    <cfRule type="expression" priority="1056" aboveAverage="0" equalAverage="0" bottom="0" percent="0" rank="0" text="" dxfId="2511">
      <formula>#REF!=2</formula>
    </cfRule>
    <cfRule type="expression" priority="1057" aboveAverage="0" equalAverage="0" bottom="0" percent="0" rank="0" text="" dxfId="2512">
      <formula>#REF!=3</formula>
    </cfRule>
  </conditionalFormatting>
  <conditionalFormatting sqref="K209:K210">
    <cfRule type="expression" priority="1058" aboveAverage="0" equalAverage="0" bottom="0" percent="0" rank="0" text="" dxfId="2513">
      <formula>#REF!=1</formula>
    </cfRule>
    <cfRule type="expression" priority="1059" aboveAverage="0" equalAverage="0" bottom="0" percent="0" rank="0" text="" dxfId="2514">
      <formula>#REF!=2</formula>
    </cfRule>
    <cfRule type="expression" priority="1060" aboveAverage="0" equalAverage="0" bottom="0" percent="0" rank="0" text="" dxfId="2515">
      <formula>#REF!=3</formula>
    </cfRule>
  </conditionalFormatting>
  <conditionalFormatting sqref="M210">
    <cfRule type="expression" priority="1061" aboveAverage="0" equalAverage="0" bottom="0" percent="0" rank="0" text="" dxfId="2516">
      <formula>#REF!=1</formula>
    </cfRule>
    <cfRule type="expression" priority="1062" aboveAverage="0" equalAverage="0" bottom="0" percent="0" rank="0" text="" dxfId="2517">
      <formula>#REF!=2</formula>
    </cfRule>
    <cfRule type="expression" priority="1063" aboveAverage="0" equalAverage="0" bottom="0" percent="0" rank="0" text="" dxfId="2518">
      <formula>#REF!=3</formula>
    </cfRule>
  </conditionalFormatting>
  <conditionalFormatting sqref="M208:M209">
    <cfRule type="expression" priority="1064" aboveAverage="0" equalAverage="0" bottom="0" percent="0" rank="0" text="" dxfId="2519">
      <formula>#REF!=1</formula>
    </cfRule>
    <cfRule type="expression" priority="1065" aboveAverage="0" equalAverage="0" bottom="0" percent="0" rank="0" text="" dxfId="2520">
      <formula>#REF!=2</formula>
    </cfRule>
    <cfRule type="expression" priority="1066" aboveAverage="0" equalAverage="0" bottom="0" percent="0" rank="0" text="" dxfId="2521">
      <formula>#REF!=3</formula>
    </cfRule>
  </conditionalFormatting>
  <conditionalFormatting sqref="K208">
    <cfRule type="expression" priority="1067" aboveAverage="0" equalAverage="0" bottom="0" percent="0" rank="0" text="" dxfId="2522">
      <formula>#REF!=1</formula>
    </cfRule>
    <cfRule type="expression" priority="1068" aboveAverage="0" equalAverage="0" bottom="0" percent="0" rank="0" text="" dxfId="2523">
      <formula>#REF!=2</formula>
    </cfRule>
    <cfRule type="expression" priority="1069" aboveAverage="0" equalAverage="0" bottom="0" percent="0" rank="0" text="" dxfId="2524">
      <formula>#REF!=3</formula>
    </cfRule>
  </conditionalFormatting>
  <conditionalFormatting sqref="N208">
    <cfRule type="expression" priority="1070" aboveAverage="0" equalAverage="0" bottom="0" percent="0" rank="0" text="" dxfId="2525">
      <formula>$A336=1</formula>
    </cfRule>
    <cfRule type="expression" priority="1071" aboveAverage="0" equalAverage="0" bottom="0" percent="0" rank="0" text="" dxfId="2526">
      <formula>$A336=2</formula>
    </cfRule>
    <cfRule type="expression" priority="1072" aboveAverage="0" equalAverage="0" bottom="0" percent="0" rank="0" text="" dxfId="2527">
      <formula>$A336=3</formula>
    </cfRule>
  </conditionalFormatting>
  <conditionalFormatting sqref="K211">
    <cfRule type="expression" priority="1073" aboveAverage="0" equalAverage="0" bottom="0" percent="0" rank="0" text="" dxfId="2528">
      <formula>#REF!=1</formula>
    </cfRule>
    <cfRule type="expression" priority="1074" aboveAverage="0" equalAverage="0" bottom="0" percent="0" rank="0" text="" dxfId="2529">
      <formula>#REF!=2</formula>
    </cfRule>
    <cfRule type="expression" priority="1075" aboveAverage="0" equalAverage="0" bottom="0" percent="0" rank="0" text="" dxfId="2530">
      <formula>#REF!=3</formula>
    </cfRule>
  </conditionalFormatting>
  <conditionalFormatting sqref="M211">
    <cfRule type="expression" priority="1076" aboveAverage="0" equalAverage="0" bottom="0" percent="0" rank="0" text="" dxfId="2531">
      <formula>#REF!=1</formula>
    </cfRule>
    <cfRule type="expression" priority="1077" aboveAverage="0" equalAverage="0" bottom="0" percent="0" rank="0" text="" dxfId="2532">
      <formula>#REF!=2</formula>
    </cfRule>
    <cfRule type="expression" priority="1078" aboveAverage="0" equalAverage="0" bottom="0" percent="0" rank="0" text="" dxfId="2533">
      <formula>#REF!=3</formula>
    </cfRule>
  </conditionalFormatting>
  <conditionalFormatting sqref="K212:K213">
    <cfRule type="expression" priority="1079" aboveAverage="0" equalAverage="0" bottom="0" percent="0" rank="0" text="" dxfId="2534">
      <formula>#REF!=1</formula>
    </cfRule>
    <cfRule type="expression" priority="1080" aboveAverage="0" equalAverage="0" bottom="0" percent="0" rank="0" text="" dxfId="2535">
      <formula>#REF!=2</formula>
    </cfRule>
    <cfRule type="expression" priority="1081" aboveAverage="0" equalAverage="0" bottom="0" percent="0" rank="0" text="" dxfId="2536">
      <formula>#REF!=3</formula>
    </cfRule>
  </conditionalFormatting>
  <conditionalFormatting sqref="M213">
    <cfRule type="expression" priority="1082" aboveAverage="0" equalAverage="0" bottom="0" percent="0" rank="0" text="" dxfId="2537">
      <formula>#REF!=1</formula>
    </cfRule>
    <cfRule type="expression" priority="1083" aboveAverage="0" equalAverage="0" bottom="0" percent="0" rank="0" text="" dxfId="2538">
      <formula>#REF!=2</formula>
    </cfRule>
    <cfRule type="expression" priority="1084" aboveAverage="0" equalAverage="0" bottom="0" percent="0" rank="0" text="" dxfId="2539">
      <formula>#REF!=3</formula>
    </cfRule>
  </conditionalFormatting>
  <conditionalFormatting sqref="M212">
    <cfRule type="expression" priority="1085" aboveAverage="0" equalAverage="0" bottom="0" percent="0" rank="0" text="" dxfId="2540">
      <formula>#REF!=1</formula>
    </cfRule>
    <cfRule type="expression" priority="1086" aboveAverage="0" equalAverage="0" bottom="0" percent="0" rank="0" text="" dxfId="2541">
      <formula>#REF!=2</formula>
    </cfRule>
    <cfRule type="expression" priority="1087" aboveAverage="0" equalAverage="0" bottom="0" percent="0" rank="0" text="" dxfId="2542">
      <formula>#REF!=3</formula>
    </cfRule>
  </conditionalFormatting>
  <conditionalFormatting sqref="N213">
    <cfRule type="expression" priority="1088" aboveAverage="0" equalAverage="0" bottom="0" percent="0" rank="0" text="" dxfId="2543">
      <formula>$A323=1</formula>
    </cfRule>
    <cfRule type="expression" priority="1089" aboveAverage="0" equalAverage="0" bottom="0" percent="0" rank="0" text="" dxfId="2544">
      <formula>$A323=2</formula>
    </cfRule>
    <cfRule type="expression" priority="1090" aboveAverage="0" equalAverage="0" bottom="0" percent="0" rank="0" text="" dxfId="2545">
      <formula>$A323=3</formula>
    </cfRule>
  </conditionalFormatting>
  <conditionalFormatting sqref="K214:K215">
    <cfRule type="expression" priority="1091" aboveAverage="0" equalAverage="0" bottom="0" percent="0" rank="0" text="" dxfId="2546">
      <formula>#REF!=1</formula>
    </cfRule>
    <cfRule type="expression" priority="1092" aboveAverage="0" equalAverage="0" bottom="0" percent="0" rank="0" text="" dxfId="2547">
      <formula>#REF!=2</formula>
    </cfRule>
    <cfRule type="expression" priority="1093" aboveAverage="0" equalAverage="0" bottom="0" percent="0" rank="0" text="" dxfId="2548">
      <formula>#REF!=3</formula>
    </cfRule>
  </conditionalFormatting>
  <conditionalFormatting sqref="M214">
    <cfRule type="expression" priority="1094" aboveAverage="0" equalAverage="0" bottom="0" percent="0" rank="0" text="" dxfId="2549">
      <formula>#REF!=1</formula>
    </cfRule>
    <cfRule type="expression" priority="1095" aboveAverage="0" equalAverage="0" bottom="0" percent="0" rank="0" text="" dxfId="2550">
      <formula>#REF!=2</formula>
    </cfRule>
    <cfRule type="expression" priority="1096" aboveAverage="0" equalAverage="0" bottom="0" percent="0" rank="0" text="" dxfId="2551">
      <formula>#REF!=3</formula>
    </cfRule>
  </conditionalFormatting>
  <conditionalFormatting sqref="M215">
    <cfRule type="expression" priority="1097" aboveAverage="0" equalAverage="0" bottom="0" percent="0" rank="0" text="" dxfId="2552">
      <formula>#REF!=1</formula>
    </cfRule>
    <cfRule type="expression" priority="1098" aboveAverage="0" equalAverage="0" bottom="0" percent="0" rank="0" text="" dxfId="2553">
      <formula>#REF!=2</formula>
    </cfRule>
    <cfRule type="expression" priority="1099" aboveAverage="0" equalAverage="0" bottom="0" percent="0" rank="0" text="" dxfId="2554">
      <formula>#REF!=3</formula>
    </cfRule>
  </conditionalFormatting>
  <conditionalFormatting sqref="K216:K217">
    <cfRule type="expression" priority="1100" aboveAverage="0" equalAverage="0" bottom="0" percent="0" rank="0" text="" dxfId="2555">
      <formula>#REF!=1</formula>
    </cfRule>
    <cfRule type="expression" priority="1101" aboveAverage="0" equalAverage="0" bottom="0" percent="0" rank="0" text="" dxfId="2556">
      <formula>#REF!=2</formula>
    </cfRule>
    <cfRule type="expression" priority="1102" aboveAverage="0" equalAverage="0" bottom="0" percent="0" rank="0" text="" dxfId="2557">
      <formula>#REF!=3</formula>
    </cfRule>
  </conditionalFormatting>
  <conditionalFormatting sqref="M216">
    <cfRule type="expression" priority="1103" aboveAverage="0" equalAverage="0" bottom="0" percent="0" rank="0" text="" dxfId="2558">
      <formula>#REF!=1</formula>
    </cfRule>
    <cfRule type="expression" priority="1104" aboveAverage="0" equalAverage="0" bottom="0" percent="0" rank="0" text="" dxfId="2559">
      <formula>#REF!=2</formula>
    </cfRule>
    <cfRule type="expression" priority="1105" aboveAverage="0" equalAverage="0" bottom="0" percent="0" rank="0" text="" dxfId="2560">
      <formula>#REF!=3</formula>
    </cfRule>
  </conditionalFormatting>
  <conditionalFormatting sqref="M217">
    <cfRule type="expression" priority="1106" aboveAverage="0" equalAverage="0" bottom="0" percent="0" rank="0" text="" dxfId="2561">
      <formula>#REF!=1</formula>
    </cfRule>
    <cfRule type="expression" priority="1107" aboveAverage="0" equalAverage="0" bottom="0" percent="0" rank="0" text="" dxfId="2562">
      <formula>#REF!=2</formula>
    </cfRule>
    <cfRule type="expression" priority="1108" aboveAverage="0" equalAverage="0" bottom="0" percent="0" rank="0" text="" dxfId="2563">
      <formula>#REF!=3</formula>
    </cfRule>
  </conditionalFormatting>
  <conditionalFormatting sqref="K218">
    <cfRule type="expression" priority="1109" aboveAverage="0" equalAverage="0" bottom="0" percent="0" rank="0" text="" dxfId="2564">
      <formula>#REF!=1</formula>
    </cfRule>
    <cfRule type="expression" priority="1110" aboveAverage="0" equalAverage="0" bottom="0" percent="0" rank="0" text="" dxfId="2565">
      <formula>#REF!=2</formula>
    </cfRule>
    <cfRule type="expression" priority="1111" aboveAverage="0" equalAverage="0" bottom="0" percent="0" rank="0" text="" dxfId="2566">
      <formula>#REF!=3</formula>
    </cfRule>
  </conditionalFormatting>
  <conditionalFormatting sqref="M218">
    <cfRule type="expression" priority="1112" aboveAverage="0" equalAverage="0" bottom="0" percent="0" rank="0" text="" dxfId="2567">
      <formula>#REF!=1</formula>
    </cfRule>
    <cfRule type="expression" priority="1113" aboveAverage="0" equalAverage="0" bottom="0" percent="0" rank="0" text="" dxfId="2568">
      <formula>#REF!=2</formula>
    </cfRule>
    <cfRule type="expression" priority="1114" aboveAverage="0" equalAverage="0" bottom="0" percent="0" rank="0" text="" dxfId="2569">
      <formula>#REF!=3</formula>
    </cfRule>
  </conditionalFormatting>
  <conditionalFormatting sqref="K219">
    <cfRule type="expression" priority="1115" aboveAverage="0" equalAverage="0" bottom="0" percent="0" rank="0" text="" dxfId="2570">
      <formula>#REF!=1</formula>
    </cfRule>
    <cfRule type="expression" priority="1116" aboveAverage="0" equalAverage="0" bottom="0" percent="0" rank="0" text="" dxfId="2571">
      <formula>#REF!=2</formula>
    </cfRule>
    <cfRule type="expression" priority="1117" aboveAverage="0" equalAverage="0" bottom="0" percent="0" rank="0" text="" dxfId="2572">
      <formula>#REF!=3</formula>
    </cfRule>
  </conditionalFormatting>
  <conditionalFormatting sqref="M219">
    <cfRule type="expression" priority="1118" aboveAverage="0" equalAverage="0" bottom="0" percent="0" rank="0" text="" dxfId="2573">
      <formula>#REF!=1</formula>
    </cfRule>
    <cfRule type="expression" priority="1119" aboveAverage="0" equalAverage="0" bottom="0" percent="0" rank="0" text="" dxfId="2574">
      <formula>#REF!=2</formula>
    </cfRule>
    <cfRule type="expression" priority="1120" aboveAverage="0" equalAverage="0" bottom="0" percent="0" rank="0" text="" dxfId="2575">
      <formula>#REF!=3</formula>
    </cfRule>
  </conditionalFormatting>
  <conditionalFormatting sqref="K220:K222">
    <cfRule type="expression" priority="1121" aboveAverage="0" equalAverage="0" bottom="0" percent="0" rank="0" text="" dxfId="2576">
      <formula>#REF!=1</formula>
    </cfRule>
    <cfRule type="expression" priority="1122" aboveAverage="0" equalAverage="0" bottom="0" percent="0" rank="0" text="" dxfId="2577">
      <formula>#REF!=2</formula>
    </cfRule>
    <cfRule type="expression" priority="1123" aboveAverage="0" equalAverage="0" bottom="0" percent="0" rank="0" text="" dxfId="2578">
      <formula>#REF!=3</formula>
    </cfRule>
  </conditionalFormatting>
  <conditionalFormatting sqref="M221">
    <cfRule type="expression" priority="1124" aboveAverage="0" equalAverage="0" bottom="0" percent="0" rank="0" text="" dxfId="2579">
      <formula>#REF!=1</formula>
    </cfRule>
    <cfRule type="expression" priority="1125" aboveAverage="0" equalAverage="0" bottom="0" percent="0" rank="0" text="" dxfId="2580">
      <formula>#REF!=2</formula>
    </cfRule>
    <cfRule type="expression" priority="1126" aboveAverage="0" equalAverage="0" bottom="0" percent="0" rank="0" text="" dxfId="2581">
      <formula>#REF!=3</formula>
    </cfRule>
  </conditionalFormatting>
  <conditionalFormatting sqref="M220 M222">
    <cfRule type="expression" priority="1127" aboveAverage="0" equalAverage="0" bottom="0" percent="0" rank="0" text="" dxfId="2582">
      <formula>#REF!=1</formula>
    </cfRule>
    <cfRule type="expression" priority="1128" aboveAverage="0" equalAverage="0" bottom="0" percent="0" rank="0" text="" dxfId="2583">
      <formula>#REF!=2</formula>
    </cfRule>
    <cfRule type="expression" priority="1129" aboveAverage="0" equalAverage="0" bottom="0" percent="0" rank="0" text="" dxfId="2584">
      <formula>#REF!=3</formula>
    </cfRule>
  </conditionalFormatting>
  <conditionalFormatting sqref="K223">
    <cfRule type="expression" priority="1130" aboveAverage="0" equalAverage="0" bottom="0" percent="0" rank="0" text="" dxfId="2585">
      <formula>#REF!=1</formula>
    </cfRule>
    <cfRule type="expression" priority="1131" aboveAverage="0" equalAverage="0" bottom="0" percent="0" rank="0" text="" dxfId="2586">
      <formula>#REF!=2</formula>
    </cfRule>
    <cfRule type="expression" priority="1132" aboveAverage="0" equalAverage="0" bottom="0" percent="0" rank="0" text="" dxfId="2587">
      <formula>#REF!=3</formula>
    </cfRule>
  </conditionalFormatting>
  <conditionalFormatting sqref="M223">
    <cfRule type="expression" priority="1133" aboveAverage="0" equalAverage="0" bottom="0" percent="0" rank="0" text="" dxfId="2588">
      <formula>#REF!=1</formula>
    </cfRule>
    <cfRule type="expression" priority="1134" aboveAverage="0" equalAverage="0" bottom="0" percent="0" rank="0" text="" dxfId="2589">
      <formula>#REF!=2</formula>
    </cfRule>
    <cfRule type="expression" priority="1135" aboveAverage="0" equalAverage="0" bottom="0" percent="0" rank="0" text="" dxfId="2590">
      <formula>#REF!=3</formula>
    </cfRule>
  </conditionalFormatting>
  <conditionalFormatting sqref="K225">
    <cfRule type="expression" priority="1136" aboveAverage="0" equalAverage="0" bottom="0" percent="0" rank="0" text="" dxfId="2591">
      <formula>#REF!=1</formula>
    </cfRule>
    <cfRule type="expression" priority="1137" aboveAverage="0" equalAverage="0" bottom="0" percent="0" rank="0" text="" dxfId="2592">
      <formula>#REF!=2</formula>
    </cfRule>
    <cfRule type="expression" priority="1138" aboveAverage="0" equalAverage="0" bottom="0" percent="0" rank="0" text="" dxfId="2593">
      <formula>#REF!=3</formula>
    </cfRule>
  </conditionalFormatting>
  <conditionalFormatting sqref="M225">
    <cfRule type="expression" priority="1139" aboveAverage="0" equalAverage="0" bottom="0" percent="0" rank="0" text="" dxfId="2594">
      <formula>#REF!=1</formula>
    </cfRule>
    <cfRule type="expression" priority="1140" aboveAverage="0" equalAverage="0" bottom="0" percent="0" rank="0" text="" dxfId="2595">
      <formula>#REF!=2</formula>
    </cfRule>
    <cfRule type="expression" priority="1141" aboveAverage="0" equalAverage="0" bottom="0" percent="0" rank="0" text="" dxfId="2596">
      <formula>#REF!=3</formula>
    </cfRule>
  </conditionalFormatting>
  <conditionalFormatting sqref="K224">
    <cfRule type="expression" priority="1142" aboveAverage="0" equalAverage="0" bottom="0" percent="0" rank="0" text="" dxfId="2597">
      <formula>#REF!=1</formula>
    </cfRule>
    <cfRule type="expression" priority="1143" aboveAverage="0" equalAverage="0" bottom="0" percent="0" rank="0" text="" dxfId="2598">
      <formula>#REF!=2</formula>
    </cfRule>
    <cfRule type="expression" priority="1144" aboveAverage="0" equalAverage="0" bottom="0" percent="0" rank="0" text="" dxfId="2599">
      <formula>#REF!=3</formula>
    </cfRule>
  </conditionalFormatting>
  <conditionalFormatting sqref="M224">
    <cfRule type="expression" priority="1145" aboveAverage="0" equalAverage="0" bottom="0" percent="0" rank="0" text="" dxfId="2600">
      <formula>#REF!=1</formula>
    </cfRule>
    <cfRule type="expression" priority="1146" aboveAverage="0" equalAverage="0" bottom="0" percent="0" rank="0" text="" dxfId="2601">
      <formula>#REF!=2</formula>
    </cfRule>
    <cfRule type="expression" priority="1147" aboveAverage="0" equalAverage="0" bottom="0" percent="0" rank="0" text="" dxfId="2602">
      <formula>#REF!=3</formula>
    </cfRule>
  </conditionalFormatting>
  <conditionalFormatting sqref="K226">
    <cfRule type="expression" priority="1148" aboveAverage="0" equalAverage="0" bottom="0" percent="0" rank="0" text="" dxfId="2603">
      <formula>#REF!=1</formula>
    </cfRule>
    <cfRule type="expression" priority="1149" aboveAverage="0" equalAverage="0" bottom="0" percent="0" rank="0" text="" dxfId="2604">
      <formula>#REF!=2</formula>
    </cfRule>
    <cfRule type="expression" priority="1150" aboveAverage="0" equalAverage="0" bottom="0" percent="0" rank="0" text="" dxfId="2605">
      <formula>#REF!=3</formula>
    </cfRule>
  </conditionalFormatting>
  <conditionalFormatting sqref="M226">
    <cfRule type="expression" priority="1151" aboveAverage="0" equalAverage="0" bottom="0" percent="0" rank="0" text="" dxfId="2606">
      <formula>#REF!=1</formula>
    </cfRule>
    <cfRule type="expression" priority="1152" aboveAverage="0" equalAverage="0" bottom="0" percent="0" rank="0" text="" dxfId="2607">
      <formula>#REF!=2</formula>
    </cfRule>
    <cfRule type="expression" priority="1153" aboveAverage="0" equalAverage="0" bottom="0" percent="0" rank="0" text="" dxfId="2608">
      <formula>#REF!=3</formula>
    </cfRule>
  </conditionalFormatting>
  <conditionalFormatting sqref="K227">
    <cfRule type="expression" priority="1154" aboveAverage="0" equalAverage="0" bottom="0" percent="0" rank="0" text="" dxfId="2609">
      <formula>#REF!=1</formula>
    </cfRule>
    <cfRule type="expression" priority="1155" aboveAverage="0" equalAverage="0" bottom="0" percent="0" rank="0" text="" dxfId="2610">
      <formula>#REF!=2</formula>
    </cfRule>
    <cfRule type="expression" priority="1156" aboveAverage="0" equalAverage="0" bottom="0" percent="0" rank="0" text="" dxfId="2611">
      <formula>#REF!=3</formula>
    </cfRule>
  </conditionalFormatting>
  <conditionalFormatting sqref="M227">
    <cfRule type="expression" priority="1157" aboveAverage="0" equalAverage="0" bottom="0" percent="0" rank="0" text="" dxfId="2612">
      <formula>#REF!=1</formula>
    </cfRule>
    <cfRule type="expression" priority="1158" aboveAverage="0" equalAverage="0" bottom="0" percent="0" rank="0" text="" dxfId="2613">
      <formula>#REF!=2</formula>
    </cfRule>
    <cfRule type="expression" priority="1159" aboveAverage="0" equalAverage="0" bottom="0" percent="0" rank="0" text="" dxfId="2614">
      <formula>#REF!=3</formula>
    </cfRule>
  </conditionalFormatting>
  <conditionalFormatting sqref="K228:K229">
    <cfRule type="expression" priority="1160" aboveAverage="0" equalAverage="0" bottom="0" percent="0" rank="0" text="" dxfId="2615">
      <formula>#REF!=1</formula>
    </cfRule>
    <cfRule type="expression" priority="1161" aboveAverage="0" equalAverage="0" bottom="0" percent="0" rank="0" text="" dxfId="2616">
      <formula>#REF!=2</formula>
    </cfRule>
    <cfRule type="expression" priority="1162" aboveAverage="0" equalAverage="0" bottom="0" percent="0" rank="0" text="" dxfId="2617">
      <formula>#REF!=3</formula>
    </cfRule>
  </conditionalFormatting>
  <conditionalFormatting sqref="M229">
    <cfRule type="expression" priority="1163" aboveAverage="0" equalAverage="0" bottom="0" percent="0" rank="0" text="" dxfId="2618">
      <formula>#REF!=1</formula>
    </cfRule>
    <cfRule type="expression" priority="1164" aboveAverage="0" equalAverage="0" bottom="0" percent="0" rank="0" text="" dxfId="2619">
      <formula>#REF!=2</formula>
    </cfRule>
    <cfRule type="expression" priority="1165" aboveAverage="0" equalAverage="0" bottom="0" percent="0" rank="0" text="" dxfId="2620">
      <formula>#REF!=3</formula>
    </cfRule>
  </conditionalFormatting>
  <conditionalFormatting sqref="M228">
    <cfRule type="expression" priority="1166" aboveAverage="0" equalAverage="0" bottom="0" percent="0" rank="0" text="" dxfId="2621">
      <formula>#REF!=1</formula>
    </cfRule>
    <cfRule type="expression" priority="1167" aboveAverage="0" equalAverage="0" bottom="0" percent="0" rank="0" text="" dxfId="2622">
      <formula>#REF!=2</formula>
    </cfRule>
    <cfRule type="expression" priority="1168" aboveAverage="0" equalAverage="0" bottom="0" percent="0" rank="0" text="" dxfId="2623">
      <formula>#REF!=3</formula>
    </cfRule>
  </conditionalFormatting>
  <conditionalFormatting sqref="K230">
    <cfRule type="expression" priority="1169" aboveAverage="0" equalAverage="0" bottom="0" percent="0" rank="0" text="" dxfId="2624">
      <formula>#REF!=1</formula>
    </cfRule>
    <cfRule type="expression" priority="1170" aboveAverage="0" equalAverage="0" bottom="0" percent="0" rank="0" text="" dxfId="2625">
      <formula>#REF!=2</formula>
    </cfRule>
    <cfRule type="expression" priority="1171" aboveAverage="0" equalAverage="0" bottom="0" percent="0" rank="0" text="" dxfId="2626">
      <formula>#REF!=3</formula>
    </cfRule>
  </conditionalFormatting>
  <conditionalFormatting sqref="M230">
    <cfRule type="expression" priority="1172" aboveAverage="0" equalAverage="0" bottom="0" percent="0" rank="0" text="" dxfId="2627">
      <formula>#REF!=1</formula>
    </cfRule>
    <cfRule type="expression" priority="1173" aboveAverage="0" equalAverage="0" bottom="0" percent="0" rank="0" text="" dxfId="2628">
      <formula>#REF!=2</formula>
    </cfRule>
    <cfRule type="expression" priority="1174" aboveAverage="0" equalAverage="0" bottom="0" percent="0" rank="0" text="" dxfId="2629">
      <formula>#REF!=3</formula>
    </cfRule>
  </conditionalFormatting>
  <conditionalFormatting sqref="K231">
    <cfRule type="expression" priority="1175" aboveAverage="0" equalAverage="0" bottom="0" percent="0" rank="0" text="" dxfId="2630">
      <formula>#REF!=1</formula>
    </cfRule>
    <cfRule type="expression" priority="1176" aboveAverage="0" equalAverage="0" bottom="0" percent="0" rank="0" text="" dxfId="2631">
      <formula>#REF!=2</formula>
    </cfRule>
    <cfRule type="expression" priority="1177" aboveAverage="0" equalAverage="0" bottom="0" percent="0" rank="0" text="" dxfId="2632">
      <formula>#REF!=3</formula>
    </cfRule>
  </conditionalFormatting>
  <conditionalFormatting sqref="M231">
    <cfRule type="expression" priority="1178" aboveAverage="0" equalAverage="0" bottom="0" percent="0" rank="0" text="" dxfId="2633">
      <formula>#REF!=1</formula>
    </cfRule>
    <cfRule type="expression" priority="1179" aboveAverage="0" equalAverage="0" bottom="0" percent="0" rank="0" text="" dxfId="2634">
      <formula>#REF!=2</formula>
    </cfRule>
    <cfRule type="expression" priority="1180" aboveAverage="0" equalAverage="0" bottom="0" percent="0" rank="0" text="" dxfId="2635">
      <formula>#REF!=3</formula>
    </cfRule>
  </conditionalFormatting>
  <conditionalFormatting sqref="K232">
    <cfRule type="expression" priority="1181" aboveAverage="0" equalAverage="0" bottom="0" percent="0" rank="0" text="" dxfId="2636">
      <formula>#REF!=1</formula>
    </cfRule>
    <cfRule type="expression" priority="1182" aboveAverage="0" equalAverage="0" bottom="0" percent="0" rank="0" text="" dxfId="2637">
      <formula>#REF!=2</formula>
    </cfRule>
    <cfRule type="expression" priority="1183" aboveAverage="0" equalAverage="0" bottom="0" percent="0" rank="0" text="" dxfId="2638">
      <formula>#REF!=3</formula>
    </cfRule>
  </conditionalFormatting>
  <conditionalFormatting sqref="M232">
    <cfRule type="expression" priority="1184" aboveAverage="0" equalAverage="0" bottom="0" percent="0" rank="0" text="" dxfId="2639">
      <formula>#REF!=1</formula>
    </cfRule>
    <cfRule type="expression" priority="1185" aboveAverage="0" equalAverage="0" bottom="0" percent="0" rank="0" text="" dxfId="2640">
      <formula>#REF!=2</formula>
    </cfRule>
    <cfRule type="expression" priority="1186" aboveAverage="0" equalAverage="0" bottom="0" percent="0" rank="0" text="" dxfId="2641">
      <formula>#REF!=3</formula>
    </cfRule>
  </conditionalFormatting>
  <conditionalFormatting sqref="K233">
    <cfRule type="expression" priority="1187" aboveAverage="0" equalAverage="0" bottom="0" percent="0" rank="0" text="" dxfId="2642">
      <formula>#REF!=1</formula>
    </cfRule>
    <cfRule type="expression" priority="1188" aboveAverage="0" equalAverage="0" bottom="0" percent="0" rank="0" text="" dxfId="2643">
      <formula>#REF!=2</formula>
    </cfRule>
    <cfRule type="expression" priority="1189" aboveAverage="0" equalAverage="0" bottom="0" percent="0" rank="0" text="" dxfId="2644">
      <formula>#REF!=3</formula>
    </cfRule>
  </conditionalFormatting>
  <conditionalFormatting sqref="M233">
    <cfRule type="expression" priority="1190" aboveAverage="0" equalAverage="0" bottom="0" percent="0" rank="0" text="" dxfId="2645">
      <formula>#REF!=1</formula>
    </cfRule>
    <cfRule type="expression" priority="1191" aboveAverage="0" equalAverage="0" bottom="0" percent="0" rank="0" text="" dxfId="2646">
      <formula>#REF!=2</formula>
    </cfRule>
    <cfRule type="expression" priority="1192" aboveAverage="0" equalAverage="0" bottom="0" percent="0" rank="0" text="" dxfId="2647">
      <formula>#REF!=3</formula>
    </cfRule>
  </conditionalFormatting>
  <conditionalFormatting sqref="K234:K235">
    <cfRule type="expression" priority="1193" aboveAverage="0" equalAverage="0" bottom="0" percent="0" rank="0" text="" dxfId="2648">
      <formula>#REF!=1</formula>
    </cfRule>
    <cfRule type="expression" priority="1194" aboveAverage="0" equalAverage="0" bottom="0" percent="0" rank="0" text="" dxfId="2649">
      <formula>#REF!=2</formula>
    </cfRule>
    <cfRule type="expression" priority="1195" aboveAverage="0" equalAverage="0" bottom="0" percent="0" rank="0" text="" dxfId="2650">
      <formula>#REF!=3</formula>
    </cfRule>
  </conditionalFormatting>
  <conditionalFormatting sqref="M234:M235">
    <cfRule type="expression" priority="1196" aboveAverage="0" equalAverage="0" bottom="0" percent="0" rank="0" text="" dxfId="2651">
      <formula>#REF!=1</formula>
    </cfRule>
    <cfRule type="expression" priority="1197" aboveAverage="0" equalAverage="0" bottom="0" percent="0" rank="0" text="" dxfId="2652">
      <formula>#REF!=2</formula>
    </cfRule>
    <cfRule type="expression" priority="1198" aboveAverage="0" equalAverage="0" bottom="0" percent="0" rank="0" text="" dxfId="2653">
      <formula>#REF!=3</formula>
    </cfRule>
  </conditionalFormatting>
  <conditionalFormatting sqref="K236:K237">
    <cfRule type="expression" priority="1199" aboveAverage="0" equalAverage="0" bottom="0" percent="0" rank="0" text="" dxfId="2654">
      <formula>#REF!=1</formula>
    </cfRule>
    <cfRule type="expression" priority="1200" aboveAverage="0" equalAverage="0" bottom="0" percent="0" rank="0" text="" dxfId="2655">
      <formula>#REF!=2</formula>
    </cfRule>
    <cfRule type="expression" priority="1201" aboveAverage="0" equalAverage="0" bottom="0" percent="0" rank="0" text="" dxfId="2656">
      <formula>#REF!=3</formula>
    </cfRule>
  </conditionalFormatting>
  <conditionalFormatting sqref="M236">
    <cfRule type="expression" priority="1202" aboveAverage="0" equalAverage="0" bottom="0" percent="0" rank="0" text="" dxfId="2657">
      <formula>#REF!=1</formula>
    </cfRule>
    <cfRule type="expression" priority="1203" aboveAverage="0" equalAverage="0" bottom="0" percent="0" rank="0" text="" dxfId="2658">
      <formula>#REF!=2</formula>
    </cfRule>
    <cfRule type="expression" priority="1204" aboveAverage="0" equalAverage="0" bottom="0" percent="0" rank="0" text="" dxfId="2659">
      <formula>#REF!=3</formula>
    </cfRule>
  </conditionalFormatting>
  <conditionalFormatting sqref="M237">
    <cfRule type="expression" priority="1205" aboveAverage="0" equalAverage="0" bottom="0" percent="0" rank="0" text="" dxfId="2660">
      <formula>#REF!=1</formula>
    </cfRule>
    <cfRule type="expression" priority="1206" aboveAverage="0" equalAverage="0" bottom="0" percent="0" rank="0" text="" dxfId="2661">
      <formula>#REF!=2</formula>
    </cfRule>
    <cfRule type="expression" priority="1207" aboveAverage="0" equalAverage="0" bottom="0" percent="0" rank="0" text="" dxfId="2662">
      <formula>#REF!=3</formula>
    </cfRule>
  </conditionalFormatting>
  <conditionalFormatting sqref="N236">
    <cfRule type="expression" priority="1208" aboveAverage="0" equalAverage="0" bottom="0" percent="0" rank="0" text="" dxfId="2663">
      <formula>$A374=1</formula>
    </cfRule>
    <cfRule type="expression" priority="1209" aboveAverage="0" equalAverage="0" bottom="0" percent="0" rank="0" text="" dxfId="2664">
      <formula>$A374=2</formula>
    </cfRule>
    <cfRule type="expression" priority="1210" aboveAverage="0" equalAverage="0" bottom="0" percent="0" rank="0" text="" dxfId="2665">
      <formula>$A374=3</formula>
    </cfRule>
  </conditionalFormatting>
  <conditionalFormatting sqref="K238">
    <cfRule type="expression" priority="1211" aboveAverage="0" equalAverage="0" bottom="0" percent="0" rank="0" text="" dxfId="2666">
      <formula>#REF!=1</formula>
    </cfRule>
    <cfRule type="expression" priority="1212" aboveAverage="0" equalAverage="0" bottom="0" percent="0" rank="0" text="" dxfId="2667">
      <formula>#REF!=2</formula>
    </cfRule>
    <cfRule type="expression" priority="1213" aboveAverage="0" equalAverage="0" bottom="0" percent="0" rank="0" text="" dxfId="2668">
      <formula>#REF!=3</formula>
    </cfRule>
  </conditionalFormatting>
  <conditionalFormatting sqref="M238">
    <cfRule type="expression" priority="1214" aboveAverage="0" equalAverage="0" bottom="0" percent="0" rank="0" text="" dxfId="2669">
      <formula>#REF!=1</formula>
    </cfRule>
    <cfRule type="expression" priority="1215" aboveAverage="0" equalAverage="0" bottom="0" percent="0" rank="0" text="" dxfId="2670">
      <formula>#REF!=2</formula>
    </cfRule>
    <cfRule type="expression" priority="1216" aboveAverage="0" equalAverage="0" bottom="0" percent="0" rank="0" text="" dxfId="2671">
      <formula>#REF!=3</formula>
    </cfRule>
  </conditionalFormatting>
  <conditionalFormatting sqref="K239">
    <cfRule type="expression" priority="1217" aboveAverage="0" equalAverage="0" bottom="0" percent="0" rank="0" text="" dxfId="2672">
      <formula>#REF!=1</formula>
    </cfRule>
    <cfRule type="expression" priority="1218" aboveAverage="0" equalAverage="0" bottom="0" percent="0" rank="0" text="" dxfId="2673">
      <formula>#REF!=2</formula>
    </cfRule>
    <cfRule type="expression" priority="1219" aboveAverage="0" equalAverage="0" bottom="0" percent="0" rank="0" text="" dxfId="2674">
      <formula>#REF!=3</formula>
    </cfRule>
  </conditionalFormatting>
  <conditionalFormatting sqref="M239">
    <cfRule type="expression" priority="1220" aboveAverage="0" equalAverage="0" bottom="0" percent="0" rank="0" text="" dxfId="2675">
      <formula>#REF!=1</formula>
    </cfRule>
    <cfRule type="expression" priority="1221" aboveAverage="0" equalAverage="0" bottom="0" percent="0" rank="0" text="" dxfId="2676">
      <formula>#REF!=2</formula>
    </cfRule>
    <cfRule type="expression" priority="1222" aboveAverage="0" equalAverage="0" bottom="0" percent="0" rank="0" text="" dxfId="2677">
      <formula>#REF!=3</formula>
    </cfRule>
  </conditionalFormatting>
  <conditionalFormatting sqref="K240">
    <cfRule type="expression" priority="1223" aboveAverage="0" equalAverage="0" bottom="0" percent="0" rank="0" text="" dxfId="2678">
      <formula>#REF!=1</formula>
    </cfRule>
    <cfRule type="expression" priority="1224" aboveAverage="0" equalAverage="0" bottom="0" percent="0" rank="0" text="" dxfId="2679">
      <formula>#REF!=2</formula>
    </cfRule>
    <cfRule type="expression" priority="1225" aboveAverage="0" equalAverage="0" bottom="0" percent="0" rank="0" text="" dxfId="2680">
      <formula>#REF!=3</formula>
    </cfRule>
  </conditionalFormatting>
  <conditionalFormatting sqref="M240">
    <cfRule type="expression" priority="1226" aboveAverage="0" equalAverage="0" bottom="0" percent="0" rank="0" text="" dxfId="2681">
      <formula>#REF!=1</formula>
    </cfRule>
    <cfRule type="expression" priority="1227" aboveAverage="0" equalAverage="0" bottom="0" percent="0" rank="0" text="" dxfId="2682">
      <formula>#REF!=2</formula>
    </cfRule>
    <cfRule type="expression" priority="1228" aboveAverage="0" equalAverage="0" bottom="0" percent="0" rank="0" text="" dxfId="2683">
      <formula>#REF!=3</formula>
    </cfRule>
  </conditionalFormatting>
  <conditionalFormatting sqref="K241">
    <cfRule type="expression" priority="1229" aboveAverage="0" equalAverage="0" bottom="0" percent="0" rank="0" text="" dxfId="2684">
      <formula>#REF!=1</formula>
    </cfRule>
    <cfRule type="expression" priority="1230" aboveAverage="0" equalAverage="0" bottom="0" percent="0" rank="0" text="" dxfId="2685">
      <formula>#REF!=2</formula>
    </cfRule>
    <cfRule type="expression" priority="1231" aboveAverage="0" equalAverage="0" bottom="0" percent="0" rank="0" text="" dxfId="2686">
      <formula>#REF!=3</formula>
    </cfRule>
  </conditionalFormatting>
  <conditionalFormatting sqref="M241">
    <cfRule type="expression" priority="1232" aboveAverage="0" equalAverage="0" bottom="0" percent="0" rank="0" text="" dxfId="2687">
      <formula>#REF!=1</formula>
    </cfRule>
    <cfRule type="expression" priority="1233" aboveAverage="0" equalAverage="0" bottom="0" percent="0" rank="0" text="" dxfId="2688">
      <formula>#REF!=2</formula>
    </cfRule>
    <cfRule type="expression" priority="1234" aboveAverage="0" equalAverage="0" bottom="0" percent="0" rank="0" text="" dxfId="2689">
      <formula>#REF!=3</formula>
    </cfRule>
  </conditionalFormatting>
  <conditionalFormatting sqref="M242">
    <cfRule type="expression" priority="1235" aboveAverage="0" equalAverage="0" bottom="0" percent="0" rank="0" text="" dxfId="2690">
      <formula>#REF!=1</formula>
    </cfRule>
    <cfRule type="expression" priority="1236" aboveAverage="0" equalAverage="0" bottom="0" percent="0" rank="0" text="" dxfId="2691">
      <formula>#REF!=2</formula>
    </cfRule>
    <cfRule type="expression" priority="1237" aboveAverage="0" equalAverage="0" bottom="0" percent="0" rank="0" text="" dxfId="2692">
      <formula>#REF!=3</formula>
    </cfRule>
  </conditionalFormatting>
  <conditionalFormatting sqref="K242">
    <cfRule type="expression" priority="1238" aboveAverage="0" equalAverage="0" bottom="0" percent="0" rank="0" text="" dxfId="2693">
      <formula>#REF!=1</formula>
    </cfRule>
    <cfRule type="expression" priority="1239" aboveAverage="0" equalAverage="0" bottom="0" percent="0" rank="0" text="" dxfId="2694">
      <formula>#REF!=2</formula>
    </cfRule>
    <cfRule type="expression" priority="1240" aboveAverage="0" equalAverage="0" bottom="0" percent="0" rank="0" text="" dxfId="2695">
      <formula>#REF!=3</formula>
    </cfRule>
  </conditionalFormatting>
  <conditionalFormatting sqref="K243">
    <cfRule type="expression" priority="1241" aboveAverage="0" equalAverage="0" bottom="0" percent="0" rank="0" text="" dxfId="2696">
      <formula>#REF!=1</formula>
    </cfRule>
    <cfRule type="expression" priority="1242" aboveAverage="0" equalAverage="0" bottom="0" percent="0" rank="0" text="" dxfId="2697">
      <formula>#REF!=2</formula>
    </cfRule>
    <cfRule type="expression" priority="1243" aboveAverage="0" equalAverage="0" bottom="0" percent="0" rank="0" text="" dxfId="2698">
      <formula>#REF!=3</formula>
    </cfRule>
  </conditionalFormatting>
  <conditionalFormatting sqref="M243">
    <cfRule type="expression" priority="1244" aboveAverage="0" equalAverage="0" bottom="0" percent="0" rank="0" text="" dxfId="2699">
      <formula>#REF!=1</formula>
    </cfRule>
    <cfRule type="expression" priority="1245" aboveAverage="0" equalAverage="0" bottom="0" percent="0" rank="0" text="" dxfId="2700">
      <formula>#REF!=2</formula>
    </cfRule>
    <cfRule type="expression" priority="1246" aboveAverage="0" equalAverage="0" bottom="0" percent="0" rank="0" text="" dxfId="2701">
      <formula>#REF!=3</formula>
    </cfRule>
  </conditionalFormatting>
  <conditionalFormatting sqref="K244">
    <cfRule type="expression" priority="1247" aboveAverage="0" equalAverage="0" bottom="0" percent="0" rank="0" text="" dxfId="2702">
      <formula>#REF!=1</formula>
    </cfRule>
    <cfRule type="expression" priority="1248" aboveAverage="0" equalAverage="0" bottom="0" percent="0" rank="0" text="" dxfId="2703">
      <formula>#REF!=2</formula>
    </cfRule>
    <cfRule type="expression" priority="1249" aboveAverage="0" equalAverage="0" bottom="0" percent="0" rank="0" text="" dxfId="2704">
      <formula>#REF!=3</formula>
    </cfRule>
  </conditionalFormatting>
  <conditionalFormatting sqref="M244">
    <cfRule type="expression" priority="1250" aboveAverage="0" equalAverage="0" bottom="0" percent="0" rank="0" text="" dxfId="2705">
      <formula>#REF!=1</formula>
    </cfRule>
    <cfRule type="expression" priority="1251" aboveAverage="0" equalAverage="0" bottom="0" percent="0" rank="0" text="" dxfId="2706">
      <formula>#REF!=2</formula>
    </cfRule>
    <cfRule type="expression" priority="1252" aboveAverage="0" equalAverage="0" bottom="0" percent="0" rank="0" text="" dxfId="2707">
      <formula>#REF!=3</formula>
    </cfRule>
  </conditionalFormatting>
  <conditionalFormatting sqref="K245">
    <cfRule type="expression" priority="1253" aboveAverage="0" equalAverage="0" bottom="0" percent="0" rank="0" text="" dxfId="2708">
      <formula>#REF!=1</formula>
    </cfRule>
    <cfRule type="expression" priority="1254" aboveAverage="0" equalAverage="0" bottom="0" percent="0" rank="0" text="" dxfId="2709">
      <formula>#REF!=2</formula>
    </cfRule>
    <cfRule type="expression" priority="1255" aboveAverage="0" equalAverage="0" bottom="0" percent="0" rank="0" text="" dxfId="2710">
      <formula>#REF!=3</formula>
    </cfRule>
  </conditionalFormatting>
  <conditionalFormatting sqref="M245">
    <cfRule type="expression" priority="1256" aboveAverage="0" equalAverage="0" bottom="0" percent="0" rank="0" text="" dxfId="2711">
      <formula>#REF!=1</formula>
    </cfRule>
    <cfRule type="expression" priority="1257" aboveAverage="0" equalAverage="0" bottom="0" percent="0" rank="0" text="" dxfId="2712">
      <formula>#REF!=2</formula>
    </cfRule>
    <cfRule type="expression" priority="1258" aboveAverage="0" equalAverage="0" bottom="0" percent="0" rank="0" text="" dxfId="2713">
      <formula>#REF!=3</formula>
    </cfRule>
  </conditionalFormatting>
  <conditionalFormatting sqref="K246">
    <cfRule type="expression" priority="1259" aboveAverage="0" equalAverage="0" bottom="0" percent="0" rank="0" text="" dxfId="2714">
      <formula>#REF!=1</formula>
    </cfRule>
    <cfRule type="expression" priority="1260" aboveAverage="0" equalAverage="0" bottom="0" percent="0" rank="0" text="" dxfId="2715">
      <formula>#REF!=2</formula>
    </cfRule>
    <cfRule type="expression" priority="1261" aboveAverage="0" equalAverage="0" bottom="0" percent="0" rank="0" text="" dxfId="2716">
      <formula>#REF!=3</formula>
    </cfRule>
  </conditionalFormatting>
  <conditionalFormatting sqref="M246">
    <cfRule type="expression" priority="1262" aboveAverage="0" equalAverage="0" bottom="0" percent="0" rank="0" text="" dxfId="2717">
      <formula>#REF!=1</formula>
    </cfRule>
    <cfRule type="expression" priority="1263" aboveAverage="0" equalAverage="0" bottom="0" percent="0" rank="0" text="" dxfId="2718">
      <formula>#REF!=2</formula>
    </cfRule>
    <cfRule type="expression" priority="1264" aboveAverage="0" equalAverage="0" bottom="0" percent="0" rank="0" text="" dxfId="2719">
      <formula>#REF!=3</formula>
    </cfRule>
  </conditionalFormatting>
  <conditionalFormatting sqref="K247">
    <cfRule type="expression" priority="1265" aboveAverage="0" equalAverage="0" bottom="0" percent="0" rank="0" text="" dxfId="2720">
      <formula>#REF!=1</formula>
    </cfRule>
    <cfRule type="expression" priority="1266" aboveAverage="0" equalAverage="0" bottom="0" percent="0" rank="0" text="" dxfId="2721">
      <formula>#REF!=2</formula>
    </cfRule>
    <cfRule type="expression" priority="1267" aboveAverage="0" equalAverage="0" bottom="0" percent="0" rank="0" text="" dxfId="2722">
      <formula>#REF!=3</formula>
    </cfRule>
  </conditionalFormatting>
  <conditionalFormatting sqref="M247">
    <cfRule type="expression" priority="1268" aboveAverage="0" equalAverage="0" bottom="0" percent="0" rank="0" text="" dxfId="2723">
      <formula>#REF!=1</formula>
    </cfRule>
    <cfRule type="expression" priority="1269" aboveAverage="0" equalAverage="0" bottom="0" percent="0" rank="0" text="" dxfId="2724">
      <formula>#REF!=2</formula>
    </cfRule>
    <cfRule type="expression" priority="1270" aboveAverage="0" equalAverage="0" bottom="0" percent="0" rank="0" text="" dxfId="2725">
      <formula>#REF!=3</formula>
    </cfRule>
  </conditionalFormatting>
  <conditionalFormatting sqref="K248">
    <cfRule type="expression" priority="1271" aboveAverage="0" equalAverage="0" bottom="0" percent="0" rank="0" text="" dxfId="2726">
      <formula>#REF!=1</formula>
    </cfRule>
    <cfRule type="expression" priority="1272" aboveAverage="0" equalAverage="0" bottom="0" percent="0" rank="0" text="" dxfId="2727">
      <formula>#REF!=2</formula>
    </cfRule>
    <cfRule type="expression" priority="1273" aboveAverage="0" equalAverage="0" bottom="0" percent="0" rank="0" text="" dxfId="2728">
      <formula>#REF!=3</formula>
    </cfRule>
  </conditionalFormatting>
  <conditionalFormatting sqref="M248">
    <cfRule type="expression" priority="1274" aboveAverage="0" equalAverage="0" bottom="0" percent="0" rank="0" text="" dxfId="2729">
      <formula>#REF!=1</formula>
    </cfRule>
    <cfRule type="expression" priority="1275" aboveAverage="0" equalAverage="0" bottom="0" percent="0" rank="0" text="" dxfId="2730">
      <formula>#REF!=2</formula>
    </cfRule>
    <cfRule type="expression" priority="1276" aboveAverage="0" equalAverage="0" bottom="0" percent="0" rank="0" text="" dxfId="2731">
      <formula>#REF!=3</formula>
    </cfRule>
  </conditionalFormatting>
  <conditionalFormatting sqref="K249">
    <cfRule type="expression" priority="1277" aboveAverage="0" equalAverage="0" bottom="0" percent="0" rank="0" text="" dxfId="2732">
      <formula>#REF!=1</formula>
    </cfRule>
    <cfRule type="expression" priority="1278" aboveAverage="0" equalAverage="0" bottom="0" percent="0" rank="0" text="" dxfId="2733">
      <formula>#REF!=2</formula>
    </cfRule>
    <cfRule type="expression" priority="1279" aboveAverage="0" equalAverage="0" bottom="0" percent="0" rank="0" text="" dxfId="2734">
      <formula>#REF!=3</formula>
    </cfRule>
  </conditionalFormatting>
  <conditionalFormatting sqref="M249">
    <cfRule type="expression" priority="1280" aboveAverage="0" equalAverage="0" bottom="0" percent="0" rank="0" text="" dxfId="2735">
      <formula>#REF!=1</formula>
    </cfRule>
    <cfRule type="expression" priority="1281" aboveAverage="0" equalAverage="0" bottom="0" percent="0" rank="0" text="" dxfId="2736">
      <formula>#REF!=2</formula>
    </cfRule>
    <cfRule type="expression" priority="1282" aboveAverage="0" equalAverage="0" bottom="0" percent="0" rank="0" text="" dxfId="2737">
      <formula>#REF!=3</formula>
    </cfRule>
  </conditionalFormatting>
  <conditionalFormatting sqref="K250">
    <cfRule type="expression" priority="1283" aboveAverage="0" equalAverage="0" bottom="0" percent="0" rank="0" text="" dxfId="2738">
      <formula>#REF!=1</formula>
    </cfRule>
    <cfRule type="expression" priority="1284" aboveAverage="0" equalAverage="0" bottom="0" percent="0" rank="0" text="" dxfId="2739">
      <formula>#REF!=2</formula>
    </cfRule>
    <cfRule type="expression" priority="1285" aboveAverage="0" equalAverage="0" bottom="0" percent="0" rank="0" text="" dxfId="2740">
      <formula>#REF!=3</formula>
    </cfRule>
  </conditionalFormatting>
  <conditionalFormatting sqref="M250">
    <cfRule type="expression" priority="1286" aboveAverage="0" equalAverage="0" bottom="0" percent="0" rank="0" text="" dxfId="2741">
      <formula>#REF!=1</formula>
    </cfRule>
    <cfRule type="expression" priority="1287" aboveAverage="0" equalAverage="0" bottom="0" percent="0" rank="0" text="" dxfId="2742">
      <formula>#REF!=2</formula>
    </cfRule>
    <cfRule type="expression" priority="1288" aboveAverage="0" equalAverage="0" bottom="0" percent="0" rank="0" text="" dxfId="2743">
      <formula>#REF!=3</formula>
    </cfRule>
  </conditionalFormatting>
  <conditionalFormatting sqref="K251">
    <cfRule type="expression" priority="1289" aboveAverage="0" equalAverage="0" bottom="0" percent="0" rank="0" text="" dxfId="2744">
      <formula>#REF!=1</formula>
    </cfRule>
    <cfRule type="expression" priority="1290" aboveAverage="0" equalAverage="0" bottom="0" percent="0" rank="0" text="" dxfId="2745">
      <formula>#REF!=2</formula>
    </cfRule>
    <cfRule type="expression" priority="1291" aboveAverage="0" equalAverage="0" bottom="0" percent="0" rank="0" text="" dxfId="2746">
      <formula>#REF!=3</formula>
    </cfRule>
  </conditionalFormatting>
  <conditionalFormatting sqref="M251">
    <cfRule type="expression" priority="1292" aboveAverage="0" equalAverage="0" bottom="0" percent="0" rank="0" text="" dxfId="2747">
      <formula>#REF!=1</formula>
    </cfRule>
    <cfRule type="expression" priority="1293" aboveAverage="0" equalAverage="0" bottom="0" percent="0" rank="0" text="" dxfId="2748">
      <formula>#REF!=2</formula>
    </cfRule>
    <cfRule type="expression" priority="1294" aboveAverage="0" equalAverage="0" bottom="0" percent="0" rank="0" text="" dxfId="2749">
      <formula>#REF!=3</formula>
    </cfRule>
  </conditionalFormatting>
  <conditionalFormatting sqref="K252">
    <cfRule type="expression" priority="1295" aboveAverage="0" equalAverage="0" bottom="0" percent="0" rank="0" text="" dxfId="2750">
      <formula>#REF!=1</formula>
    </cfRule>
    <cfRule type="expression" priority="1296" aboveAverage="0" equalAverage="0" bottom="0" percent="0" rank="0" text="" dxfId="2751">
      <formula>#REF!=2</formula>
    </cfRule>
    <cfRule type="expression" priority="1297" aboveAverage="0" equalAverage="0" bottom="0" percent="0" rank="0" text="" dxfId="2752">
      <formula>#REF!=3</formula>
    </cfRule>
  </conditionalFormatting>
  <conditionalFormatting sqref="M252">
    <cfRule type="expression" priority="1298" aboveAverage="0" equalAverage="0" bottom="0" percent="0" rank="0" text="" dxfId="2753">
      <formula>#REF!=1</formula>
    </cfRule>
    <cfRule type="expression" priority="1299" aboveAverage="0" equalAverage="0" bottom="0" percent="0" rank="0" text="" dxfId="2754">
      <formula>#REF!=2</formula>
    </cfRule>
    <cfRule type="expression" priority="1300" aboveAverage="0" equalAverage="0" bottom="0" percent="0" rank="0" text="" dxfId="2755">
      <formula>#REF!=3</formula>
    </cfRule>
  </conditionalFormatting>
  <conditionalFormatting sqref="K253">
    <cfRule type="expression" priority="1301" aboveAverage="0" equalAverage="0" bottom="0" percent="0" rank="0" text="" dxfId="2756">
      <formula>#REF!=1</formula>
    </cfRule>
    <cfRule type="expression" priority="1302" aboveAverage="0" equalAverage="0" bottom="0" percent="0" rank="0" text="" dxfId="2757">
      <formula>#REF!=2</formula>
    </cfRule>
    <cfRule type="expression" priority="1303" aboveAverage="0" equalAverage="0" bottom="0" percent="0" rank="0" text="" dxfId="2758">
      <formula>#REF!=3</formula>
    </cfRule>
  </conditionalFormatting>
  <conditionalFormatting sqref="M253">
    <cfRule type="expression" priority="1304" aboveAverage="0" equalAverage="0" bottom="0" percent="0" rank="0" text="" dxfId="2759">
      <formula>#REF!=1</formula>
    </cfRule>
    <cfRule type="expression" priority="1305" aboveAverage="0" equalAverage="0" bottom="0" percent="0" rank="0" text="" dxfId="2760">
      <formula>#REF!=2</formula>
    </cfRule>
    <cfRule type="expression" priority="1306" aboveAverage="0" equalAverage="0" bottom="0" percent="0" rank="0" text="" dxfId="2761">
      <formula>#REF!=3</formula>
    </cfRule>
  </conditionalFormatting>
  <conditionalFormatting sqref="M254">
    <cfRule type="expression" priority="1307" aboveAverage="0" equalAverage="0" bottom="0" percent="0" rank="0" text="" dxfId="2762">
      <formula>#REF!=1</formula>
    </cfRule>
    <cfRule type="expression" priority="1308" aboveAverage="0" equalAverage="0" bottom="0" percent="0" rank="0" text="" dxfId="2763">
      <formula>#REF!=2</formula>
    </cfRule>
    <cfRule type="expression" priority="1309" aboveAverage="0" equalAverage="0" bottom="0" percent="0" rank="0" text="" dxfId="2764">
      <formula>#REF!=3</formula>
    </cfRule>
  </conditionalFormatting>
  <conditionalFormatting sqref="K254">
    <cfRule type="expression" priority="1310" aboveAverage="0" equalAverage="0" bottom="0" percent="0" rank="0" text="" dxfId="2765">
      <formula>#REF!=1</formula>
    </cfRule>
    <cfRule type="expression" priority="1311" aboveAverage="0" equalAverage="0" bottom="0" percent="0" rank="0" text="" dxfId="2766">
      <formula>#REF!=2</formula>
    </cfRule>
    <cfRule type="expression" priority="1312" aboveAverage="0" equalAverage="0" bottom="0" percent="0" rank="0" text="" dxfId="2767">
      <formula>#REF!=3</formula>
    </cfRule>
  </conditionalFormatting>
  <conditionalFormatting sqref="K261:K262 K255:K259">
    <cfRule type="expression" priority="1313" aboveAverage="0" equalAverage="0" bottom="0" percent="0" rank="0" text="" dxfId="2768">
      <formula>#REF!=1</formula>
    </cfRule>
    <cfRule type="expression" priority="1314" aboveAverage="0" equalAverage="0" bottom="0" percent="0" rank="0" text="" dxfId="2769">
      <formula>#REF!=2</formula>
    </cfRule>
    <cfRule type="expression" priority="1315" aboveAverage="0" equalAverage="0" bottom="0" percent="0" rank="0" text="" dxfId="2770">
      <formula>#REF!=3</formula>
    </cfRule>
  </conditionalFormatting>
  <conditionalFormatting sqref="M258">
    <cfRule type="expression" priority="1316" aboveAverage="0" equalAverage="0" bottom="0" percent="0" rank="0" text="" dxfId="2771">
      <formula>#REF!=1</formula>
    </cfRule>
    <cfRule type="expression" priority="1317" aboveAverage="0" equalAverage="0" bottom="0" percent="0" rank="0" text="" dxfId="2772">
      <formula>#REF!=2</formula>
    </cfRule>
    <cfRule type="expression" priority="1318" aboveAverage="0" equalAverage="0" bottom="0" percent="0" rank="0" text="" dxfId="2773">
      <formula>#REF!=3</formula>
    </cfRule>
  </conditionalFormatting>
  <conditionalFormatting sqref="M259">
    <cfRule type="expression" priority="1319" aboveAverage="0" equalAverage="0" bottom="0" percent="0" rank="0" text="" dxfId="2774">
      <formula>#REF!=1</formula>
    </cfRule>
    <cfRule type="expression" priority="1320" aboveAverage="0" equalAverage="0" bottom="0" percent="0" rank="0" text="" dxfId="2775">
      <formula>#REF!=2</formula>
    </cfRule>
    <cfRule type="expression" priority="1321" aboveAverage="0" equalAverage="0" bottom="0" percent="0" rank="0" text="" dxfId="2776">
      <formula>#REF!=3</formula>
    </cfRule>
  </conditionalFormatting>
  <conditionalFormatting sqref="M256 M262">
    <cfRule type="expression" priority="1322" aboveAverage="0" equalAverage="0" bottom="0" percent="0" rank="0" text="" dxfId="2777">
      <formula>#REF!=1</formula>
    </cfRule>
    <cfRule type="expression" priority="1323" aboveAverage="0" equalAverage="0" bottom="0" percent="0" rank="0" text="" dxfId="2778">
      <formula>#REF!=2</formula>
    </cfRule>
    <cfRule type="expression" priority="1324" aboveAverage="0" equalAverage="0" bottom="0" percent="0" rank="0" text="" dxfId="2779">
      <formula>#REF!=3</formula>
    </cfRule>
  </conditionalFormatting>
  <conditionalFormatting sqref="M255 M263 M260">
    <cfRule type="expression" priority="1325" aboveAverage="0" equalAverage="0" bottom="0" percent="0" rank="0" text="" dxfId="2780">
      <formula>#REF!=1</formula>
    </cfRule>
    <cfRule type="expression" priority="1326" aboveAverage="0" equalAverage="0" bottom="0" percent="0" rank="0" text="" dxfId="2781">
      <formula>#REF!=2</formula>
    </cfRule>
    <cfRule type="expression" priority="1327" aboveAverage="0" equalAverage="0" bottom="0" percent="0" rank="0" text="" dxfId="2782">
      <formula>#REF!=3</formula>
    </cfRule>
  </conditionalFormatting>
  <conditionalFormatting sqref="M261">
    <cfRule type="expression" priority="1328" aboveAverage="0" equalAverage="0" bottom="0" percent="0" rank="0" text="" dxfId="2783">
      <formula>#REF!=1</formula>
    </cfRule>
    <cfRule type="expression" priority="1329" aboveAverage="0" equalAverage="0" bottom="0" percent="0" rank="0" text="" dxfId="2784">
      <formula>#REF!=2</formula>
    </cfRule>
    <cfRule type="expression" priority="1330" aboveAverage="0" equalAverage="0" bottom="0" percent="0" rank="0" text="" dxfId="2785">
      <formula>#REF!=3</formula>
    </cfRule>
  </conditionalFormatting>
  <conditionalFormatting sqref="K263">
    <cfRule type="expression" priority="1331" aboveAverage="0" equalAverage="0" bottom="0" percent="0" rank="0" text="" dxfId="2786">
      <formula>#REF!=1</formula>
    </cfRule>
    <cfRule type="expression" priority="1332" aboveAverage="0" equalAverage="0" bottom="0" percent="0" rank="0" text="" dxfId="2787">
      <formula>#REF!=2</formula>
    </cfRule>
    <cfRule type="expression" priority="1333" aboveAverage="0" equalAverage="0" bottom="0" percent="0" rank="0" text="" dxfId="2788">
      <formula>#REF!=3</formula>
    </cfRule>
  </conditionalFormatting>
  <conditionalFormatting sqref="M257">
    <cfRule type="expression" priority="1334" aboveAverage="0" equalAverage="0" bottom="0" percent="0" rank="0" text="" dxfId="2789">
      <formula>#REF!=1</formula>
    </cfRule>
    <cfRule type="expression" priority="1335" aboveAverage="0" equalAverage="0" bottom="0" percent="0" rank="0" text="" dxfId="2790">
      <formula>#REF!=2</formula>
    </cfRule>
    <cfRule type="expression" priority="1336" aboveAverage="0" equalAverage="0" bottom="0" percent="0" rank="0" text="" dxfId="2791">
      <formula>#REF!=3</formula>
    </cfRule>
  </conditionalFormatting>
  <conditionalFormatting sqref="N257">
    <cfRule type="expression" priority="1337" aboveAverage="0" equalAverage="0" bottom="0" percent="0" rank="0" text="" dxfId="2792">
      <formula>$A686=1</formula>
    </cfRule>
    <cfRule type="expression" priority="1338" aboveAverage="0" equalAverage="0" bottom="0" percent="0" rank="0" text="" dxfId="2793">
      <formula>$A686=2</formula>
    </cfRule>
    <cfRule type="expression" priority="1339" aboveAverage="0" equalAverage="0" bottom="0" percent="0" rank="0" text="" dxfId="2794">
      <formula>$A686=3</formula>
    </cfRule>
  </conditionalFormatting>
  <conditionalFormatting sqref="K264">
    <cfRule type="expression" priority="1340" aboveAverage="0" equalAverage="0" bottom="0" percent="0" rank="0" text="" dxfId="2795">
      <formula>#REF!=1</formula>
    </cfRule>
    <cfRule type="expression" priority="1341" aboveAverage="0" equalAverage="0" bottom="0" percent="0" rank="0" text="" dxfId="2796">
      <formula>#REF!=2</formula>
    </cfRule>
    <cfRule type="expression" priority="1342" aboveAverage="0" equalAverage="0" bottom="0" percent="0" rank="0" text="" dxfId="2797">
      <formula>#REF!=3</formula>
    </cfRule>
  </conditionalFormatting>
  <conditionalFormatting sqref="M264">
    <cfRule type="expression" priority="1343" aboveAverage="0" equalAverage="0" bottom="0" percent="0" rank="0" text="" dxfId="2798">
      <formula>#REF!=1</formula>
    </cfRule>
    <cfRule type="expression" priority="1344" aboveAverage="0" equalAverage="0" bottom="0" percent="0" rank="0" text="" dxfId="2799">
      <formula>#REF!=2</formula>
    </cfRule>
    <cfRule type="expression" priority="1345" aboveAverage="0" equalAverage="0" bottom="0" percent="0" rank="0" text="" dxfId="2800">
      <formula>#REF!=3</formula>
    </cfRule>
  </conditionalFormatting>
  <conditionalFormatting sqref="K265">
    <cfRule type="expression" priority="1346" aboveAverage="0" equalAverage="0" bottom="0" percent="0" rank="0" text="" dxfId="2801">
      <formula>#REF!=1</formula>
    </cfRule>
    <cfRule type="expression" priority="1347" aboveAverage="0" equalAverage="0" bottom="0" percent="0" rank="0" text="" dxfId="2802">
      <formula>#REF!=2</formula>
    </cfRule>
    <cfRule type="expression" priority="1348" aboveAverage="0" equalAverage="0" bottom="0" percent="0" rank="0" text="" dxfId="2803">
      <formula>#REF!=3</formula>
    </cfRule>
  </conditionalFormatting>
  <conditionalFormatting sqref="M265">
    <cfRule type="expression" priority="1349" aboveAverage="0" equalAverage="0" bottom="0" percent="0" rank="0" text="" dxfId="2804">
      <formula>#REF!=1</formula>
    </cfRule>
    <cfRule type="expression" priority="1350" aboveAverage="0" equalAverage="0" bottom="0" percent="0" rank="0" text="" dxfId="2805">
      <formula>#REF!=2</formula>
    </cfRule>
    <cfRule type="expression" priority="1351" aboveAverage="0" equalAverage="0" bottom="0" percent="0" rank="0" text="" dxfId="2806">
      <formula>#REF!=3</formula>
    </cfRule>
  </conditionalFormatting>
  <conditionalFormatting sqref="K266">
    <cfRule type="expression" priority="1352" aboveAverage="0" equalAverage="0" bottom="0" percent="0" rank="0" text="" dxfId="2807">
      <formula>#REF!=1</formula>
    </cfRule>
    <cfRule type="expression" priority="1353" aboveAverage="0" equalAverage="0" bottom="0" percent="0" rank="0" text="" dxfId="2808">
      <formula>#REF!=2</formula>
    </cfRule>
    <cfRule type="expression" priority="1354" aboveAverage="0" equalAverage="0" bottom="0" percent="0" rank="0" text="" dxfId="2809">
      <formula>#REF!=3</formula>
    </cfRule>
  </conditionalFormatting>
  <conditionalFormatting sqref="M266">
    <cfRule type="expression" priority="1355" aboveAverage="0" equalAverage="0" bottom="0" percent="0" rank="0" text="" dxfId="2810">
      <formula>#REF!=1</formula>
    </cfRule>
    <cfRule type="expression" priority="1356" aboveAverage="0" equalAverage="0" bottom="0" percent="0" rank="0" text="" dxfId="2811">
      <formula>#REF!=2</formula>
    </cfRule>
    <cfRule type="expression" priority="1357" aboveAverage="0" equalAverage="0" bottom="0" percent="0" rank="0" text="" dxfId="2812">
      <formula>#REF!=3</formula>
    </cfRule>
  </conditionalFormatting>
  <conditionalFormatting sqref="K267">
    <cfRule type="expression" priority="1358" aboveAverage="0" equalAverage="0" bottom="0" percent="0" rank="0" text="" dxfId="2813">
      <formula>#REF!=1</formula>
    </cfRule>
    <cfRule type="expression" priority="1359" aboveAverage="0" equalAverage="0" bottom="0" percent="0" rank="0" text="" dxfId="2814">
      <formula>#REF!=2</formula>
    </cfRule>
    <cfRule type="expression" priority="1360" aboveAverage="0" equalAverage="0" bottom="0" percent="0" rank="0" text="" dxfId="2815">
      <formula>#REF!=3</formula>
    </cfRule>
  </conditionalFormatting>
  <conditionalFormatting sqref="M267">
    <cfRule type="expression" priority="1361" aboveAverage="0" equalAverage="0" bottom="0" percent="0" rank="0" text="" dxfId="2816">
      <formula>#REF!=1</formula>
    </cfRule>
    <cfRule type="expression" priority="1362" aboveAverage="0" equalAverage="0" bottom="0" percent="0" rank="0" text="" dxfId="2817">
      <formula>#REF!=2</formula>
    </cfRule>
    <cfRule type="expression" priority="1363" aboveAverage="0" equalAverage="0" bottom="0" percent="0" rank="0" text="" dxfId="2818">
      <formula>#REF!=3</formula>
    </cfRule>
  </conditionalFormatting>
  <conditionalFormatting sqref="K268">
    <cfRule type="expression" priority="1364" aboveAverage="0" equalAverage="0" bottom="0" percent="0" rank="0" text="" dxfId="2819">
      <formula>#REF!=1</formula>
    </cfRule>
    <cfRule type="expression" priority="1365" aboveAverage="0" equalAverage="0" bottom="0" percent="0" rank="0" text="" dxfId="2820">
      <formula>#REF!=2</formula>
    </cfRule>
    <cfRule type="expression" priority="1366" aboveAverage="0" equalAverage="0" bottom="0" percent="0" rank="0" text="" dxfId="2821">
      <formula>#REF!=3</formula>
    </cfRule>
  </conditionalFormatting>
  <conditionalFormatting sqref="M268">
    <cfRule type="expression" priority="1367" aboveAverage="0" equalAverage="0" bottom="0" percent="0" rank="0" text="" dxfId="2822">
      <formula>#REF!=1</formula>
    </cfRule>
    <cfRule type="expression" priority="1368" aboveAverage="0" equalAverage="0" bottom="0" percent="0" rank="0" text="" dxfId="2823">
      <formula>#REF!=2</formula>
    </cfRule>
    <cfRule type="expression" priority="1369" aboveAverage="0" equalAverage="0" bottom="0" percent="0" rank="0" text="" dxfId="2824">
      <formula>#REF!=3</formula>
    </cfRule>
  </conditionalFormatting>
  <conditionalFormatting sqref="K269">
    <cfRule type="expression" priority="1370" aboveAverage="0" equalAverage="0" bottom="0" percent="0" rank="0" text="" dxfId="2825">
      <formula>#REF!=1</formula>
    </cfRule>
    <cfRule type="expression" priority="1371" aboveAverage="0" equalAverage="0" bottom="0" percent="0" rank="0" text="" dxfId="2826">
      <formula>#REF!=2</formula>
    </cfRule>
    <cfRule type="expression" priority="1372" aboveAverage="0" equalAverage="0" bottom="0" percent="0" rank="0" text="" dxfId="2827">
      <formula>#REF!=3</formula>
    </cfRule>
  </conditionalFormatting>
  <conditionalFormatting sqref="M269">
    <cfRule type="expression" priority="1373" aboveAverage="0" equalAverage="0" bottom="0" percent="0" rank="0" text="" dxfId="2828">
      <formula>#REF!=1</formula>
    </cfRule>
    <cfRule type="expression" priority="1374" aboveAverage="0" equalAverage="0" bottom="0" percent="0" rank="0" text="" dxfId="2829">
      <formula>#REF!=2</formula>
    </cfRule>
    <cfRule type="expression" priority="1375" aboveAverage="0" equalAverage="0" bottom="0" percent="0" rank="0" text="" dxfId="2830">
      <formula>#REF!=3</formula>
    </cfRule>
  </conditionalFormatting>
  <conditionalFormatting sqref="K270">
    <cfRule type="expression" priority="1376" aboveAverage="0" equalAverage="0" bottom="0" percent="0" rank="0" text="" dxfId="2831">
      <formula>#REF!=1</formula>
    </cfRule>
    <cfRule type="expression" priority="1377" aboveAverage="0" equalAverage="0" bottom="0" percent="0" rank="0" text="" dxfId="2832">
      <formula>#REF!=2</formula>
    </cfRule>
    <cfRule type="expression" priority="1378" aboveAverage="0" equalAverage="0" bottom="0" percent="0" rank="0" text="" dxfId="2833">
      <formula>#REF!=3</formula>
    </cfRule>
  </conditionalFormatting>
  <conditionalFormatting sqref="M270">
    <cfRule type="expression" priority="1379" aboveAverage="0" equalAverage="0" bottom="0" percent="0" rank="0" text="" dxfId="2834">
      <formula>#REF!=1</formula>
    </cfRule>
    <cfRule type="expression" priority="1380" aboveAverage="0" equalAverage="0" bottom="0" percent="0" rank="0" text="" dxfId="2835">
      <formula>#REF!=2</formula>
    </cfRule>
    <cfRule type="expression" priority="1381" aboveAverage="0" equalAverage="0" bottom="0" percent="0" rank="0" text="" dxfId="2836">
      <formula>#REF!=3</formula>
    </cfRule>
  </conditionalFormatting>
  <conditionalFormatting sqref="K271:K272">
    <cfRule type="expression" priority="1382" aboveAverage="0" equalAverage="0" bottom="0" percent="0" rank="0" text="" dxfId="2837">
      <formula>#REF!=1</formula>
    </cfRule>
    <cfRule type="expression" priority="1383" aboveAverage="0" equalAverage="0" bottom="0" percent="0" rank="0" text="" dxfId="2838">
      <formula>#REF!=2</formula>
    </cfRule>
    <cfRule type="expression" priority="1384" aboveAverage="0" equalAverage="0" bottom="0" percent="0" rank="0" text="" dxfId="2839">
      <formula>#REF!=3</formula>
    </cfRule>
  </conditionalFormatting>
  <conditionalFormatting sqref="M271">
    <cfRule type="expression" priority="1385" aboveAverage="0" equalAverage="0" bottom="0" percent="0" rank="0" text="" dxfId="2840">
      <formula>#REF!=1</formula>
    </cfRule>
    <cfRule type="expression" priority="1386" aboveAverage="0" equalAverage="0" bottom="0" percent="0" rank="0" text="" dxfId="2841">
      <formula>#REF!=2</formula>
    </cfRule>
    <cfRule type="expression" priority="1387" aboveAverage="0" equalAverage="0" bottom="0" percent="0" rank="0" text="" dxfId="2842">
      <formula>#REF!=3</formula>
    </cfRule>
  </conditionalFormatting>
  <conditionalFormatting sqref="M272">
    <cfRule type="expression" priority="1388" aboveAverage="0" equalAverage="0" bottom="0" percent="0" rank="0" text="" dxfId="2843">
      <formula>#REF!=1</formula>
    </cfRule>
    <cfRule type="expression" priority="1389" aboveAverage="0" equalAverage="0" bottom="0" percent="0" rank="0" text="" dxfId="2844">
      <formula>#REF!=2</formula>
    </cfRule>
    <cfRule type="expression" priority="1390" aboveAverage="0" equalAverage="0" bottom="0" percent="0" rank="0" text="" dxfId="2845">
      <formula>#REF!=3</formula>
    </cfRule>
  </conditionalFormatting>
  <conditionalFormatting sqref="K273">
    <cfRule type="expression" priority="1391" aboveAverage="0" equalAverage="0" bottom="0" percent="0" rank="0" text="" dxfId="2846">
      <formula>#REF!=1</formula>
    </cfRule>
    <cfRule type="expression" priority="1392" aboveAverage="0" equalAverage="0" bottom="0" percent="0" rank="0" text="" dxfId="2847">
      <formula>#REF!=2</formula>
    </cfRule>
    <cfRule type="expression" priority="1393" aboveAverage="0" equalAverage="0" bottom="0" percent="0" rank="0" text="" dxfId="2848">
      <formula>#REF!=3</formula>
    </cfRule>
  </conditionalFormatting>
  <conditionalFormatting sqref="M273">
    <cfRule type="expression" priority="1394" aboveAverage="0" equalAverage="0" bottom="0" percent="0" rank="0" text="" dxfId="2849">
      <formula>#REF!=1</formula>
    </cfRule>
    <cfRule type="expression" priority="1395" aboveAverage="0" equalAverage="0" bottom="0" percent="0" rank="0" text="" dxfId="2850">
      <formula>#REF!=2</formula>
    </cfRule>
    <cfRule type="expression" priority="1396" aboveAverage="0" equalAverage="0" bottom="0" percent="0" rank="0" text="" dxfId="2851">
      <formula>#REF!=3</formula>
    </cfRule>
  </conditionalFormatting>
  <conditionalFormatting sqref="K294:K296 K275:K286 K288:K292">
    <cfRule type="expression" priority="1397" aboveAverage="0" equalAverage="0" bottom="0" percent="0" rank="0" text="" dxfId="2852">
      <formula>#REF!=1</formula>
    </cfRule>
    <cfRule type="expression" priority="1398" aboveAverage="0" equalAverage="0" bottom="0" percent="0" rank="0" text="" dxfId="2853">
      <formula>#REF!=2</formula>
    </cfRule>
    <cfRule type="expression" priority="1399" aboveAverage="0" equalAverage="0" bottom="0" percent="0" rank="0" text="" dxfId="2854">
      <formula>#REF!=3</formula>
    </cfRule>
  </conditionalFormatting>
  <conditionalFormatting sqref="K287">
    <cfRule type="expression" priority="1400" aboveAverage="0" equalAverage="0" bottom="0" percent="0" rank="0" text="" dxfId="2855">
      <formula>#REF!=1</formula>
    </cfRule>
    <cfRule type="expression" priority="1401" aboveAverage="0" equalAverage="0" bottom="0" percent="0" rank="0" text="" dxfId="2856">
      <formula>#REF!=2</formula>
    </cfRule>
    <cfRule type="expression" priority="1402" aboveAverage="0" equalAverage="0" bottom="0" percent="0" rank="0" text="" dxfId="2857">
      <formula>#REF!=3</formula>
    </cfRule>
  </conditionalFormatting>
  <conditionalFormatting sqref="M278">
    <cfRule type="expression" priority="1403" aboveAverage="0" equalAverage="0" bottom="0" percent="0" rank="0" text="" dxfId="2858">
      <formula>#REF!=1</formula>
    </cfRule>
    <cfRule type="expression" priority="1404" aboveAverage="0" equalAverage="0" bottom="0" percent="0" rank="0" text="" dxfId="2859">
      <formula>#REF!=2</formula>
    </cfRule>
    <cfRule type="expression" priority="1405" aboveAverage="0" equalAverage="0" bottom="0" percent="0" rank="0" text="" dxfId="2860">
      <formula>#REF!=3</formula>
    </cfRule>
  </conditionalFormatting>
  <conditionalFormatting sqref="M296">
    <cfRule type="expression" priority="1406" aboveAverage="0" equalAverage="0" bottom="0" percent="0" rank="0" text="" dxfId="2861">
      <formula>#REF!=1</formula>
    </cfRule>
    <cfRule type="expression" priority="1407" aboveAverage="0" equalAverage="0" bottom="0" percent="0" rank="0" text="" dxfId="2862">
      <formula>#REF!=2</formula>
    </cfRule>
    <cfRule type="expression" priority="1408" aboveAverage="0" equalAverage="0" bottom="0" percent="0" rank="0" text="" dxfId="2863">
      <formula>#REF!=3</formula>
    </cfRule>
  </conditionalFormatting>
  <conditionalFormatting sqref="M277 M290 M283 M287">
    <cfRule type="expression" priority="1409" aboveAverage="0" equalAverage="0" bottom="0" percent="0" rank="0" text="" dxfId="2864">
      <formula>#REF!=1</formula>
    </cfRule>
    <cfRule type="expression" priority="1410" aboveAverage="0" equalAverage="0" bottom="0" percent="0" rank="0" text="" dxfId="2865">
      <formula>#REF!=2</formula>
    </cfRule>
    <cfRule type="expression" priority="1411" aboveAverage="0" equalAverage="0" bottom="0" percent="0" rank="0" text="" dxfId="2866">
      <formula>#REF!=3</formula>
    </cfRule>
  </conditionalFormatting>
  <conditionalFormatting sqref="M288 M291">
    <cfRule type="expression" priority="1412" aboveAverage="0" equalAverage="0" bottom="0" percent="0" rank="0" text="" dxfId="2867">
      <formula>#REF!=1</formula>
    </cfRule>
    <cfRule type="expression" priority="1413" aboveAverage="0" equalAverage="0" bottom="0" percent="0" rank="0" text="" dxfId="2868">
      <formula>#REF!=2</formula>
    </cfRule>
    <cfRule type="expression" priority="1414" aboveAverage="0" equalAverage="0" bottom="0" percent="0" rank="0" text="" dxfId="2869">
      <formula>#REF!=3</formula>
    </cfRule>
  </conditionalFormatting>
  <conditionalFormatting sqref="M281 M289 M295">
    <cfRule type="expression" priority="1415" aboveAverage="0" equalAverage="0" bottom="0" percent="0" rank="0" text="" dxfId="2870">
      <formula>#REF!=1</formula>
    </cfRule>
    <cfRule type="expression" priority="1416" aboveAverage="0" equalAverage="0" bottom="0" percent="0" rank="0" text="" dxfId="2871">
      <formula>#REF!=2</formula>
    </cfRule>
    <cfRule type="expression" priority="1417" aboveAverage="0" equalAverage="0" bottom="0" percent="0" rank="0" text="" dxfId="2872">
      <formula>#REF!=3</formula>
    </cfRule>
  </conditionalFormatting>
  <conditionalFormatting sqref="M275:M276 M279:M280 M292:M294 M284:M286">
    <cfRule type="expression" priority="1418" aboveAverage="0" equalAverage="0" bottom="0" percent="0" rank="0" text="" dxfId="2873">
      <formula>#REF!=1</formula>
    </cfRule>
    <cfRule type="expression" priority="1419" aboveAverage="0" equalAverage="0" bottom="0" percent="0" rank="0" text="" dxfId="2874">
      <formula>#REF!=2</formula>
    </cfRule>
    <cfRule type="expression" priority="1420" aboveAverage="0" equalAverage="0" bottom="0" percent="0" rank="0" text="" dxfId="2875">
      <formula>#REF!=3</formula>
    </cfRule>
  </conditionalFormatting>
  <conditionalFormatting sqref="M282">
    <cfRule type="expression" priority="1421" aboveAverage="0" equalAverage="0" bottom="0" percent="0" rank="0" text="" dxfId="2876">
      <formula>#REF!=1</formula>
    </cfRule>
    <cfRule type="expression" priority="1422" aboveAverage="0" equalAverage="0" bottom="0" percent="0" rank="0" text="" dxfId="2877">
      <formula>#REF!=2</formula>
    </cfRule>
    <cfRule type="expression" priority="1423" aboveAverage="0" equalAverage="0" bottom="0" percent="0" rank="0" text="" dxfId="2878">
      <formula>#REF!=3</formula>
    </cfRule>
  </conditionalFormatting>
  <conditionalFormatting sqref="K274">
    <cfRule type="expression" priority="1424" aboveAverage="0" equalAverage="0" bottom="0" percent="0" rank="0" text="" dxfId="2879">
      <formula>#REF!=1</formula>
    </cfRule>
    <cfRule type="expression" priority="1425" aboveAverage="0" equalAverage="0" bottom="0" percent="0" rank="0" text="" dxfId="2880">
      <formula>#REF!=2</formula>
    </cfRule>
    <cfRule type="expression" priority="1426" aboveAverage="0" equalAverage="0" bottom="0" percent="0" rank="0" text="" dxfId="2881">
      <formula>#REF!=3</formula>
    </cfRule>
  </conditionalFormatting>
  <conditionalFormatting sqref="M274">
    <cfRule type="expression" priority="1427" aboveAverage="0" equalAverage="0" bottom="0" percent="0" rank="0" text="" dxfId="2882">
      <formula>#REF!=1</formula>
    </cfRule>
    <cfRule type="expression" priority="1428" aboveAverage="0" equalAverage="0" bottom="0" percent="0" rank="0" text="" dxfId="2883">
      <formula>#REF!=2</formula>
    </cfRule>
    <cfRule type="expression" priority="1429" aboveAverage="0" equalAverage="0" bottom="0" percent="0" rank="0" text="" dxfId="2884">
      <formula>#REF!=3</formula>
    </cfRule>
  </conditionalFormatting>
  <conditionalFormatting sqref="K293">
    <cfRule type="expression" priority="1430" aboveAverage="0" equalAverage="0" bottom="0" percent="0" rank="0" text="" dxfId="2885">
      <formula>#REF!=1</formula>
    </cfRule>
    <cfRule type="expression" priority="1431" aboveAverage="0" equalAverage="0" bottom="0" percent="0" rank="0" text="" dxfId="2886">
      <formula>#REF!=2</formula>
    </cfRule>
    <cfRule type="expression" priority="1432" aboveAverage="0" equalAverage="0" bottom="0" percent="0" rank="0" text="" dxfId="2887">
      <formula>#REF!=3</formula>
    </cfRule>
  </conditionalFormatting>
  <conditionalFormatting sqref="K297:K300">
    <cfRule type="expression" priority="1433" aboveAverage="0" equalAverage="0" bottom="0" percent="0" rank="0" text="" dxfId="2888">
      <formula>#REF!=1</formula>
    </cfRule>
    <cfRule type="expression" priority="1434" aboveAverage="0" equalAverage="0" bottom="0" percent="0" rank="0" text="" dxfId="2889">
      <formula>#REF!=2</formula>
    </cfRule>
    <cfRule type="expression" priority="1435" aboveAverage="0" equalAverage="0" bottom="0" percent="0" rank="0" text="" dxfId="2890">
      <formula>#REF!=3</formula>
    </cfRule>
  </conditionalFormatting>
  <conditionalFormatting sqref="M298">
    <cfRule type="expression" priority="1436" aboveAverage="0" equalAverage="0" bottom="0" percent="0" rank="0" text="" dxfId="2891">
      <formula>#REF!=1</formula>
    </cfRule>
    <cfRule type="expression" priority="1437" aboveAverage="0" equalAverage="0" bottom="0" percent="0" rank="0" text="" dxfId="2892">
      <formula>#REF!=2</formula>
    </cfRule>
    <cfRule type="expression" priority="1438" aboveAverage="0" equalAverage="0" bottom="0" percent="0" rank="0" text="" dxfId="2893">
      <formula>#REF!=3</formula>
    </cfRule>
  </conditionalFormatting>
  <conditionalFormatting sqref="M300">
    <cfRule type="expression" priority="1439" aboveAverage="0" equalAverage="0" bottom="0" percent="0" rank="0" text="" dxfId="2894">
      <formula>#REF!=1</formula>
    </cfRule>
    <cfRule type="expression" priority="1440" aboveAverage="0" equalAverage="0" bottom="0" percent="0" rank="0" text="" dxfId="2895">
      <formula>#REF!=2</formula>
    </cfRule>
    <cfRule type="expression" priority="1441" aboveAverage="0" equalAverage="0" bottom="0" percent="0" rank="0" text="" dxfId="2896">
      <formula>#REF!=3</formula>
    </cfRule>
  </conditionalFormatting>
  <conditionalFormatting sqref="M297 M299">
    <cfRule type="expression" priority="1442" aboveAverage="0" equalAverage="0" bottom="0" percent="0" rank="0" text="" dxfId="2897">
      <formula>#REF!=1</formula>
    </cfRule>
    <cfRule type="expression" priority="1443" aboveAverage="0" equalAverage="0" bottom="0" percent="0" rank="0" text="" dxfId="2898">
      <formula>#REF!=2</formula>
    </cfRule>
    <cfRule type="expression" priority="1444" aboveAverage="0" equalAverage="0" bottom="0" percent="0" rank="0" text="" dxfId="2899">
      <formula>#REF!=3</formula>
    </cfRule>
  </conditionalFormatting>
  <conditionalFormatting sqref="K301">
    <cfRule type="expression" priority="1445" aboveAverage="0" equalAverage="0" bottom="0" percent="0" rank="0" text="" dxfId="2900">
      <formula>#REF!=1</formula>
    </cfRule>
    <cfRule type="expression" priority="1446" aboveAverage="0" equalAverage="0" bottom="0" percent="0" rank="0" text="" dxfId="2901">
      <formula>#REF!=2</formula>
    </cfRule>
    <cfRule type="expression" priority="1447" aboveAverage="0" equalAverage="0" bottom="0" percent="0" rank="0" text="" dxfId="2902">
      <formula>#REF!=3</formula>
    </cfRule>
  </conditionalFormatting>
  <conditionalFormatting sqref="M301">
    <cfRule type="expression" priority="1448" aboveAverage="0" equalAverage="0" bottom="0" percent="0" rank="0" text="" dxfId="2903">
      <formula>#REF!=1</formula>
    </cfRule>
    <cfRule type="expression" priority="1449" aboveAverage="0" equalAverage="0" bottom="0" percent="0" rank="0" text="" dxfId="2904">
      <formula>#REF!=2</formula>
    </cfRule>
    <cfRule type="expression" priority="1450" aboveAverage="0" equalAverage="0" bottom="0" percent="0" rank="0" text="" dxfId="2905">
      <formula>#REF!=3</formula>
    </cfRule>
  </conditionalFormatting>
  <conditionalFormatting sqref="K302">
    <cfRule type="expression" priority="1451" aboveAverage="0" equalAverage="0" bottom="0" percent="0" rank="0" text="" dxfId="2906">
      <formula>#REF!=1</formula>
    </cfRule>
    <cfRule type="expression" priority="1452" aboveAverage="0" equalAverage="0" bottom="0" percent="0" rank="0" text="" dxfId="2907">
      <formula>#REF!=2</formula>
    </cfRule>
    <cfRule type="expression" priority="1453" aboveAverage="0" equalAverage="0" bottom="0" percent="0" rank="0" text="" dxfId="2908">
      <formula>#REF!=3</formula>
    </cfRule>
  </conditionalFormatting>
  <conditionalFormatting sqref="M302">
    <cfRule type="expression" priority="1454" aboveAverage="0" equalAverage="0" bottom="0" percent="0" rank="0" text="" dxfId="2909">
      <formula>#REF!=1</formula>
    </cfRule>
    <cfRule type="expression" priority="1455" aboveAverage="0" equalAverage="0" bottom="0" percent="0" rank="0" text="" dxfId="2910">
      <formula>#REF!=2</formula>
    </cfRule>
    <cfRule type="expression" priority="1456" aboveAverage="0" equalAverage="0" bottom="0" percent="0" rank="0" text="" dxfId="2911">
      <formula>#REF!=3</formula>
    </cfRule>
  </conditionalFormatting>
  <conditionalFormatting sqref="K303">
    <cfRule type="expression" priority="1457" aboveAverage="0" equalAverage="0" bottom="0" percent="0" rank="0" text="" dxfId="2912">
      <formula>#REF!=1</formula>
    </cfRule>
    <cfRule type="expression" priority="1458" aboveAverage="0" equalAverage="0" bottom="0" percent="0" rank="0" text="" dxfId="2913">
      <formula>#REF!=2</formula>
    </cfRule>
    <cfRule type="expression" priority="1459" aboveAverage="0" equalAverage="0" bottom="0" percent="0" rank="0" text="" dxfId="2914">
      <formula>#REF!=3</formula>
    </cfRule>
  </conditionalFormatting>
  <conditionalFormatting sqref="M303">
    <cfRule type="expression" priority="1460" aboveAverage="0" equalAverage="0" bottom="0" percent="0" rank="0" text="" dxfId="2915">
      <formula>#REF!=1</formula>
    </cfRule>
    <cfRule type="expression" priority="1461" aboveAverage="0" equalAverage="0" bottom="0" percent="0" rank="0" text="" dxfId="2916">
      <formula>#REF!=2</formula>
    </cfRule>
    <cfRule type="expression" priority="1462" aboveAverage="0" equalAverage="0" bottom="0" percent="0" rank="0" text="" dxfId="2917">
      <formula>#REF!=3</formula>
    </cfRule>
  </conditionalFormatting>
  <conditionalFormatting sqref="K304">
    <cfRule type="expression" priority="1463" aboveAverage="0" equalAverage="0" bottom="0" percent="0" rank="0" text="" dxfId="2918">
      <formula>#REF!=1</formula>
    </cfRule>
    <cfRule type="expression" priority="1464" aboveAverage="0" equalAverage="0" bottom="0" percent="0" rank="0" text="" dxfId="2919">
      <formula>#REF!=2</formula>
    </cfRule>
    <cfRule type="expression" priority="1465" aboveAverage="0" equalAverage="0" bottom="0" percent="0" rank="0" text="" dxfId="2920">
      <formula>#REF!=3</formula>
    </cfRule>
  </conditionalFormatting>
  <conditionalFormatting sqref="M304">
    <cfRule type="expression" priority="1466" aboveAverage="0" equalAverage="0" bottom="0" percent="0" rank="0" text="" dxfId="2921">
      <formula>#REF!=1</formula>
    </cfRule>
    <cfRule type="expression" priority="1467" aboveAverage="0" equalAverage="0" bottom="0" percent="0" rank="0" text="" dxfId="2922">
      <formula>#REF!=2</formula>
    </cfRule>
    <cfRule type="expression" priority="1468" aboveAverage="0" equalAverage="0" bottom="0" percent="0" rank="0" text="" dxfId="2923">
      <formula>#REF!=3</formula>
    </cfRule>
  </conditionalFormatting>
  <conditionalFormatting sqref="K305">
    <cfRule type="expression" priority="1469" aboveAverage="0" equalAverage="0" bottom="0" percent="0" rank="0" text="" dxfId="2924">
      <formula>#REF!=1</formula>
    </cfRule>
    <cfRule type="expression" priority="1470" aboveAverage="0" equalAverage="0" bottom="0" percent="0" rank="0" text="" dxfId="2925">
      <formula>#REF!=2</formula>
    </cfRule>
    <cfRule type="expression" priority="1471" aboveAverage="0" equalAverage="0" bottom="0" percent="0" rank="0" text="" dxfId="2926">
      <formula>#REF!=3</formula>
    </cfRule>
  </conditionalFormatting>
  <conditionalFormatting sqref="M305">
    <cfRule type="expression" priority="1472" aboveAverage="0" equalAverage="0" bottom="0" percent="0" rank="0" text="" dxfId="2927">
      <formula>#REF!=1</formula>
    </cfRule>
    <cfRule type="expression" priority="1473" aboveAverage="0" equalAverage="0" bottom="0" percent="0" rank="0" text="" dxfId="2928">
      <formula>#REF!=2</formula>
    </cfRule>
    <cfRule type="expression" priority="1474" aboveAverage="0" equalAverage="0" bottom="0" percent="0" rank="0" text="" dxfId="2929">
      <formula>#REF!=3</formula>
    </cfRule>
  </conditionalFormatting>
  <conditionalFormatting sqref="K306">
    <cfRule type="expression" priority="1475" aboveAverage="0" equalAverage="0" bottom="0" percent="0" rank="0" text="" dxfId="2930">
      <formula>#REF!=1</formula>
    </cfRule>
    <cfRule type="expression" priority="1476" aboveAverage="0" equalAverage="0" bottom="0" percent="0" rank="0" text="" dxfId="2931">
      <formula>#REF!=2</formula>
    </cfRule>
    <cfRule type="expression" priority="1477" aboveAverage="0" equalAverage="0" bottom="0" percent="0" rank="0" text="" dxfId="2932">
      <formula>#REF!=3</formula>
    </cfRule>
  </conditionalFormatting>
  <conditionalFormatting sqref="M306">
    <cfRule type="expression" priority="1478" aboveAverage="0" equalAverage="0" bottom="0" percent="0" rank="0" text="" dxfId="2933">
      <formula>#REF!=1</formula>
    </cfRule>
    <cfRule type="expression" priority="1479" aboveAverage="0" equalAverage="0" bottom="0" percent="0" rank="0" text="" dxfId="2934">
      <formula>#REF!=2</formula>
    </cfRule>
    <cfRule type="expression" priority="1480" aboveAverage="0" equalAverage="0" bottom="0" percent="0" rank="0" text="" dxfId="2935">
      <formula>#REF!=3</formula>
    </cfRule>
  </conditionalFormatting>
  <conditionalFormatting sqref="K307:K310">
    <cfRule type="expression" priority="1481" aboveAverage="0" equalAverage="0" bottom="0" percent="0" rank="0" text="" dxfId="2936">
      <formula>#REF!=1</formula>
    </cfRule>
    <cfRule type="expression" priority="1482" aboveAverage="0" equalAverage="0" bottom="0" percent="0" rank="0" text="" dxfId="2937">
      <formula>#REF!=2</formula>
    </cfRule>
    <cfRule type="expression" priority="1483" aboveAverage="0" equalAverage="0" bottom="0" percent="0" rank="0" text="" dxfId="2938">
      <formula>#REF!=3</formula>
    </cfRule>
  </conditionalFormatting>
  <conditionalFormatting sqref="M308">
    <cfRule type="expression" priority="1484" aboveAverage="0" equalAverage="0" bottom="0" percent="0" rank="0" text="" dxfId="2939">
      <formula>#REF!=1</formula>
    </cfRule>
    <cfRule type="expression" priority="1485" aboveAverage="0" equalAverage="0" bottom="0" percent="0" rank="0" text="" dxfId="2940">
      <formula>#REF!=2</formula>
    </cfRule>
    <cfRule type="expression" priority="1486" aboveAverage="0" equalAverage="0" bottom="0" percent="0" rank="0" text="" dxfId="2941">
      <formula>#REF!=3</formula>
    </cfRule>
  </conditionalFormatting>
  <conditionalFormatting sqref="M307 M309">
    <cfRule type="expression" priority="1487" aboveAverage="0" equalAverage="0" bottom="0" percent="0" rank="0" text="" dxfId="2942">
      <formula>#REF!=1</formula>
    </cfRule>
    <cfRule type="expression" priority="1488" aboveAverage="0" equalAverage="0" bottom="0" percent="0" rank="0" text="" dxfId="2943">
      <formula>#REF!=2</formula>
    </cfRule>
    <cfRule type="expression" priority="1489" aboveAverage="0" equalAverage="0" bottom="0" percent="0" rank="0" text="" dxfId="2944">
      <formula>#REF!=3</formula>
    </cfRule>
  </conditionalFormatting>
  <conditionalFormatting sqref="M310">
    <cfRule type="expression" priority="1490" aboveAverage="0" equalAverage="0" bottom="0" percent="0" rank="0" text="" dxfId="2945">
      <formula>#REF!=1</formula>
    </cfRule>
    <cfRule type="expression" priority="1491" aboveAverage="0" equalAverage="0" bottom="0" percent="0" rank="0" text="" dxfId="2946">
      <formula>#REF!=2</formula>
    </cfRule>
    <cfRule type="expression" priority="1492" aboveAverage="0" equalAverage="0" bottom="0" percent="0" rank="0" text="" dxfId="2947">
      <formula>#REF!=3</formula>
    </cfRule>
  </conditionalFormatting>
  <conditionalFormatting sqref="N310">
    <cfRule type="expression" priority="1493" aboveAverage="0" equalAverage="0" bottom="0" percent="0" rank="0" text="" dxfId="2948">
      <formula>$A566=1</formula>
    </cfRule>
    <cfRule type="expression" priority="1494" aboveAverage="0" equalAverage="0" bottom="0" percent="0" rank="0" text="" dxfId="2949">
      <formula>$A566=2</formula>
    </cfRule>
    <cfRule type="expression" priority="1495" aboveAverage="0" equalAverage="0" bottom="0" percent="0" rank="0" text="" dxfId="2950">
      <formula>$A566=3</formula>
    </cfRule>
  </conditionalFormatting>
  <conditionalFormatting sqref="K311">
    <cfRule type="expression" priority="1496" aboveAverage="0" equalAverage="0" bottom="0" percent="0" rank="0" text="" dxfId="2951">
      <formula>#REF!=1</formula>
    </cfRule>
    <cfRule type="expression" priority="1497" aboveAverage="0" equalAverage="0" bottom="0" percent="0" rank="0" text="" dxfId="2952">
      <formula>#REF!=2</formula>
    </cfRule>
    <cfRule type="expression" priority="1498" aboveAverage="0" equalAverage="0" bottom="0" percent="0" rank="0" text="" dxfId="2953">
      <formula>#REF!=3</formula>
    </cfRule>
  </conditionalFormatting>
  <conditionalFormatting sqref="M311">
    <cfRule type="expression" priority="1499" aboveAverage="0" equalAverage="0" bottom="0" percent="0" rank="0" text="" dxfId="2954">
      <formula>#REF!=1</formula>
    </cfRule>
    <cfRule type="expression" priority="1500" aboveAverage="0" equalAverage="0" bottom="0" percent="0" rank="0" text="" dxfId="2955">
      <formula>#REF!=2</formula>
    </cfRule>
    <cfRule type="expression" priority="1501" aboveAverage="0" equalAverage="0" bottom="0" percent="0" rank="0" text="" dxfId="2956">
      <formula>#REF!=3</formula>
    </cfRule>
  </conditionalFormatting>
  <conditionalFormatting sqref="K312:K317">
    <cfRule type="expression" priority="1502" aboveAverage="0" equalAverage="0" bottom="0" percent="0" rank="0" text="" dxfId="2957">
      <formula>#REF!=1</formula>
    </cfRule>
    <cfRule type="expression" priority="1503" aboveAverage="0" equalAverage="0" bottom="0" percent="0" rank="0" text="" dxfId="2958">
      <formula>#REF!=2</formula>
    </cfRule>
    <cfRule type="expression" priority="1504" aboveAverage="0" equalAverage="0" bottom="0" percent="0" rank="0" text="" dxfId="2959">
      <formula>#REF!=3</formula>
    </cfRule>
  </conditionalFormatting>
  <conditionalFormatting sqref="M313">
    <cfRule type="expression" priority="1505" aboveAverage="0" equalAverage="0" bottom="0" percent="0" rank="0" text="" dxfId="2960">
      <formula>#REF!=1</formula>
    </cfRule>
    <cfRule type="expression" priority="1506" aboveAverage="0" equalAverage="0" bottom="0" percent="0" rank="0" text="" dxfId="2961">
      <formula>#REF!=2</formula>
    </cfRule>
    <cfRule type="expression" priority="1507" aboveAverage="0" equalAverage="0" bottom="0" percent="0" rank="0" text="" dxfId="2962">
      <formula>#REF!=3</formula>
    </cfRule>
  </conditionalFormatting>
  <conditionalFormatting sqref="M314 M312">
    <cfRule type="expression" priority="1508" aboveAverage="0" equalAverage="0" bottom="0" percent="0" rank="0" text="" dxfId="2963">
      <formula>#REF!=1</formula>
    </cfRule>
    <cfRule type="expression" priority="1509" aboveAverage="0" equalAverage="0" bottom="0" percent="0" rank="0" text="" dxfId="2964">
      <formula>#REF!=2</formula>
    </cfRule>
    <cfRule type="expression" priority="1510" aboveAverage="0" equalAverage="0" bottom="0" percent="0" rank="0" text="" dxfId="2965">
      <formula>#REF!=3</formula>
    </cfRule>
  </conditionalFormatting>
  <conditionalFormatting sqref="M315:M317">
    <cfRule type="expression" priority="1511" aboveAverage="0" equalAverage="0" bottom="0" percent="0" rank="0" text="" dxfId="2966">
      <formula>#REF!=1</formula>
    </cfRule>
    <cfRule type="expression" priority="1512" aboveAverage="0" equalAverage="0" bottom="0" percent="0" rank="0" text="" dxfId="2967">
      <formula>#REF!=2</formula>
    </cfRule>
    <cfRule type="expression" priority="1513" aboveAverage="0" equalAverage="0" bottom="0" percent="0" rank="0" text="" dxfId="2968">
      <formula>#REF!=3</formula>
    </cfRule>
  </conditionalFormatting>
  <conditionalFormatting sqref="K318:K321">
    <cfRule type="expression" priority="1514" aboveAverage="0" equalAverage="0" bottom="0" percent="0" rank="0" text="" dxfId="2969">
      <formula>#REF!=1</formula>
    </cfRule>
    <cfRule type="expression" priority="1515" aboveAverage="0" equalAverage="0" bottom="0" percent="0" rank="0" text="" dxfId="2970">
      <formula>#REF!=2</formula>
    </cfRule>
    <cfRule type="expression" priority="1516" aboveAverage="0" equalAverage="0" bottom="0" percent="0" rank="0" text="" dxfId="2971">
      <formula>#REF!=3</formula>
    </cfRule>
  </conditionalFormatting>
  <conditionalFormatting sqref="M318:M321">
    <cfRule type="expression" priority="1517" aboveAverage="0" equalAverage="0" bottom="0" percent="0" rank="0" text="" dxfId="2972">
      <formula>#REF!=1</formula>
    </cfRule>
    <cfRule type="expression" priority="1518" aboveAverage="0" equalAverage="0" bottom="0" percent="0" rank="0" text="" dxfId="2973">
      <formula>#REF!=2</formula>
    </cfRule>
    <cfRule type="expression" priority="1519" aboveAverage="0" equalAverage="0" bottom="0" percent="0" rank="0" text="" dxfId="2974">
      <formula>#REF!=3</formula>
    </cfRule>
  </conditionalFormatting>
  <conditionalFormatting sqref="L318">
    <cfRule type="expression" priority="1520" aboveAverage="0" equalAverage="0" bottom="0" percent="0" rank="0" text="" dxfId="2975">
      <formula>#REF!=1</formula>
    </cfRule>
    <cfRule type="expression" priority="1521" aboveAverage="0" equalAverage="0" bottom="0" percent="0" rank="0" text="" dxfId="2976">
      <formula>#REF!=2</formula>
    </cfRule>
    <cfRule type="expression" priority="1522" aboveAverage="0" equalAverage="0" bottom="0" percent="0" rank="0" text="" dxfId="2977">
      <formula>#REF!=3</formula>
    </cfRule>
  </conditionalFormatting>
  <conditionalFormatting sqref="K322">
    <cfRule type="expression" priority="1523" aboveAverage="0" equalAverage="0" bottom="0" percent="0" rank="0" text="" dxfId="2978">
      <formula>#REF!=1</formula>
    </cfRule>
    <cfRule type="expression" priority="1524" aboveAverage="0" equalAverage="0" bottom="0" percent="0" rank="0" text="" dxfId="2979">
      <formula>#REF!=2</formula>
    </cfRule>
    <cfRule type="expression" priority="1525" aboveAverage="0" equalAverage="0" bottom="0" percent="0" rank="0" text="" dxfId="2980">
      <formula>#REF!=3</formula>
    </cfRule>
  </conditionalFormatting>
  <conditionalFormatting sqref="M322">
    <cfRule type="expression" priority="1526" aboveAverage="0" equalAverage="0" bottom="0" percent="0" rank="0" text="" dxfId="2981">
      <formula>#REF!=1</formula>
    </cfRule>
    <cfRule type="expression" priority="1527" aboveAverage="0" equalAverage="0" bottom="0" percent="0" rank="0" text="" dxfId="2982">
      <formula>#REF!=2</formula>
    </cfRule>
    <cfRule type="expression" priority="1528" aboveAverage="0" equalAverage="0" bottom="0" percent="0" rank="0" text="" dxfId="2983">
      <formula>#REF!=3</formula>
    </cfRule>
  </conditionalFormatting>
  <conditionalFormatting sqref="K323">
    <cfRule type="expression" priority="1529" aboveAverage="0" equalAverage="0" bottom="0" percent="0" rank="0" text="" dxfId="2984">
      <formula>#REF!=1</formula>
    </cfRule>
    <cfRule type="expression" priority="1530" aboveAverage="0" equalAverage="0" bottom="0" percent="0" rank="0" text="" dxfId="2985">
      <formula>#REF!=2</formula>
    </cfRule>
    <cfRule type="expression" priority="1531" aboveAverage="0" equalAverage="0" bottom="0" percent="0" rank="0" text="" dxfId="2986">
      <formula>#REF!=3</formula>
    </cfRule>
  </conditionalFormatting>
  <conditionalFormatting sqref="M323">
    <cfRule type="expression" priority="1532" aboveAverage="0" equalAverage="0" bottom="0" percent="0" rank="0" text="" dxfId="2987">
      <formula>#REF!=1</formula>
    </cfRule>
    <cfRule type="expression" priority="1533" aboveAverage="0" equalAverage="0" bottom="0" percent="0" rank="0" text="" dxfId="2988">
      <formula>#REF!=2</formula>
    </cfRule>
    <cfRule type="expression" priority="1534" aboveAverage="0" equalAverage="0" bottom="0" percent="0" rank="0" text="" dxfId="2989">
      <formula>#REF!=3</formula>
    </cfRule>
  </conditionalFormatting>
  <conditionalFormatting sqref="K324:K325">
    <cfRule type="expression" priority="1535" aboveAverage="0" equalAverage="0" bottom="0" percent="0" rank="0" text="" dxfId="2990">
      <formula>#REF!=1</formula>
    </cfRule>
    <cfRule type="expression" priority="1536" aboveAverage="0" equalAverage="0" bottom="0" percent="0" rank="0" text="" dxfId="2991">
      <formula>#REF!=2</formula>
    </cfRule>
    <cfRule type="expression" priority="1537" aboveAverage="0" equalAverage="0" bottom="0" percent="0" rank="0" text="" dxfId="2992">
      <formula>#REF!=3</formula>
    </cfRule>
  </conditionalFormatting>
  <conditionalFormatting sqref="M325">
    <cfRule type="expression" priority="1538" aboveAverage="0" equalAverage="0" bottom="0" percent="0" rank="0" text="" dxfId="2993">
      <formula>#REF!=1</formula>
    </cfRule>
    <cfRule type="expression" priority="1539" aboveAverage="0" equalAverage="0" bottom="0" percent="0" rank="0" text="" dxfId="2994">
      <formula>#REF!=2</formula>
    </cfRule>
    <cfRule type="expression" priority="1540" aboveAverage="0" equalAverage="0" bottom="0" percent="0" rank="0" text="" dxfId="2995">
      <formula>#REF!=3</formula>
    </cfRule>
  </conditionalFormatting>
  <conditionalFormatting sqref="M324">
    <cfRule type="expression" priority="1541" aboveAverage="0" equalAverage="0" bottom="0" percent="0" rank="0" text="" dxfId="2996">
      <formula>#REF!=1</formula>
    </cfRule>
    <cfRule type="expression" priority="1542" aboveAverage="0" equalAverage="0" bottom="0" percent="0" rank="0" text="" dxfId="2997">
      <formula>#REF!=2</formula>
    </cfRule>
    <cfRule type="expression" priority="1543" aboveAverage="0" equalAverage="0" bottom="0" percent="0" rank="0" text="" dxfId="2998">
      <formula>#REF!=3</formula>
    </cfRule>
  </conditionalFormatting>
  <conditionalFormatting sqref="K326:K327">
    <cfRule type="expression" priority="1544" aboveAverage="0" equalAverage="0" bottom="0" percent="0" rank="0" text="" dxfId="2999">
      <formula>#REF!=1</formula>
    </cfRule>
    <cfRule type="expression" priority="1545" aboveAverage="0" equalAverage="0" bottom="0" percent="0" rank="0" text="" dxfId="3000">
      <formula>#REF!=2</formula>
    </cfRule>
    <cfRule type="expression" priority="1546" aboveAverage="0" equalAverage="0" bottom="0" percent="0" rank="0" text="" dxfId="3001">
      <formula>#REF!=3</formula>
    </cfRule>
  </conditionalFormatting>
  <conditionalFormatting sqref="M326">
    <cfRule type="expression" priority="1547" aboveAverage="0" equalAverage="0" bottom="0" percent="0" rank="0" text="" dxfId="3002">
      <formula>#REF!=1</formula>
    </cfRule>
    <cfRule type="expression" priority="1548" aboveAverage="0" equalAverage="0" bottom="0" percent="0" rank="0" text="" dxfId="3003">
      <formula>#REF!=2</formula>
    </cfRule>
    <cfRule type="expression" priority="1549" aboveAverage="0" equalAverage="0" bottom="0" percent="0" rank="0" text="" dxfId="3004">
      <formula>#REF!=3</formula>
    </cfRule>
  </conditionalFormatting>
  <conditionalFormatting sqref="M327">
    <cfRule type="expression" priority="1550" aboveAverage="0" equalAverage="0" bottom="0" percent="0" rank="0" text="" dxfId="3005">
      <formula>#REF!=1</formula>
    </cfRule>
    <cfRule type="expression" priority="1551" aboveAverage="0" equalAverage="0" bottom="0" percent="0" rank="0" text="" dxfId="3006">
      <formula>#REF!=2</formula>
    </cfRule>
    <cfRule type="expression" priority="1552" aboveAverage="0" equalAverage="0" bottom="0" percent="0" rank="0" text="" dxfId="3007">
      <formula>#REF!=3</formula>
    </cfRule>
  </conditionalFormatting>
  <conditionalFormatting sqref="K328">
    <cfRule type="expression" priority="1553" aboveAverage="0" equalAverage="0" bottom="0" percent="0" rank="0" text="" dxfId="3008">
      <formula>#REF!=1</formula>
    </cfRule>
    <cfRule type="expression" priority="1554" aboveAverage="0" equalAverage="0" bottom="0" percent="0" rank="0" text="" dxfId="3009">
      <formula>#REF!=2</formula>
    </cfRule>
    <cfRule type="expression" priority="1555" aboveAverage="0" equalAverage="0" bottom="0" percent="0" rank="0" text="" dxfId="3010">
      <formula>#REF!=3</formula>
    </cfRule>
  </conditionalFormatting>
  <conditionalFormatting sqref="M328">
    <cfRule type="expression" priority="1556" aboveAverage="0" equalAverage="0" bottom="0" percent="0" rank="0" text="" dxfId="3011">
      <formula>#REF!=1</formula>
    </cfRule>
    <cfRule type="expression" priority="1557" aboveAverage="0" equalAverage="0" bottom="0" percent="0" rank="0" text="" dxfId="3012">
      <formula>#REF!=2</formula>
    </cfRule>
    <cfRule type="expression" priority="1558" aboveAverage="0" equalAverage="0" bottom="0" percent="0" rank="0" text="" dxfId="3013">
      <formula>#REF!=3</formula>
    </cfRule>
  </conditionalFormatting>
  <conditionalFormatting sqref="K329">
    <cfRule type="expression" priority="1559" aboveAverage="0" equalAverage="0" bottom="0" percent="0" rank="0" text="" dxfId="3014">
      <formula>#REF!=1</formula>
    </cfRule>
    <cfRule type="expression" priority="1560" aboveAverage="0" equalAverage="0" bottom="0" percent="0" rank="0" text="" dxfId="3015">
      <formula>#REF!=2</formula>
    </cfRule>
    <cfRule type="expression" priority="1561" aboveAverage="0" equalAverage="0" bottom="0" percent="0" rank="0" text="" dxfId="3016">
      <formula>#REF!=3</formula>
    </cfRule>
  </conditionalFormatting>
  <conditionalFormatting sqref="M329">
    <cfRule type="expression" priority="1562" aboveAverage="0" equalAverage="0" bottom="0" percent="0" rank="0" text="" dxfId="3017">
      <formula>#REF!=1</formula>
    </cfRule>
    <cfRule type="expression" priority="1563" aboveAverage="0" equalAverage="0" bottom="0" percent="0" rank="0" text="" dxfId="3018">
      <formula>#REF!=2</formula>
    </cfRule>
    <cfRule type="expression" priority="1564" aboveAverage="0" equalAverage="0" bottom="0" percent="0" rank="0" text="" dxfId="3019">
      <formula>#REF!=3</formula>
    </cfRule>
  </conditionalFormatting>
  <conditionalFormatting sqref="K330:K332">
    <cfRule type="expression" priority="1565" aboveAverage="0" equalAverage="0" bottom="0" percent="0" rank="0" text="" dxfId="3020">
      <formula>#REF!=1</formula>
    </cfRule>
    <cfRule type="expression" priority="1566" aboveAverage="0" equalAverage="0" bottom="0" percent="0" rank="0" text="" dxfId="3021">
      <formula>#REF!=2</formula>
    </cfRule>
    <cfRule type="expression" priority="1567" aboveAverage="0" equalAverage="0" bottom="0" percent="0" rank="0" text="" dxfId="3022">
      <formula>#REF!=3</formula>
    </cfRule>
  </conditionalFormatting>
  <conditionalFormatting sqref="M331">
    <cfRule type="expression" priority="1568" aboveAverage="0" equalAverage="0" bottom="0" percent="0" rank="0" text="" dxfId="3023">
      <formula>#REF!=1</formula>
    </cfRule>
    <cfRule type="expression" priority="1569" aboveAverage="0" equalAverage="0" bottom="0" percent="0" rank="0" text="" dxfId="3024">
      <formula>#REF!=2</formula>
    </cfRule>
    <cfRule type="expression" priority="1570" aboveAverage="0" equalAverage="0" bottom="0" percent="0" rank="0" text="" dxfId="3025">
      <formula>#REF!=3</formula>
    </cfRule>
  </conditionalFormatting>
  <conditionalFormatting sqref="M332 M330">
    <cfRule type="expression" priority="1571" aboveAverage="0" equalAverage="0" bottom="0" percent="0" rank="0" text="" dxfId="3026">
      <formula>#REF!=1</formula>
    </cfRule>
    <cfRule type="expression" priority="1572" aboveAverage="0" equalAverage="0" bottom="0" percent="0" rank="0" text="" dxfId="3027">
      <formula>#REF!=2</formula>
    </cfRule>
    <cfRule type="expression" priority="1573" aboveAverage="0" equalAverage="0" bottom="0" percent="0" rank="0" text="" dxfId="3028">
      <formula>#REF!=3</formula>
    </cfRule>
  </conditionalFormatting>
  <conditionalFormatting sqref="K333">
    <cfRule type="expression" priority="1574" aboveAverage="0" equalAverage="0" bottom="0" percent="0" rank="0" text="" dxfId="3029">
      <formula>#REF!=1</formula>
    </cfRule>
    <cfRule type="expression" priority="1575" aboveAverage="0" equalAverage="0" bottom="0" percent="0" rank="0" text="" dxfId="3030">
      <formula>#REF!=2</formula>
    </cfRule>
    <cfRule type="expression" priority="1576" aboveAverage="0" equalAverage="0" bottom="0" percent="0" rank="0" text="" dxfId="3031">
      <formula>#REF!=3</formula>
    </cfRule>
  </conditionalFormatting>
  <conditionalFormatting sqref="M333">
    <cfRule type="expression" priority="1577" aboveAverage="0" equalAverage="0" bottom="0" percent="0" rank="0" text="" dxfId="3032">
      <formula>#REF!=1</formula>
    </cfRule>
    <cfRule type="expression" priority="1578" aboveAverage="0" equalAverage="0" bottom="0" percent="0" rank="0" text="" dxfId="3033">
      <formula>#REF!=2</formula>
    </cfRule>
    <cfRule type="expression" priority="1579" aboveAverage="0" equalAverage="0" bottom="0" percent="0" rank="0" text="" dxfId="3034">
      <formula>#REF!=3</formula>
    </cfRule>
  </conditionalFormatting>
  <conditionalFormatting sqref="K334">
    <cfRule type="expression" priority="1580" aboveAverage="0" equalAverage="0" bottom="0" percent="0" rank="0" text="" dxfId="3035">
      <formula>#REF!=1</formula>
    </cfRule>
    <cfRule type="expression" priority="1581" aboveAverage="0" equalAverage="0" bottom="0" percent="0" rank="0" text="" dxfId="3036">
      <formula>#REF!=2</formula>
    </cfRule>
    <cfRule type="expression" priority="1582" aboveAverage="0" equalAverage="0" bottom="0" percent="0" rank="0" text="" dxfId="3037">
      <formula>#REF!=3</formula>
    </cfRule>
  </conditionalFormatting>
  <conditionalFormatting sqref="M334">
    <cfRule type="expression" priority="1583" aboveAverage="0" equalAverage="0" bottom="0" percent="0" rank="0" text="" dxfId="3038">
      <formula>#REF!=1</formula>
    </cfRule>
    <cfRule type="expression" priority="1584" aboveAverage="0" equalAverage="0" bottom="0" percent="0" rank="0" text="" dxfId="3039">
      <formula>#REF!=2</formula>
    </cfRule>
    <cfRule type="expression" priority="1585" aboveAverage="0" equalAverage="0" bottom="0" percent="0" rank="0" text="" dxfId="3040">
      <formula>#REF!=3</formula>
    </cfRule>
  </conditionalFormatting>
  <conditionalFormatting sqref="K335">
    <cfRule type="expression" priority="1586" aboveAverage="0" equalAverage="0" bottom="0" percent="0" rank="0" text="" dxfId="3041">
      <formula>#REF!=1</formula>
    </cfRule>
    <cfRule type="expression" priority="1587" aboveAverage="0" equalAverage="0" bottom="0" percent="0" rank="0" text="" dxfId="3042">
      <formula>#REF!=2</formula>
    </cfRule>
    <cfRule type="expression" priority="1588" aboveAverage="0" equalAverage="0" bottom="0" percent="0" rank="0" text="" dxfId="3043">
      <formula>#REF!=3</formula>
    </cfRule>
  </conditionalFormatting>
  <conditionalFormatting sqref="M335">
    <cfRule type="expression" priority="1589" aboveAverage="0" equalAverage="0" bottom="0" percent="0" rank="0" text="" dxfId="3044">
      <formula>#REF!=1</formula>
    </cfRule>
    <cfRule type="expression" priority="1590" aboveAverage="0" equalAverage="0" bottom="0" percent="0" rank="0" text="" dxfId="3045">
      <formula>#REF!=2</formula>
    </cfRule>
    <cfRule type="expression" priority="1591" aboveAverage="0" equalAverage="0" bottom="0" percent="0" rank="0" text="" dxfId="3046">
      <formula>#REF!=3</formula>
    </cfRule>
  </conditionalFormatting>
  <conditionalFormatting sqref="K336">
    <cfRule type="expression" priority="1592" aboveAverage="0" equalAverage="0" bottom="0" percent="0" rank="0" text="" dxfId="3047">
      <formula>#REF!=1</formula>
    </cfRule>
    <cfRule type="expression" priority="1593" aboveAverage="0" equalAverage="0" bottom="0" percent="0" rank="0" text="" dxfId="3048">
      <formula>#REF!=2</formula>
    </cfRule>
    <cfRule type="expression" priority="1594" aboveAverage="0" equalAverage="0" bottom="0" percent="0" rank="0" text="" dxfId="3049">
      <formula>#REF!=3</formula>
    </cfRule>
  </conditionalFormatting>
  <conditionalFormatting sqref="M336">
    <cfRule type="expression" priority="1595" aboveAverage="0" equalAverage="0" bottom="0" percent="0" rank="0" text="" dxfId="3050">
      <formula>#REF!=1</formula>
    </cfRule>
    <cfRule type="expression" priority="1596" aboveAverage="0" equalAverage="0" bottom="0" percent="0" rank="0" text="" dxfId="3051">
      <formula>#REF!=2</formula>
    </cfRule>
    <cfRule type="expression" priority="1597" aboveAverage="0" equalAverage="0" bottom="0" percent="0" rank="0" text="" dxfId="3052">
      <formula>#REF!=3</formula>
    </cfRule>
  </conditionalFormatting>
  <conditionalFormatting sqref="K337:K338">
    <cfRule type="expression" priority="1598" aboveAverage="0" equalAverage="0" bottom="0" percent="0" rank="0" text="" dxfId="3053">
      <formula>#REF!=1</formula>
    </cfRule>
    <cfRule type="expression" priority="1599" aboveAverage="0" equalAverage="0" bottom="0" percent="0" rank="0" text="" dxfId="3054">
      <formula>#REF!=2</formula>
    </cfRule>
    <cfRule type="expression" priority="1600" aboveAverage="0" equalAverage="0" bottom="0" percent="0" rank="0" text="" dxfId="3055">
      <formula>#REF!=3</formula>
    </cfRule>
  </conditionalFormatting>
  <conditionalFormatting sqref="M337">
    <cfRule type="expression" priority="1601" aboveAverage="0" equalAverage="0" bottom="0" percent="0" rank="0" text="" dxfId="3056">
      <formula>#REF!=1</formula>
    </cfRule>
    <cfRule type="expression" priority="1602" aboveAverage="0" equalAverage="0" bottom="0" percent="0" rank="0" text="" dxfId="3057">
      <formula>#REF!=2</formula>
    </cfRule>
    <cfRule type="expression" priority="1603" aboveAverage="0" equalAverage="0" bottom="0" percent="0" rank="0" text="" dxfId="3058">
      <formula>#REF!=3</formula>
    </cfRule>
  </conditionalFormatting>
  <conditionalFormatting sqref="M338">
    <cfRule type="expression" priority="1604" aboveAverage="0" equalAverage="0" bottom="0" percent="0" rank="0" text="" dxfId="3059">
      <formula>#REF!=1</formula>
    </cfRule>
    <cfRule type="expression" priority="1605" aboveAverage="0" equalAverage="0" bottom="0" percent="0" rank="0" text="" dxfId="3060">
      <formula>#REF!=2</formula>
    </cfRule>
    <cfRule type="expression" priority="1606" aboveAverage="0" equalAverage="0" bottom="0" percent="0" rank="0" text="" dxfId="3061">
      <formula>#REF!=3</formula>
    </cfRule>
  </conditionalFormatting>
  <conditionalFormatting sqref="K339">
    <cfRule type="expression" priority="1607" aboveAverage="0" equalAverage="0" bottom="0" percent="0" rank="0" text="" dxfId="3062">
      <formula>#REF!=1</formula>
    </cfRule>
    <cfRule type="expression" priority="1608" aboveAverage="0" equalAverage="0" bottom="0" percent="0" rank="0" text="" dxfId="3063">
      <formula>#REF!=2</formula>
    </cfRule>
    <cfRule type="expression" priority="1609" aboveAverage="0" equalAverage="0" bottom="0" percent="0" rank="0" text="" dxfId="3064">
      <formula>#REF!=3</formula>
    </cfRule>
  </conditionalFormatting>
  <conditionalFormatting sqref="M339">
    <cfRule type="expression" priority="1610" aboveAverage="0" equalAverage="0" bottom="0" percent="0" rank="0" text="" dxfId="3065">
      <formula>#REF!=1</formula>
    </cfRule>
    <cfRule type="expression" priority="1611" aboveAverage="0" equalAverage="0" bottom="0" percent="0" rank="0" text="" dxfId="3066">
      <formula>#REF!=2</formula>
    </cfRule>
    <cfRule type="expression" priority="1612" aboveAverage="0" equalAverage="0" bottom="0" percent="0" rank="0" text="" dxfId="3067">
      <formula>#REF!=3</formula>
    </cfRule>
  </conditionalFormatting>
  <conditionalFormatting sqref="K340">
    <cfRule type="expression" priority="1613" aboveAverage="0" equalAverage="0" bottom="0" percent="0" rank="0" text="" dxfId="3068">
      <formula>#REF!=1</formula>
    </cfRule>
    <cfRule type="expression" priority="1614" aboveAverage="0" equalAverage="0" bottom="0" percent="0" rank="0" text="" dxfId="3069">
      <formula>#REF!=2</formula>
    </cfRule>
    <cfRule type="expression" priority="1615" aboveAverage="0" equalAverage="0" bottom="0" percent="0" rank="0" text="" dxfId="3070">
      <formula>#REF!=3</formula>
    </cfRule>
  </conditionalFormatting>
  <conditionalFormatting sqref="M340">
    <cfRule type="expression" priority="1616" aboveAverage="0" equalAverage="0" bottom="0" percent="0" rank="0" text="" dxfId="3071">
      <formula>#REF!=1</formula>
    </cfRule>
    <cfRule type="expression" priority="1617" aboveAverage="0" equalAverage="0" bottom="0" percent="0" rank="0" text="" dxfId="3072">
      <formula>#REF!=2</formula>
    </cfRule>
    <cfRule type="expression" priority="1618" aboveAverage="0" equalAverage="0" bottom="0" percent="0" rank="0" text="" dxfId="3073">
      <formula>#REF!=3</formula>
    </cfRule>
  </conditionalFormatting>
  <conditionalFormatting sqref="K341">
    <cfRule type="expression" priority="1619" aboveAverage="0" equalAverage="0" bottom="0" percent="0" rank="0" text="" dxfId="3074">
      <formula>#REF!=1</formula>
    </cfRule>
    <cfRule type="expression" priority="1620" aboveAverage="0" equalAverage="0" bottom="0" percent="0" rank="0" text="" dxfId="3075">
      <formula>#REF!=2</formula>
    </cfRule>
    <cfRule type="expression" priority="1621" aboveAverage="0" equalAverage="0" bottom="0" percent="0" rank="0" text="" dxfId="3076">
      <formula>#REF!=3</formula>
    </cfRule>
  </conditionalFormatting>
  <conditionalFormatting sqref="M341">
    <cfRule type="expression" priority="1622" aboveAverage="0" equalAverage="0" bottom="0" percent="0" rank="0" text="" dxfId="3077">
      <formula>#REF!=1</formula>
    </cfRule>
    <cfRule type="expression" priority="1623" aboveAverage="0" equalAverage="0" bottom="0" percent="0" rank="0" text="" dxfId="3078">
      <formula>#REF!=2</formula>
    </cfRule>
    <cfRule type="expression" priority="1624" aboveAverage="0" equalAverage="0" bottom="0" percent="0" rank="0" text="" dxfId="3079">
      <formula>#REF!=3</formula>
    </cfRule>
  </conditionalFormatting>
  <conditionalFormatting sqref="K342:K343">
    <cfRule type="expression" priority="1625" aboveAverage="0" equalAverage="0" bottom="0" percent="0" rank="0" text="" dxfId="3080">
      <formula>#REF!=1</formula>
    </cfRule>
    <cfRule type="expression" priority="1626" aboveAverage="0" equalAverage="0" bottom="0" percent="0" rank="0" text="" dxfId="3081">
      <formula>#REF!=2</formula>
    </cfRule>
    <cfRule type="expression" priority="1627" aboveAverage="0" equalAverage="0" bottom="0" percent="0" rank="0" text="" dxfId="3082">
      <formula>#REF!=3</formula>
    </cfRule>
  </conditionalFormatting>
  <conditionalFormatting sqref="M342">
    <cfRule type="expression" priority="1628" aboveAverage="0" equalAverage="0" bottom="0" percent="0" rank="0" text="" dxfId="3083">
      <formula>#REF!=1</formula>
    </cfRule>
    <cfRule type="expression" priority="1629" aboveAverage="0" equalAverage="0" bottom="0" percent="0" rank="0" text="" dxfId="3084">
      <formula>#REF!=2</formula>
    </cfRule>
    <cfRule type="expression" priority="1630" aboveAverage="0" equalAverage="0" bottom="0" percent="0" rank="0" text="" dxfId="3085">
      <formula>#REF!=3</formula>
    </cfRule>
  </conditionalFormatting>
  <conditionalFormatting sqref="M343">
    <cfRule type="expression" priority="1631" aboveAverage="0" equalAverage="0" bottom="0" percent="0" rank="0" text="" dxfId="3086">
      <formula>#REF!=1</formula>
    </cfRule>
    <cfRule type="expression" priority="1632" aboveAverage="0" equalAverage="0" bottom="0" percent="0" rank="0" text="" dxfId="3087">
      <formula>#REF!=2</formula>
    </cfRule>
    <cfRule type="expression" priority="1633" aboveAverage="0" equalAverage="0" bottom="0" percent="0" rank="0" text="" dxfId="3088">
      <formula>#REF!=3</formula>
    </cfRule>
  </conditionalFormatting>
  <conditionalFormatting sqref="K344">
    <cfRule type="expression" priority="1634" aboveAverage="0" equalAverage="0" bottom="0" percent="0" rank="0" text="" dxfId="3089">
      <formula>#REF!=1</formula>
    </cfRule>
    <cfRule type="expression" priority="1635" aboveAverage="0" equalAverage="0" bottom="0" percent="0" rank="0" text="" dxfId="3090">
      <formula>#REF!=2</formula>
    </cfRule>
    <cfRule type="expression" priority="1636" aboveAverage="0" equalAverage="0" bottom="0" percent="0" rank="0" text="" dxfId="3091">
      <formula>#REF!=3</formula>
    </cfRule>
  </conditionalFormatting>
  <conditionalFormatting sqref="M344">
    <cfRule type="expression" priority="1637" aboveAverage="0" equalAverage="0" bottom="0" percent="0" rank="0" text="" dxfId="3092">
      <formula>#REF!=1</formula>
    </cfRule>
    <cfRule type="expression" priority="1638" aboveAverage="0" equalAverage="0" bottom="0" percent="0" rank="0" text="" dxfId="3093">
      <formula>#REF!=2</formula>
    </cfRule>
    <cfRule type="expression" priority="1639" aboveAverage="0" equalAverage="0" bottom="0" percent="0" rank="0" text="" dxfId="3094">
      <formula>#REF!=3</formula>
    </cfRule>
  </conditionalFormatting>
  <conditionalFormatting sqref="M345 K345">
    <cfRule type="expression" priority="1640" aboveAverage="0" equalAverage="0" bottom="0" percent="0" rank="0" text="" dxfId="3095">
      <formula>#REF!=1</formula>
    </cfRule>
    <cfRule type="expression" priority="1641" aboveAverage="0" equalAverage="0" bottom="0" percent="0" rank="0" text="" dxfId="3096">
      <formula>#REF!=2</formula>
    </cfRule>
    <cfRule type="expression" priority="1642" aboveAverage="0" equalAverage="0" bottom="0" percent="0" rank="0" text="" dxfId="3097">
      <formula>#REF!=3</formula>
    </cfRule>
  </conditionalFormatting>
  <conditionalFormatting sqref="M346">
    <cfRule type="expression" priority="1643" aboveAverage="0" equalAverage="0" bottom="0" percent="0" rank="0" text="" dxfId="3098">
      <formula>#REF!=1</formula>
    </cfRule>
    <cfRule type="expression" priority="1644" aboveAverage="0" equalAverage="0" bottom="0" percent="0" rank="0" text="" dxfId="3099">
      <formula>#REF!=2</formula>
    </cfRule>
    <cfRule type="expression" priority="1645" aboveAverage="0" equalAverage="0" bottom="0" percent="0" rank="0" text="" dxfId="3100">
      <formula>#REF!=3</formula>
    </cfRule>
  </conditionalFormatting>
  <conditionalFormatting sqref="K346">
    <cfRule type="expression" priority="1646" aboveAverage="0" equalAverage="0" bottom="0" percent="0" rank="0" text="" dxfId="3101">
      <formula>#REF!=1</formula>
    </cfRule>
    <cfRule type="expression" priority="1647" aboveAverage="0" equalAverage="0" bottom="0" percent="0" rank="0" text="" dxfId="3102">
      <formula>#REF!=2</formula>
    </cfRule>
    <cfRule type="expression" priority="1648" aboveAverage="0" equalAverage="0" bottom="0" percent="0" rank="0" text="" dxfId="3103">
      <formula>#REF!=3</formula>
    </cfRule>
  </conditionalFormatting>
  <conditionalFormatting sqref="K347">
    <cfRule type="expression" priority="1649" aboveAverage="0" equalAverage="0" bottom="0" percent="0" rank="0" text="" dxfId="3104">
      <formula>#REF!=1</formula>
    </cfRule>
    <cfRule type="expression" priority="1650" aboveAverage="0" equalAverage="0" bottom="0" percent="0" rank="0" text="" dxfId="3105">
      <formula>#REF!=2</formula>
    </cfRule>
    <cfRule type="expression" priority="1651" aboveAverage="0" equalAverage="0" bottom="0" percent="0" rank="0" text="" dxfId="3106">
      <formula>#REF!=3</formula>
    </cfRule>
  </conditionalFormatting>
  <conditionalFormatting sqref="M347">
    <cfRule type="expression" priority="1652" aboveAverage="0" equalAverage="0" bottom="0" percent="0" rank="0" text="" dxfId="3107">
      <formula>#REF!=1</formula>
    </cfRule>
    <cfRule type="expression" priority="1653" aboveAverage="0" equalAverage="0" bottom="0" percent="0" rank="0" text="" dxfId="3108">
      <formula>#REF!=2</formula>
    </cfRule>
    <cfRule type="expression" priority="1654" aboveAverage="0" equalAverage="0" bottom="0" percent="0" rank="0" text="" dxfId="3109">
      <formula>#REF!=3</formula>
    </cfRule>
  </conditionalFormatting>
  <conditionalFormatting sqref="K348">
    <cfRule type="expression" priority="1655" aboveAverage="0" equalAverage="0" bottom="0" percent="0" rank="0" text="" dxfId="3110">
      <formula>#REF!=1</formula>
    </cfRule>
    <cfRule type="expression" priority="1656" aboveAverage="0" equalAverage="0" bottom="0" percent="0" rank="0" text="" dxfId="3111">
      <formula>#REF!=2</formula>
    </cfRule>
    <cfRule type="expression" priority="1657" aboveAverage="0" equalAverage="0" bottom="0" percent="0" rank="0" text="" dxfId="3112">
      <formula>#REF!=3</formula>
    </cfRule>
  </conditionalFormatting>
  <conditionalFormatting sqref="M348">
    <cfRule type="expression" priority="1658" aboveAverage="0" equalAverage="0" bottom="0" percent="0" rank="0" text="" dxfId="3113">
      <formula>#REF!=1</formula>
    </cfRule>
    <cfRule type="expression" priority="1659" aboveAverage="0" equalAverage="0" bottom="0" percent="0" rank="0" text="" dxfId="3114">
      <formula>#REF!=2</formula>
    </cfRule>
    <cfRule type="expression" priority="1660" aboveAverage="0" equalAverage="0" bottom="0" percent="0" rank="0" text="" dxfId="3115">
      <formula>#REF!=3</formula>
    </cfRule>
  </conditionalFormatting>
  <conditionalFormatting sqref="K349">
    <cfRule type="expression" priority="1661" aboveAverage="0" equalAverage="0" bottom="0" percent="0" rank="0" text="" dxfId="3116">
      <formula>#REF!=1</formula>
    </cfRule>
    <cfRule type="expression" priority="1662" aboveAverage="0" equalAverage="0" bottom="0" percent="0" rank="0" text="" dxfId="3117">
      <formula>#REF!=2</formula>
    </cfRule>
    <cfRule type="expression" priority="1663" aboveAverage="0" equalAverage="0" bottom="0" percent="0" rank="0" text="" dxfId="3118">
      <formula>#REF!=3</formula>
    </cfRule>
  </conditionalFormatting>
  <conditionalFormatting sqref="M349">
    <cfRule type="expression" priority="1664" aboveAverage="0" equalAverage="0" bottom="0" percent="0" rank="0" text="" dxfId="3119">
      <formula>#REF!=1</formula>
    </cfRule>
    <cfRule type="expression" priority="1665" aboveAverage="0" equalAverage="0" bottom="0" percent="0" rank="0" text="" dxfId="3120">
      <formula>#REF!=2</formula>
    </cfRule>
    <cfRule type="expression" priority="1666" aboveAverage="0" equalAverage="0" bottom="0" percent="0" rank="0" text="" dxfId="3121">
      <formula>#REF!=3</formula>
    </cfRule>
  </conditionalFormatting>
  <conditionalFormatting sqref="K350">
    <cfRule type="expression" priority="1667" aboveAverage="0" equalAverage="0" bottom="0" percent="0" rank="0" text="" dxfId="3122">
      <formula>#REF!=1</formula>
    </cfRule>
    <cfRule type="expression" priority="1668" aboveAverage="0" equalAverage="0" bottom="0" percent="0" rank="0" text="" dxfId="3123">
      <formula>#REF!=2</formula>
    </cfRule>
    <cfRule type="expression" priority="1669" aboveAverage="0" equalAverage="0" bottom="0" percent="0" rank="0" text="" dxfId="3124">
      <formula>#REF!=3</formula>
    </cfRule>
  </conditionalFormatting>
  <conditionalFormatting sqref="M350">
    <cfRule type="expression" priority="1670" aboveAverage="0" equalAverage="0" bottom="0" percent="0" rank="0" text="" dxfId="3125">
      <formula>#REF!=1</formula>
    </cfRule>
    <cfRule type="expression" priority="1671" aboveAverage="0" equalAverage="0" bottom="0" percent="0" rank="0" text="" dxfId="3126">
      <formula>#REF!=2</formula>
    </cfRule>
    <cfRule type="expression" priority="1672" aboveAverage="0" equalAverage="0" bottom="0" percent="0" rank="0" text="" dxfId="3127">
      <formula>#REF!=3</formula>
    </cfRule>
  </conditionalFormatting>
  <conditionalFormatting sqref="K351">
    <cfRule type="expression" priority="1673" aboveAverage="0" equalAverage="0" bottom="0" percent="0" rank="0" text="" dxfId="3128">
      <formula>#REF!=1</formula>
    </cfRule>
    <cfRule type="expression" priority="1674" aboveAverage="0" equalAverage="0" bottom="0" percent="0" rank="0" text="" dxfId="3129">
      <formula>#REF!=2</formula>
    </cfRule>
    <cfRule type="expression" priority="1675" aboveAverage="0" equalAverage="0" bottom="0" percent="0" rank="0" text="" dxfId="3130">
      <formula>#REF!=3</formula>
    </cfRule>
  </conditionalFormatting>
  <conditionalFormatting sqref="M351">
    <cfRule type="expression" priority="1676" aboveAverage="0" equalAverage="0" bottom="0" percent="0" rank="0" text="" dxfId="3131">
      <formula>#REF!=1</formula>
    </cfRule>
    <cfRule type="expression" priority="1677" aboveAverage="0" equalAverage="0" bottom="0" percent="0" rank="0" text="" dxfId="3132">
      <formula>#REF!=2</formula>
    </cfRule>
    <cfRule type="expression" priority="1678" aboveAverage="0" equalAverage="0" bottom="0" percent="0" rank="0" text="" dxfId="3133">
      <formula>#REF!=3</formula>
    </cfRule>
  </conditionalFormatting>
  <conditionalFormatting sqref="K352">
    <cfRule type="expression" priority="1679" aboveAverage="0" equalAverage="0" bottom="0" percent="0" rank="0" text="" dxfId="3134">
      <formula>#REF!=1</formula>
    </cfRule>
    <cfRule type="expression" priority="1680" aboveAverage="0" equalAverage="0" bottom="0" percent="0" rank="0" text="" dxfId="3135">
      <formula>#REF!=2</formula>
    </cfRule>
    <cfRule type="expression" priority="1681" aboveAverage="0" equalAverage="0" bottom="0" percent="0" rank="0" text="" dxfId="3136">
      <formula>#REF!=3</formula>
    </cfRule>
  </conditionalFormatting>
  <conditionalFormatting sqref="M352">
    <cfRule type="expression" priority="1682" aboveAverage="0" equalAverage="0" bottom="0" percent="0" rank="0" text="" dxfId="3137">
      <formula>#REF!=1</formula>
    </cfRule>
    <cfRule type="expression" priority="1683" aboveAverage="0" equalAverage="0" bottom="0" percent="0" rank="0" text="" dxfId="3138">
      <formula>#REF!=2</formula>
    </cfRule>
    <cfRule type="expression" priority="1684" aboveAverage="0" equalAverage="0" bottom="0" percent="0" rank="0" text="" dxfId="3139">
      <formula>#REF!=3</formula>
    </cfRule>
  </conditionalFormatting>
  <conditionalFormatting sqref="N352">
    <cfRule type="expression" priority="1685" aboveAverage="0" equalAverage="0" bottom="0" percent="0" rank="0" text="" dxfId="3140">
      <formula>$A485=1</formula>
    </cfRule>
    <cfRule type="expression" priority="1686" aboveAverage="0" equalAverage="0" bottom="0" percent="0" rank="0" text="" dxfId="3141">
      <formula>$A485=2</formula>
    </cfRule>
    <cfRule type="expression" priority="1687" aboveAverage="0" equalAverage="0" bottom="0" percent="0" rank="0" text="" dxfId="3142">
      <formula>$A485=3</formula>
    </cfRule>
  </conditionalFormatting>
  <conditionalFormatting sqref="M353 K353">
    <cfRule type="expression" priority="1688" aboveAverage="0" equalAverage="0" bottom="0" percent="0" rank="0" text="" dxfId="3143">
      <formula>#REF!=1</formula>
    </cfRule>
    <cfRule type="expression" priority="1689" aboveAverage="0" equalAverage="0" bottom="0" percent="0" rank="0" text="" dxfId="3144">
      <formula>#REF!=2</formula>
    </cfRule>
    <cfRule type="expression" priority="1690" aboveAverage="0" equalAverage="0" bottom="0" percent="0" rank="0" text="" dxfId="3145">
      <formula>#REF!=3</formula>
    </cfRule>
  </conditionalFormatting>
  <conditionalFormatting sqref="L354">
    <cfRule type="expression" priority="1691" aboveAverage="0" equalAverage="0" bottom="0" percent="0" rank="0" text="" dxfId="3146">
      <formula>#REF!=1</formula>
    </cfRule>
    <cfRule type="expression" priority="1692" aboveAverage="0" equalAverage="0" bottom="0" percent="0" rank="0" text="" dxfId="3147">
      <formula>#REF!=2</formula>
    </cfRule>
    <cfRule type="expression" priority="1693" aboveAverage="0" equalAverage="0" bottom="0" percent="0" rank="0" text="" dxfId="3148">
      <formula>#REF!=3</formula>
    </cfRule>
  </conditionalFormatting>
  <conditionalFormatting sqref="K354">
    <cfRule type="expression" priority="1694" aboveAverage="0" equalAverage="0" bottom="0" percent="0" rank="0" text="" dxfId="3149">
      <formula>#REF!=1</formula>
    </cfRule>
    <cfRule type="expression" priority="1695" aboveAverage="0" equalAverage="0" bottom="0" percent="0" rank="0" text="" dxfId="3150">
      <formula>#REF!=2</formula>
    </cfRule>
    <cfRule type="expression" priority="1696" aboveAverage="0" equalAverage="0" bottom="0" percent="0" rank="0" text="" dxfId="3151">
      <formula>#REF!=3</formula>
    </cfRule>
  </conditionalFormatting>
  <conditionalFormatting sqref="M354">
    <cfRule type="expression" priority="1697" aboveAverage="0" equalAverage="0" bottom="0" percent="0" rank="0" text="" dxfId="3152">
      <formula>#REF!=1</formula>
    </cfRule>
    <cfRule type="expression" priority="1698" aboveAverage="0" equalAverage="0" bottom="0" percent="0" rank="0" text="" dxfId="3153">
      <formula>#REF!=2</formula>
    </cfRule>
    <cfRule type="expression" priority="1699" aboveAverage="0" equalAverage="0" bottom="0" percent="0" rank="0" text="" dxfId="3154">
      <formula>#REF!=3</formula>
    </cfRule>
  </conditionalFormatting>
  <conditionalFormatting sqref="K355">
    <cfRule type="expression" priority="1700" aboveAverage="0" equalAverage="0" bottom="0" percent="0" rank="0" text="" dxfId="3155">
      <formula>#REF!=1</formula>
    </cfRule>
    <cfRule type="expression" priority="1701" aboveAverage="0" equalAverage="0" bottom="0" percent="0" rank="0" text="" dxfId="3156">
      <formula>#REF!=2</formula>
    </cfRule>
    <cfRule type="expression" priority="1702" aboveAverage="0" equalAverage="0" bottom="0" percent="0" rank="0" text="" dxfId="3157">
      <formula>#REF!=3</formula>
    </cfRule>
  </conditionalFormatting>
  <conditionalFormatting sqref="M355">
    <cfRule type="expression" priority="1703" aboveAverage="0" equalAverage="0" bottom="0" percent="0" rank="0" text="" dxfId="3158">
      <formula>#REF!=1</formula>
    </cfRule>
    <cfRule type="expression" priority="1704" aboveAverage="0" equalAverage="0" bottom="0" percent="0" rank="0" text="" dxfId="3159">
      <formula>#REF!=2</formula>
    </cfRule>
    <cfRule type="expression" priority="1705" aboveAverage="0" equalAverage="0" bottom="0" percent="0" rank="0" text="" dxfId="3160">
      <formula>#REF!=3</formula>
    </cfRule>
  </conditionalFormatting>
  <conditionalFormatting sqref="K356">
    <cfRule type="expression" priority="1706" aboveAverage="0" equalAverage="0" bottom="0" percent="0" rank="0" text="" dxfId="3161">
      <formula>#REF!=1</formula>
    </cfRule>
    <cfRule type="expression" priority="1707" aboveAverage="0" equalAverage="0" bottom="0" percent="0" rank="0" text="" dxfId="3162">
      <formula>#REF!=2</formula>
    </cfRule>
    <cfRule type="expression" priority="1708" aboveAverage="0" equalAverage="0" bottom="0" percent="0" rank="0" text="" dxfId="3163">
      <formula>#REF!=3</formula>
    </cfRule>
  </conditionalFormatting>
  <conditionalFormatting sqref="M356">
    <cfRule type="expression" priority="1709" aboveAverage="0" equalAverage="0" bottom="0" percent="0" rank="0" text="" dxfId="3164">
      <formula>#REF!=1</formula>
    </cfRule>
    <cfRule type="expression" priority="1710" aboveAverage="0" equalAverage="0" bottom="0" percent="0" rank="0" text="" dxfId="3165">
      <formula>#REF!=2</formula>
    </cfRule>
    <cfRule type="expression" priority="1711" aboveAverage="0" equalAverage="0" bottom="0" percent="0" rank="0" text="" dxfId="3166">
      <formula>#REF!=3</formula>
    </cfRule>
  </conditionalFormatting>
  <conditionalFormatting sqref="K357">
    <cfRule type="expression" priority="1712" aboveAverage="0" equalAverage="0" bottom="0" percent="0" rank="0" text="" dxfId="3167">
      <formula>#REF!=1</formula>
    </cfRule>
    <cfRule type="expression" priority="1713" aboveAverage="0" equalAverage="0" bottom="0" percent="0" rank="0" text="" dxfId="3168">
      <formula>#REF!=2</formula>
    </cfRule>
    <cfRule type="expression" priority="1714" aboveAverage="0" equalAverage="0" bottom="0" percent="0" rank="0" text="" dxfId="3169">
      <formula>#REF!=3</formula>
    </cfRule>
  </conditionalFormatting>
  <conditionalFormatting sqref="M357">
    <cfRule type="expression" priority="1715" aboveAverage="0" equalAverage="0" bottom="0" percent="0" rank="0" text="" dxfId="3170">
      <formula>#REF!=1</formula>
    </cfRule>
    <cfRule type="expression" priority="1716" aboveAverage="0" equalAverage="0" bottom="0" percent="0" rank="0" text="" dxfId="3171">
      <formula>#REF!=2</formula>
    </cfRule>
    <cfRule type="expression" priority="1717" aboveAverage="0" equalAverage="0" bottom="0" percent="0" rank="0" text="" dxfId="3172">
      <formula>#REF!=3</formula>
    </cfRule>
  </conditionalFormatting>
  <conditionalFormatting sqref="K358">
    <cfRule type="expression" priority="1718" aboveAverage="0" equalAverage="0" bottom="0" percent="0" rank="0" text="" dxfId="3173">
      <formula>#REF!=1</formula>
    </cfRule>
    <cfRule type="expression" priority="1719" aboveAverage="0" equalAverage="0" bottom="0" percent="0" rank="0" text="" dxfId="3174">
      <formula>#REF!=2</formula>
    </cfRule>
    <cfRule type="expression" priority="1720" aboveAverage="0" equalAverage="0" bottom="0" percent="0" rank="0" text="" dxfId="3175">
      <formula>#REF!=3</formula>
    </cfRule>
  </conditionalFormatting>
  <conditionalFormatting sqref="M358">
    <cfRule type="expression" priority="1721" aboveAverage="0" equalAverage="0" bottom="0" percent="0" rank="0" text="" dxfId="3176">
      <formula>#REF!=1</formula>
    </cfRule>
    <cfRule type="expression" priority="1722" aboveAverage="0" equalAverage="0" bottom="0" percent="0" rank="0" text="" dxfId="3177">
      <formula>#REF!=2</formula>
    </cfRule>
    <cfRule type="expression" priority="1723" aboveAverage="0" equalAverage="0" bottom="0" percent="0" rank="0" text="" dxfId="3178">
      <formula>#REF!=3</formula>
    </cfRule>
  </conditionalFormatting>
  <conditionalFormatting sqref="K359">
    <cfRule type="expression" priority="1724" aboveAverage="0" equalAverage="0" bottom="0" percent="0" rank="0" text="" dxfId="3179">
      <formula>#REF!=1</formula>
    </cfRule>
    <cfRule type="expression" priority="1725" aboveAverage="0" equalAverage="0" bottom="0" percent="0" rank="0" text="" dxfId="3180">
      <formula>#REF!=2</formula>
    </cfRule>
    <cfRule type="expression" priority="1726" aboveAverage="0" equalAverage="0" bottom="0" percent="0" rank="0" text="" dxfId="3181">
      <formula>#REF!=3</formula>
    </cfRule>
  </conditionalFormatting>
  <conditionalFormatting sqref="M359">
    <cfRule type="expression" priority="1727" aboveAverage="0" equalAverage="0" bottom="0" percent="0" rank="0" text="" dxfId="3182">
      <formula>#REF!=1</formula>
    </cfRule>
    <cfRule type="expression" priority="1728" aboveAverage="0" equalAverage="0" bottom="0" percent="0" rank="0" text="" dxfId="3183">
      <formula>#REF!=2</formula>
    </cfRule>
    <cfRule type="expression" priority="1729" aboveAverage="0" equalAverage="0" bottom="0" percent="0" rank="0" text="" dxfId="3184">
      <formula>#REF!=3</formula>
    </cfRule>
  </conditionalFormatting>
  <conditionalFormatting sqref="K360">
    <cfRule type="expression" priority="1730" aboveAverage="0" equalAverage="0" bottom="0" percent="0" rank="0" text="" dxfId="3185">
      <formula>#REF!=1</formula>
    </cfRule>
    <cfRule type="expression" priority="1731" aboveAverage="0" equalAverage="0" bottom="0" percent="0" rank="0" text="" dxfId="3186">
      <formula>#REF!=2</formula>
    </cfRule>
    <cfRule type="expression" priority="1732" aboveAverage="0" equalAverage="0" bottom="0" percent="0" rank="0" text="" dxfId="3187">
      <formula>#REF!=3</formula>
    </cfRule>
  </conditionalFormatting>
  <conditionalFormatting sqref="M360">
    <cfRule type="expression" priority="1733" aboveAverage="0" equalAverage="0" bottom="0" percent="0" rank="0" text="" dxfId="3188">
      <formula>#REF!=1</formula>
    </cfRule>
    <cfRule type="expression" priority="1734" aboveAverage="0" equalAverage="0" bottom="0" percent="0" rank="0" text="" dxfId="3189">
      <formula>#REF!=2</formula>
    </cfRule>
    <cfRule type="expression" priority="1735" aboveAverage="0" equalAverage="0" bottom="0" percent="0" rank="0" text="" dxfId="3190">
      <formula>#REF!=3</formula>
    </cfRule>
  </conditionalFormatting>
  <conditionalFormatting sqref="M361">
    <cfRule type="expression" priority="1736" aboveAverage="0" equalAverage="0" bottom="0" percent="0" rank="0" text="" dxfId="3191">
      <formula>#REF!=1</formula>
    </cfRule>
    <cfRule type="expression" priority="1737" aboveAverage="0" equalAverage="0" bottom="0" percent="0" rank="0" text="" dxfId="3192">
      <formula>#REF!=2</formula>
    </cfRule>
    <cfRule type="expression" priority="1738" aboveAverage="0" equalAverage="0" bottom="0" percent="0" rank="0" text="" dxfId="3193">
      <formula>#REF!=3</formula>
    </cfRule>
  </conditionalFormatting>
  <conditionalFormatting sqref="K361">
    <cfRule type="expression" priority="1739" aboveAverage="0" equalAverage="0" bottom="0" percent="0" rank="0" text="" dxfId="3194">
      <formula>#REF!=1</formula>
    </cfRule>
    <cfRule type="expression" priority="1740" aboveAverage="0" equalAverage="0" bottom="0" percent="0" rank="0" text="" dxfId="3195">
      <formula>#REF!=2</formula>
    </cfRule>
    <cfRule type="expression" priority="1741" aboveAverage="0" equalAverage="0" bottom="0" percent="0" rank="0" text="" dxfId="3196">
      <formula>#REF!=3</formula>
    </cfRule>
  </conditionalFormatting>
  <conditionalFormatting sqref="M362 K362">
    <cfRule type="expression" priority="1742" aboveAverage="0" equalAverage="0" bottom="0" percent="0" rank="0" text="" dxfId="3197">
      <formula>#REF!=1</formula>
    </cfRule>
    <cfRule type="expression" priority="1743" aboveAverage="0" equalAverage="0" bottom="0" percent="0" rank="0" text="" dxfId="3198">
      <formula>#REF!=2</formula>
    </cfRule>
    <cfRule type="expression" priority="1744" aboveAverage="0" equalAverage="0" bottom="0" percent="0" rank="0" text="" dxfId="3199">
      <formula>#REF!=3</formula>
    </cfRule>
  </conditionalFormatting>
  <conditionalFormatting sqref="M363">
    <cfRule type="expression" priority="1745" aboveAverage="0" equalAverage="0" bottom="0" percent="0" rank="0" text="" dxfId="3200">
      <formula>#REF!=1</formula>
    </cfRule>
    <cfRule type="expression" priority="1746" aboveAverage="0" equalAverage="0" bottom="0" percent="0" rank="0" text="" dxfId="3201">
      <formula>#REF!=2</formula>
    </cfRule>
    <cfRule type="expression" priority="1747" aboveAverage="0" equalAverage="0" bottom="0" percent="0" rank="0" text="" dxfId="3202">
      <formula>#REF!=3</formula>
    </cfRule>
  </conditionalFormatting>
  <conditionalFormatting sqref="K363">
    <cfRule type="expression" priority="1748" aboveAverage="0" equalAverage="0" bottom="0" percent="0" rank="0" text="" dxfId="3203">
      <formula>#REF!=1</formula>
    </cfRule>
    <cfRule type="expression" priority="1749" aboveAverage="0" equalAverage="0" bottom="0" percent="0" rank="0" text="" dxfId="3204">
      <formula>#REF!=2</formula>
    </cfRule>
    <cfRule type="expression" priority="1750" aboveAverage="0" equalAverage="0" bottom="0" percent="0" rank="0" text="" dxfId="3205">
      <formula>#REF!=3</formula>
    </cfRule>
  </conditionalFormatting>
  <conditionalFormatting sqref="M364">
    <cfRule type="expression" priority="1751" aboveAverage="0" equalAverage="0" bottom="0" percent="0" rank="0" text="" dxfId="3206">
      <formula>#REF!=1</formula>
    </cfRule>
    <cfRule type="expression" priority="1752" aboveAverage="0" equalAverage="0" bottom="0" percent="0" rank="0" text="" dxfId="3207">
      <formula>#REF!=2</formula>
    </cfRule>
    <cfRule type="expression" priority="1753" aboveAverage="0" equalAverage="0" bottom="0" percent="0" rank="0" text="" dxfId="3208">
      <formula>#REF!=3</formula>
    </cfRule>
  </conditionalFormatting>
  <conditionalFormatting sqref="K364">
    <cfRule type="expression" priority="1754" aboveAverage="0" equalAverage="0" bottom="0" percent="0" rank="0" text="" dxfId="3209">
      <formula>#REF!=1</formula>
    </cfRule>
    <cfRule type="expression" priority="1755" aboveAverage="0" equalAverage="0" bottom="0" percent="0" rank="0" text="" dxfId="3210">
      <formula>#REF!=2</formula>
    </cfRule>
    <cfRule type="expression" priority="1756" aboveAverage="0" equalAverage="0" bottom="0" percent="0" rank="0" text="" dxfId="3211">
      <formula>#REF!=3</formula>
    </cfRule>
  </conditionalFormatting>
  <conditionalFormatting sqref="K364">
    <cfRule type="expression" priority="1757" aboveAverage="0" equalAverage="0" bottom="0" percent="0" rank="0" text="" dxfId="3212">
      <formula>#REF!=1</formula>
    </cfRule>
    <cfRule type="expression" priority="1758" aboveAverage="0" equalAverage="0" bottom="0" percent="0" rank="0" text="" dxfId="3213">
      <formula>#REF!=2</formula>
    </cfRule>
    <cfRule type="expression" priority="1759" aboveAverage="0" equalAverage="0" bottom="0" percent="0" rank="0" text="" dxfId="3214">
      <formula>#REF!=3</formula>
    </cfRule>
  </conditionalFormatting>
  <conditionalFormatting sqref="M364">
    <cfRule type="expression" priority="1760" aboveAverage="0" equalAverage="0" bottom="0" percent="0" rank="0" text="" dxfId="3215">
      <formula>#REF!=1</formula>
    </cfRule>
    <cfRule type="expression" priority="1761" aboveAverage="0" equalAverage="0" bottom="0" percent="0" rank="0" text="" dxfId="3216">
      <formula>#REF!=2</formula>
    </cfRule>
    <cfRule type="expression" priority="1762" aboveAverage="0" equalAverage="0" bottom="0" percent="0" rank="0" text="" dxfId="3217">
      <formula>#REF!=3</formula>
    </cfRule>
  </conditionalFormatting>
  <conditionalFormatting sqref="N364">
    <cfRule type="expression" priority="1763" aboveAverage="0" equalAverage="0" bottom="0" percent="0" rank="0" text="" dxfId="3218">
      <formula>$A291=1</formula>
    </cfRule>
    <cfRule type="expression" priority="1764" aboveAverage="0" equalAverage="0" bottom="0" percent="0" rank="0" text="" dxfId="3219">
      <formula>$A291=2</formula>
    </cfRule>
    <cfRule type="expression" priority="1765" aboveAverage="0" equalAverage="0" bottom="0" percent="0" rank="0" text="" dxfId="3220">
      <formula>$A291=3</formula>
    </cfRule>
  </conditionalFormatting>
  <conditionalFormatting sqref="M365 K365">
    <cfRule type="expression" priority="1766" aboveAverage="0" equalAverage="0" bottom="0" percent="0" rank="0" text="" dxfId="3221">
      <formula>#REF!=1</formula>
    </cfRule>
    <cfRule type="expression" priority="1767" aboveAverage="0" equalAverage="0" bottom="0" percent="0" rank="0" text="" dxfId="3222">
      <formula>#REF!=2</formula>
    </cfRule>
    <cfRule type="expression" priority="1768" aboveAverage="0" equalAverage="0" bottom="0" percent="0" rank="0" text="" dxfId="3223">
      <formula>#REF!=3</formula>
    </cfRule>
  </conditionalFormatting>
  <conditionalFormatting sqref="K366:K367">
    <cfRule type="expression" priority="1769" aboveAverage="0" equalAverage="0" bottom="0" percent="0" rank="0" text="" dxfId="3224">
      <formula>#REF!=1</formula>
    </cfRule>
    <cfRule type="expression" priority="1770" aboveAverage="0" equalAverage="0" bottom="0" percent="0" rank="0" text="" dxfId="3225">
      <formula>#REF!=2</formula>
    </cfRule>
    <cfRule type="expression" priority="1771" aboveAverage="0" equalAverage="0" bottom="0" percent="0" rank="0" text="" dxfId="3226">
      <formula>#REF!=3</formula>
    </cfRule>
  </conditionalFormatting>
  <conditionalFormatting sqref="M366:M367">
    <cfRule type="expression" priority="1772" aboveAverage="0" equalAverage="0" bottom="0" percent="0" rank="0" text="" dxfId="3227">
      <formula>#REF!=1</formula>
    </cfRule>
    <cfRule type="expression" priority="1773" aboveAverage="0" equalAverage="0" bottom="0" percent="0" rank="0" text="" dxfId="3228">
      <formula>#REF!=2</formula>
    </cfRule>
    <cfRule type="expression" priority="1774" aboveAverage="0" equalAverage="0" bottom="0" percent="0" rank="0" text="" dxfId="3229">
      <formula>#REF!=3</formula>
    </cfRule>
  </conditionalFormatting>
  <conditionalFormatting sqref="M368 K368:K369">
    <cfRule type="expression" priority="1775" aboveAverage="0" equalAverage="0" bottom="0" percent="0" rank="0" text="" dxfId="3230">
      <formula>#REF!=1</formula>
    </cfRule>
    <cfRule type="expression" priority="1776" aboveAverage="0" equalAverage="0" bottom="0" percent="0" rank="0" text="" dxfId="3231">
      <formula>#REF!=2</formula>
    </cfRule>
    <cfRule type="expression" priority="1777" aboveAverage="0" equalAverage="0" bottom="0" percent="0" rank="0" text="" dxfId="3232">
      <formula>#REF!=3</formula>
    </cfRule>
  </conditionalFormatting>
  <conditionalFormatting sqref="M369">
    <cfRule type="expression" priority="1778" aboveAverage="0" equalAverage="0" bottom="0" percent="0" rank="0" text="" dxfId="3233">
      <formula>#REF!=1</formula>
    </cfRule>
    <cfRule type="expression" priority="1779" aboveAverage="0" equalAverage="0" bottom="0" percent="0" rank="0" text="" dxfId="3234">
      <formula>#REF!=2</formula>
    </cfRule>
    <cfRule type="expression" priority="1780" aboveAverage="0" equalAverage="0" bottom="0" percent="0" rank="0" text="" dxfId="3235">
      <formula>#REF!=3</formula>
    </cfRule>
  </conditionalFormatting>
  <conditionalFormatting sqref="N368">
    <cfRule type="expression" priority="1781" aboveAverage="0" equalAverage="0" bottom="0" percent="0" rank="0" text="" dxfId="3236">
      <formula>$A622=1</formula>
    </cfRule>
    <cfRule type="expression" priority="1782" aboveAverage="0" equalAverage="0" bottom="0" percent="0" rank="0" text="" dxfId="3237">
      <formula>$A622=2</formula>
    </cfRule>
    <cfRule type="expression" priority="1783" aboveAverage="0" equalAverage="0" bottom="0" percent="0" rank="0" text="" dxfId="3238">
      <formula>$A622=3</formula>
    </cfRule>
  </conditionalFormatting>
  <conditionalFormatting sqref="K370">
    <cfRule type="expression" priority="1784" aboveAverage="0" equalAverage="0" bottom="0" percent="0" rank="0" text="" dxfId="3239">
      <formula>#REF!=1</formula>
    </cfRule>
    <cfRule type="expression" priority="1785" aboveAverage="0" equalAverage="0" bottom="0" percent="0" rank="0" text="" dxfId="3240">
      <formula>#REF!=2</formula>
    </cfRule>
    <cfRule type="expression" priority="1786" aboveAverage="0" equalAverage="0" bottom="0" percent="0" rank="0" text="" dxfId="3241">
      <formula>#REF!=3</formula>
    </cfRule>
  </conditionalFormatting>
  <conditionalFormatting sqref="M370">
    <cfRule type="expression" priority="1787" aboveAverage="0" equalAverage="0" bottom="0" percent="0" rank="0" text="" dxfId="3242">
      <formula>#REF!=1</formula>
    </cfRule>
    <cfRule type="expression" priority="1788" aboveAverage="0" equalAverage="0" bottom="0" percent="0" rank="0" text="" dxfId="3243">
      <formula>#REF!=2</formula>
    </cfRule>
    <cfRule type="expression" priority="1789" aboveAverage="0" equalAverage="0" bottom="0" percent="0" rank="0" text="" dxfId="3244">
      <formula>#REF!=3</formula>
    </cfRule>
  </conditionalFormatting>
  <conditionalFormatting sqref="M371">
    <cfRule type="expression" priority="1790" aboveAverage="0" equalAverage="0" bottom="0" percent="0" rank="0" text="" dxfId="3245">
      <formula>#REF!=1</formula>
    </cfRule>
    <cfRule type="expression" priority="1791" aboveAverage="0" equalAverage="0" bottom="0" percent="0" rank="0" text="" dxfId="3246">
      <formula>#REF!=2</formula>
    </cfRule>
    <cfRule type="expression" priority="1792" aboveAverage="0" equalAverage="0" bottom="0" percent="0" rank="0" text="" dxfId="3247">
      <formula>#REF!=3</formula>
    </cfRule>
  </conditionalFormatting>
  <conditionalFormatting sqref="K371">
    <cfRule type="expression" priority="1793" aboveAverage="0" equalAverage="0" bottom="0" percent="0" rank="0" text="" dxfId="3248">
      <formula>#REF!=1</formula>
    </cfRule>
    <cfRule type="expression" priority="1794" aboveAverage="0" equalAverage="0" bottom="0" percent="0" rank="0" text="" dxfId="3249">
      <formula>#REF!=2</formula>
    </cfRule>
    <cfRule type="expression" priority="1795" aboveAverage="0" equalAverage="0" bottom="0" percent="0" rank="0" text="" dxfId="3250">
      <formula>#REF!=3</formula>
    </cfRule>
  </conditionalFormatting>
  <conditionalFormatting sqref="K372">
    <cfRule type="expression" priority="1796" aboveAverage="0" equalAverage="0" bottom="0" percent="0" rank="0" text="" dxfId="3251">
      <formula>#REF!=1</formula>
    </cfRule>
    <cfRule type="expression" priority="1797" aboveAverage="0" equalAverage="0" bottom="0" percent="0" rank="0" text="" dxfId="3252">
      <formula>#REF!=2</formula>
    </cfRule>
    <cfRule type="expression" priority="1798" aboveAverage="0" equalAverage="0" bottom="0" percent="0" rank="0" text="" dxfId="3253">
      <formula>#REF!=3</formula>
    </cfRule>
  </conditionalFormatting>
  <conditionalFormatting sqref="M372">
    <cfRule type="expression" priority="1799" aboveAverage="0" equalAverage="0" bottom="0" percent="0" rank="0" text="" dxfId="3254">
      <formula>#REF!=1</formula>
    </cfRule>
    <cfRule type="expression" priority="1800" aboveAverage="0" equalAverage="0" bottom="0" percent="0" rank="0" text="" dxfId="3255">
      <formula>#REF!=2</formula>
    </cfRule>
    <cfRule type="expression" priority="1801" aboveAverage="0" equalAverage="0" bottom="0" percent="0" rank="0" text="" dxfId="3256">
      <formula>#REF!=3</formula>
    </cfRule>
  </conditionalFormatting>
  <conditionalFormatting sqref="K373">
    <cfRule type="expression" priority="1802" aboveAverage="0" equalAverage="0" bottom="0" percent="0" rank="0" text="" dxfId="3257">
      <formula>#REF!=1</formula>
    </cfRule>
    <cfRule type="expression" priority="1803" aboveAverage="0" equalAverage="0" bottom="0" percent="0" rank="0" text="" dxfId="3258">
      <formula>#REF!=2</formula>
    </cfRule>
    <cfRule type="expression" priority="1804" aboveAverage="0" equalAverage="0" bottom="0" percent="0" rank="0" text="" dxfId="3259">
      <formula>#REF!=3</formula>
    </cfRule>
  </conditionalFormatting>
  <conditionalFormatting sqref="M373">
    <cfRule type="expression" priority="1805" aboveAverage="0" equalAverage="0" bottom="0" percent="0" rank="0" text="" dxfId="3260">
      <formula>#REF!=1</formula>
    </cfRule>
    <cfRule type="expression" priority="1806" aboveAverage="0" equalAverage="0" bottom="0" percent="0" rank="0" text="" dxfId="3261">
      <formula>#REF!=2</formula>
    </cfRule>
    <cfRule type="expression" priority="1807" aboveAverage="0" equalAverage="0" bottom="0" percent="0" rank="0" text="" dxfId="3262">
      <formula>#REF!=3</formula>
    </cfRule>
  </conditionalFormatting>
  <conditionalFormatting sqref="M374">
    <cfRule type="expression" priority="1808" aboveAverage="0" equalAverage="0" bottom="0" percent="0" rank="0" text="" dxfId="3263">
      <formula>#REF!=1</formula>
    </cfRule>
    <cfRule type="expression" priority="1809" aboveAverage="0" equalAverage="0" bottom="0" percent="0" rank="0" text="" dxfId="3264">
      <formula>#REF!=2</formula>
    </cfRule>
    <cfRule type="expression" priority="1810" aboveAverage="0" equalAverage="0" bottom="0" percent="0" rank="0" text="" dxfId="3265">
      <formula>#REF!=3</formula>
    </cfRule>
  </conditionalFormatting>
  <conditionalFormatting sqref="K374">
    <cfRule type="expression" priority="1811" aboveAverage="0" equalAverage="0" bottom="0" percent="0" rank="0" text="" dxfId="3266">
      <formula>#REF!=1</formula>
    </cfRule>
    <cfRule type="expression" priority="1812" aboveAverage="0" equalAverage="0" bottom="0" percent="0" rank="0" text="" dxfId="3267">
      <formula>#REF!=2</formula>
    </cfRule>
    <cfRule type="expression" priority="1813" aboveAverage="0" equalAverage="0" bottom="0" percent="0" rank="0" text="" dxfId="3268">
      <formula>#REF!=3</formula>
    </cfRule>
  </conditionalFormatting>
  <conditionalFormatting sqref="K375">
    <cfRule type="expression" priority="1814" aboveAverage="0" equalAverage="0" bottom="0" percent="0" rank="0" text="" dxfId="3269">
      <formula>#REF!=1</formula>
    </cfRule>
    <cfRule type="expression" priority="1815" aboveAverage="0" equalAverage="0" bottom="0" percent="0" rank="0" text="" dxfId="3270">
      <formula>#REF!=2</formula>
    </cfRule>
    <cfRule type="expression" priority="1816" aboveAverage="0" equalAverage="0" bottom="0" percent="0" rank="0" text="" dxfId="3271">
      <formula>#REF!=3</formula>
    </cfRule>
  </conditionalFormatting>
  <conditionalFormatting sqref="M375">
    <cfRule type="expression" priority="1817" aboveAverage="0" equalAverage="0" bottom="0" percent="0" rank="0" text="" dxfId="3272">
      <formula>#REF!=1</formula>
    </cfRule>
    <cfRule type="expression" priority="1818" aboveAverage="0" equalAverage="0" bottom="0" percent="0" rank="0" text="" dxfId="3273">
      <formula>#REF!=2</formula>
    </cfRule>
    <cfRule type="expression" priority="1819" aboveAverage="0" equalAverage="0" bottom="0" percent="0" rank="0" text="" dxfId="3274">
      <formula>#REF!=3</formula>
    </cfRule>
  </conditionalFormatting>
  <conditionalFormatting sqref="K376">
    <cfRule type="expression" priority="1820" aboveAverage="0" equalAverage="0" bottom="0" percent="0" rank="0" text="" dxfId="3275">
      <formula>#REF!=1</formula>
    </cfRule>
    <cfRule type="expression" priority="1821" aboveAverage="0" equalAverage="0" bottom="0" percent="0" rank="0" text="" dxfId="3276">
      <formula>#REF!=2</formula>
    </cfRule>
    <cfRule type="expression" priority="1822" aboveAverage="0" equalAverage="0" bottom="0" percent="0" rank="0" text="" dxfId="3277">
      <formula>#REF!=3</formula>
    </cfRule>
  </conditionalFormatting>
  <conditionalFormatting sqref="M376">
    <cfRule type="expression" priority="1823" aboveAverage="0" equalAverage="0" bottom="0" percent="0" rank="0" text="" dxfId="3278">
      <formula>#REF!=1</formula>
    </cfRule>
    <cfRule type="expression" priority="1824" aboveAverage="0" equalAverage="0" bottom="0" percent="0" rank="0" text="" dxfId="3279">
      <formula>#REF!=2</formula>
    </cfRule>
    <cfRule type="expression" priority="1825" aboveAverage="0" equalAverage="0" bottom="0" percent="0" rank="0" text="" dxfId="3280">
      <formula>#REF!=3</formula>
    </cfRule>
  </conditionalFormatting>
  <conditionalFormatting sqref="K377">
    <cfRule type="expression" priority="1826" aboveAverage="0" equalAverage="0" bottom="0" percent="0" rank="0" text="" dxfId="3281">
      <formula>#REF!=1</formula>
    </cfRule>
    <cfRule type="expression" priority="1827" aboveAverage="0" equalAverage="0" bottom="0" percent="0" rank="0" text="" dxfId="3282">
      <formula>#REF!=2</formula>
    </cfRule>
    <cfRule type="expression" priority="1828" aboveAverage="0" equalAverage="0" bottom="0" percent="0" rank="0" text="" dxfId="3283">
      <formula>#REF!=3</formula>
    </cfRule>
  </conditionalFormatting>
  <conditionalFormatting sqref="M377">
    <cfRule type="expression" priority="1829" aboveAverage="0" equalAverage="0" bottom="0" percent="0" rank="0" text="" dxfId="3284">
      <formula>#REF!=1</formula>
    </cfRule>
    <cfRule type="expression" priority="1830" aboveAverage="0" equalAverage="0" bottom="0" percent="0" rank="0" text="" dxfId="3285">
      <formula>#REF!=2</formula>
    </cfRule>
    <cfRule type="expression" priority="1831" aboveAverage="0" equalAverage="0" bottom="0" percent="0" rank="0" text="" dxfId="3286">
      <formula>#REF!=3</formula>
    </cfRule>
  </conditionalFormatting>
  <conditionalFormatting sqref="K378">
    <cfRule type="expression" priority="1832" aboveAverage="0" equalAverage="0" bottom="0" percent="0" rank="0" text="" dxfId="3287">
      <formula>#REF!=1</formula>
    </cfRule>
    <cfRule type="expression" priority="1833" aboveAverage="0" equalAverage="0" bottom="0" percent="0" rank="0" text="" dxfId="3288">
      <formula>#REF!=2</formula>
    </cfRule>
    <cfRule type="expression" priority="1834" aboveAverage="0" equalAverage="0" bottom="0" percent="0" rank="0" text="" dxfId="3289">
      <formula>#REF!=3</formula>
    </cfRule>
  </conditionalFormatting>
  <conditionalFormatting sqref="M378">
    <cfRule type="expression" priority="1835" aboveAverage="0" equalAverage="0" bottom="0" percent="0" rank="0" text="" dxfId="3290">
      <formula>#REF!=1</formula>
    </cfRule>
    <cfRule type="expression" priority="1836" aboveAverage="0" equalAverage="0" bottom="0" percent="0" rank="0" text="" dxfId="3291">
      <formula>#REF!=2</formula>
    </cfRule>
    <cfRule type="expression" priority="1837" aboveAverage="0" equalAverage="0" bottom="0" percent="0" rank="0" text="" dxfId="3292">
      <formula>#REF!=3</formula>
    </cfRule>
  </conditionalFormatting>
  <conditionalFormatting sqref="K379">
    <cfRule type="expression" priority="1838" aboveAverage="0" equalAverage="0" bottom="0" percent="0" rank="0" text="" dxfId="3293">
      <formula>#REF!=1</formula>
    </cfRule>
    <cfRule type="expression" priority="1839" aboveAverage="0" equalAverage="0" bottom="0" percent="0" rank="0" text="" dxfId="3294">
      <formula>#REF!=2</formula>
    </cfRule>
    <cfRule type="expression" priority="1840" aboveAverage="0" equalAverage="0" bottom="0" percent="0" rank="0" text="" dxfId="3295">
      <formula>#REF!=3</formula>
    </cfRule>
  </conditionalFormatting>
  <conditionalFormatting sqref="M379">
    <cfRule type="expression" priority="1841" aboveAverage="0" equalAverage="0" bottom="0" percent="0" rank="0" text="" dxfId="3296">
      <formula>#REF!=1</formula>
    </cfRule>
    <cfRule type="expression" priority="1842" aboveAverage="0" equalAverage="0" bottom="0" percent="0" rank="0" text="" dxfId="3297">
      <formula>#REF!=2</formula>
    </cfRule>
    <cfRule type="expression" priority="1843" aboveAverage="0" equalAverage="0" bottom="0" percent="0" rank="0" text="" dxfId="3298">
      <formula>#REF!=3</formula>
    </cfRule>
  </conditionalFormatting>
  <conditionalFormatting sqref="N379">
    <cfRule type="expression" priority="1844" aboveAverage="0" equalAverage="0" bottom="0" percent="0" rank="0" text="" dxfId="3299">
      <formula>$A717=1</formula>
    </cfRule>
    <cfRule type="expression" priority="1845" aboveAverage="0" equalAverage="0" bottom="0" percent="0" rank="0" text="" dxfId="3300">
      <formula>$A717=2</formula>
    </cfRule>
    <cfRule type="expression" priority="1846" aboveAverage="0" equalAverage="0" bottom="0" percent="0" rank="0" text="" dxfId="3301">
      <formula>$A717=3</formula>
    </cfRule>
  </conditionalFormatting>
  <conditionalFormatting sqref="K380">
    <cfRule type="expression" priority="1847" aboveAverage="0" equalAverage="0" bottom="0" percent="0" rank="0" text="" dxfId="3302">
      <formula>#REF!=1</formula>
    </cfRule>
    <cfRule type="expression" priority="1848" aboveAverage="0" equalAverage="0" bottom="0" percent="0" rank="0" text="" dxfId="3303">
      <formula>#REF!=2</formula>
    </cfRule>
    <cfRule type="expression" priority="1849" aboveAverage="0" equalAverage="0" bottom="0" percent="0" rank="0" text="" dxfId="3304">
      <formula>#REF!=3</formula>
    </cfRule>
  </conditionalFormatting>
  <conditionalFormatting sqref="M380">
    <cfRule type="expression" priority="1850" aboveAverage="0" equalAverage="0" bottom="0" percent="0" rank="0" text="" dxfId="3305">
      <formula>#REF!=1</formula>
    </cfRule>
    <cfRule type="expression" priority="1851" aboveAverage="0" equalAverage="0" bottom="0" percent="0" rank="0" text="" dxfId="3306">
      <formula>#REF!=2</formula>
    </cfRule>
    <cfRule type="expression" priority="1852" aboveAverage="0" equalAverage="0" bottom="0" percent="0" rank="0" text="" dxfId="3307">
      <formula>#REF!=3</formula>
    </cfRule>
  </conditionalFormatting>
  <conditionalFormatting sqref="N380">
    <cfRule type="expression" priority="1853" aboveAverage="0" equalAverage="0" bottom="0" percent="0" rank="0" text="" dxfId="3308">
      <formula>$A18=1</formula>
    </cfRule>
    <cfRule type="expression" priority="1854" aboveAverage="0" equalAverage="0" bottom="0" percent="0" rank="0" text="" dxfId="3309">
      <formula>$A18=2</formula>
    </cfRule>
    <cfRule type="expression" priority="1855" aboveAverage="0" equalAverage="0" bottom="0" percent="0" rank="0" text="" dxfId="3310">
      <formula>$A18=3</formula>
    </cfRule>
  </conditionalFormatting>
  <conditionalFormatting sqref="K381">
    <cfRule type="expression" priority="1856" aboveAverage="0" equalAverage="0" bottom="0" percent="0" rank="0" text="" dxfId="3311">
      <formula>#REF!=1</formula>
    </cfRule>
    <cfRule type="expression" priority="1857" aboveAverage="0" equalAverage="0" bottom="0" percent="0" rank="0" text="" dxfId="3312">
      <formula>#REF!=2</formula>
    </cfRule>
    <cfRule type="expression" priority="1858" aboveAverage="0" equalAverage="0" bottom="0" percent="0" rank="0" text="" dxfId="3313">
      <formula>#REF!=3</formula>
    </cfRule>
  </conditionalFormatting>
  <conditionalFormatting sqref="M381">
    <cfRule type="expression" priority="1859" aboveAverage="0" equalAverage="0" bottom="0" percent="0" rank="0" text="" dxfId="3314">
      <formula>#REF!=1</formula>
    </cfRule>
    <cfRule type="expression" priority="1860" aboveAverage="0" equalAverage="0" bottom="0" percent="0" rank="0" text="" dxfId="3315">
      <formula>#REF!=2</formula>
    </cfRule>
    <cfRule type="expression" priority="1861" aboveAverage="0" equalAverage="0" bottom="0" percent="0" rank="0" text="" dxfId="3316">
      <formula>#REF!=3</formula>
    </cfRule>
  </conditionalFormatting>
  <conditionalFormatting sqref="K382">
    <cfRule type="expression" priority="1862" aboveAverage="0" equalAverage="0" bottom="0" percent="0" rank="0" text="" dxfId="3317">
      <formula>#REF!=1</formula>
    </cfRule>
    <cfRule type="expression" priority="1863" aboveAverage="0" equalAverage="0" bottom="0" percent="0" rank="0" text="" dxfId="3318">
      <formula>#REF!=2</formula>
    </cfRule>
    <cfRule type="expression" priority="1864" aboveAverage="0" equalAverage="0" bottom="0" percent="0" rank="0" text="" dxfId="3319">
      <formula>#REF!=3</formula>
    </cfRule>
  </conditionalFormatting>
  <conditionalFormatting sqref="M382">
    <cfRule type="expression" priority="1865" aboveAverage="0" equalAverage="0" bottom="0" percent="0" rank="0" text="" dxfId="3320">
      <formula>#REF!=1</formula>
    </cfRule>
    <cfRule type="expression" priority="1866" aboveAverage="0" equalAverage="0" bottom="0" percent="0" rank="0" text="" dxfId="3321">
      <formula>#REF!=2</formula>
    </cfRule>
    <cfRule type="expression" priority="1867" aboveAverage="0" equalAverage="0" bottom="0" percent="0" rank="0" text="" dxfId="3322">
      <formula>#REF!=3</formula>
    </cfRule>
  </conditionalFormatting>
  <conditionalFormatting sqref="K383">
    <cfRule type="expression" priority="1868" aboveAverage="0" equalAverage="0" bottom="0" percent="0" rank="0" text="" dxfId="3323">
      <formula>#REF!=1</formula>
    </cfRule>
    <cfRule type="expression" priority="1869" aboveAverage="0" equalAverage="0" bottom="0" percent="0" rank="0" text="" dxfId="3324">
      <formula>#REF!=2</formula>
    </cfRule>
    <cfRule type="expression" priority="1870" aboveAverage="0" equalAverage="0" bottom="0" percent="0" rank="0" text="" dxfId="3325">
      <formula>#REF!=3</formula>
    </cfRule>
  </conditionalFormatting>
  <conditionalFormatting sqref="M383">
    <cfRule type="expression" priority="1871" aboveAverage="0" equalAverage="0" bottom="0" percent="0" rank="0" text="" dxfId="3326">
      <formula>#REF!=1</formula>
    </cfRule>
    <cfRule type="expression" priority="1872" aboveAverage="0" equalAverage="0" bottom="0" percent="0" rank="0" text="" dxfId="3327">
      <formula>#REF!=2</formula>
    </cfRule>
    <cfRule type="expression" priority="1873" aboveAverage="0" equalAverage="0" bottom="0" percent="0" rank="0" text="" dxfId="3328">
      <formula>#REF!=3</formula>
    </cfRule>
  </conditionalFormatting>
  <conditionalFormatting sqref="N383">
    <cfRule type="expression" priority="1874" aboveAverage="0" equalAverage="0" bottom="0" percent="0" rank="0" text="" dxfId="3329">
      <formula>$A710=1</formula>
    </cfRule>
    <cfRule type="expression" priority="1875" aboveAverage="0" equalAverage="0" bottom="0" percent="0" rank="0" text="" dxfId="3330">
      <formula>$A710=2</formula>
    </cfRule>
    <cfRule type="expression" priority="1876" aboveAverage="0" equalAverage="0" bottom="0" percent="0" rank="0" text="" dxfId="3331">
      <formula>$A710=3</formula>
    </cfRule>
  </conditionalFormatting>
  <conditionalFormatting sqref="K384">
    <cfRule type="expression" priority="1877" aboveAverage="0" equalAverage="0" bottom="0" percent="0" rank="0" text="" dxfId="3332">
      <formula>#REF!=1</formula>
    </cfRule>
    <cfRule type="expression" priority="1878" aboveAverage="0" equalAverage="0" bottom="0" percent="0" rank="0" text="" dxfId="3333">
      <formula>#REF!=2</formula>
    </cfRule>
    <cfRule type="expression" priority="1879" aboveAverage="0" equalAverage="0" bottom="0" percent="0" rank="0" text="" dxfId="3334">
      <formula>#REF!=3</formula>
    </cfRule>
  </conditionalFormatting>
  <conditionalFormatting sqref="M384">
    <cfRule type="expression" priority="1880" aboveAverage="0" equalAverage="0" bottom="0" percent="0" rank="0" text="" dxfId="3335">
      <formula>#REF!=1</formula>
    </cfRule>
    <cfRule type="expression" priority="1881" aboveAverage="0" equalAverage="0" bottom="0" percent="0" rank="0" text="" dxfId="3336">
      <formula>#REF!=2</formula>
    </cfRule>
    <cfRule type="expression" priority="1882" aboveAverage="0" equalAverage="0" bottom="0" percent="0" rank="0" text="" dxfId="3337">
      <formula>#REF!=3</formula>
    </cfRule>
  </conditionalFormatting>
  <conditionalFormatting sqref="K385">
    <cfRule type="expression" priority="1883" aboveAverage="0" equalAverage="0" bottom="0" percent="0" rank="0" text="" dxfId="3338">
      <formula>#REF!=1</formula>
    </cfRule>
    <cfRule type="expression" priority="1884" aboveAverage="0" equalAverage="0" bottom="0" percent="0" rank="0" text="" dxfId="3339">
      <formula>#REF!=2</formula>
    </cfRule>
    <cfRule type="expression" priority="1885" aboveAverage="0" equalAverage="0" bottom="0" percent="0" rank="0" text="" dxfId="3340">
      <formula>#REF!=3</formula>
    </cfRule>
  </conditionalFormatting>
  <conditionalFormatting sqref="M385">
    <cfRule type="expression" priority="1886" aboveAverage="0" equalAverage="0" bottom="0" percent="0" rank="0" text="" dxfId="3341">
      <formula>#REF!=1</formula>
    </cfRule>
    <cfRule type="expression" priority="1887" aboveAverage="0" equalAverage="0" bottom="0" percent="0" rank="0" text="" dxfId="3342">
      <formula>#REF!=2</formula>
    </cfRule>
    <cfRule type="expression" priority="1888" aboveAverage="0" equalAverage="0" bottom="0" percent="0" rank="0" text="" dxfId="3343">
      <formula>#REF!=3</formula>
    </cfRule>
  </conditionalFormatting>
  <conditionalFormatting sqref="M386">
    <cfRule type="expression" priority="1889" aboveAverage="0" equalAverage="0" bottom="0" percent="0" rank="0" text="" dxfId="3344">
      <formula>#REF!=1</formula>
    </cfRule>
    <cfRule type="expression" priority="1890" aboveAverage="0" equalAverage="0" bottom="0" percent="0" rank="0" text="" dxfId="3345">
      <formula>#REF!=2</formula>
    </cfRule>
    <cfRule type="expression" priority="1891" aboveAverage="0" equalAverage="0" bottom="0" percent="0" rank="0" text="" dxfId="3346">
      <formula>#REF!=3</formula>
    </cfRule>
  </conditionalFormatting>
  <conditionalFormatting sqref="K386">
    <cfRule type="expression" priority="1892" aboveAverage="0" equalAverage="0" bottom="0" percent="0" rank="0" text="" dxfId="3347">
      <formula>#REF!=1</formula>
    </cfRule>
    <cfRule type="expression" priority="1893" aboveAverage="0" equalAverage="0" bottom="0" percent="0" rank="0" text="" dxfId="3348">
      <formula>#REF!=2</formula>
    </cfRule>
    <cfRule type="expression" priority="1894" aboveAverage="0" equalAverage="0" bottom="0" percent="0" rank="0" text="" dxfId="3349">
      <formula>#REF!=3</formula>
    </cfRule>
  </conditionalFormatting>
  <conditionalFormatting sqref="N386">
    <cfRule type="expression" priority="1895" aboveAverage="0" equalAverage="0" bottom="0" percent="0" rank="0" text="" dxfId="3350">
      <formula>$A1002=1</formula>
    </cfRule>
    <cfRule type="expression" priority="1896" aboveAverage="0" equalAverage="0" bottom="0" percent="0" rank="0" text="" dxfId="3351">
      <formula>$A1002=2</formula>
    </cfRule>
    <cfRule type="expression" priority="1897" aboveAverage="0" equalAverage="0" bottom="0" percent="0" rank="0" text="" dxfId="3352">
      <formula>$A1002=3</formula>
    </cfRule>
  </conditionalFormatting>
  <conditionalFormatting sqref="K387">
    <cfRule type="expression" priority="1898" aboveAverage="0" equalAverage="0" bottom="0" percent="0" rank="0" text="" dxfId="3353">
      <formula>#REF!=1</formula>
    </cfRule>
    <cfRule type="expression" priority="1899" aboveAverage="0" equalAverage="0" bottom="0" percent="0" rank="0" text="" dxfId="3354">
      <formula>#REF!=2</formula>
    </cfRule>
    <cfRule type="expression" priority="1900" aboveAverage="0" equalAverage="0" bottom="0" percent="0" rank="0" text="" dxfId="3355">
      <formula>#REF!=3</formula>
    </cfRule>
  </conditionalFormatting>
  <conditionalFormatting sqref="M387">
    <cfRule type="expression" priority="1901" aboveAverage="0" equalAverage="0" bottom="0" percent="0" rank="0" text="" dxfId="3356">
      <formula>#REF!=1</formula>
    </cfRule>
    <cfRule type="expression" priority="1902" aboveAverage="0" equalAverage="0" bottom="0" percent="0" rank="0" text="" dxfId="3357">
      <formula>#REF!=2</formula>
    </cfRule>
    <cfRule type="expression" priority="1903" aboveAverage="0" equalAverage="0" bottom="0" percent="0" rank="0" text="" dxfId="3358">
      <formula>#REF!=3</formula>
    </cfRule>
  </conditionalFormatting>
  <conditionalFormatting sqref="K388">
    <cfRule type="expression" priority="1904" aboveAverage="0" equalAverage="0" bottom="0" percent="0" rank="0" text="" dxfId="3359">
      <formula>#REF!=1</formula>
    </cfRule>
    <cfRule type="expression" priority="1905" aboveAverage="0" equalAverage="0" bottom="0" percent="0" rank="0" text="" dxfId="3360">
      <formula>#REF!=2</formula>
    </cfRule>
    <cfRule type="expression" priority="1906" aboveAverage="0" equalAverage="0" bottom="0" percent="0" rank="0" text="" dxfId="3361">
      <formula>#REF!=3</formula>
    </cfRule>
  </conditionalFormatting>
  <conditionalFormatting sqref="M388">
    <cfRule type="expression" priority="1907" aboveAverage="0" equalAverage="0" bottom="0" percent="0" rank="0" text="" dxfId="3362">
      <formula>#REF!=1</formula>
    </cfRule>
    <cfRule type="expression" priority="1908" aboveAverage="0" equalAverage="0" bottom="0" percent="0" rank="0" text="" dxfId="3363">
      <formula>#REF!=2</formula>
    </cfRule>
    <cfRule type="expression" priority="1909" aboveAverage="0" equalAverage="0" bottom="0" percent="0" rank="0" text="" dxfId="3364">
      <formula>#REF!=3</formula>
    </cfRule>
  </conditionalFormatting>
  <conditionalFormatting sqref="K389">
    <cfRule type="expression" priority="1910" aboveAverage="0" equalAverage="0" bottom="0" percent="0" rank="0" text="" dxfId="3365">
      <formula>#REF!=1</formula>
    </cfRule>
    <cfRule type="expression" priority="1911" aboveAverage="0" equalAverage="0" bottom="0" percent="0" rank="0" text="" dxfId="3366">
      <formula>#REF!=2</formula>
    </cfRule>
    <cfRule type="expression" priority="1912" aboveAverage="0" equalAverage="0" bottom="0" percent="0" rank="0" text="" dxfId="3367">
      <formula>#REF!=3</formula>
    </cfRule>
  </conditionalFormatting>
  <conditionalFormatting sqref="M389">
    <cfRule type="expression" priority="1913" aboveAverage="0" equalAverage="0" bottom="0" percent="0" rank="0" text="" dxfId="3368">
      <formula>#REF!=1</formula>
    </cfRule>
    <cfRule type="expression" priority="1914" aboveAverage="0" equalAverage="0" bottom="0" percent="0" rank="0" text="" dxfId="3369">
      <formula>#REF!=2</formula>
    </cfRule>
    <cfRule type="expression" priority="1915" aboveAverage="0" equalAverage="0" bottom="0" percent="0" rank="0" text="" dxfId="3370">
      <formula>#REF!=3</formula>
    </cfRule>
  </conditionalFormatting>
  <conditionalFormatting sqref="K390">
    <cfRule type="expression" priority="1916" aboveAverage="0" equalAverage="0" bottom="0" percent="0" rank="0" text="" dxfId="3371">
      <formula>#REF!=1</formula>
    </cfRule>
    <cfRule type="expression" priority="1917" aboveAverage="0" equalAverage="0" bottom="0" percent="0" rank="0" text="" dxfId="3372">
      <formula>#REF!=2</formula>
    </cfRule>
    <cfRule type="expression" priority="1918" aboveAverage="0" equalAverage="0" bottom="0" percent="0" rank="0" text="" dxfId="3373">
      <formula>#REF!=3</formula>
    </cfRule>
  </conditionalFormatting>
  <conditionalFormatting sqref="M390">
    <cfRule type="expression" priority="1919" aboveAverage="0" equalAverage="0" bottom="0" percent="0" rank="0" text="" dxfId="3374">
      <formula>#REF!=1</formula>
    </cfRule>
    <cfRule type="expression" priority="1920" aboveAverage="0" equalAverage="0" bottom="0" percent="0" rank="0" text="" dxfId="3375">
      <formula>#REF!=2</formula>
    </cfRule>
    <cfRule type="expression" priority="1921" aboveAverage="0" equalAverage="0" bottom="0" percent="0" rank="0" text="" dxfId="3376">
      <formula>#REF!=3</formula>
    </cfRule>
  </conditionalFormatting>
  <conditionalFormatting sqref="L391">
    <cfRule type="expression" priority="1922" aboveAverage="0" equalAverage="0" bottom="0" percent="0" rank="0" text="" dxfId="3377">
      <formula>#REF!=1</formula>
    </cfRule>
    <cfRule type="expression" priority="1923" aboveAverage="0" equalAverage="0" bottom="0" percent="0" rank="0" text="" dxfId="3378">
      <formula>#REF!=2</formula>
    </cfRule>
    <cfRule type="expression" priority="1924" aboveAverage="0" equalAverage="0" bottom="0" percent="0" rank="0" text="" dxfId="3379">
      <formula>#REF!=3</formula>
    </cfRule>
  </conditionalFormatting>
  <conditionalFormatting sqref="K391">
    <cfRule type="expression" priority="1925" aboveAverage="0" equalAverage="0" bottom="0" percent="0" rank="0" text="" dxfId="3380">
      <formula>#REF!=1</formula>
    </cfRule>
    <cfRule type="expression" priority="1926" aboveAverage="0" equalAverage="0" bottom="0" percent="0" rank="0" text="" dxfId="3381">
      <formula>#REF!=2</formula>
    </cfRule>
    <cfRule type="expression" priority="1927" aboveAverage="0" equalAverage="0" bottom="0" percent="0" rank="0" text="" dxfId="3382">
      <formula>#REF!=3</formula>
    </cfRule>
  </conditionalFormatting>
  <conditionalFormatting sqref="M391">
    <cfRule type="expression" priority="1928" aboveAverage="0" equalAverage="0" bottom="0" percent="0" rank="0" text="" dxfId="3383">
      <formula>#REF!=1</formula>
    </cfRule>
    <cfRule type="expression" priority="1929" aboveAverage="0" equalAverage="0" bottom="0" percent="0" rank="0" text="" dxfId="3384">
      <formula>#REF!=2</formula>
    </cfRule>
    <cfRule type="expression" priority="1930" aboveAverage="0" equalAverage="0" bottom="0" percent="0" rank="0" text="" dxfId="3385">
      <formula>#REF!=3</formula>
    </cfRule>
  </conditionalFormatting>
  <conditionalFormatting sqref="K392">
    <cfRule type="expression" priority="1931" aboveAverage="0" equalAverage="0" bottom="0" percent="0" rank="0" text="" dxfId="3386">
      <formula>#REF!=1</formula>
    </cfRule>
    <cfRule type="expression" priority="1932" aboveAverage="0" equalAverage="0" bottom="0" percent="0" rank="0" text="" dxfId="3387">
      <formula>#REF!=2</formula>
    </cfRule>
    <cfRule type="expression" priority="1933" aboveAverage="0" equalAverage="0" bottom="0" percent="0" rank="0" text="" dxfId="3388">
      <formula>#REF!=3</formula>
    </cfRule>
  </conditionalFormatting>
  <conditionalFormatting sqref="M392">
    <cfRule type="expression" priority="1934" aboveAverage="0" equalAverage="0" bottom="0" percent="0" rank="0" text="" dxfId="3389">
      <formula>#REF!=1</formula>
    </cfRule>
    <cfRule type="expression" priority="1935" aboveAverage="0" equalAverage="0" bottom="0" percent="0" rank="0" text="" dxfId="3390">
      <formula>#REF!=2</formula>
    </cfRule>
    <cfRule type="expression" priority="1936" aboveAverage="0" equalAverage="0" bottom="0" percent="0" rank="0" text="" dxfId="3391">
      <formula>#REF!=3</formula>
    </cfRule>
  </conditionalFormatting>
  <conditionalFormatting sqref="L392">
    <cfRule type="expression" priority="1937" aboveAverage="0" equalAverage="0" bottom="0" percent="0" rank="0" text="" dxfId="3392">
      <formula>$B757=1</formula>
    </cfRule>
    <cfRule type="expression" priority="1938" aboveAverage="0" equalAverage="0" bottom="0" percent="0" rank="0" text="" dxfId="3393">
      <formula>$B757=2</formula>
    </cfRule>
    <cfRule type="expression" priority="1939" aboveAverage="0" equalAverage="0" bottom="0" percent="0" rank="0" text="" dxfId="3394">
      <formula>$B757=3</formula>
    </cfRule>
  </conditionalFormatting>
  <conditionalFormatting sqref="M393 K393">
    <cfRule type="expression" priority="1940" aboveAverage="0" equalAverage="0" bottom="0" percent="0" rank="0" text="" dxfId="3395">
      <formula>#REF!=1</formula>
    </cfRule>
    <cfRule type="expression" priority="1941" aboveAverage="0" equalAverage="0" bottom="0" percent="0" rank="0" text="" dxfId="3396">
      <formula>#REF!=2</formula>
    </cfRule>
    <cfRule type="expression" priority="1942" aboveAverage="0" equalAverage="0" bottom="0" percent="0" rank="0" text="" dxfId="3397">
      <formula>#REF!=3</formula>
    </cfRule>
  </conditionalFormatting>
  <conditionalFormatting sqref="K394">
    <cfRule type="expression" priority="1943" aboveAverage="0" equalAverage="0" bottom="0" percent="0" rank="0" text="" dxfId="3398">
      <formula>#REF!=1</formula>
    </cfRule>
    <cfRule type="expression" priority="1944" aboveAverage="0" equalAverage="0" bottom="0" percent="0" rank="0" text="" dxfId="3399">
      <formula>#REF!=2</formula>
    </cfRule>
    <cfRule type="expression" priority="1945" aboveAverage="0" equalAverage="0" bottom="0" percent="0" rank="0" text="" dxfId="3400">
      <formula>#REF!=3</formula>
    </cfRule>
  </conditionalFormatting>
  <conditionalFormatting sqref="M394">
    <cfRule type="expression" priority="1946" aboveAverage="0" equalAverage="0" bottom="0" percent="0" rank="0" text="" dxfId="3401">
      <formula>#REF!=1</formula>
    </cfRule>
    <cfRule type="expression" priority="1947" aboveAverage="0" equalAverage="0" bottom="0" percent="0" rank="0" text="" dxfId="3402">
      <formula>#REF!=2</formula>
    </cfRule>
    <cfRule type="expression" priority="1948" aboveAverage="0" equalAverage="0" bottom="0" percent="0" rank="0" text="" dxfId="3403">
      <formula>#REF!=3</formula>
    </cfRule>
  </conditionalFormatting>
  <conditionalFormatting sqref="K395">
    <cfRule type="expression" priority="1949" aboveAverage="0" equalAverage="0" bottom="0" percent="0" rank="0" text="" dxfId="3404">
      <formula>#REF!=1</formula>
    </cfRule>
    <cfRule type="expression" priority="1950" aboveAverage="0" equalAverage="0" bottom="0" percent="0" rank="0" text="" dxfId="3405">
      <formula>#REF!=2</formula>
    </cfRule>
    <cfRule type="expression" priority="1951" aboveAverage="0" equalAverage="0" bottom="0" percent="0" rank="0" text="" dxfId="3406">
      <formula>#REF!=3</formula>
    </cfRule>
  </conditionalFormatting>
  <conditionalFormatting sqref="M395">
    <cfRule type="expression" priority="1952" aboveAverage="0" equalAverage="0" bottom="0" percent="0" rank="0" text="" dxfId="3407">
      <formula>#REF!=1</formula>
    </cfRule>
    <cfRule type="expression" priority="1953" aboveAverage="0" equalAverage="0" bottom="0" percent="0" rank="0" text="" dxfId="3408">
      <formula>#REF!=2</formula>
    </cfRule>
    <cfRule type="expression" priority="1954" aboveAverage="0" equalAverage="0" bottom="0" percent="0" rank="0" text="" dxfId="3409">
      <formula>#REF!=3</formula>
    </cfRule>
  </conditionalFormatting>
  <conditionalFormatting sqref="L395">
    <cfRule type="expression" priority="1955" aboveAverage="0" equalAverage="0" bottom="0" percent="0" rank="0" text="" dxfId="3410">
      <formula>$B762=1</formula>
    </cfRule>
    <cfRule type="expression" priority="1956" aboveAverage="0" equalAverage="0" bottom="0" percent="0" rank="0" text="" dxfId="3411">
      <formula>$B762=2</formula>
    </cfRule>
    <cfRule type="expression" priority="1957" aboveAverage="0" equalAverage="0" bottom="0" percent="0" rank="0" text="" dxfId="3412">
      <formula>$B762=3</formula>
    </cfRule>
  </conditionalFormatting>
  <conditionalFormatting sqref="K396:K403">
    <cfRule type="expression" priority="1958" aboveAverage="0" equalAverage="0" bottom="0" percent="0" rank="0" text="" dxfId="3413">
      <formula>#REF!=1</formula>
    </cfRule>
    <cfRule type="expression" priority="1959" aboveAverage="0" equalAverage="0" bottom="0" percent="0" rank="0" text="" dxfId="3414">
      <formula>#REF!=2</formula>
    </cfRule>
    <cfRule type="expression" priority="1960" aboveAverage="0" equalAverage="0" bottom="0" percent="0" rank="0" text="" dxfId="3415">
      <formula>#REF!=3</formula>
    </cfRule>
  </conditionalFormatting>
  <conditionalFormatting sqref="M398">
    <cfRule type="expression" priority="1961" aboveAverage="0" equalAverage="0" bottom="0" percent="0" rank="0" text="" dxfId="3416">
      <formula>#REF!=1</formula>
    </cfRule>
    <cfRule type="expression" priority="1962" aboveAverage="0" equalAverage="0" bottom="0" percent="0" rank="0" text="" dxfId="3417">
      <formula>#REF!=2</formula>
    </cfRule>
    <cfRule type="expression" priority="1963" aboveAverage="0" equalAverage="0" bottom="0" percent="0" rank="0" text="" dxfId="3418">
      <formula>#REF!=3</formula>
    </cfRule>
  </conditionalFormatting>
  <conditionalFormatting sqref="M403 M399">
    <cfRule type="expression" priority="1964" aboveAverage="0" equalAverage="0" bottom="0" percent="0" rank="0" text="" dxfId="3419">
      <formula>#REF!=1</formula>
    </cfRule>
    <cfRule type="expression" priority="1965" aboveAverage="0" equalAverage="0" bottom="0" percent="0" rank="0" text="" dxfId="3420">
      <formula>#REF!=2</formula>
    </cfRule>
    <cfRule type="expression" priority="1966" aboveAverage="0" equalAverage="0" bottom="0" percent="0" rank="0" text="" dxfId="3421">
      <formula>#REF!=3</formula>
    </cfRule>
  </conditionalFormatting>
  <conditionalFormatting sqref="M400">
    <cfRule type="expression" priority="1967" aboveAverage="0" equalAverage="0" bottom="0" percent="0" rank="0" text="" dxfId="3422">
      <formula>#REF!=1</formula>
    </cfRule>
    <cfRule type="expression" priority="1968" aboveAverage="0" equalAverage="0" bottom="0" percent="0" rank="0" text="" dxfId="3423">
      <formula>#REF!=2</formula>
    </cfRule>
    <cfRule type="expression" priority="1969" aboveAverage="0" equalAverage="0" bottom="0" percent="0" rank="0" text="" dxfId="3424">
      <formula>#REF!=3</formula>
    </cfRule>
  </conditionalFormatting>
  <conditionalFormatting sqref="M396">
    <cfRule type="expression" priority="1970" aboveAverage="0" equalAverage="0" bottom="0" percent="0" rank="0" text="" dxfId="3425">
      <formula>#REF!=1</formula>
    </cfRule>
    <cfRule type="expression" priority="1971" aboveAverage="0" equalAverage="0" bottom="0" percent="0" rank="0" text="" dxfId="3426">
      <formula>#REF!=2</formula>
    </cfRule>
    <cfRule type="expression" priority="1972" aboveAverage="0" equalAverage="0" bottom="0" percent="0" rank="0" text="" dxfId="3427">
      <formula>#REF!=3</formula>
    </cfRule>
  </conditionalFormatting>
  <conditionalFormatting sqref="M397 M401:M402">
    <cfRule type="expression" priority="1973" aboveAverage="0" equalAverage="0" bottom="0" percent="0" rank="0" text="" dxfId="3428">
      <formula>#REF!=1</formula>
    </cfRule>
    <cfRule type="expression" priority="1974" aboveAverage="0" equalAverage="0" bottom="0" percent="0" rank="0" text="" dxfId="3429">
      <formula>#REF!=2</formula>
    </cfRule>
    <cfRule type="expression" priority="1975" aboveAverage="0" equalAverage="0" bottom="0" percent="0" rank="0" text="" dxfId="3430">
      <formula>#REF!=3</formula>
    </cfRule>
  </conditionalFormatting>
  <conditionalFormatting sqref="N403">
    <cfRule type="expression" priority="1976" aboveAverage="0" equalAverage="0" bottom="0" percent="0" rank="0" text="" dxfId="3431">
      <formula>$A403=1</formula>
    </cfRule>
    <cfRule type="expression" priority="1977" aboveAverage="0" equalAverage="0" bottom="0" percent="0" rank="0" text="" dxfId="3432">
      <formula>$A403=2</formula>
    </cfRule>
    <cfRule type="expression" priority="1978" aboveAverage="0" equalAverage="0" bottom="0" percent="0" rank="0" text="" dxfId="3433">
      <formula>$A403=3</formula>
    </cfRule>
  </conditionalFormatting>
  <conditionalFormatting sqref="L398">
    <cfRule type="expression" priority="1979" aboveAverage="0" equalAverage="0" bottom="0" percent="0" rank="0" text="" dxfId="3434">
      <formula>$B775=1</formula>
    </cfRule>
    <cfRule type="expression" priority="1980" aboveAverage="0" equalAverage="0" bottom="0" percent="0" rank="0" text="" dxfId="3435">
      <formula>$B775=2</formula>
    </cfRule>
    <cfRule type="expression" priority="1981" aboveAverage="0" equalAverage="0" bottom="0" percent="0" rank="0" text="" dxfId="3436">
      <formula>$B775=3</formula>
    </cfRule>
  </conditionalFormatting>
  <conditionalFormatting sqref="K405">
    <cfRule type="expression" priority="1982" aboveAverage="0" equalAverage="0" bottom="0" percent="0" rank="0" text="" dxfId="3437">
      <formula>#REF!=1</formula>
    </cfRule>
    <cfRule type="expression" priority="1983" aboveAverage="0" equalAverage="0" bottom="0" percent="0" rank="0" text="" dxfId="3438">
      <formula>#REF!=2</formula>
    </cfRule>
    <cfRule type="expression" priority="1984" aboveAverage="0" equalAverage="0" bottom="0" percent="0" rank="0" text="" dxfId="3439">
      <formula>#REF!=3</formula>
    </cfRule>
  </conditionalFormatting>
  <conditionalFormatting sqref="M405">
    <cfRule type="expression" priority="1985" aboveAverage="0" equalAverage="0" bottom="0" percent="0" rank="0" text="" dxfId="3440">
      <formula>#REF!=1</formula>
    </cfRule>
    <cfRule type="expression" priority="1986" aboveAverage="0" equalAverage="0" bottom="0" percent="0" rank="0" text="" dxfId="3441">
      <formula>#REF!=2</formula>
    </cfRule>
    <cfRule type="expression" priority="1987" aboveAverage="0" equalAverage="0" bottom="0" percent="0" rank="0" text="" dxfId="3442">
      <formula>#REF!=3</formula>
    </cfRule>
  </conditionalFormatting>
  <conditionalFormatting sqref="N405">
    <cfRule type="expression" priority="1988" aboveAverage="0" equalAverage="0" bottom="0" percent="0" rank="0" text="" dxfId="3443">
      <formula>$A405=1</formula>
    </cfRule>
    <cfRule type="expression" priority="1989" aboveAverage="0" equalAverage="0" bottom="0" percent="0" rank="0" text="" dxfId="3444">
      <formula>$A405=2</formula>
    </cfRule>
    <cfRule type="expression" priority="1990" aboveAverage="0" equalAverage="0" bottom="0" percent="0" rank="0" text="" dxfId="3445">
      <formula>$A405=3</formula>
    </cfRule>
  </conditionalFormatting>
  <conditionalFormatting sqref="K404">
    <cfRule type="expression" priority="1991" aboveAverage="0" equalAverage="0" bottom="0" percent="0" rank="0" text="" dxfId="3446">
      <formula>#REF!=1</formula>
    </cfRule>
    <cfRule type="expression" priority="1992" aboveAverage="0" equalAverage="0" bottom="0" percent="0" rank="0" text="" dxfId="3447">
      <formula>#REF!=2</formula>
    </cfRule>
    <cfRule type="expression" priority="1993" aboveAverage="0" equalAverage="0" bottom="0" percent="0" rank="0" text="" dxfId="3448">
      <formula>#REF!=3</formula>
    </cfRule>
  </conditionalFormatting>
  <conditionalFormatting sqref="M404">
    <cfRule type="expression" priority="1994" aboveAverage="0" equalAverage="0" bottom="0" percent="0" rank="0" text="" dxfId="3449">
      <formula>#REF!=1</formula>
    </cfRule>
    <cfRule type="expression" priority="1995" aboveAverage="0" equalAverage="0" bottom="0" percent="0" rank="0" text="" dxfId="3450">
      <formula>#REF!=2</formula>
    </cfRule>
    <cfRule type="expression" priority="1996" aboveAverage="0" equalAverage="0" bottom="0" percent="0" rank="0" text="" dxfId="3451">
      <formula>#REF!=3</formula>
    </cfRule>
  </conditionalFormatting>
  <conditionalFormatting sqref="N404">
    <cfRule type="expression" priority="1997" aboveAverage="0" equalAverage="0" bottom="0" percent="0" rank="0" text="" dxfId="3452">
      <formula>$A404=1</formula>
    </cfRule>
    <cfRule type="expression" priority="1998" aboveAverage="0" equalAverage="0" bottom="0" percent="0" rank="0" text="" dxfId="3453">
      <formula>$A404=2</formula>
    </cfRule>
    <cfRule type="expression" priority="1999" aboveAverage="0" equalAverage="0" bottom="0" percent="0" rank="0" text="" dxfId="3454">
      <formula>$A404=3</formula>
    </cfRule>
  </conditionalFormatting>
  <conditionalFormatting sqref="K406:K409">
    <cfRule type="expression" priority="2000" aboveAverage="0" equalAverage="0" bottom="0" percent="0" rank="0" text="" dxfId="3455">
      <formula>#REF!=1</formula>
    </cfRule>
    <cfRule type="expression" priority="2001" aboveAverage="0" equalAverage="0" bottom="0" percent="0" rank="0" text="" dxfId="3456">
      <formula>#REF!=2</formula>
    </cfRule>
    <cfRule type="expression" priority="2002" aboveAverage="0" equalAverage="0" bottom="0" percent="0" rank="0" text="" dxfId="3457">
      <formula>#REF!=3</formula>
    </cfRule>
  </conditionalFormatting>
  <conditionalFormatting sqref="M407">
    <cfRule type="expression" priority="2003" aboveAverage="0" equalAverage="0" bottom="0" percent="0" rank="0" text="" dxfId="3458">
      <formula>#REF!=1</formula>
    </cfRule>
    <cfRule type="expression" priority="2004" aboveAverage="0" equalAverage="0" bottom="0" percent="0" rank="0" text="" dxfId="3459">
      <formula>#REF!=2</formula>
    </cfRule>
    <cfRule type="expression" priority="2005" aboveAverage="0" equalAverage="0" bottom="0" percent="0" rank="0" text="" dxfId="3460">
      <formula>#REF!=3</formula>
    </cfRule>
  </conditionalFormatting>
  <conditionalFormatting sqref="M408">
    <cfRule type="expression" priority="2006" aboveAverage="0" equalAverage="0" bottom="0" percent="0" rank="0" text="" dxfId="3461">
      <formula>#REF!=1</formula>
    </cfRule>
    <cfRule type="expression" priority="2007" aboveAverage="0" equalAverage="0" bottom="0" percent="0" rank="0" text="" dxfId="3462">
      <formula>#REF!=2</formula>
    </cfRule>
    <cfRule type="expression" priority="2008" aboveAverage="0" equalAverage="0" bottom="0" percent="0" rank="0" text="" dxfId="3463">
      <formula>#REF!=3</formula>
    </cfRule>
  </conditionalFormatting>
  <conditionalFormatting sqref="M406 M409">
    <cfRule type="expression" priority="2009" aboveAverage="0" equalAverage="0" bottom="0" percent="0" rank="0" text="" dxfId="3464">
      <formula>#REF!=1</formula>
    </cfRule>
    <cfRule type="expression" priority="2010" aboveAverage="0" equalAverage="0" bottom="0" percent="0" rank="0" text="" dxfId="3465">
      <formula>#REF!=2</formula>
    </cfRule>
    <cfRule type="expression" priority="2011" aboveAverage="0" equalAverage="0" bottom="0" percent="0" rank="0" text="" dxfId="3466">
      <formula>#REF!=3</formula>
    </cfRule>
  </conditionalFormatting>
  <conditionalFormatting sqref="N406:N408">
    <cfRule type="expression" priority="2012" aboveAverage="0" equalAverage="0" bottom="0" percent="0" rank="0" text="" dxfId="3467">
      <formula>$A406=1</formula>
    </cfRule>
    <cfRule type="expression" priority="2013" aboveAverage="0" equalAverage="0" bottom="0" percent="0" rank="0" text="" dxfId="3468">
      <formula>$A406=2</formula>
    </cfRule>
    <cfRule type="expression" priority="2014" aboveAverage="0" equalAverage="0" bottom="0" percent="0" rank="0" text="" dxfId="3469">
      <formula>$A406=3</formula>
    </cfRule>
  </conditionalFormatting>
  <conditionalFormatting sqref="N409">
    <cfRule type="expression" priority="2015" aboveAverage="0" equalAverage="0" bottom="0" percent="0" rank="0" text="" dxfId="3470">
      <formula>$A409=1</formula>
    </cfRule>
    <cfRule type="expression" priority="2016" aboveAverage="0" equalAverage="0" bottom="0" percent="0" rank="0" text="" dxfId="3471">
      <formula>$A409=2</formula>
    </cfRule>
    <cfRule type="expression" priority="2017" aboveAverage="0" equalAverage="0" bottom="0" percent="0" rank="0" text="" dxfId="3472">
      <formula>$A409=3</formula>
    </cfRule>
  </conditionalFormatting>
  <conditionalFormatting sqref="K410">
    <cfRule type="expression" priority="2018" aboveAverage="0" equalAverage="0" bottom="0" percent="0" rank="0" text="" dxfId="3473">
      <formula>#REF!=1</formula>
    </cfRule>
    <cfRule type="expression" priority="2019" aboveAverage="0" equalAverage="0" bottom="0" percent="0" rank="0" text="" dxfId="3474">
      <formula>#REF!=2</formula>
    </cfRule>
    <cfRule type="expression" priority="2020" aboveAverage="0" equalAverage="0" bottom="0" percent="0" rank="0" text="" dxfId="3475">
      <formula>#REF!=3</formula>
    </cfRule>
  </conditionalFormatting>
  <conditionalFormatting sqref="M410">
    <cfRule type="expression" priority="2021" aboveAverage="0" equalAverage="0" bottom="0" percent="0" rank="0" text="" dxfId="3476">
      <formula>#REF!=1</formula>
    </cfRule>
    <cfRule type="expression" priority="2022" aboveAverage="0" equalAverage="0" bottom="0" percent="0" rank="0" text="" dxfId="3477">
      <formula>#REF!=2</formula>
    </cfRule>
    <cfRule type="expression" priority="2023" aboveAverage="0" equalAverage="0" bottom="0" percent="0" rank="0" text="" dxfId="3478">
      <formula>#REF!=3</formula>
    </cfRule>
  </conditionalFormatting>
  <conditionalFormatting sqref="N410">
    <cfRule type="expression" priority="2024" aboveAverage="0" equalAverage="0" bottom="0" percent="0" rank="0" text="" dxfId="3479">
      <formula>$A410=1</formula>
    </cfRule>
    <cfRule type="expression" priority="2025" aboveAverage="0" equalAverage="0" bottom="0" percent="0" rank="0" text="" dxfId="3480">
      <formula>$A410=2</formula>
    </cfRule>
    <cfRule type="expression" priority="2026" aboveAverage="0" equalAverage="0" bottom="0" percent="0" rank="0" text="" dxfId="3481">
      <formula>$A410=3</formula>
    </cfRule>
  </conditionalFormatting>
  <conditionalFormatting sqref="M412 K411:K412">
    <cfRule type="expression" priority="2027" aboveAverage="0" equalAverage="0" bottom="0" percent="0" rank="0" text="" dxfId="3482">
      <formula>#REF!=1</formula>
    </cfRule>
    <cfRule type="expression" priority="2028" aboveAverage="0" equalAverage="0" bottom="0" percent="0" rank="0" text="" dxfId="3483">
      <formula>#REF!=2</formula>
    </cfRule>
    <cfRule type="expression" priority="2029" aboveAverage="0" equalAverage="0" bottom="0" percent="0" rank="0" text="" dxfId="3484">
      <formula>#REF!=3</formula>
    </cfRule>
  </conditionalFormatting>
  <conditionalFormatting sqref="M411">
    <cfRule type="expression" priority="2030" aboveAverage="0" equalAverage="0" bottom="0" percent="0" rank="0" text="" dxfId="3485">
      <formula>#REF!=1</formula>
    </cfRule>
    <cfRule type="expression" priority="2031" aboveAverage="0" equalAverage="0" bottom="0" percent="0" rank="0" text="" dxfId="3486">
      <formula>#REF!=2</formula>
    </cfRule>
    <cfRule type="expression" priority="2032" aboveAverage="0" equalAverage="0" bottom="0" percent="0" rank="0" text="" dxfId="3487">
      <formula>#REF!=3</formula>
    </cfRule>
  </conditionalFormatting>
  <conditionalFormatting sqref="N411:N412">
    <cfRule type="expression" priority="2033" aboveAverage="0" equalAverage="0" bottom="0" percent="0" rank="0" text="" dxfId="3488">
      <formula>$A411=1</formula>
    </cfRule>
    <cfRule type="expression" priority="2034" aboveAverage="0" equalAverage="0" bottom="0" percent="0" rank="0" text="" dxfId="3489">
      <formula>$A411=2</formula>
    </cfRule>
    <cfRule type="expression" priority="2035" aboveAverage="0" equalAverage="0" bottom="0" percent="0" rank="0" text="" dxfId="3490">
      <formula>$A411=3</formula>
    </cfRule>
  </conditionalFormatting>
  <conditionalFormatting sqref="K413">
    <cfRule type="expression" priority="2036" aboveAverage="0" equalAverage="0" bottom="0" percent="0" rank="0" text="" dxfId="3491">
      <formula>#REF!=1</formula>
    </cfRule>
    <cfRule type="expression" priority="2037" aboveAverage="0" equalAverage="0" bottom="0" percent="0" rank="0" text="" dxfId="3492">
      <formula>#REF!=2</formula>
    </cfRule>
    <cfRule type="expression" priority="2038" aboveAverage="0" equalAverage="0" bottom="0" percent="0" rank="0" text="" dxfId="3493">
      <formula>#REF!=3</formula>
    </cfRule>
  </conditionalFormatting>
  <conditionalFormatting sqref="M413">
    <cfRule type="expression" priority="2039" aboveAverage="0" equalAverage="0" bottom="0" percent="0" rank="0" text="" dxfId="3494">
      <formula>#REF!=1</formula>
    </cfRule>
    <cfRule type="expression" priority="2040" aboveAverage="0" equalAverage="0" bottom="0" percent="0" rank="0" text="" dxfId="3495">
      <formula>#REF!=2</formula>
    </cfRule>
    <cfRule type="expression" priority="2041" aboveAverage="0" equalAverage="0" bottom="0" percent="0" rank="0" text="" dxfId="3496">
      <formula>#REF!=3</formula>
    </cfRule>
  </conditionalFormatting>
  <conditionalFormatting sqref="N413">
    <cfRule type="expression" priority="2042" aboveAverage="0" equalAverage="0" bottom="0" percent="0" rank="0" text="" dxfId="3497">
      <formula>$A627=1</formula>
    </cfRule>
    <cfRule type="expression" priority="2043" aboveAverage="0" equalAverage="0" bottom="0" percent="0" rank="0" text="" dxfId="3498">
      <formula>$A627=2</formula>
    </cfRule>
    <cfRule type="expression" priority="2044" aboveAverage="0" equalAverage="0" bottom="0" percent="0" rank="0" text="" dxfId="3499">
      <formula>$A627=3</formula>
    </cfRule>
  </conditionalFormatting>
  <conditionalFormatting sqref="N414">
    <cfRule type="expression" priority="2045" aboveAverage="0" equalAverage="0" bottom="0" percent="0" rank="0" text="" dxfId="3500">
      <formula>$A414=1</formula>
    </cfRule>
    <cfRule type="expression" priority="2046" aboveAverage="0" equalAverage="0" bottom="0" percent="0" rank="0" text="" dxfId="3501">
      <formula>$A414=2</formula>
    </cfRule>
    <cfRule type="expression" priority="2047" aboveAverage="0" equalAverage="0" bottom="0" percent="0" rank="0" text="" dxfId="3502">
      <formula>$A414=3</formula>
    </cfRule>
  </conditionalFormatting>
  <conditionalFormatting sqref="M414">
    <cfRule type="expression" priority="2048" aboveAverage="0" equalAverage="0" bottom="0" percent="0" rank="0" text="" dxfId="3503">
      <formula>#REF!=1</formula>
    </cfRule>
    <cfRule type="expression" priority="2049" aboveAverage="0" equalAverage="0" bottom="0" percent="0" rank="0" text="" dxfId="3504">
      <formula>#REF!=2</formula>
    </cfRule>
    <cfRule type="expression" priority="2050" aboveAverage="0" equalAverage="0" bottom="0" percent="0" rank="0" text="" dxfId="3505">
      <formula>#REF!=3</formula>
    </cfRule>
  </conditionalFormatting>
  <conditionalFormatting sqref="M415">
    <cfRule type="expression" priority="2051" aboveAverage="0" equalAverage="0" bottom="0" percent="0" rank="0" text="" dxfId="3506">
      <formula>#REF!=1</formula>
    </cfRule>
    <cfRule type="expression" priority="2052" aboveAverage="0" equalAverage="0" bottom="0" percent="0" rank="0" text="" dxfId="3507">
      <formula>#REF!=2</formula>
    </cfRule>
    <cfRule type="expression" priority="2053" aboveAverage="0" equalAverage="0" bottom="0" percent="0" rank="0" text="" dxfId="3508">
      <formula>#REF!=3</formula>
    </cfRule>
  </conditionalFormatting>
  <conditionalFormatting sqref="N415">
    <cfRule type="expression" priority="2054" aboveAverage="0" equalAverage="0" bottom="0" percent="0" rank="0" text="" dxfId="3509">
      <formula>$A415=1</formula>
    </cfRule>
    <cfRule type="expression" priority="2055" aboveAverage="0" equalAverage="0" bottom="0" percent="0" rank="0" text="" dxfId="3510">
      <formula>$A415=2</formula>
    </cfRule>
    <cfRule type="expression" priority="2056" aboveAverage="0" equalAverage="0" bottom="0" percent="0" rank="0" text="" dxfId="3511">
      <formula>$A415=3</formula>
    </cfRule>
  </conditionalFormatting>
  <conditionalFormatting sqref="K415">
    <cfRule type="expression" priority="2057" aboveAverage="0" equalAverage="0" bottom="0" percent="0" rank="0" text="" dxfId="3512">
      <formula>#REF!=1</formula>
    </cfRule>
    <cfRule type="expression" priority="2058" aboveAverage="0" equalAverage="0" bottom="0" percent="0" rank="0" text="" dxfId="3513">
      <formula>#REF!=2</formula>
    </cfRule>
    <cfRule type="expression" priority="2059" aboveAverage="0" equalAverage="0" bottom="0" percent="0" rank="0" text="" dxfId="3514">
      <formula>#REF!=3</formula>
    </cfRule>
  </conditionalFormatting>
  <conditionalFormatting sqref="K414">
    <cfRule type="expression" priority="2060" aboveAverage="0" equalAverage="0" bottom="0" percent="0" rank="0" text="" dxfId="3515">
      <formula>#REF!=1</formula>
    </cfRule>
    <cfRule type="expression" priority="2061" aboveAverage="0" equalAverage="0" bottom="0" percent="0" rank="0" text="" dxfId="3516">
      <formula>#REF!=2</formula>
    </cfRule>
    <cfRule type="expression" priority="2062" aboveAverage="0" equalAverage="0" bottom="0" percent="0" rank="0" text="" dxfId="3517">
      <formula>#REF!=3</formula>
    </cfRule>
  </conditionalFormatting>
  <conditionalFormatting sqref="N417">
    <cfRule type="expression" priority="2063" aboveAverage="0" equalAverage="0" bottom="0" percent="0" rank="0" text="" dxfId="3518">
      <formula>$A417=1</formula>
    </cfRule>
    <cfRule type="expression" priority="2064" aboveAverage="0" equalAverage="0" bottom="0" percent="0" rank="0" text="" dxfId="3519">
      <formula>$A417=2</formula>
    </cfRule>
    <cfRule type="expression" priority="2065" aboveAverage="0" equalAverage="0" bottom="0" percent="0" rank="0" text="" dxfId="3520">
      <formula>$A417=3</formula>
    </cfRule>
  </conditionalFormatting>
  <conditionalFormatting sqref="M416">
    <cfRule type="expression" priority="2066" aboveAverage="0" equalAverage="0" bottom="0" percent="0" rank="0" text="" dxfId="3521">
      <formula>#REF!=1</formula>
    </cfRule>
    <cfRule type="expression" priority="2067" aboveAverage="0" equalAverage="0" bottom="0" percent="0" rank="0" text="" dxfId="3522">
      <formula>#REF!=2</formula>
    </cfRule>
    <cfRule type="expression" priority="2068" aboveAverage="0" equalAverage="0" bottom="0" percent="0" rank="0" text="" dxfId="3523">
      <formula>#REF!=3</formula>
    </cfRule>
  </conditionalFormatting>
  <conditionalFormatting sqref="M417">
    <cfRule type="expression" priority="2069" aboveAverage="0" equalAverage="0" bottom="0" percent="0" rank="0" text="" dxfId="3524">
      <formula>#REF!=1</formula>
    </cfRule>
    <cfRule type="expression" priority="2070" aboveAverage="0" equalAverage="0" bottom="0" percent="0" rank="0" text="" dxfId="3525">
      <formula>#REF!=2</formula>
    </cfRule>
    <cfRule type="expression" priority="2071" aboveAverage="0" equalAverage="0" bottom="0" percent="0" rank="0" text="" dxfId="3526">
      <formula>#REF!=3</formula>
    </cfRule>
  </conditionalFormatting>
  <conditionalFormatting sqref="K417">
    <cfRule type="expression" priority="2072" aboveAverage="0" equalAverage="0" bottom="0" percent="0" rank="0" text="" dxfId="3527">
      <formula>#REF!=1</formula>
    </cfRule>
    <cfRule type="expression" priority="2073" aboveAverage="0" equalAverage="0" bottom="0" percent="0" rank="0" text="" dxfId="3528">
      <formula>#REF!=2</formula>
    </cfRule>
    <cfRule type="expression" priority="2074" aboveAverage="0" equalAverage="0" bottom="0" percent="0" rank="0" text="" dxfId="3529">
      <formula>#REF!=3</formula>
    </cfRule>
  </conditionalFormatting>
  <conditionalFormatting sqref="K416">
    <cfRule type="expression" priority="2075" aboveAverage="0" equalAverage="0" bottom="0" percent="0" rank="0" text="" dxfId="3530">
      <formula>#REF!=1</formula>
    </cfRule>
    <cfRule type="expression" priority="2076" aboveAverage="0" equalAverage="0" bottom="0" percent="0" rank="0" text="" dxfId="3531">
      <formula>#REF!=2</formula>
    </cfRule>
    <cfRule type="expression" priority="2077" aboveAverage="0" equalAverage="0" bottom="0" percent="0" rank="0" text="" dxfId="3532">
      <formula>#REF!=3</formula>
    </cfRule>
  </conditionalFormatting>
  <conditionalFormatting sqref="N418">
    <cfRule type="expression" priority="2078" aboveAverage="0" equalAverage="0" bottom="0" percent="0" rank="0" text="" dxfId="3533">
      <formula>$A418=1</formula>
    </cfRule>
    <cfRule type="expression" priority="2079" aboveAverage="0" equalAverage="0" bottom="0" percent="0" rank="0" text="" dxfId="3534">
      <formula>$A418=2</formula>
    </cfRule>
    <cfRule type="expression" priority="2080" aboveAverage="0" equalAverage="0" bottom="0" percent="0" rank="0" text="" dxfId="3535">
      <formula>$A418=3</formula>
    </cfRule>
  </conditionalFormatting>
  <conditionalFormatting sqref="K418">
    <cfRule type="expression" priority="2081" aboveAverage="0" equalAverage="0" bottom="0" percent="0" rank="0" text="" dxfId="3536">
      <formula>#REF!=1</formula>
    </cfRule>
    <cfRule type="expression" priority="2082" aboveAverage="0" equalAverage="0" bottom="0" percent="0" rank="0" text="" dxfId="3537">
      <formula>#REF!=2</formula>
    </cfRule>
    <cfRule type="expression" priority="2083" aboveAverage="0" equalAverage="0" bottom="0" percent="0" rank="0" text="" dxfId="3538">
      <formula>#REF!=3</formula>
    </cfRule>
  </conditionalFormatting>
  <conditionalFormatting sqref="M418">
    <cfRule type="expression" priority="2084" aboveAverage="0" equalAverage="0" bottom="0" percent="0" rank="0" text="" dxfId="3539">
      <formula>#REF!=1</formula>
    </cfRule>
    <cfRule type="expression" priority="2085" aboveAverage="0" equalAverage="0" bottom="0" percent="0" rank="0" text="" dxfId="3540">
      <formula>#REF!=2</formula>
    </cfRule>
    <cfRule type="expression" priority="2086" aboveAverage="0" equalAverage="0" bottom="0" percent="0" rank="0" text="" dxfId="3541">
      <formula>#REF!=3</formula>
    </cfRule>
  </conditionalFormatting>
  <conditionalFormatting sqref="K419">
    <cfRule type="expression" priority="2087" aboveAverage="0" equalAverage="0" bottom="0" percent="0" rank="0" text="" dxfId="3542">
      <formula>#REF!=1</formula>
    </cfRule>
    <cfRule type="expression" priority="2088" aboveAverage="0" equalAverage="0" bottom="0" percent="0" rank="0" text="" dxfId="3543">
      <formula>#REF!=2</formula>
    </cfRule>
    <cfRule type="expression" priority="2089" aboveAverage="0" equalAverage="0" bottom="0" percent="0" rank="0" text="" dxfId="3544">
      <formula>#REF!=3</formula>
    </cfRule>
  </conditionalFormatting>
  <conditionalFormatting sqref="M419">
    <cfRule type="expression" priority="2090" aboveAverage="0" equalAverage="0" bottom="0" percent="0" rank="0" text="" dxfId="3545">
      <formula>#REF!=1</formula>
    </cfRule>
    <cfRule type="expression" priority="2091" aboveAverage="0" equalAverage="0" bottom="0" percent="0" rank="0" text="" dxfId="3546">
      <formula>#REF!=2</formula>
    </cfRule>
    <cfRule type="expression" priority="2092" aboveAverage="0" equalAverage="0" bottom="0" percent="0" rank="0" text="" dxfId="3547">
      <formula>#REF!=3</formula>
    </cfRule>
  </conditionalFormatting>
  <conditionalFormatting sqref="M420">
    <cfRule type="expression" priority="2093" aboveAverage="0" equalAverage="0" bottom="0" percent="0" rank="0" text="" dxfId="3548">
      <formula>#REF!=1</formula>
    </cfRule>
    <cfRule type="expression" priority="2094" aboveAverage="0" equalAverage="0" bottom="0" percent="0" rank="0" text="" dxfId="3549">
      <formula>#REF!=2</formula>
    </cfRule>
    <cfRule type="expression" priority="2095" aboveAverage="0" equalAverage="0" bottom="0" percent="0" rank="0" text="" dxfId="3550">
      <formula>#REF!=3</formula>
    </cfRule>
  </conditionalFormatting>
  <conditionalFormatting sqref="K420">
    <cfRule type="expression" priority="2096" aboveAverage="0" equalAverage="0" bottom="0" percent="0" rank="0" text="" dxfId="3551">
      <formula>#REF!=1</formula>
    </cfRule>
    <cfRule type="expression" priority="2097" aboveAverage="0" equalAverage="0" bottom="0" percent="0" rank="0" text="" dxfId="3552">
      <formula>#REF!=2</formula>
    </cfRule>
    <cfRule type="expression" priority="2098" aboveAverage="0" equalAverage="0" bottom="0" percent="0" rank="0" text="" dxfId="3553">
      <formula>#REF!=3</formula>
    </cfRule>
  </conditionalFormatting>
  <conditionalFormatting sqref="N421">
    <cfRule type="expression" priority="2099" aboveAverage="0" equalAverage="0" bottom="0" percent="0" rank="0" text="" dxfId="3554">
      <formula>$A421=1</formula>
    </cfRule>
    <cfRule type="expression" priority="2100" aboveAverage="0" equalAverage="0" bottom="0" percent="0" rank="0" text="" dxfId="3555">
      <formula>$A421=2</formula>
    </cfRule>
    <cfRule type="expression" priority="2101" aboveAverage="0" equalAverage="0" bottom="0" percent="0" rank="0" text="" dxfId="3556">
      <formula>$A421=3</formula>
    </cfRule>
  </conditionalFormatting>
  <conditionalFormatting sqref="M421">
    <cfRule type="expression" priority="2102" aboveAverage="0" equalAverage="0" bottom="0" percent="0" rank="0" text="" dxfId="3557">
      <formula>#REF!=1</formula>
    </cfRule>
    <cfRule type="expression" priority="2103" aboveAverage="0" equalAverage="0" bottom="0" percent="0" rank="0" text="" dxfId="3558">
      <formula>#REF!=2</formula>
    </cfRule>
    <cfRule type="expression" priority="2104" aboveAverage="0" equalAverage="0" bottom="0" percent="0" rank="0" text="" dxfId="3559">
      <formula>#REF!=3</formula>
    </cfRule>
  </conditionalFormatting>
  <conditionalFormatting sqref="R421">
    <cfRule type="expression" priority="2105" aboveAverage="0" equalAverage="0" bottom="0" percent="0" rank="0" text="" dxfId="3560">
      <formula>#REF!=1</formula>
    </cfRule>
    <cfRule type="expression" priority="2106" aboveAverage="0" equalAverage="0" bottom="0" percent="0" rank="0" text="" dxfId="3561">
      <formula>#REF!=2</formula>
    </cfRule>
    <cfRule type="expression" priority="2107" aboveAverage="0" equalAverage="0" bottom="0" percent="0" rank="0" text="" dxfId="3562">
      <formula>#REF!=3</formula>
    </cfRule>
  </conditionalFormatting>
  <conditionalFormatting sqref="K421">
    <cfRule type="expression" priority="2108" aboveAverage="0" equalAverage="0" bottom="0" percent="0" rank="0" text="" dxfId="3563">
      <formula>#REF!=1</formula>
    </cfRule>
    <cfRule type="expression" priority="2109" aboveAverage="0" equalAverage="0" bottom="0" percent="0" rank="0" text="" dxfId="3564">
      <formula>#REF!=2</formula>
    </cfRule>
    <cfRule type="expression" priority="2110" aboveAverage="0" equalAverage="0" bottom="0" percent="0" rank="0" text="" dxfId="3565">
      <formula>#REF!=3</formula>
    </cfRule>
  </conditionalFormatting>
  <conditionalFormatting sqref="M422">
    <cfRule type="expression" priority="2111" aboveAverage="0" equalAverage="0" bottom="0" percent="0" rank="0" text="" dxfId="3566">
      <formula>#REF!=1</formula>
    </cfRule>
    <cfRule type="expression" priority="2112" aboveAverage="0" equalAverage="0" bottom="0" percent="0" rank="0" text="" dxfId="3567">
      <formula>#REF!=2</formula>
    </cfRule>
    <cfRule type="expression" priority="2113" aboveAverage="0" equalAverage="0" bottom="0" percent="0" rank="0" text="" dxfId="3568">
      <formula>#REF!=3</formula>
    </cfRule>
  </conditionalFormatting>
  <conditionalFormatting sqref="L422">
    <cfRule type="expression" priority="2114" aboveAverage="0" equalAverage="0" bottom="0" percent="0" rank="0" text="" dxfId="3569">
      <formula>$B415=1</formula>
    </cfRule>
    <cfRule type="expression" priority="2115" aboveAverage="0" equalAverage="0" bottom="0" percent="0" rank="0" text="" dxfId="3570">
      <formula>$B415=2</formula>
    </cfRule>
    <cfRule type="expression" priority="2116" aboveAverage="0" equalAverage="0" bottom="0" percent="0" rank="0" text="" dxfId="3571">
      <formula>$B415=3</formula>
    </cfRule>
  </conditionalFormatting>
  <conditionalFormatting sqref="K422">
    <cfRule type="expression" priority="2117" aboveAverage="0" equalAverage="0" bottom="0" percent="0" rank="0" text="" dxfId="3572">
      <formula>#REF!=1</formula>
    </cfRule>
    <cfRule type="expression" priority="2118" aboveAverage="0" equalAverage="0" bottom="0" percent="0" rank="0" text="" dxfId="3573">
      <formula>#REF!=2</formula>
    </cfRule>
    <cfRule type="expression" priority="2119" aboveAverage="0" equalAverage="0" bottom="0" percent="0" rank="0" text="" dxfId="3574">
      <formula>#REF!=3</formula>
    </cfRule>
  </conditionalFormatting>
  <conditionalFormatting sqref="M423">
    <cfRule type="expression" priority="2120" aboveAverage="0" equalAverage="0" bottom="0" percent="0" rank="0" text="" dxfId="3575">
      <formula>#REF!=1</formula>
    </cfRule>
    <cfRule type="expression" priority="2121" aboveAverage="0" equalAverage="0" bottom="0" percent="0" rank="0" text="" dxfId="3576">
      <formula>#REF!=2</formula>
    </cfRule>
    <cfRule type="expression" priority="2122" aboveAverage="0" equalAverage="0" bottom="0" percent="0" rank="0" text="" dxfId="3577">
      <formula>#REF!=3</formula>
    </cfRule>
  </conditionalFormatting>
  <conditionalFormatting sqref="N423">
    <cfRule type="expression" priority="2123" aboveAverage="0" equalAverage="0" bottom="0" percent="0" rank="0" text="" dxfId="3578">
      <formula>$A423=1</formula>
    </cfRule>
    <cfRule type="expression" priority="2124" aboveAverage="0" equalAverage="0" bottom="0" percent="0" rank="0" text="" dxfId="3579">
      <formula>$A423=2</formula>
    </cfRule>
    <cfRule type="expression" priority="2125" aboveAverage="0" equalAverage="0" bottom="0" percent="0" rank="0" text="" dxfId="3580">
      <formula>$A423=3</formula>
    </cfRule>
  </conditionalFormatting>
  <conditionalFormatting sqref="K423">
    <cfRule type="expression" priority="2126" aboveAverage="0" equalAverage="0" bottom="0" percent="0" rank="0" text="" dxfId="3581">
      <formula>#REF!=1</formula>
    </cfRule>
    <cfRule type="expression" priority="2127" aboveAverage="0" equalAverage="0" bottom="0" percent="0" rank="0" text="" dxfId="3582">
      <formula>#REF!=2</formula>
    </cfRule>
    <cfRule type="expression" priority="2128" aboveAverage="0" equalAverage="0" bottom="0" percent="0" rank="0" text="" dxfId="3583">
      <formula>#REF!=3</formula>
    </cfRule>
  </conditionalFormatting>
  <conditionalFormatting sqref="K424">
    <cfRule type="expression" priority="2129" aboveAverage="0" equalAverage="0" bottom="0" percent="0" rank="0" text="" dxfId="3584">
      <formula>#REF!=1</formula>
    </cfRule>
    <cfRule type="expression" priority="2130" aboveAverage="0" equalAverage="0" bottom="0" percent="0" rank="0" text="" dxfId="3585">
      <formula>#REF!=2</formula>
    </cfRule>
    <cfRule type="expression" priority="2131" aboveAverage="0" equalAverage="0" bottom="0" percent="0" rank="0" text="" dxfId="3586">
      <formula>#REF!=3</formula>
    </cfRule>
  </conditionalFormatting>
  <conditionalFormatting sqref="M424">
    <cfRule type="expression" priority="2132" aboveAverage="0" equalAverage="0" bottom="0" percent="0" rank="0" text="" dxfId="3587">
      <formula>#REF!=1</formula>
    </cfRule>
    <cfRule type="expression" priority="2133" aboveAverage="0" equalAverage="0" bottom="0" percent="0" rank="0" text="" dxfId="3588">
      <formula>#REF!=2</formula>
    </cfRule>
    <cfRule type="expression" priority="2134" aboveAverage="0" equalAverage="0" bottom="0" percent="0" rank="0" text="" dxfId="3589">
      <formula>#REF!=3</formula>
    </cfRule>
  </conditionalFormatting>
  <conditionalFormatting sqref="M425">
    <cfRule type="expression" priority="2135" aboveAverage="0" equalAverage="0" bottom="0" percent="0" rank="0" text="" dxfId="3590">
      <formula>#REF!=1</formula>
    </cfRule>
    <cfRule type="expression" priority="2136" aboveAverage="0" equalAverage="0" bottom="0" percent="0" rank="0" text="" dxfId="3591">
      <formula>#REF!=2</formula>
    </cfRule>
    <cfRule type="expression" priority="2137" aboveAverage="0" equalAverage="0" bottom="0" percent="0" rank="0" text="" dxfId="3592">
      <formula>#REF!=3</formula>
    </cfRule>
  </conditionalFormatting>
  <conditionalFormatting sqref="K425">
    <cfRule type="expression" priority="2138" aboveAverage="0" equalAverage="0" bottom="0" percent="0" rank="0" text="" dxfId="3593">
      <formula>#REF!=1</formula>
    </cfRule>
    <cfRule type="expression" priority="2139" aboveAverage="0" equalAverage="0" bottom="0" percent="0" rank="0" text="" dxfId="3594">
      <formula>#REF!=2</formula>
    </cfRule>
    <cfRule type="expression" priority="2140" aboveAverage="0" equalAverage="0" bottom="0" percent="0" rank="0" text="" dxfId="3595">
      <formula>#REF!=3</formula>
    </cfRule>
  </conditionalFormatting>
  <conditionalFormatting sqref="M426">
    <cfRule type="expression" priority="2141" aboveAverage="0" equalAverage="0" bottom="0" percent="0" rank="0" text="" dxfId="3596">
      <formula>#REF!=1</formula>
    </cfRule>
    <cfRule type="expression" priority="2142" aboveAverage="0" equalAverage="0" bottom="0" percent="0" rank="0" text="" dxfId="3597">
      <formula>#REF!=2</formula>
    </cfRule>
    <cfRule type="expression" priority="2143" aboveAverage="0" equalAverage="0" bottom="0" percent="0" rank="0" text="" dxfId="3598">
      <formula>#REF!=3</formula>
    </cfRule>
  </conditionalFormatting>
  <conditionalFormatting sqref="K426">
    <cfRule type="expression" priority="2144" aboveAverage="0" equalAverage="0" bottom="0" percent="0" rank="0" text="" dxfId="3599">
      <formula>#REF!=1</formula>
    </cfRule>
    <cfRule type="expression" priority="2145" aboveAverage="0" equalAverage="0" bottom="0" percent="0" rank="0" text="" dxfId="3600">
      <formula>#REF!=2</formula>
    </cfRule>
    <cfRule type="expression" priority="2146" aboveAverage="0" equalAverage="0" bottom="0" percent="0" rank="0" text="" dxfId="3601">
      <formula>#REF!=3</formula>
    </cfRule>
  </conditionalFormatting>
  <conditionalFormatting sqref="M427">
    <cfRule type="expression" priority="2147" aboveAverage="0" equalAverage="0" bottom="0" percent="0" rank="0" text="" dxfId="3602">
      <formula>#REF!=1</formula>
    </cfRule>
    <cfRule type="expression" priority="2148" aboveAverage="0" equalAverage="0" bottom="0" percent="0" rank="0" text="" dxfId="3603">
      <formula>#REF!=2</formula>
    </cfRule>
    <cfRule type="expression" priority="2149" aboveAverage="0" equalAverage="0" bottom="0" percent="0" rank="0" text="" dxfId="3604">
      <formula>#REF!=3</formula>
    </cfRule>
  </conditionalFormatting>
  <conditionalFormatting sqref="N427">
    <cfRule type="expression" priority="2150" aboveAverage="0" equalAverage="0" bottom="0" percent="0" rank="0" text="" dxfId="3605">
      <formula>$A427=1</formula>
    </cfRule>
    <cfRule type="expression" priority="2151" aboveAverage="0" equalAverage="0" bottom="0" percent="0" rank="0" text="" dxfId="3606">
      <formula>$A427=2</formula>
    </cfRule>
    <cfRule type="expression" priority="2152" aboveAverage="0" equalAverage="0" bottom="0" percent="0" rank="0" text="" dxfId="3607">
      <formula>$A427=3</formula>
    </cfRule>
  </conditionalFormatting>
  <conditionalFormatting sqref="K427">
    <cfRule type="expression" priority="2153" aboveAverage="0" equalAverage="0" bottom="0" percent="0" rank="0" text="" dxfId="3608">
      <formula>#REF!=1</formula>
    </cfRule>
    <cfRule type="expression" priority="2154" aboveAverage="0" equalAverage="0" bottom="0" percent="0" rank="0" text="" dxfId="3609">
      <formula>#REF!=2</formula>
    </cfRule>
    <cfRule type="expression" priority="2155" aboveAverage="0" equalAverage="0" bottom="0" percent="0" rank="0" text="" dxfId="3610">
      <formula>#REF!=3</formula>
    </cfRule>
  </conditionalFormatting>
  <conditionalFormatting sqref="K428">
    <cfRule type="expression" priority="2156" aboveAverage="0" equalAverage="0" bottom="0" percent="0" rank="0" text="" dxfId="3611">
      <formula>#REF!=1</formula>
    </cfRule>
    <cfRule type="expression" priority="2157" aboveAverage="0" equalAverage="0" bottom="0" percent="0" rank="0" text="" dxfId="3612">
      <formula>#REF!=2</formula>
    </cfRule>
    <cfRule type="expression" priority="2158" aboveAverage="0" equalAverage="0" bottom="0" percent="0" rank="0" text="" dxfId="3613">
      <formula>#REF!=3</formula>
    </cfRule>
  </conditionalFormatting>
  <conditionalFormatting sqref="M428">
    <cfRule type="expression" priority="2159" aboveAverage="0" equalAverage="0" bottom="0" percent="0" rank="0" text="" dxfId="3614">
      <formula>#REF!=1</formula>
    </cfRule>
    <cfRule type="expression" priority="2160" aboveAverage="0" equalAverage="0" bottom="0" percent="0" rank="0" text="" dxfId="3615">
      <formula>#REF!=2</formula>
    </cfRule>
    <cfRule type="expression" priority="2161" aboveAverage="0" equalAverage="0" bottom="0" percent="0" rank="0" text="" dxfId="3616">
      <formula>#REF!=3</formula>
    </cfRule>
  </conditionalFormatting>
  <conditionalFormatting sqref="K429">
    <cfRule type="expression" priority="2162" aboveAverage="0" equalAverage="0" bottom="0" percent="0" rank="0" text="" dxfId="3617">
      <formula>#REF!=1</formula>
    </cfRule>
    <cfRule type="expression" priority="2163" aboveAverage="0" equalAverage="0" bottom="0" percent="0" rank="0" text="" dxfId="3618">
      <formula>#REF!=2</formula>
    </cfRule>
    <cfRule type="expression" priority="2164" aboveAverage="0" equalAverage="0" bottom="0" percent="0" rank="0" text="" dxfId="3619">
      <formula>#REF!=3</formula>
    </cfRule>
  </conditionalFormatting>
  <conditionalFormatting sqref="M429">
    <cfRule type="expression" priority="2165" aboveAverage="0" equalAverage="0" bottom="0" percent="0" rank="0" text="" dxfId="3620">
      <formula>#REF!=1</formula>
    </cfRule>
    <cfRule type="expression" priority="2166" aboveAverage="0" equalAverage="0" bottom="0" percent="0" rank="0" text="" dxfId="3621">
      <formula>#REF!=2</formula>
    </cfRule>
    <cfRule type="expression" priority="2167" aboveAverage="0" equalAverage="0" bottom="0" percent="0" rank="0" text="" dxfId="3622">
      <formula>#REF!=3</formula>
    </cfRule>
  </conditionalFormatting>
  <conditionalFormatting sqref="N429">
    <cfRule type="expression" priority="2168" aboveAverage="0" equalAverage="0" bottom="0" percent="0" rank="0" text="" dxfId="3623">
      <formula>$A429=1</formula>
    </cfRule>
    <cfRule type="expression" priority="2169" aboveAverage="0" equalAverage="0" bottom="0" percent="0" rank="0" text="" dxfId="3624">
      <formula>$A429=2</formula>
    </cfRule>
    <cfRule type="expression" priority="2170" aboveAverage="0" equalAverage="0" bottom="0" percent="0" rank="0" text="" dxfId="3625">
      <formula>$A429=3</formula>
    </cfRule>
  </conditionalFormatting>
  <conditionalFormatting sqref="N430">
    <cfRule type="expression" priority="2171" aboveAverage="0" equalAverage="0" bottom="0" percent="0" rank="0" text="" dxfId="3626">
      <formula>$A430=1</formula>
    </cfRule>
    <cfRule type="expression" priority="2172" aboveAverage="0" equalAverage="0" bottom="0" percent="0" rank="0" text="" dxfId="3627">
      <formula>$A430=2</formula>
    </cfRule>
    <cfRule type="expression" priority="2173" aboveAverage="0" equalAverage="0" bottom="0" percent="0" rank="0" text="" dxfId="3628">
      <formula>$A430=3</formula>
    </cfRule>
  </conditionalFormatting>
  <conditionalFormatting sqref="K430">
    <cfRule type="expression" priority="2174" aboveAverage="0" equalAverage="0" bottom="0" percent="0" rank="0" text="" dxfId="3629">
      <formula>#REF!=1</formula>
    </cfRule>
    <cfRule type="expression" priority="2175" aboveAverage="0" equalAverage="0" bottom="0" percent="0" rank="0" text="" dxfId="3630">
      <formula>#REF!=2</formula>
    </cfRule>
    <cfRule type="expression" priority="2176" aboveAverage="0" equalAverage="0" bottom="0" percent="0" rank="0" text="" dxfId="3631">
      <formula>#REF!=3</formula>
    </cfRule>
  </conditionalFormatting>
  <conditionalFormatting sqref="M430">
    <cfRule type="expression" priority="2177" aboveAverage="0" equalAverage="0" bottom="0" percent="0" rank="0" text="" dxfId="3632">
      <formula>#REF!=1</formula>
    </cfRule>
    <cfRule type="expression" priority="2178" aboveAverage="0" equalAverage="0" bottom="0" percent="0" rank="0" text="" dxfId="3633">
      <formula>#REF!=2</formula>
    </cfRule>
    <cfRule type="expression" priority="2179" aboveAverage="0" equalAverage="0" bottom="0" percent="0" rank="0" text="" dxfId="3634">
      <formula>#REF!=3</formula>
    </cfRule>
  </conditionalFormatting>
  <conditionalFormatting sqref="K431">
    <cfRule type="expression" priority="2180" aboveAverage="0" equalAverage="0" bottom="0" percent="0" rank="0" text="" dxfId="3635">
      <formula>#REF!=1</formula>
    </cfRule>
    <cfRule type="expression" priority="2181" aboveAverage="0" equalAverage="0" bottom="0" percent="0" rank="0" text="" dxfId="3636">
      <formula>#REF!=2</formula>
    </cfRule>
    <cfRule type="expression" priority="2182" aboveAverage="0" equalAverage="0" bottom="0" percent="0" rank="0" text="" dxfId="3637">
      <formula>#REF!=3</formula>
    </cfRule>
  </conditionalFormatting>
  <conditionalFormatting sqref="N431">
    <cfRule type="expression" priority="2183" aboveAverage="0" equalAverage="0" bottom="0" percent="0" rank="0" text="" dxfId="3638">
      <formula>$A431=1</formula>
    </cfRule>
    <cfRule type="expression" priority="2184" aboveAverage="0" equalAverage="0" bottom="0" percent="0" rank="0" text="" dxfId="3639">
      <formula>$A431=2</formula>
    </cfRule>
    <cfRule type="expression" priority="2185" aboveAverage="0" equalAverage="0" bottom="0" percent="0" rank="0" text="" dxfId="3640">
      <formula>$A431=3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B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0.14"/>
    <col collapsed="false" customWidth="true" hidden="false" outlineLevel="0" max="3" min="3" style="0" width="15"/>
    <col collapsed="false" customWidth="true" hidden="true" outlineLevel="0" max="4" min="4" style="0" width="12.42"/>
    <col collapsed="false" customWidth="true" hidden="false" outlineLevel="0" max="5" min="5" style="0" width="0.14"/>
    <col collapsed="false" customWidth="true" hidden="false" outlineLevel="0" max="6" min="6" style="0" width="12.86"/>
    <col collapsed="false" customWidth="true" hidden="false" outlineLevel="0" max="7" min="7" style="0" width="7.15"/>
    <col collapsed="false" customWidth="true" hidden="false" outlineLevel="0" max="8" min="8" style="0" width="6.42"/>
    <col collapsed="false" customWidth="true" hidden="false" outlineLevel="0" max="9" min="9" style="0" width="22.86"/>
    <col collapsed="false" customWidth="true" hidden="false" outlineLevel="0" max="10" min="10" style="0" width="14.15"/>
    <col collapsed="false" customWidth="true" hidden="false" outlineLevel="0" max="11" min="11" style="0" width="11.14"/>
    <col collapsed="false" customWidth="true" hidden="false" outlineLevel="0" max="13" min="12" style="0" width="9.85"/>
    <col collapsed="false" customWidth="true" hidden="false" outlineLevel="0" max="14" min="14" style="0" width="11.57"/>
    <col collapsed="false" customWidth="true" hidden="false" outlineLevel="0" max="16" min="15" style="0" width="9.85"/>
    <col collapsed="false" customWidth="true" hidden="false" outlineLevel="0" max="17" min="17" style="0" width="11.86"/>
    <col collapsed="false" customWidth="true" hidden="false" outlineLevel="0" max="19" min="18" style="0" width="9.85"/>
    <col collapsed="false" customWidth="true" hidden="false" outlineLevel="0" max="20" min="20" style="0" width="12.57"/>
    <col collapsed="false" customWidth="true" hidden="false" outlineLevel="0" max="22" min="21" style="0" width="9.85"/>
    <col collapsed="false" customWidth="true" hidden="false" outlineLevel="0" max="23" min="23" style="289" width="10.99"/>
    <col collapsed="false" customWidth="true" hidden="false" outlineLevel="0" max="28" min="24" style="0" width="9.85"/>
    <col collapsed="false" customWidth="true" hidden="false" outlineLevel="0" max="29" min="29" style="289" width="11.57"/>
    <col collapsed="false" customWidth="true" hidden="false" outlineLevel="0" max="31" min="30" style="0" width="9.85"/>
    <col collapsed="false" customWidth="true" hidden="false" outlineLevel="0" max="32" min="32" style="0" width="11.29"/>
    <col collapsed="false" customWidth="true" hidden="false" outlineLevel="0" max="34" min="33" style="0" width="9.85"/>
    <col collapsed="false" customWidth="true" hidden="false" outlineLevel="0" max="35" min="35" style="0" width="11.14"/>
    <col collapsed="false" customWidth="true" hidden="false" outlineLevel="0" max="37" min="36" style="0" width="9.85"/>
    <col collapsed="false" customWidth="true" hidden="false" outlineLevel="0" max="38" min="38" style="0" width="11.29"/>
    <col collapsed="false" customWidth="true" hidden="false" outlineLevel="0" max="40" min="39" style="0" width="9.85"/>
    <col collapsed="false" customWidth="true" hidden="false" outlineLevel="0" max="41" min="41" style="289" width="11.29"/>
    <col collapsed="false" customWidth="true" hidden="false" outlineLevel="0" max="43" min="42" style="0" width="9.85"/>
    <col collapsed="false" customWidth="true" hidden="false" outlineLevel="0" max="44" min="44" style="289" width="11.42"/>
    <col collapsed="false" customWidth="true" hidden="false" outlineLevel="0" max="45" min="45" style="0" width="12.29"/>
    <col collapsed="false" customWidth="true" hidden="false" outlineLevel="0" max="46" min="46" style="0" width="14.57"/>
    <col collapsed="false" customWidth="true" hidden="false" outlineLevel="0" max="47" min="47" style="289" width="10.42"/>
    <col collapsed="false" customWidth="true" hidden="false" outlineLevel="0" max="48" min="48" style="0" width="10.85"/>
    <col collapsed="false" customWidth="true" hidden="false" outlineLevel="0" max="49" min="49" style="0" width="14.28"/>
    <col collapsed="false" customWidth="true" hidden="false" outlineLevel="0" max="50" min="50" style="289" width="15.29"/>
    <col collapsed="false" customWidth="true" hidden="false" outlineLevel="0" max="51" min="51" style="0" width="10.85"/>
    <col collapsed="false" customWidth="true" hidden="false" outlineLevel="0" max="52" min="52" style="0" width="10.42"/>
    <col collapsed="false" customWidth="true" hidden="false" outlineLevel="0" max="53" min="53" style="0" width="13.86"/>
    <col collapsed="false" customWidth="true" hidden="false" outlineLevel="0" max="54" min="54" style="0" width="12.57"/>
    <col collapsed="false" customWidth="true" hidden="false" outlineLevel="0" max="55" min="55" style="0" width="10.42"/>
    <col collapsed="false" customWidth="true" hidden="false" outlineLevel="0" max="56" min="56" style="289" width="10.29"/>
    <col collapsed="false" customWidth="true" hidden="false" outlineLevel="0" max="57" min="57" style="0" width="10.29"/>
    <col collapsed="false" customWidth="true" hidden="false" outlineLevel="0" max="58" min="58" style="0" width="10.42"/>
    <col collapsed="false" customWidth="true" hidden="false" outlineLevel="0" max="59" min="59" style="289" width="11.57"/>
    <col collapsed="false" customWidth="true" hidden="false" outlineLevel="0" max="60" min="60" style="0" width="11.14"/>
    <col collapsed="false" customWidth="true" hidden="false" outlineLevel="0" max="61" min="61" style="0" width="10.85"/>
    <col collapsed="false" customWidth="true" hidden="false" outlineLevel="0" max="62" min="62" style="289" width="11.29"/>
    <col collapsed="false" customWidth="true" hidden="false" outlineLevel="0" max="63" min="63" style="0" width="13.29"/>
    <col collapsed="false" customWidth="true" hidden="false" outlineLevel="0" max="64" min="64" style="0" width="10"/>
    <col collapsed="false" customWidth="true" hidden="false" outlineLevel="0" max="65" min="65" style="0" width="15.29"/>
    <col collapsed="false" customWidth="true" hidden="false" outlineLevel="0" max="68" min="68" style="289" width="10.58"/>
    <col collapsed="false" customWidth="true" hidden="false" outlineLevel="0" max="69" min="69" style="0" width="11.99"/>
    <col collapsed="false" customWidth="true" hidden="false" outlineLevel="0" max="70" min="70" style="0" width="10.42"/>
    <col collapsed="false" customWidth="true" hidden="false" outlineLevel="0" max="71" min="71" style="289" width="10.29"/>
    <col collapsed="false" customWidth="true" hidden="false" outlineLevel="0" max="72" min="72" style="0" width="10.29"/>
    <col collapsed="false" customWidth="true" hidden="false" outlineLevel="0" max="73" min="73" style="0" width="10"/>
    <col collapsed="false" customWidth="true" hidden="false" outlineLevel="0" max="74" min="74" style="289" width="11.42"/>
    <col collapsed="false" customWidth="true" hidden="false" outlineLevel="0" max="75" min="75" style="0" width="12.29"/>
    <col collapsed="false" customWidth="true" hidden="false" outlineLevel="0" max="76" min="76" style="0" width="10.29"/>
    <col collapsed="false" customWidth="true" hidden="false" outlineLevel="0" max="77" min="77" style="289" width="11.14"/>
    <col collapsed="false" customWidth="true" hidden="false" outlineLevel="0" max="78" min="78" style="0" width="10.58"/>
    <col collapsed="false" customWidth="true" hidden="false" outlineLevel="0" max="79" min="79" style="0" width="10.99"/>
    <col collapsed="false" customWidth="true" hidden="false" outlineLevel="0" max="80" min="80" style="289" width="10.42"/>
    <col collapsed="false" customWidth="true" hidden="false" outlineLevel="0" max="81" min="81" style="0" width="12.86"/>
    <col collapsed="false" customWidth="true" hidden="false" outlineLevel="0" max="82" min="82" style="0" width="11.29"/>
    <col collapsed="false" customWidth="true" hidden="false" outlineLevel="0" max="83" min="83" style="289" width="11.14"/>
    <col collapsed="false" customWidth="true" hidden="false" outlineLevel="0" max="84" min="84" style="0" width="10.85"/>
    <col collapsed="false" customWidth="true" hidden="false" outlineLevel="0" max="85" min="85" style="0" width="10.58"/>
    <col collapsed="false" customWidth="true" hidden="false" outlineLevel="0" max="86" min="86" style="289" width="10.71"/>
    <col collapsed="false" customWidth="true" hidden="false" outlineLevel="0" max="87" min="87" style="0" width="10.42"/>
    <col collapsed="false" customWidth="true" hidden="false" outlineLevel="0" max="88" min="88" style="0" width="10.71"/>
    <col collapsed="false" customWidth="true" hidden="false" outlineLevel="0" max="89" min="89" style="289" width="11.57"/>
    <col collapsed="false" customWidth="true" hidden="false" outlineLevel="0" max="90" min="90" style="0" width="11.29"/>
    <col collapsed="false" customWidth="true" hidden="false" outlineLevel="0" max="91" min="91" style="0" width="10.85"/>
    <col collapsed="false" customWidth="true" hidden="false" outlineLevel="0" max="92" min="92" style="0" width="10.42"/>
    <col collapsed="false" customWidth="true" hidden="false" outlineLevel="0" max="93" min="93" style="0" width="11.29"/>
    <col collapsed="false" customWidth="true" hidden="false" outlineLevel="0" max="94" min="94" style="0" width="10.85"/>
    <col collapsed="false" customWidth="true" hidden="false" outlineLevel="0" max="95" min="95" style="289" width="11.42"/>
    <col collapsed="false" customWidth="true" hidden="false" outlineLevel="0" max="96" min="96" style="0" width="10.71"/>
    <col collapsed="false" customWidth="true" hidden="false" outlineLevel="0" max="97" min="97" style="0" width="14.86"/>
    <col collapsed="false" customWidth="true" hidden="false" outlineLevel="0" max="98" min="98" style="0" width="13.01"/>
    <col collapsed="false" customWidth="true" hidden="false" outlineLevel="0" max="99" min="99" style="0" width="10.58"/>
    <col collapsed="false" customWidth="true" hidden="false" outlineLevel="0" max="100" min="100" style="0" width="11.57"/>
    <col collapsed="false" customWidth="true" hidden="false" outlineLevel="0" max="101" min="101" style="289" width="12.57"/>
    <col collapsed="false" customWidth="true" hidden="false" outlineLevel="0" max="102" min="102" style="0" width="10.85"/>
    <col collapsed="false" customWidth="true" hidden="false" outlineLevel="0" max="103" min="103" style="0" width="11.14"/>
    <col collapsed="false" customWidth="true" hidden="false" outlineLevel="0" max="107" min="107" style="0" width="12.86"/>
    <col collapsed="false" customWidth="true" hidden="false" outlineLevel="0" max="108" min="108" style="0" width="10.71"/>
    <col collapsed="false" customWidth="true" hidden="false" outlineLevel="0" max="109" min="109" style="0" width="11.71"/>
    <col collapsed="false" customWidth="true" hidden="false" outlineLevel="0" max="110" min="110" style="0" width="11.57"/>
    <col collapsed="false" customWidth="true" hidden="false" outlineLevel="0" max="111" min="111" style="0" width="10.42"/>
    <col collapsed="false" customWidth="true" hidden="false" outlineLevel="0" max="112" min="112" style="0" width="12.14"/>
    <col collapsed="false" customWidth="true" hidden="false" outlineLevel="0" max="113" min="113" style="0" width="11.57"/>
    <col collapsed="false" customWidth="true" hidden="false" outlineLevel="0" max="114" min="114" style="0" width="10"/>
    <col collapsed="false" customWidth="true" hidden="false" outlineLevel="0" max="115" min="115" style="0" width="10.71"/>
    <col collapsed="false" customWidth="true" hidden="false" outlineLevel="0" max="116" min="116" style="289" width="13.29"/>
    <col collapsed="false" customWidth="true" hidden="false" outlineLevel="0" max="117" min="117" style="0" width="9.85"/>
    <col collapsed="false" customWidth="true" hidden="false" outlineLevel="0" max="118" min="118" style="0" width="11.71"/>
    <col collapsed="false" customWidth="true" hidden="false" outlineLevel="0" max="119" min="119" style="0" width="13.01"/>
    <col collapsed="false" customWidth="true" hidden="false" outlineLevel="0" max="120" min="120" style="0" width="10.14"/>
    <col collapsed="false" customWidth="true" hidden="false" outlineLevel="0" max="121" min="121" style="0" width="10.99"/>
    <col collapsed="false" customWidth="true" hidden="false" outlineLevel="0" max="122" min="122" style="0" width="11.86"/>
    <col collapsed="false" customWidth="true" hidden="false" outlineLevel="0" max="123" min="123" style="0" width="10.58"/>
    <col collapsed="false" customWidth="true" hidden="false" outlineLevel="0" max="124" min="124" style="0" width="10.42"/>
    <col collapsed="false" customWidth="true" hidden="false" outlineLevel="0" max="125" min="125" style="0" width="11.71"/>
    <col collapsed="false" customWidth="true" hidden="false" outlineLevel="0" max="126" min="126" style="0" width="10.85"/>
    <col collapsed="false" customWidth="true" hidden="false" outlineLevel="0" max="127" min="127" style="0" width="11.86"/>
    <col collapsed="false" customWidth="true" hidden="false" outlineLevel="0" max="129" min="128" style="0" width="10.29"/>
    <col collapsed="false" customWidth="true" hidden="false" outlineLevel="0" max="130" min="130" style="0" width="11.42"/>
    <col collapsed="false" customWidth="true" hidden="false" outlineLevel="0" max="131" min="131" style="0" width="13.14"/>
    <col collapsed="false" customWidth="true" hidden="false" outlineLevel="0" max="132" min="132" style="0" width="10.29"/>
    <col collapsed="false" customWidth="true" hidden="false" outlineLevel="0" max="133" min="133" style="0" width="10.71"/>
    <col collapsed="false" customWidth="true" hidden="false" outlineLevel="0" max="134" min="134" style="289" width="10.85"/>
    <col collapsed="false" customWidth="true" hidden="false" outlineLevel="0" max="135" min="135" style="0" width="11.29"/>
    <col collapsed="false" customWidth="true" hidden="false" outlineLevel="0" max="136" min="136" style="0" width="11.14"/>
    <col collapsed="false" customWidth="true" hidden="false" outlineLevel="0" max="137" min="137" style="0" width="12.42"/>
    <col collapsed="false" customWidth="true" hidden="false" outlineLevel="0" max="139" min="138" style="0" width="11.71"/>
    <col collapsed="false" customWidth="true" hidden="false" outlineLevel="0" max="140" min="140" style="0" width="13.14"/>
    <col collapsed="false" customWidth="true" hidden="false" outlineLevel="0" max="141" min="141" style="0" width="11.29"/>
    <col collapsed="false" customWidth="true" hidden="false" outlineLevel="0" max="142" min="142" style="0" width="12.29"/>
    <col collapsed="false" customWidth="true" hidden="false" outlineLevel="0" max="146" min="146" style="0" width="11.29"/>
    <col collapsed="false" customWidth="true" hidden="false" outlineLevel="0" max="147" min="147" style="0" width="11.57"/>
    <col collapsed="false" customWidth="true" hidden="false" outlineLevel="0" max="148" min="148" style="0" width="10.71"/>
    <col collapsed="false" customWidth="true" hidden="false" outlineLevel="0" max="149" min="149" style="0" width="11.29"/>
    <col collapsed="false" customWidth="true" hidden="false" outlineLevel="0" max="151" min="150" style="0" width="10.85"/>
    <col collapsed="false" customWidth="true" hidden="false" outlineLevel="0" max="152" min="152" style="0" width="13.01"/>
    <col collapsed="false" customWidth="true" hidden="false" outlineLevel="0" max="153" min="153" style="0" width="12.57"/>
    <col collapsed="false" customWidth="true" hidden="false" outlineLevel="0" max="154" min="154" style="0" width="13.01"/>
    <col collapsed="false" customWidth="true" hidden="false" outlineLevel="0" max="155" min="155" style="0" width="12.29"/>
    <col collapsed="false" customWidth="true" hidden="false" outlineLevel="0" max="156" min="156" style="0" width="12.14"/>
    <col collapsed="false" customWidth="true" hidden="false" outlineLevel="0" max="157" min="157" style="0" width="10.42"/>
    <col collapsed="false" customWidth="true" hidden="false" outlineLevel="0" max="158" min="158" style="0" width="10.29"/>
    <col collapsed="false" customWidth="true" hidden="false" outlineLevel="0" max="159" min="159" style="0" width="13.29"/>
    <col collapsed="false" customWidth="true" hidden="false" outlineLevel="0" max="160" min="160" style="0" width="10.71"/>
    <col collapsed="false" customWidth="true" hidden="false" outlineLevel="0" max="162" min="161" style="0" width="11.42"/>
    <col collapsed="false" customWidth="true" hidden="false" outlineLevel="0" max="163" min="163" style="0" width="12.14"/>
    <col collapsed="false" customWidth="true" hidden="false" outlineLevel="0" max="164" min="164" style="0" width="10.42"/>
    <col collapsed="false" customWidth="true" hidden="false" outlineLevel="0" max="165" min="165" style="0" width="10.85"/>
    <col collapsed="false" customWidth="true" hidden="false" outlineLevel="0" max="166" min="166" style="0" width="13.29"/>
    <col collapsed="false" customWidth="true" hidden="false" outlineLevel="0" max="167" min="167" style="0" width="13.7"/>
    <col collapsed="false" customWidth="true" hidden="false" outlineLevel="0" max="169" min="168" style="0" width="12.14"/>
    <col collapsed="false" customWidth="true" hidden="false" outlineLevel="0" max="170" min="170" style="289" width="11.57"/>
    <col collapsed="false" customWidth="true" hidden="false" outlineLevel="0" max="171" min="171" style="0" width="11.29"/>
    <col collapsed="false" customWidth="true" hidden="false" outlineLevel="0" max="172" min="172" style="0" width="13.86"/>
    <col collapsed="false" customWidth="true" hidden="false" outlineLevel="0" max="173" min="173" style="0" width="10.58"/>
    <col collapsed="false" customWidth="true" hidden="false" outlineLevel="0" max="174" min="174" style="0" width="11.57"/>
    <col collapsed="false" customWidth="true" hidden="false" outlineLevel="0" max="175" min="175" style="0" width="10.99"/>
    <col collapsed="false" customWidth="true" hidden="false" outlineLevel="0" max="177" min="176" style="0" width="10.71"/>
    <col collapsed="false" customWidth="true" hidden="false" outlineLevel="0" max="178" min="178" style="0" width="9.85"/>
    <col collapsed="false" customWidth="true" hidden="false" outlineLevel="0" max="179" min="179" style="0" width="10.71"/>
    <col collapsed="false" customWidth="true" hidden="false" outlineLevel="0" max="180" min="180" style="0" width="11.29"/>
    <col collapsed="false" customWidth="true" hidden="false" outlineLevel="0" max="181" min="181" style="0" width="10.99"/>
    <col collapsed="false" customWidth="true" hidden="false" outlineLevel="0" max="185" min="185" style="0" width="11.42"/>
    <col collapsed="false" customWidth="true" hidden="false" outlineLevel="0" max="186" min="186" style="0" width="10.58"/>
    <col collapsed="false" customWidth="true" hidden="false" outlineLevel="0" max="189" min="187" style="0" width="10.71"/>
    <col collapsed="false" customWidth="true" hidden="false" outlineLevel="0" max="190" min="190" style="0" width="10.99"/>
    <col collapsed="false" customWidth="true" hidden="false" outlineLevel="0" max="191" min="191" style="0" width="10.42"/>
    <col collapsed="false" customWidth="true" hidden="false" outlineLevel="0" max="192" min="192" style="0" width="10.99"/>
    <col collapsed="false" customWidth="true" hidden="false" outlineLevel="0" max="193" min="193" style="0" width="12.57"/>
    <col collapsed="false" customWidth="true" hidden="false" outlineLevel="0" max="194" min="194" style="0" width="10.99"/>
    <col collapsed="false" customWidth="true" hidden="false" outlineLevel="0" max="195" min="195" style="0" width="11.14"/>
    <col collapsed="false" customWidth="true" hidden="false" outlineLevel="0" max="196" min="196" style="0" width="10.14"/>
    <col collapsed="false" customWidth="true" hidden="false" outlineLevel="0" max="197" min="197" style="0" width="10.71"/>
    <col collapsed="false" customWidth="true" hidden="false" outlineLevel="0" max="198" min="198" style="0" width="10.99"/>
    <col collapsed="false" customWidth="true" hidden="false" outlineLevel="0" max="199" min="199" style="0" width="11.29"/>
    <col collapsed="false" customWidth="true" hidden="false" outlineLevel="0" max="200" min="200" style="0" width="10.29"/>
    <col collapsed="false" customWidth="true" hidden="false" outlineLevel="0" max="201" min="201" style="0" width="9.42"/>
    <col collapsed="false" customWidth="true" hidden="false" outlineLevel="0" max="202" min="202" style="0" width="10.29"/>
    <col collapsed="false" customWidth="true" hidden="false" outlineLevel="0" max="203" min="203" style="0" width="12.14"/>
    <col collapsed="false" customWidth="true" hidden="false" outlineLevel="0" max="204" min="204" style="0" width="11.14"/>
    <col collapsed="false" customWidth="true" hidden="false" outlineLevel="0" max="205" min="205" style="0" width="10.71"/>
    <col collapsed="false" customWidth="true" hidden="false" outlineLevel="0" max="206" min="206" style="289" width="14.28"/>
    <col collapsed="false" customWidth="true" hidden="false" outlineLevel="0" max="207" min="207" style="0" width="10.99"/>
    <col collapsed="false" customWidth="true" hidden="false" outlineLevel="0" max="208" min="208" style="0" width="10.71"/>
    <col collapsed="false" customWidth="true" hidden="false" outlineLevel="0" max="209" min="209" style="0" width="10.42"/>
    <col collapsed="false" customWidth="true" hidden="false" outlineLevel="0" max="211" min="210" style="0" width="10.71"/>
    <col collapsed="false" customWidth="true" hidden="false" outlineLevel="0" max="213" min="212" style="0" width="10.29"/>
    <col collapsed="false" customWidth="true" hidden="false" outlineLevel="0" max="214" min="214" style="0" width="10.42"/>
    <col collapsed="false" customWidth="true" hidden="false" outlineLevel="0" max="215" min="215" style="0" width="10.58"/>
    <col collapsed="false" customWidth="true" hidden="false" outlineLevel="0" max="216" min="216" style="0" width="12.86"/>
    <col collapsed="false" customWidth="true" hidden="false" outlineLevel="0" max="217" min="217" style="0" width="10.42"/>
    <col collapsed="false" customWidth="true" hidden="false" outlineLevel="0" max="218" min="218" style="0" width="11.99"/>
    <col collapsed="false" customWidth="true" hidden="false" outlineLevel="0" max="219" min="219" style="0" width="11.57"/>
    <col collapsed="false" customWidth="true" hidden="false" outlineLevel="0" max="220" min="220" style="0" width="10.29"/>
    <col collapsed="false" customWidth="true" hidden="false" outlineLevel="0" max="224" min="224" style="0" width="10.42"/>
    <col collapsed="false" customWidth="true" hidden="false" outlineLevel="0" max="225" min="225" style="0" width="12.71"/>
    <col collapsed="false" customWidth="true" hidden="false" outlineLevel="0" max="226" min="226" style="0" width="11.42"/>
    <col collapsed="false" customWidth="true" hidden="false" outlineLevel="0" max="228" min="227" style="0" width="10.58"/>
    <col collapsed="false" customWidth="true" hidden="false" outlineLevel="0" max="229" min="229" style="0" width="10.99"/>
    <col collapsed="false" customWidth="true" hidden="false" outlineLevel="0" max="230" min="230" style="0" width="12.14"/>
    <col collapsed="false" customWidth="true" hidden="false" outlineLevel="0" max="234" min="231" style="0" width="11.42"/>
    <col collapsed="false" customWidth="true" hidden="false" outlineLevel="0" max="235" min="235" style="0" width="10.85"/>
    <col collapsed="false" customWidth="true" hidden="false" outlineLevel="0" max="236" min="236" style="0" width="12.29"/>
    <col collapsed="false" customWidth="true" hidden="false" outlineLevel="0" max="237" min="237" style="0" width="10.85"/>
    <col collapsed="false" customWidth="true" hidden="false" outlineLevel="0" max="239" min="238" style="0" width="12.42"/>
    <col collapsed="false" customWidth="true" hidden="false" outlineLevel="0" max="240" min="240" style="0" width="10.29"/>
    <col collapsed="false" customWidth="true" hidden="false" outlineLevel="0" max="241" min="241" style="0" width="12.29"/>
    <col collapsed="false" customWidth="true" hidden="false" outlineLevel="0" max="242" min="242" style="0" width="11.14"/>
    <col collapsed="false" customWidth="true" hidden="false" outlineLevel="0" max="243" min="243" style="0" width="11.57"/>
    <col collapsed="false" customWidth="true" hidden="false" outlineLevel="0" max="244" min="244" style="0" width="10.71"/>
    <col collapsed="false" customWidth="true" hidden="false" outlineLevel="0" max="245" min="245" style="0" width="11.14"/>
    <col collapsed="false" customWidth="true" hidden="false" outlineLevel="0" max="246" min="246" style="0" width="12.86"/>
    <col collapsed="false" customWidth="true" hidden="false" outlineLevel="0" max="247" min="247" style="0" width="10.58"/>
    <col collapsed="false" customWidth="true" hidden="false" outlineLevel="0" max="248" min="248" style="0" width="11.29"/>
    <col collapsed="false" customWidth="true" hidden="false" outlineLevel="0" max="250" min="249" style="0" width="10.58"/>
    <col collapsed="false" customWidth="true" hidden="false" outlineLevel="0" max="251" min="251" style="0" width="12.14"/>
    <col collapsed="false" customWidth="true" hidden="false" outlineLevel="0" max="252" min="252" style="0" width="12.29"/>
    <col collapsed="false" customWidth="true" hidden="false" outlineLevel="0" max="253" min="253" style="0" width="11.42"/>
    <col collapsed="false" customWidth="true" hidden="false" outlineLevel="0" max="254" min="254" style="0" width="13.86"/>
    <col collapsed="false" customWidth="true" hidden="false" outlineLevel="0" max="255" min="255" style="0" width="11.86"/>
    <col collapsed="false" customWidth="true" hidden="false" outlineLevel="0" max="256" min="256" style="0" width="10.85"/>
    <col collapsed="false" customWidth="true" hidden="false" outlineLevel="0" max="257" min="257" style="0" width="11.29"/>
    <col collapsed="false" customWidth="true" hidden="false" outlineLevel="0" max="258" min="258" style="0" width="11.42"/>
    <col collapsed="false" customWidth="true" hidden="false" outlineLevel="0" max="259" min="259" style="0" width="11.71"/>
    <col collapsed="false" customWidth="true" hidden="false" outlineLevel="0" max="263" min="263" style="0" width="11.57"/>
    <col collapsed="false" customWidth="true" hidden="false" outlineLevel="0" max="265" min="265" style="0" width="11.14"/>
    <col collapsed="false" customWidth="true" hidden="false" outlineLevel="0" max="266" min="266" style="0" width="11.42"/>
    <col collapsed="false" customWidth="true" hidden="false" outlineLevel="0" max="267" min="267" style="0" width="10.42"/>
    <col collapsed="false" customWidth="true" hidden="false" outlineLevel="0" max="268" min="268" style="0" width="11.14"/>
    <col collapsed="false" customWidth="true" hidden="false" outlineLevel="0" max="270" min="269" style="0" width="12.86"/>
    <col collapsed="false" customWidth="true" hidden="false" outlineLevel="0" max="271" min="271" style="0" width="11.57"/>
    <col collapsed="false" customWidth="true" hidden="false" outlineLevel="0" max="272" min="272" style="0" width="12.14"/>
    <col collapsed="false" customWidth="true" hidden="false" outlineLevel="0" max="273" min="273" style="0" width="10.42"/>
    <col collapsed="false" customWidth="true" hidden="false" outlineLevel="0" max="274" min="274" style="0" width="12.57"/>
    <col collapsed="false" customWidth="true" hidden="false" outlineLevel="0" max="275" min="275" style="0" width="11.57"/>
    <col collapsed="false" customWidth="true" hidden="false" outlineLevel="0" max="276" min="276" style="0" width="10.14"/>
    <col collapsed="false" customWidth="true" hidden="false" outlineLevel="0" max="277" min="277" style="0" width="12.57"/>
    <col collapsed="false" customWidth="true" hidden="false" outlineLevel="0" max="278" min="278" style="0" width="11.42"/>
    <col collapsed="false" customWidth="true" hidden="false" outlineLevel="0" max="279" min="279" style="0" width="10.14"/>
    <col collapsed="false" customWidth="true" hidden="false" outlineLevel="0" max="280" min="280" style="0" width="10.71"/>
    <col collapsed="false" customWidth="true" hidden="false" outlineLevel="0" max="281" min="281" style="0" width="11.99"/>
    <col collapsed="false" customWidth="true" hidden="false" outlineLevel="0" max="283" min="283" style="0" width="10.71"/>
    <col collapsed="false" customWidth="true" hidden="false" outlineLevel="0" max="284" min="284" style="0" width="11.86"/>
    <col collapsed="false" customWidth="true" hidden="false" outlineLevel="0" max="286" min="286" style="0" width="10.71"/>
    <col collapsed="false" customWidth="true" hidden="false" outlineLevel="0" max="287" min="287" style="0" width="12.29"/>
    <col collapsed="false" customWidth="true" hidden="false" outlineLevel="0" max="289" min="289" style="0" width="10.71"/>
    <col collapsed="false" customWidth="true" hidden="false" outlineLevel="0" max="290" min="290" style="0" width="11.14"/>
    <col collapsed="false" customWidth="true" hidden="false" outlineLevel="0" max="292" min="292" style="0" width="10.99"/>
    <col collapsed="false" customWidth="true" hidden="false" outlineLevel="0" max="293" min="293" style="0" width="11.99"/>
    <col collapsed="false" customWidth="true" hidden="false" outlineLevel="0" max="295" min="295" style="0" width="10.58"/>
    <col collapsed="false" customWidth="true" hidden="false" outlineLevel="0" max="296" min="296" style="0" width="12.14"/>
    <col collapsed="false" customWidth="true" hidden="false" outlineLevel="0" max="298" min="298" style="0" width="12.71"/>
    <col collapsed="false" customWidth="true" hidden="false" outlineLevel="0" max="303" min="302" style="0" width="11.86"/>
    <col collapsed="false" customWidth="true" hidden="false" outlineLevel="0" max="304" min="304" style="0" width="15.29"/>
    <col collapsed="false" customWidth="true" hidden="false" outlineLevel="0" max="305" min="305" style="0" width="11.57"/>
    <col collapsed="false" customWidth="true" hidden="false" outlineLevel="0" max="307" min="307" style="0" width="11.14"/>
    <col collapsed="false" customWidth="true" hidden="false" outlineLevel="0" max="308" min="308" style="0" width="11.86"/>
    <col collapsed="false" customWidth="true" hidden="false" outlineLevel="0" max="310" min="310" style="0" width="11.14"/>
    <col collapsed="false" customWidth="true" hidden="false" outlineLevel="0" max="311" min="311" style="0" width="13.86"/>
    <col collapsed="false" customWidth="true" hidden="false" outlineLevel="0" max="313" min="313" style="0" width="10.58"/>
    <col collapsed="false" customWidth="true" hidden="false" outlineLevel="0" max="314" min="314" style="0" width="13.01"/>
    <col collapsed="false" customWidth="true" hidden="false" outlineLevel="0" max="316" min="316" style="0" width="10.85"/>
    <col collapsed="false" customWidth="true" hidden="false" outlineLevel="0" max="317" min="317" style="0" width="12.29"/>
    <col collapsed="false" customWidth="true" hidden="false" outlineLevel="0" max="319" min="319" style="0" width="10.58"/>
    <col collapsed="false" customWidth="true" hidden="false" outlineLevel="0" max="320" min="320" style="0" width="11.57"/>
    <col collapsed="false" customWidth="true" hidden="false" outlineLevel="0" max="321" min="321" style="0" width="10.71"/>
    <col collapsed="false" customWidth="true" hidden="false" outlineLevel="0" max="322" min="322" style="0" width="11.29"/>
    <col collapsed="false" customWidth="true" hidden="false" outlineLevel="0" max="325" min="325" style="0" width="12.71"/>
    <col collapsed="false" customWidth="true" hidden="false" outlineLevel="0" max="328" min="328" style="0" width="11.99"/>
    <col collapsed="false" customWidth="true" hidden="false" outlineLevel="0" max="331" min="331" style="0" width="12.57"/>
    <col collapsed="false" customWidth="true" hidden="false" outlineLevel="0" max="334" min="334" style="0" width="11.42"/>
    <col collapsed="false" customWidth="true" hidden="false" outlineLevel="0" max="337" min="337" style="0" width="9.85"/>
    <col collapsed="false" customWidth="true" hidden="false" outlineLevel="0" max="343" min="343" style="0" width="10.58"/>
    <col collapsed="false" customWidth="true" hidden="false" outlineLevel="0" max="346" min="346" style="0" width="10.71"/>
    <col collapsed="false" customWidth="true" hidden="false" outlineLevel="0" max="349" min="349" style="0" width="9.85"/>
    <col collapsed="false" customWidth="true" hidden="false" outlineLevel="0" max="352" min="352" style="0" width="10.14"/>
    <col collapsed="false" customWidth="true" hidden="false" outlineLevel="0" max="355" min="355" style="0" width="9.85"/>
    <col collapsed="false" customWidth="true" hidden="false" outlineLevel="0" max="358" min="358" style="0" width="10.58"/>
    <col collapsed="false" customWidth="true" hidden="false" outlineLevel="0" max="361" min="361" style="0" width="10.14"/>
    <col collapsed="false" customWidth="true" hidden="false" outlineLevel="0" max="364" min="364" style="0" width="9.85"/>
    <col collapsed="false" customWidth="true" hidden="false" outlineLevel="0" max="367" min="367" style="0" width="11.14"/>
    <col collapsed="false" customWidth="true" hidden="false" outlineLevel="0" max="370" min="370" style="0" width="10.29"/>
    <col collapsed="false" customWidth="true" hidden="false" outlineLevel="0" max="373" min="373" style="0" width="10.14"/>
    <col collapsed="false" customWidth="true" hidden="false" outlineLevel="0" max="376" min="376" style="0" width="10.42"/>
    <col collapsed="false" customWidth="true" hidden="false" outlineLevel="0" max="382" min="382" style="0" width="9.85"/>
    <col collapsed="false" customWidth="true" hidden="false" outlineLevel="0" max="385" min="385" style="0" width="10.29"/>
    <col collapsed="false" customWidth="true" hidden="false" outlineLevel="0" max="388" min="388" style="0" width="10.42"/>
    <col collapsed="false" customWidth="true" hidden="false" outlineLevel="0" max="391" min="391" style="0" width="10"/>
    <col collapsed="false" customWidth="true" hidden="false" outlineLevel="0" max="394" min="394" style="0" width="12.14"/>
    <col collapsed="false" customWidth="true" hidden="false" outlineLevel="0" max="397" min="397" style="0" width="10.71"/>
    <col collapsed="false" customWidth="true" hidden="false" outlineLevel="0" max="400" min="400" style="0" width="10.85"/>
    <col collapsed="false" customWidth="true" hidden="false" outlineLevel="0" max="403" min="403" style="0" width="11.42"/>
    <col collapsed="false" customWidth="true" hidden="false" outlineLevel="0" max="406" min="406" style="0" width="11.29"/>
    <col collapsed="false" customWidth="true" hidden="false" outlineLevel="0" max="409" min="409" style="0" width="12.42"/>
    <col collapsed="false" customWidth="true" hidden="false" outlineLevel="0" max="412" min="412" style="0" width="10.58"/>
    <col collapsed="false" customWidth="true" hidden="false" outlineLevel="0" max="415" min="415" style="0" width="10"/>
    <col collapsed="false" customWidth="true" hidden="false" outlineLevel="0" max="421" min="421" style="0" width="10.42"/>
    <col collapsed="false" customWidth="true" hidden="false" outlineLevel="0" max="424" min="424" style="0" width="10.85"/>
    <col collapsed="false" customWidth="true" hidden="false" outlineLevel="0" max="427" min="427" style="0" width="11.86"/>
    <col collapsed="false" customWidth="true" hidden="false" outlineLevel="0" max="430" min="430" style="0" width="10.71"/>
    <col collapsed="false" customWidth="true" hidden="false" outlineLevel="0" max="433" min="433" style="0" width="10.71"/>
    <col collapsed="false" customWidth="true" hidden="false" outlineLevel="0" max="436" min="436" style="0" width="11.99"/>
    <col collapsed="false" customWidth="true" hidden="false" outlineLevel="0" max="439" min="439" style="0" width="11.42"/>
    <col collapsed="false" customWidth="true" hidden="false" outlineLevel="0" max="442" min="442" style="0" width="10.99"/>
    <col collapsed="false" customWidth="true" hidden="false" outlineLevel="0" max="445" min="445" style="0" width="11.14"/>
    <col collapsed="false" customWidth="true" hidden="false" outlineLevel="0" max="448" min="448" style="0" width="11.99"/>
    <col collapsed="false" customWidth="true" hidden="false" outlineLevel="0" max="451" min="451" style="0" width="14.15"/>
    <col collapsed="false" customWidth="true" hidden="false" outlineLevel="0" max="454" min="454" style="0" width="12.42"/>
    <col collapsed="false" customWidth="true" hidden="false" outlineLevel="0" max="460" min="460" style="0" width="9.71"/>
    <col collapsed="false" customWidth="true" hidden="false" outlineLevel="0" max="463" min="463" style="0" width="10.42"/>
    <col collapsed="false" customWidth="true" hidden="false" outlineLevel="0" max="466" min="466" style="0" width="10.42"/>
    <col collapsed="false" customWidth="true" hidden="false" outlineLevel="0" max="469" min="469" style="0" width="10.14"/>
    <col collapsed="false" customWidth="true" hidden="false" outlineLevel="0" max="472" min="472" style="0" width="9.58"/>
    <col collapsed="false" customWidth="true" hidden="false" outlineLevel="0" max="475" min="475" style="0" width="9.58"/>
    <col collapsed="false" customWidth="true" hidden="false" outlineLevel="0" max="478" min="478" style="0" width="9.71"/>
    <col collapsed="false" customWidth="true" hidden="false" outlineLevel="0" max="481" min="481" style="0" width="10"/>
    <col collapsed="false" customWidth="true" hidden="false" outlineLevel="0" max="483" min="483" style="0" width="10.58"/>
    <col collapsed="false" customWidth="true" hidden="false" outlineLevel="0" max="484" min="484" style="0" width="10.42"/>
    <col collapsed="false" customWidth="true" hidden="false" outlineLevel="0" max="487" min="487" style="0" width="10.71"/>
  </cols>
  <sheetData>
    <row r="1" customFormat="false" ht="6" hidden="false" customHeight="true" outlineLevel="0" collapsed="false"/>
    <row r="2" customFormat="false" ht="12.75" hidden="false" customHeight="false" outlineLevel="0" collapsed="false">
      <c r="F2" s="0" t="n">
        <v>11.2</v>
      </c>
      <c r="K2" s="48" t="s">
        <v>4113</v>
      </c>
      <c r="L2" s="48"/>
      <c r="N2" s="48" t="s">
        <v>4114</v>
      </c>
      <c r="O2" s="48"/>
      <c r="Q2" s="48" t="s">
        <v>4115</v>
      </c>
      <c r="R2" s="48"/>
      <c r="T2" s="48" t="s">
        <v>4116</v>
      </c>
      <c r="U2" s="48"/>
      <c r="W2" s="48" t="s">
        <v>4117</v>
      </c>
      <c r="X2" s="48"/>
      <c r="AC2" s="48" t="s">
        <v>4118</v>
      </c>
      <c r="AD2" s="48"/>
      <c r="AF2" s="48" t="s">
        <v>4119</v>
      </c>
      <c r="AG2" s="48"/>
      <c r="AI2" s="48" t="s">
        <v>4120</v>
      </c>
      <c r="AJ2" s="48"/>
      <c r="AL2" s="48" t="s">
        <v>4121</v>
      </c>
      <c r="AM2" s="48"/>
      <c r="AO2" s="48" t="s">
        <v>4122</v>
      </c>
      <c r="AP2" s="48"/>
      <c r="AR2" s="48" t="s">
        <v>4123</v>
      </c>
      <c r="AS2" s="48"/>
      <c r="AU2" s="48" t="s">
        <v>4124</v>
      </c>
      <c r="AV2" s="48"/>
      <c r="AX2" s="48" t="s">
        <v>4125</v>
      </c>
      <c r="AY2" s="48"/>
      <c r="BA2" s="48" t="s">
        <v>4126</v>
      </c>
      <c r="BB2" s="48"/>
      <c r="BD2" s="48" t="s">
        <v>4127</v>
      </c>
      <c r="BE2" s="48"/>
      <c r="BG2" s="48" t="s">
        <v>4128</v>
      </c>
      <c r="BH2" s="48"/>
      <c r="BJ2" s="48" t="s">
        <v>4129</v>
      </c>
      <c r="BK2" s="48"/>
      <c r="BP2" s="48" t="s">
        <v>4130</v>
      </c>
      <c r="BQ2" s="48"/>
      <c r="BS2" s="48" t="s">
        <v>4131</v>
      </c>
      <c r="BT2" s="48"/>
      <c r="BV2" s="48" t="s">
        <v>4132</v>
      </c>
      <c r="BW2" s="48"/>
      <c r="BY2" s="48" t="s">
        <v>4133</v>
      </c>
      <c r="BZ2" s="48"/>
      <c r="CB2" s="48" t="s">
        <v>4134</v>
      </c>
      <c r="CC2" s="48"/>
      <c r="CE2" s="48" t="s">
        <v>4135</v>
      </c>
      <c r="CF2" s="48"/>
      <c r="CH2" s="48" t="s">
        <v>4136</v>
      </c>
      <c r="CI2" s="48"/>
      <c r="CK2" s="48" t="s">
        <v>4137</v>
      </c>
      <c r="CL2" s="48"/>
      <c r="CN2" s="48" t="s">
        <v>4138</v>
      </c>
      <c r="CO2" s="48"/>
      <c r="CQ2" s="48" t="s">
        <v>4139</v>
      </c>
      <c r="CR2" s="48"/>
      <c r="CT2" s="48" t="s">
        <v>4140</v>
      </c>
      <c r="CU2" s="48"/>
      <c r="CW2" s="48" t="s">
        <v>4141</v>
      </c>
      <c r="CX2" s="48"/>
      <c r="DC2" s="48" t="s">
        <v>4142</v>
      </c>
      <c r="DD2" s="48"/>
      <c r="DF2" s="48" t="s">
        <v>4143</v>
      </c>
      <c r="DG2" s="48"/>
      <c r="DI2" s="48" t="s">
        <v>4144</v>
      </c>
      <c r="DJ2" s="48"/>
      <c r="DL2" s="48" t="s">
        <v>4144</v>
      </c>
      <c r="DM2" s="48"/>
      <c r="DO2" s="48" t="s">
        <v>4145</v>
      </c>
      <c r="DP2" s="48"/>
      <c r="DR2" s="48" t="s">
        <v>4146</v>
      </c>
      <c r="DS2" s="48"/>
      <c r="DU2" s="48" t="s">
        <v>4147</v>
      </c>
      <c r="DV2" s="48"/>
      <c r="DX2" s="48" t="s">
        <v>4148</v>
      </c>
      <c r="DY2" s="48"/>
      <c r="EA2" s="290" t="n">
        <v>42996</v>
      </c>
      <c r="EB2" s="290"/>
      <c r="ED2" s="290" t="n">
        <v>43028</v>
      </c>
      <c r="EE2" s="290"/>
      <c r="EG2" s="290" t="n">
        <v>42998</v>
      </c>
      <c r="EH2" s="290"/>
      <c r="EJ2" s="290" t="n">
        <v>43088</v>
      </c>
      <c r="EK2" s="290"/>
      <c r="EP2" s="290" t="n">
        <v>43118</v>
      </c>
      <c r="EQ2" s="290"/>
      <c r="ES2" s="290" t="n">
        <v>43150</v>
      </c>
      <c r="ET2" s="290"/>
      <c r="EV2" s="290" t="n">
        <v>43179</v>
      </c>
      <c r="EW2" s="290"/>
      <c r="EY2" s="290" t="n">
        <v>43209</v>
      </c>
      <c r="EZ2" s="290"/>
      <c r="FB2" s="290" t="n">
        <v>43238</v>
      </c>
      <c r="FC2" s="290"/>
      <c r="FE2" s="290" t="n">
        <v>43270</v>
      </c>
      <c r="FF2" s="290"/>
      <c r="FH2" s="290" t="n">
        <v>43298</v>
      </c>
      <c r="FI2" s="290"/>
      <c r="FK2" s="290" t="n">
        <v>43333</v>
      </c>
      <c r="FL2" s="290"/>
      <c r="FN2" s="290" t="n">
        <v>43362</v>
      </c>
      <c r="FO2" s="290"/>
      <c r="FQ2" s="290" t="n">
        <v>43392</v>
      </c>
      <c r="FR2" s="290"/>
      <c r="FT2" s="290" t="n">
        <v>43426</v>
      </c>
      <c r="FU2" s="290"/>
      <c r="FW2" s="290" t="n">
        <v>43452</v>
      </c>
      <c r="FX2" s="290"/>
      <c r="GC2" s="290" t="n">
        <v>43486</v>
      </c>
      <c r="GD2" s="290"/>
      <c r="GF2" s="290" t="n">
        <v>43515</v>
      </c>
      <c r="GG2" s="290"/>
    </row>
    <row r="3" customFormat="false" ht="12.75" hidden="false" customHeight="false" outlineLevel="0" collapsed="false">
      <c r="K3" s="64" t="s">
        <v>4149</v>
      </c>
      <c r="L3" s="43" t="n">
        <v>17.502549</v>
      </c>
      <c r="N3" s="64" t="s">
        <v>4149</v>
      </c>
      <c r="O3" s="43" t="n">
        <v>18.25</v>
      </c>
      <c r="Q3" s="64" t="s">
        <v>4149</v>
      </c>
      <c r="R3" s="43" t="n">
        <v>16.60728</v>
      </c>
      <c r="T3" s="64" t="s">
        <v>4149</v>
      </c>
      <c r="U3" s="43" t="n">
        <v>19.021418</v>
      </c>
      <c r="W3" s="88" t="s">
        <v>4149</v>
      </c>
      <c r="X3" s="43" t="n">
        <v>19.782016</v>
      </c>
      <c r="AC3" s="88" t="s">
        <v>4149</v>
      </c>
      <c r="AD3" s="43" t="n">
        <v>18.49626</v>
      </c>
      <c r="AF3" s="88" t="s">
        <v>4149</v>
      </c>
      <c r="AG3" s="43" t="n">
        <v>31.111509</v>
      </c>
      <c r="AI3" s="88" t="s">
        <v>4149</v>
      </c>
      <c r="AJ3" s="43" t="n">
        <v>23.486016</v>
      </c>
      <c r="AL3" s="88" t="s">
        <v>4149</v>
      </c>
      <c r="AM3" s="43" t="n">
        <v>22.771747</v>
      </c>
      <c r="AO3" s="88" t="s">
        <v>4149</v>
      </c>
      <c r="AP3" s="43" t="n">
        <v>23.760384</v>
      </c>
      <c r="AR3" s="88" t="s">
        <v>4149</v>
      </c>
      <c r="AS3" s="43" t="n">
        <v>24.323767</v>
      </c>
      <c r="AU3" s="88" t="s">
        <v>4149</v>
      </c>
      <c r="AV3" s="43" t="n">
        <v>23.972051</v>
      </c>
      <c r="AX3" s="88" t="s">
        <v>4149</v>
      </c>
      <c r="AY3" s="43" t="n">
        <v>24.440878</v>
      </c>
      <c r="BA3" s="88" t="s">
        <v>4149</v>
      </c>
      <c r="BB3" s="43" t="n">
        <v>24.431763</v>
      </c>
      <c r="BD3" s="88" t="s">
        <v>4149</v>
      </c>
      <c r="BE3" s="0" t="n">
        <v>24.499154</v>
      </c>
      <c r="BG3" s="88" t="s">
        <v>4149</v>
      </c>
      <c r="BH3" s="0" t="n">
        <v>24.499154</v>
      </c>
      <c r="BJ3" s="88" t="s">
        <v>4149</v>
      </c>
      <c r="BK3" s="0" t="n">
        <v>24.499154</v>
      </c>
      <c r="BP3" s="88" t="s">
        <v>4149</v>
      </c>
      <c r="BQ3" s="0" t="n">
        <v>26.834749</v>
      </c>
      <c r="BS3" s="88" t="s">
        <v>4149</v>
      </c>
      <c r="BT3" s="0" t="n">
        <v>29.330761</v>
      </c>
      <c r="BV3" s="88" t="s">
        <v>4149</v>
      </c>
      <c r="BW3" s="0" t="n">
        <v>30.200342</v>
      </c>
      <c r="BY3" s="88" t="s">
        <v>4149</v>
      </c>
      <c r="BZ3" s="0" t="n">
        <v>28.915592</v>
      </c>
      <c r="CB3" s="88" t="s">
        <v>4149</v>
      </c>
      <c r="CC3" s="0" t="n">
        <v>28.604464</v>
      </c>
      <c r="CE3" s="88" t="s">
        <v>4149</v>
      </c>
      <c r="CF3" s="0" t="n">
        <v>27.828447</v>
      </c>
      <c r="CH3" s="88" t="s">
        <v>4149</v>
      </c>
      <c r="CI3" s="0" t="n">
        <v>27.325011</v>
      </c>
      <c r="CK3" s="88" t="s">
        <v>4149</v>
      </c>
      <c r="CL3" s="0" t="n">
        <v>28.61224</v>
      </c>
      <c r="CN3" s="88" t="s">
        <v>4149</v>
      </c>
      <c r="CO3" s="0" t="n">
        <v>28.860901</v>
      </c>
      <c r="CQ3" s="88" t="s">
        <v>4149</v>
      </c>
      <c r="CR3" s="0" t="n">
        <v>28.21139</v>
      </c>
      <c r="CT3" s="88" t="s">
        <v>4149</v>
      </c>
      <c r="CU3" s="0" t="n">
        <v>27.92147</v>
      </c>
      <c r="CW3" s="88" t="s">
        <v>4149</v>
      </c>
      <c r="CX3" s="0" t="n">
        <v>27.541042</v>
      </c>
      <c r="DC3" s="88" t="s">
        <v>4149</v>
      </c>
      <c r="DD3" s="64" t="n">
        <v>29.51967</v>
      </c>
      <c r="DF3" s="88" t="s">
        <v>4149</v>
      </c>
      <c r="DG3" s="64" t="n">
        <v>28.690057</v>
      </c>
      <c r="DI3" s="88" t="s">
        <v>4149</v>
      </c>
      <c r="DJ3" s="64" t="n">
        <v>28.892477</v>
      </c>
      <c r="DL3" s="88" t="s">
        <v>4149</v>
      </c>
      <c r="DM3" s="64" t="n">
        <v>28.729145</v>
      </c>
      <c r="DO3" s="88" t="s">
        <v>4149</v>
      </c>
      <c r="DP3" s="64" t="n">
        <v>29.368275</v>
      </c>
      <c r="DR3" s="88" t="s">
        <v>4149</v>
      </c>
      <c r="DS3" s="64" t="n">
        <v>29.143299</v>
      </c>
      <c r="DU3" s="88" t="s">
        <v>4149</v>
      </c>
      <c r="DV3" s="64" t="n">
        <v>29.921364</v>
      </c>
      <c r="DX3" s="88" t="s">
        <v>4149</v>
      </c>
      <c r="DY3" s="64" t="n">
        <v>29.925731</v>
      </c>
      <c r="EA3" s="88" t="s">
        <v>4149</v>
      </c>
      <c r="EB3" s="64" t="n">
        <v>31.372233</v>
      </c>
      <c r="ED3" s="88" t="s">
        <v>4149</v>
      </c>
      <c r="EE3" s="64" t="n">
        <v>31.360041</v>
      </c>
      <c r="EG3" s="88" t="s">
        <v>4149</v>
      </c>
      <c r="EH3" s="64" t="n">
        <v>31.255673</v>
      </c>
      <c r="EJ3" s="88" t="s">
        <v>4149</v>
      </c>
      <c r="EK3" s="64" t="n">
        <v>32.876952</v>
      </c>
      <c r="EP3" s="88" t="s">
        <v>4149</v>
      </c>
      <c r="EQ3" s="64" t="n">
        <v>34.981281</v>
      </c>
      <c r="ES3" s="88" t="s">
        <v>4149</v>
      </c>
      <c r="ET3" s="64" t="n">
        <v>33.641444</v>
      </c>
      <c r="EV3" s="88" t="s">
        <v>4149</v>
      </c>
      <c r="EW3" s="291" t="n">
        <v>32.4179745</v>
      </c>
      <c r="EY3" s="88" t="s">
        <v>4149</v>
      </c>
      <c r="EZ3" s="291" t="n">
        <v>32.39186</v>
      </c>
      <c r="FB3" s="88" t="s">
        <v>4149</v>
      </c>
      <c r="FC3" s="43" t="n">
        <v>30.915895</v>
      </c>
      <c r="FE3" s="88" t="s">
        <v>4149</v>
      </c>
      <c r="FF3" s="43" t="n">
        <v>30.575853</v>
      </c>
      <c r="FH3" s="88" t="s">
        <v>4149</v>
      </c>
      <c r="FI3" s="43" t="n">
        <v>30.714414</v>
      </c>
      <c r="FK3" s="88" t="s">
        <v>4149</v>
      </c>
      <c r="FL3" s="43" t="n">
        <v>31.461396</v>
      </c>
      <c r="FN3" s="88" t="s">
        <v>4149</v>
      </c>
      <c r="FO3" s="0" t="n">
        <v>32.928233</v>
      </c>
      <c r="FQ3" s="88" t="s">
        <v>4149</v>
      </c>
      <c r="FR3" s="0" t="n">
        <v>32.256162</v>
      </c>
      <c r="FT3" s="88" t="s">
        <v>4149</v>
      </c>
      <c r="FU3" s="0" t="n">
        <v>31.709122</v>
      </c>
      <c r="FW3" s="88" t="s">
        <v>4149</v>
      </c>
      <c r="FX3" s="0" t="n">
        <v>31.625606</v>
      </c>
      <c r="GC3" s="88" t="s">
        <v>4149</v>
      </c>
      <c r="GD3" s="0" t="n">
        <v>31.947101</v>
      </c>
      <c r="GF3" s="88" t="s">
        <v>4149</v>
      </c>
      <c r="GG3" s="0" t="n">
        <v>30.796203</v>
      </c>
    </row>
    <row r="4" customFormat="false" ht="12.75" hidden="false" customHeight="false" outlineLevel="0" collapsed="false">
      <c r="K4" s="64" t="s">
        <v>4150</v>
      </c>
      <c r="L4" s="43" t="n">
        <v>13.135491</v>
      </c>
      <c r="N4" s="64" t="s">
        <v>4150</v>
      </c>
      <c r="O4" s="43" t="n">
        <v>14.08</v>
      </c>
      <c r="Q4" s="64" t="s">
        <v>4150</v>
      </c>
      <c r="R4" s="43" t="n">
        <v>12.95122</v>
      </c>
      <c r="T4" s="64" t="s">
        <v>4150</v>
      </c>
      <c r="U4" s="43" t="n">
        <v>15.26018</v>
      </c>
      <c r="W4" s="88" t="s">
        <v>4150</v>
      </c>
      <c r="X4" s="43" t="n">
        <v>15.778907</v>
      </c>
      <c r="AC4" s="88" t="s">
        <v>4150</v>
      </c>
      <c r="AD4" s="43" t="n">
        <v>16.205</v>
      </c>
      <c r="AF4" s="88" t="s">
        <v>4150</v>
      </c>
      <c r="AG4" s="43" t="n">
        <v>27.357992</v>
      </c>
      <c r="AI4" s="88" t="s">
        <v>4150</v>
      </c>
      <c r="AJ4" s="43" t="n">
        <v>27.357992</v>
      </c>
      <c r="AL4" s="88" t="s">
        <v>4150</v>
      </c>
      <c r="AM4" s="43" t="n">
        <v>21.057654</v>
      </c>
      <c r="AO4" s="88" t="s">
        <v>4150</v>
      </c>
      <c r="AP4" s="43" t="n">
        <v>20.678827</v>
      </c>
      <c r="AR4" s="88" t="s">
        <v>4150</v>
      </c>
      <c r="AS4" s="43" t="n">
        <v>20.678827</v>
      </c>
      <c r="AU4" s="88" t="s">
        <v>4150</v>
      </c>
      <c r="AV4" s="0" t="n">
        <v>22.014924</v>
      </c>
      <c r="AX4" s="88" t="s">
        <v>4150</v>
      </c>
      <c r="AY4" s="0" t="n">
        <v>22.018809</v>
      </c>
      <c r="BA4" s="88" t="s">
        <v>4150</v>
      </c>
      <c r="BB4" s="292" t="n">
        <v>21.598093</v>
      </c>
      <c r="BD4" s="88" t="s">
        <v>4150</v>
      </c>
      <c r="BE4" s="292" t="n">
        <v>21.598093</v>
      </c>
      <c r="BG4" s="88" t="s">
        <v>4150</v>
      </c>
      <c r="BH4" s="292" t="n">
        <v>23.923585</v>
      </c>
      <c r="BJ4" s="88" t="s">
        <v>4150</v>
      </c>
      <c r="BK4" s="64" t="n">
        <v>23.519276</v>
      </c>
      <c r="BP4" s="88" t="s">
        <v>4150</v>
      </c>
      <c r="BQ4" s="64" t="n">
        <v>24.637118</v>
      </c>
      <c r="BS4" s="88" t="s">
        <v>4150</v>
      </c>
      <c r="BT4" s="64" t="n">
        <v>26.462253</v>
      </c>
      <c r="BV4" s="88" t="s">
        <v>4150</v>
      </c>
      <c r="BW4" s="64" t="n">
        <v>26.699975</v>
      </c>
      <c r="BY4" s="88" t="s">
        <v>4150</v>
      </c>
      <c r="BZ4" s="293" t="n">
        <v>25.411365</v>
      </c>
      <c r="CB4" s="88" t="s">
        <v>4150</v>
      </c>
      <c r="CC4" s="293" t="n">
        <v>25.273426</v>
      </c>
      <c r="CE4" s="88" t="s">
        <v>4150</v>
      </c>
      <c r="CF4" s="293" t="n">
        <v>24.904642</v>
      </c>
      <c r="CH4" s="88" t="s">
        <v>4150</v>
      </c>
      <c r="CI4" s="293" t="n">
        <v>24.811596</v>
      </c>
      <c r="CK4" s="88" t="s">
        <v>4150</v>
      </c>
      <c r="CL4" s="293" t="n">
        <v>25.26244</v>
      </c>
      <c r="CN4" s="88" t="s">
        <v>4150</v>
      </c>
      <c r="CO4" s="293" t="n">
        <v>25.805527</v>
      </c>
      <c r="CQ4" s="88" t="s">
        <v>4150</v>
      </c>
      <c r="CR4" s="293" t="n">
        <v>25.663049</v>
      </c>
      <c r="CT4" s="88" t="s">
        <v>4150</v>
      </c>
      <c r="CU4" s="293" t="n">
        <v>26.053438</v>
      </c>
      <c r="CW4" s="88" t="s">
        <v>4150</v>
      </c>
      <c r="CX4" s="293" t="n">
        <v>26.470481</v>
      </c>
      <c r="DC4" s="88" t="s">
        <v>4150</v>
      </c>
      <c r="DD4" s="64" t="n">
        <v>27.629792</v>
      </c>
      <c r="DF4" s="88" t="s">
        <v>4150</v>
      </c>
      <c r="DG4" s="64" t="n">
        <v>27.025299</v>
      </c>
      <c r="DI4" s="88" t="s">
        <v>4150</v>
      </c>
      <c r="DJ4" s="64" t="n">
        <v>26.97901</v>
      </c>
      <c r="DL4" s="88" t="s">
        <v>4150</v>
      </c>
      <c r="DM4" s="64" t="n">
        <v>28.615785</v>
      </c>
      <c r="DO4" s="88" t="s">
        <v>4150</v>
      </c>
      <c r="DP4" s="293" t="n">
        <v>26.417449</v>
      </c>
      <c r="DR4" s="88" t="s">
        <v>4150</v>
      </c>
      <c r="DS4" s="293" t="n">
        <v>26.023126</v>
      </c>
      <c r="DU4" s="88" t="s">
        <v>4150</v>
      </c>
      <c r="DV4" s="293" t="n">
        <v>25.944129</v>
      </c>
      <c r="DX4" s="88" t="s">
        <v>4150</v>
      </c>
      <c r="DY4" s="293" t="n">
        <v>25.490401</v>
      </c>
      <c r="EA4" s="88" t="s">
        <v>4150</v>
      </c>
      <c r="EB4" s="293" t="n">
        <v>26.224386</v>
      </c>
      <c r="ED4" s="88" t="s">
        <v>4150</v>
      </c>
      <c r="EE4" s="43" t="n">
        <v>26.499955</v>
      </c>
      <c r="EG4" s="88" t="s">
        <v>4150</v>
      </c>
      <c r="EH4" s="43" t="n">
        <v>26.499955</v>
      </c>
      <c r="EJ4" s="88" t="s">
        <v>4150</v>
      </c>
      <c r="EK4" s="43" t="n">
        <v>27.873635</v>
      </c>
      <c r="EP4" s="88" t="s">
        <v>4150</v>
      </c>
      <c r="EQ4" s="43" t="n">
        <v>28.666132</v>
      </c>
      <c r="ES4" s="88" t="s">
        <v>4150</v>
      </c>
      <c r="ET4" s="43" t="n">
        <v>26.990889</v>
      </c>
      <c r="EV4" s="88" t="s">
        <v>4150</v>
      </c>
      <c r="EW4" s="43" t="n">
        <v>26.436044</v>
      </c>
      <c r="EY4" s="88" t="s">
        <v>4150</v>
      </c>
      <c r="EZ4" s="43" t="n">
        <v>26.082873</v>
      </c>
      <c r="FB4" s="88" t="s">
        <v>4150</v>
      </c>
      <c r="FC4" s="43" t="n">
        <v>26.188814</v>
      </c>
      <c r="FE4" s="88" t="s">
        <v>4150</v>
      </c>
      <c r="FF4" s="43" t="n">
        <v>26.328987</v>
      </c>
      <c r="FH4" s="88" t="s">
        <v>4150</v>
      </c>
      <c r="FI4" s="43" t="n">
        <v>26.206838</v>
      </c>
      <c r="FK4" s="88" t="s">
        <v>4150</v>
      </c>
      <c r="FL4" s="43" t="n">
        <v>27.670533</v>
      </c>
      <c r="FN4" s="88" t="s">
        <v>4150</v>
      </c>
      <c r="FO4" s="43" t="n">
        <v>28.151007</v>
      </c>
      <c r="FQ4" s="88" t="s">
        <v>4150</v>
      </c>
      <c r="FR4" s="43" t="n">
        <v>28.036647</v>
      </c>
      <c r="FT4" s="88" t="s">
        <v>4150</v>
      </c>
      <c r="FU4" s="43" t="n">
        <v>27.763875</v>
      </c>
      <c r="FW4" s="88" t="s">
        <v>4150</v>
      </c>
      <c r="FX4" s="43" t="n">
        <v>27.886082</v>
      </c>
      <c r="GC4" s="88" t="s">
        <v>4150</v>
      </c>
      <c r="GD4" s="43" t="n">
        <v>28.033609</v>
      </c>
      <c r="GF4" s="88" t="s">
        <v>4150</v>
      </c>
      <c r="GG4" s="43" t="n">
        <v>27.185914</v>
      </c>
    </row>
    <row r="5" customFormat="false" ht="12.75" hidden="false" customHeight="false" outlineLevel="0" collapsed="false">
      <c r="A5" s="0" t="s">
        <v>4151</v>
      </c>
      <c r="K5" s="48" t="s">
        <v>4152</v>
      </c>
      <c r="L5" s="48"/>
      <c r="N5" s="48" t="s">
        <v>4153</v>
      </c>
      <c r="O5" s="48"/>
      <c r="Q5" s="48" t="s">
        <v>4154</v>
      </c>
      <c r="R5" s="48"/>
      <c r="T5" s="48" t="s">
        <v>4155</v>
      </c>
      <c r="U5" s="48"/>
      <c r="W5" s="48" t="s">
        <v>4156</v>
      </c>
      <c r="X5" s="48"/>
      <c r="AC5" s="48" t="s">
        <v>4157</v>
      </c>
      <c r="AD5" s="48"/>
      <c r="AF5" s="48" t="s">
        <v>4158</v>
      </c>
      <c r="AG5" s="48"/>
      <c r="AI5" s="48" t="s">
        <v>4159</v>
      </c>
      <c r="AJ5" s="48"/>
      <c r="AL5" s="48" t="s">
        <v>4121</v>
      </c>
      <c r="AM5" s="48"/>
      <c r="AO5" s="48" t="s">
        <v>4122</v>
      </c>
      <c r="AP5" s="48"/>
      <c r="AR5" s="48" t="s">
        <v>4123</v>
      </c>
      <c r="AS5" s="48"/>
      <c r="AU5" s="48" t="s">
        <v>4124</v>
      </c>
      <c r="AV5" s="48"/>
      <c r="AX5" s="48" t="s">
        <v>4125</v>
      </c>
      <c r="AY5" s="48"/>
      <c r="BA5" s="48" t="s">
        <v>4126</v>
      </c>
      <c r="BB5" s="48"/>
      <c r="BD5" s="48" t="s">
        <v>4127</v>
      </c>
      <c r="BE5" s="48"/>
      <c r="BG5" s="48" t="s">
        <v>4160</v>
      </c>
      <c r="BH5" s="48"/>
      <c r="BJ5" s="48" t="s">
        <v>4129</v>
      </c>
      <c r="BK5" s="48"/>
      <c r="BP5" s="48" t="s">
        <v>4130</v>
      </c>
      <c r="BQ5" s="48"/>
      <c r="BS5" s="48" t="s">
        <v>4131</v>
      </c>
      <c r="BT5" s="48"/>
      <c r="BV5" s="48" t="s">
        <v>4132</v>
      </c>
      <c r="BW5" s="48"/>
      <c r="BY5" s="48" t="s">
        <v>4133</v>
      </c>
      <c r="BZ5" s="48"/>
      <c r="CB5" s="48" t="s">
        <v>4134</v>
      </c>
      <c r="CC5" s="48"/>
      <c r="CE5" s="48" t="s">
        <v>4135</v>
      </c>
      <c r="CF5" s="48"/>
      <c r="CH5" s="48" t="s">
        <v>4136</v>
      </c>
      <c r="CI5" s="48"/>
      <c r="CK5" s="48" t="s">
        <v>4161</v>
      </c>
      <c r="CL5" s="48"/>
      <c r="CN5" s="48" t="s">
        <v>4138</v>
      </c>
      <c r="CO5" s="48"/>
      <c r="CQ5" s="48" t="s">
        <v>4139</v>
      </c>
      <c r="CR5" s="48"/>
      <c r="CT5" s="48" t="s">
        <v>4140</v>
      </c>
      <c r="CU5" s="48"/>
      <c r="CW5" s="48" t="s">
        <v>4141</v>
      </c>
      <c r="CX5" s="48"/>
      <c r="DC5" s="48" t="s">
        <v>4142</v>
      </c>
      <c r="DD5" s="48"/>
      <c r="DF5" s="48" t="s">
        <v>4143</v>
      </c>
      <c r="DG5" s="48"/>
      <c r="DI5" s="48" t="s">
        <v>4162</v>
      </c>
      <c r="DJ5" s="48"/>
      <c r="DL5" s="48" t="s">
        <v>4162</v>
      </c>
      <c r="DM5" s="48"/>
      <c r="DO5" s="48" t="s">
        <v>4145</v>
      </c>
      <c r="DP5" s="48"/>
      <c r="DR5" s="48" t="s">
        <v>4146</v>
      </c>
      <c r="DS5" s="48"/>
      <c r="DU5" s="48" t="s">
        <v>4163</v>
      </c>
      <c r="DV5" s="48"/>
      <c r="DX5" s="290" t="n">
        <v>42965</v>
      </c>
      <c r="DY5" s="290"/>
      <c r="EA5" s="290" t="n">
        <v>42996</v>
      </c>
      <c r="EB5" s="290"/>
      <c r="ED5" s="290" t="n">
        <v>43026</v>
      </c>
      <c r="EE5" s="290"/>
      <c r="EG5" s="290" t="n">
        <v>43059</v>
      </c>
      <c r="EH5" s="290"/>
      <c r="EJ5" s="290" t="n">
        <v>43088</v>
      </c>
      <c r="EK5" s="290"/>
      <c r="EP5" s="290" t="n">
        <v>43118</v>
      </c>
      <c r="EQ5" s="290"/>
      <c r="ES5" s="290" t="n">
        <v>43150</v>
      </c>
      <c r="ET5" s="290"/>
      <c r="EV5" s="290" t="n">
        <v>43179</v>
      </c>
      <c r="EW5" s="290"/>
      <c r="EY5" s="290" t="n">
        <v>43208</v>
      </c>
      <c r="EZ5" s="290"/>
      <c r="FB5" s="290" t="n">
        <v>43238</v>
      </c>
      <c r="FC5" s="290"/>
      <c r="FE5" s="290" t="n">
        <v>43270</v>
      </c>
      <c r="FF5" s="290"/>
      <c r="FH5" s="290" t="n">
        <v>43298</v>
      </c>
      <c r="FI5" s="290"/>
      <c r="FK5" s="290" t="n">
        <v>43333</v>
      </c>
      <c r="FL5" s="290"/>
      <c r="FN5" s="290" t="n">
        <v>43362</v>
      </c>
      <c r="FO5" s="290"/>
      <c r="FQ5" s="290" t="n">
        <v>43392</v>
      </c>
      <c r="FR5" s="290"/>
      <c r="FT5" s="290" t="n">
        <v>43426</v>
      </c>
      <c r="FU5" s="290"/>
      <c r="FW5" s="290" t="n">
        <v>43452</v>
      </c>
      <c r="FX5" s="290"/>
      <c r="GC5" s="290" t="n">
        <v>43486</v>
      </c>
      <c r="GD5" s="290"/>
      <c r="GF5" s="290" t="n">
        <v>43515</v>
      </c>
      <c r="GG5" s="290"/>
    </row>
    <row r="6" customFormat="false" ht="12.75" hidden="false" customHeight="false" outlineLevel="0" collapsed="false">
      <c r="A6" s="0" t="s">
        <v>4151</v>
      </c>
      <c r="K6" s="64" t="s">
        <v>4149</v>
      </c>
      <c r="L6" s="43" t="n">
        <v>17.566092</v>
      </c>
      <c r="N6" s="64" t="s">
        <v>4149</v>
      </c>
      <c r="O6" s="43" t="n">
        <v>18.25</v>
      </c>
      <c r="Q6" s="64" t="s">
        <v>4149</v>
      </c>
      <c r="R6" s="43" t="n">
        <v>16.51151</v>
      </c>
      <c r="T6" s="64" t="s">
        <v>4149</v>
      </c>
      <c r="U6" s="43" t="n">
        <v>19.069121</v>
      </c>
      <c r="W6" s="88" t="s">
        <v>4149</v>
      </c>
      <c r="X6" s="43" t="n">
        <v>19.628625</v>
      </c>
      <c r="AC6" s="88" t="s">
        <v>4149</v>
      </c>
      <c r="AD6" s="43" t="n">
        <v>18.397607</v>
      </c>
      <c r="AF6" s="88" t="s">
        <v>4149</v>
      </c>
      <c r="AG6" s="43" t="n">
        <v>31.111509</v>
      </c>
      <c r="AI6" s="88" t="s">
        <v>4149</v>
      </c>
      <c r="AJ6" s="43" t="n">
        <v>31.111509</v>
      </c>
      <c r="AL6" s="88" t="s">
        <v>4149</v>
      </c>
      <c r="AM6" s="43" t="n">
        <v>22.771747</v>
      </c>
      <c r="AO6" s="88" t="s">
        <v>4149</v>
      </c>
      <c r="AP6" s="43" t="n">
        <v>23.139518</v>
      </c>
      <c r="AR6" s="88" t="s">
        <v>4149</v>
      </c>
      <c r="AS6" s="43" t="n">
        <v>23.139518</v>
      </c>
      <c r="AU6" s="88" t="s">
        <v>4149</v>
      </c>
      <c r="AV6" s="43" t="n">
        <v>23.972051</v>
      </c>
      <c r="AX6" s="88" t="s">
        <v>4149</v>
      </c>
      <c r="AY6" s="43" t="n">
        <v>24.440878</v>
      </c>
      <c r="BA6" s="88" t="s">
        <v>4149</v>
      </c>
      <c r="BB6" s="43" t="n">
        <v>24.431763</v>
      </c>
      <c r="BD6" s="88" t="s">
        <v>4149</v>
      </c>
      <c r="BE6" s="0" t="n">
        <v>24.499154</v>
      </c>
      <c r="BG6" s="88" t="s">
        <v>4149</v>
      </c>
      <c r="BH6" s="64" t="n">
        <v>25.50623</v>
      </c>
      <c r="BI6" s="294" t="n">
        <v>42331</v>
      </c>
      <c r="BJ6" s="88" t="s">
        <v>4149</v>
      </c>
      <c r="BK6" s="64" t="n">
        <v>25.713624</v>
      </c>
      <c r="BL6" s="295" t="n">
        <v>42360</v>
      </c>
      <c r="BP6" s="88" t="s">
        <v>4149</v>
      </c>
      <c r="BQ6" s="0" t="n">
        <v>27.000766</v>
      </c>
      <c r="BS6" s="88" t="s">
        <v>4149</v>
      </c>
      <c r="BT6" s="0" t="n">
        <v>29.330761</v>
      </c>
      <c r="BU6" s="296" t="s">
        <v>4164</v>
      </c>
      <c r="BV6" s="88" t="s">
        <v>4149</v>
      </c>
      <c r="BW6" s="0" t="n">
        <v>30.200342</v>
      </c>
      <c r="BX6" s="296" t="s">
        <v>4132</v>
      </c>
      <c r="BY6" s="88" t="s">
        <v>4149</v>
      </c>
      <c r="BZ6" s="0" t="n">
        <v>28.915592</v>
      </c>
      <c r="CA6" s="296" t="s">
        <v>4165</v>
      </c>
      <c r="CB6" s="88" t="s">
        <v>4149</v>
      </c>
      <c r="CC6" s="0" t="n">
        <v>28.604464</v>
      </c>
      <c r="CD6" s="296" t="s">
        <v>4166</v>
      </c>
      <c r="CE6" s="88" t="s">
        <v>4149</v>
      </c>
      <c r="CF6" s="0" t="n">
        <v>27.828447</v>
      </c>
      <c r="CG6" s="296" t="s">
        <v>4167</v>
      </c>
      <c r="CH6" s="88" t="s">
        <v>4149</v>
      </c>
      <c r="CI6" s="0" t="n">
        <v>27.325011</v>
      </c>
      <c r="CJ6" s="296" t="s">
        <v>4136</v>
      </c>
      <c r="CK6" s="88" t="s">
        <v>4149</v>
      </c>
      <c r="CL6" s="0" t="n">
        <v>28.495987</v>
      </c>
      <c r="CM6" s="296" t="s">
        <v>4137</v>
      </c>
      <c r="CN6" s="88" t="s">
        <v>4149</v>
      </c>
      <c r="CO6" s="0" t="n">
        <v>28.860901</v>
      </c>
      <c r="CP6" s="296" t="s">
        <v>4168</v>
      </c>
      <c r="CQ6" s="88" t="s">
        <v>4149</v>
      </c>
      <c r="CR6" s="0" t="n">
        <v>28.21139</v>
      </c>
      <c r="CS6" s="297" t="s">
        <v>4169</v>
      </c>
      <c r="CT6" s="88" t="s">
        <v>4149</v>
      </c>
      <c r="CU6" s="0" t="n">
        <v>27.92147</v>
      </c>
      <c r="CV6" s="295" t="n">
        <v>42695</v>
      </c>
      <c r="CW6" s="88" t="s">
        <v>4149</v>
      </c>
      <c r="CX6" s="64" t="n">
        <v>27.542042</v>
      </c>
      <c r="CY6" s="294" t="n">
        <v>42725</v>
      </c>
      <c r="DC6" s="88" t="s">
        <v>4149</v>
      </c>
      <c r="DD6" s="64" t="n">
        <v>29.51967</v>
      </c>
      <c r="DE6" s="294" t="n">
        <v>42755</v>
      </c>
      <c r="DF6" s="88" t="s">
        <v>4149</v>
      </c>
      <c r="DG6" s="64" t="n">
        <v>28.782837</v>
      </c>
      <c r="DH6" s="294" t="n">
        <v>42787</v>
      </c>
      <c r="DI6" s="88" t="s">
        <v>4149</v>
      </c>
      <c r="DJ6" s="64" t="n">
        <v>28.937676</v>
      </c>
      <c r="DK6" s="294" t="n">
        <v>42815</v>
      </c>
      <c r="DL6" s="88" t="s">
        <v>4149</v>
      </c>
      <c r="DM6" s="64" t="n">
        <v>28.675785</v>
      </c>
      <c r="DN6" s="294" t="n">
        <v>42845</v>
      </c>
      <c r="DO6" s="88" t="s">
        <v>4149</v>
      </c>
      <c r="DP6" s="64" t="n">
        <v>29.368275</v>
      </c>
      <c r="DQ6" s="294" t="n">
        <v>42877</v>
      </c>
      <c r="DR6" s="88" t="s">
        <v>4149</v>
      </c>
      <c r="DS6" s="64" t="n">
        <v>29.143299</v>
      </c>
      <c r="DT6" s="294" t="n">
        <v>42906</v>
      </c>
      <c r="DU6" s="88" t="s">
        <v>4149</v>
      </c>
      <c r="DV6" s="64" t="n">
        <v>29.760874</v>
      </c>
      <c r="DW6" s="294" t="n">
        <v>42906</v>
      </c>
      <c r="DX6" s="88" t="s">
        <v>4149</v>
      </c>
      <c r="DY6" s="64" t="n">
        <v>29.834847</v>
      </c>
      <c r="DZ6" s="294" t="n">
        <v>42966</v>
      </c>
      <c r="EA6" s="88" t="s">
        <v>4149</v>
      </c>
      <c r="EB6" s="64" t="n">
        <v>31.372233</v>
      </c>
      <c r="EC6" s="294" t="n">
        <v>42998</v>
      </c>
      <c r="ED6" s="88" t="s">
        <v>4149</v>
      </c>
      <c r="EE6" s="64" t="n">
        <v>31.142921</v>
      </c>
      <c r="EF6" s="294" t="n">
        <v>43028</v>
      </c>
      <c r="EG6" s="88" t="s">
        <v>4149</v>
      </c>
      <c r="EH6" s="64" t="n">
        <v>31.255673</v>
      </c>
      <c r="EI6" s="294" t="n">
        <v>43059</v>
      </c>
      <c r="EJ6" s="88" t="s">
        <v>4149</v>
      </c>
      <c r="EK6" s="64" t="n">
        <v>32.876952</v>
      </c>
      <c r="EL6" s="294" t="n">
        <v>43088</v>
      </c>
      <c r="EP6" s="88" t="s">
        <v>4149</v>
      </c>
      <c r="EQ6" s="64" t="n">
        <v>34.981281</v>
      </c>
      <c r="ER6" s="294" t="n">
        <v>43122</v>
      </c>
      <c r="ES6" s="88" t="s">
        <v>4149</v>
      </c>
      <c r="ET6" s="64" t="n">
        <v>33.641444</v>
      </c>
      <c r="EU6" s="294" t="n">
        <v>43150</v>
      </c>
      <c r="EV6" s="88" t="s">
        <v>4149</v>
      </c>
      <c r="EW6" s="291" t="n">
        <v>32.4179745</v>
      </c>
      <c r="EX6" s="294" t="n">
        <v>43179</v>
      </c>
      <c r="EY6" s="88" t="s">
        <v>4149</v>
      </c>
      <c r="EZ6" s="291" t="n">
        <v>32.230606</v>
      </c>
      <c r="FA6" s="294" t="n">
        <v>43210</v>
      </c>
      <c r="FB6" s="88" t="s">
        <v>4149</v>
      </c>
      <c r="FC6" s="43" t="n">
        <v>30.915895</v>
      </c>
      <c r="FD6" s="294" t="n">
        <v>43241</v>
      </c>
      <c r="FE6" s="88" t="s">
        <v>4149</v>
      </c>
      <c r="FF6" s="43" t="n">
        <v>30.575853</v>
      </c>
      <c r="FG6" s="294" t="n">
        <v>43271</v>
      </c>
      <c r="FH6" s="88" t="s">
        <v>4149</v>
      </c>
      <c r="FI6" s="43" t="n">
        <v>30.714414</v>
      </c>
      <c r="FJ6" s="294" t="n">
        <v>43301</v>
      </c>
      <c r="FK6" s="88" t="s">
        <v>4149</v>
      </c>
      <c r="FL6" s="43" t="n">
        <v>31.461396</v>
      </c>
      <c r="FM6" s="294" t="n">
        <v>43332</v>
      </c>
      <c r="FN6" s="88" t="s">
        <v>4149</v>
      </c>
      <c r="FO6" s="0" t="n">
        <v>32.928233</v>
      </c>
      <c r="FP6" s="294" t="n">
        <v>43332</v>
      </c>
      <c r="FQ6" s="88" t="s">
        <v>4149</v>
      </c>
      <c r="FR6" s="0" t="n">
        <v>32.256162</v>
      </c>
      <c r="FS6" s="294" t="n">
        <v>43392</v>
      </c>
      <c r="FT6" s="88" t="s">
        <v>4149</v>
      </c>
      <c r="FU6" s="0" t="n">
        <v>31.709122</v>
      </c>
      <c r="FV6" s="294" t="n">
        <v>43424</v>
      </c>
      <c r="FW6" s="88" t="s">
        <v>4149</v>
      </c>
      <c r="FX6" s="0" t="n">
        <v>31.625606</v>
      </c>
      <c r="FY6" s="294" t="n">
        <v>43453</v>
      </c>
      <c r="GC6" s="88" t="s">
        <v>4149</v>
      </c>
      <c r="GD6" s="0" t="n">
        <v>31.947101</v>
      </c>
      <c r="GE6" s="294" t="n">
        <v>43485</v>
      </c>
      <c r="GF6" s="88" t="s">
        <v>4149</v>
      </c>
      <c r="GG6" s="0" t="n">
        <v>30.796203</v>
      </c>
      <c r="GH6" s="294" t="n">
        <v>43516</v>
      </c>
      <c r="GK6" s="294" t="n">
        <v>43545</v>
      </c>
      <c r="GN6" s="294" t="n">
        <v>43578</v>
      </c>
      <c r="GQ6" s="294" t="n">
        <v>43606</v>
      </c>
      <c r="GT6" s="295" t="n">
        <v>43641</v>
      </c>
      <c r="GW6" s="295" t="n">
        <v>43668</v>
      </c>
      <c r="GZ6" s="295" t="n">
        <v>43697</v>
      </c>
      <c r="HC6" s="295" t="n">
        <v>43727</v>
      </c>
      <c r="HF6" s="295" t="n">
        <v>43759</v>
      </c>
      <c r="HI6" s="295" t="n">
        <v>43789</v>
      </c>
      <c r="HL6" s="295" t="n">
        <v>43818</v>
      </c>
      <c r="HR6" s="295" t="n">
        <v>43850</v>
      </c>
      <c r="HU6" s="295" t="n">
        <v>43880</v>
      </c>
      <c r="HX6" s="295" t="n">
        <v>43910</v>
      </c>
      <c r="IA6" s="295" t="n">
        <v>43938</v>
      </c>
      <c r="ID6" s="295" t="n">
        <v>43970</v>
      </c>
      <c r="IG6" s="295" t="n">
        <v>44001</v>
      </c>
      <c r="IJ6" s="295" t="n">
        <v>44033</v>
      </c>
      <c r="IM6" s="295" t="n">
        <v>44063</v>
      </c>
      <c r="IP6" s="295" t="n">
        <v>44096</v>
      </c>
      <c r="IS6" s="295" t="n">
        <v>44125</v>
      </c>
      <c r="IV6" s="295" t="n">
        <v>44158</v>
      </c>
      <c r="IY6" s="295" t="n">
        <v>44187</v>
      </c>
      <c r="JE6" s="295" t="n">
        <v>44218</v>
      </c>
      <c r="JH6" s="295" t="n">
        <v>44250</v>
      </c>
      <c r="JK6" s="0" t="s">
        <v>4170</v>
      </c>
      <c r="JN6" s="295" t="n">
        <v>44307</v>
      </c>
      <c r="JQ6" s="295" t="n">
        <v>44337</v>
      </c>
      <c r="JT6" s="295" t="n">
        <v>44369</v>
      </c>
      <c r="JW6" s="295" t="n">
        <v>44398</v>
      </c>
      <c r="JZ6" s="0" t="s">
        <v>4171</v>
      </c>
      <c r="KC6" s="295" t="n">
        <v>44460</v>
      </c>
      <c r="KF6" s="295" t="n">
        <v>44490</v>
      </c>
      <c r="KI6" s="295" t="n">
        <v>44523</v>
      </c>
      <c r="KL6" s="295" t="n">
        <v>44551</v>
      </c>
      <c r="KR6" s="295" t="n">
        <v>44580</v>
      </c>
      <c r="KU6" s="295" t="n">
        <v>44615</v>
      </c>
      <c r="KX6" s="295" t="n">
        <v>44638</v>
      </c>
      <c r="LA6" s="295" t="n">
        <v>44671</v>
      </c>
      <c r="LD6" s="295" t="n">
        <v>44701</v>
      </c>
      <c r="LG6" s="295" t="n">
        <v>44734</v>
      </c>
      <c r="LJ6" s="295" t="n">
        <v>44764</v>
      </c>
    </row>
    <row r="7" customFormat="false" ht="13.5" hidden="false" customHeight="false" outlineLevel="0" collapsed="false">
      <c r="A7" s="0" t="s">
        <v>4172</v>
      </c>
      <c r="K7" s="64"/>
      <c r="L7" s="43" t="n">
        <v>13.073311</v>
      </c>
      <c r="M7" s="43" t="n">
        <v>13.22308</v>
      </c>
      <c r="N7" s="64" t="s">
        <v>4150</v>
      </c>
      <c r="O7" s="43" t="n">
        <v>14.08</v>
      </c>
      <c r="P7" s="43" t="n">
        <v>13.48971</v>
      </c>
      <c r="Q7" s="64" t="s">
        <v>4150</v>
      </c>
      <c r="R7" s="43" t="n">
        <v>12.951222</v>
      </c>
      <c r="S7" s="43" t="n">
        <v>12.95117</v>
      </c>
      <c r="T7" s="64" t="s">
        <v>4150</v>
      </c>
      <c r="U7" s="43" t="n">
        <v>15.26018</v>
      </c>
      <c r="V7" s="125" t="n">
        <v>15.09624</v>
      </c>
      <c r="W7" s="88" t="s">
        <v>4150</v>
      </c>
      <c r="X7" s="43" t="n">
        <v>15.26018</v>
      </c>
      <c r="Y7" s="125" t="n">
        <v>15.8544</v>
      </c>
      <c r="AC7" s="88" t="s">
        <v>4150</v>
      </c>
      <c r="AD7" s="43" t="n">
        <v>15.797967</v>
      </c>
      <c r="AE7" s="0" t="n">
        <v>15.784755</v>
      </c>
      <c r="AF7" s="88" t="s">
        <v>4150</v>
      </c>
      <c r="AG7" s="43" t="n">
        <v>26.799674</v>
      </c>
      <c r="AH7" s="125" t="n">
        <v>28.34807</v>
      </c>
      <c r="AI7" s="88" t="s">
        <v>4150</v>
      </c>
      <c r="AJ7" s="43" t="n">
        <v>22.246866</v>
      </c>
      <c r="AK7" s="125" t="n">
        <v>23.14987</v>
      </c>
      <c r="AL7" s="88" t="s">
        <v>4150</v>
      </c>
      <c r="AM7" s="43" t="n">
        <v>21.057654</v>
      </c>
      <c r="AN7" s="125" t="n">
        <v>22.254387</v>
      </c>
      <c r="AO7" s="88" t="s">
        <v>4150</v>
      </c>
      <c r="AP7" s="43" t="n">
        <v>21.25258</v>
      </c>
      <c r="AQ7" s="125" t="n">
        <v>20.812662</v>
      </c>
      <c r="AR7" s="88" t="s">
        <v>4150</v>
      </c>
      <c r="AS7" s="0" t="n">
        <v>21.329154</v>
      </c>
      <c r="AT7" s="0" t="n">
        <v>21.635428</v>
      </c>
      <c r="AU7" s="88" t="s">
        <v>4150</v>
      </c>
      <c r="AV7" s="0" t="n">
        <v>22.014924</v>
      </c>
      <c r="AW7" s="0" t="n">
        <v>22.032134</v>
      </c>
      <c r="AX7" s="88" t="s">
        <v>4150</v>
      </c>
      <c r="AY7" s="0" t="n">
        <v>22.018809</v>
      </c>
      <c r="AZ7" s="0" t="n">
        <v>22.066173</v>
      </c>
      <c r="BA7" s="88" t="s">
        <v>4150</v>
      </c>
      <c r="BB7" s="292" t="n">
        <v>21.598093</v>
      </c>
      <c r="BC7" s="0" t="n">
        <v>21.639391</v>
      </c>
      <c r="BD7" s="88" t="s">
        <v>4150</v>
      </c>
      <c r="BE7" s="0" t="n">
        <v>21.690618</v>
      </c>
      <c r="BF7" s="0" t="n">
        <v>21.988937</v>
      </c>
      <c r="BG7" s="88" t="s">
        <v>4150</v>
      </c>
      <c r="BH7" s="64" t="n">
        <v>23.771078</v>
      </c>
      <c r="BI7" s="64" t="n">
        <v>23.984576</v>
      </c>
      <c r="BJ7" s="88" t="s">
        <v>4150</v>
      </c>
      <c r="BK7" s="64" t="n">
        <v>23.519276</v>
      </c>
      <c r="BL7" s="293" t="n">
        <v>23.518152</v>
      </c>
      <c r="BP7" s="88" t="s">
        <v>4150</v>
      </c>
      <c r="BQ7" s="64" t="n">
        <v>24.637118</v>
      </c>
      <c r="BR7" s="64" t="n">
        <v>24.66104</v>
      </c>
      <c r="BS7" s="88" t="s">
        <v>4150</v>
      </c>
      <c r="BT7" s="64" t="n">
        <v>26.462253</v>
      </c>
      <c r="BU7" s="64" t="n">
        <v>26.855762</v>
      </c>
      <c r="BV7" s="88" t="s">
        <v>4150</v>
      </c>
      <c r="BW7" s="64" t="n">
        <v>26.699975</v>
      </c>
      <c r="BX7" s="293" t="n">
        <v>26.102487</v>
      </c>
      <c r="BY7" s="88" t="s">
        <v>4150</v>
      </c>
      <c r="BZ7" s="293" t="n">
        <v>25.411365</v>
      </c>
      <c r="CA7" s="293" t="n">
        <v>25.411365</v>
      </c>
      <c r="CB7" s="88" t="s">
        <v>4150</v>
      </c>
      <c r="CC7" s="293" t="n">
        <v>25.273426</v>
      </c>
      <c r="CD7" s="293" t="n">
        <v>25.201506</v>
      </c>
      <c r="CE7" s="88" t="s">
        <v>4150</v>
      </c>
      <c r="CF7" s="293" t="n">
        <v>24.904642</v>
      </c>
      <c r="CG7" s="293" t="n">
        <v>24.892558</v>
      </c>
      <c r="CH7" s="88" t="s">
        <v>4150</v>
      </c>
      <c r="CI7" s="293" t="n">
        <v>24.811596</v>
      </c>
      <c r="CJ7" s="293" t="n">
        <v>24.811596</v>
      </c>
      <c r="CK7" s="88" t="s">
        <v>4150</v>
      </c>
      <c r="CL7" s="293" t="n">
        <v>25.17091</v>
      </c>
      <c r="CM7" s="293" t="n">
        <v>25.26244</v>
      </c>
      <c r="CN7" s="88" t="s">
        <v>4150</v>
      </c>
      <c r="CO7" s="293" t="n">
        <v>25.805527</v>
      </c>
      <c r="CP7" s="293" t="n">
        <v>25.805527</v>
      </c>
      <c r="CQ7" s="88" t="s">
        <v>4150</v>
      </c>
      <c r="CR7" s="293" t="n">
        <v>25.663049</v>
      </c>
      <c r="CS7" s="293" t="n">
        <v>25.703574</v>
      </c>
      <c r="CT7" s="88" t="s">
        <v>4150</v>
      </c>
      <c r="CU7" s="293" t="n">
        <v>26.053438</v>
      </c>
      <c r="CV7" s="293" t="n">
        <v>25.783819</v>
      </c>
      <c r="CW7" s="88" t="s">
        <v>4150</v>
      </c>
      <c r="CX7" s="293" t="n">
        <v>26.4</v>
      </c>
      <c r="CY7" s="293" t="n">
        <v>26.470481</v>
      </c>
      <c r="DC7" s="88" t="s">
        <v>4150</v>
      </c>
      <c r="DD7" s="64" t="n">
        <v>27.629792</v>
      </c>
      <c r="DE7" s="293" t="n">
        <v>27.442159</v>
      </c>
      <c r="DF7" s="88" t="s">
        <v>4150</v>
      </c>
      <c r="DG7" s="64" t="n">
        <v>27.026138</v>
      </c>
      <c r="DH7" s="293" t="n">
        <v>27.025299</v>
      </c>
      <c r="DI7" s="88" t="s">
        <v>4150</v>
      </c>
      <c r="DJ7" s="64" t="n">
        <v>26.909264</v>
      </c>
      <c r="DK7" s="293" t="n">
        <v>26.887865</v>
      </c>
      <c r="DL7" s="88" t="s">
        <v>4150</v>
      </c>
      <c r="DM7" s="293" t="n">
        <v>26.844959</v>
      </c>
      <c r="DN7" s="293" t="n">
        <v>26.787082</v>
      </c>
      <c r="DO7" s="88" t="s">
        <v>4150</v>
      </c>
      <c r="DP7" s="293" t="n">
        <v>26.417449</v>
      </c>
      <c r="DQ7" s="293" t="n">
        <v>26.369659</v>
      </c>
      <c r="DR7" s="88" t="s">
        <v>4150</v>
      </c>
      <c r="DS7" s="293" t="n">
        <v>26.023126</v>
      </c>
      <c r="DT7" s="293" t="n">
        <v>26.023126</v>
      </c>
      <c r="DU7" s="88" t="s">
        <v>4150</v>
      </c>
      <c r="DV7" s="293" t="n">
        <v>25.964818</v>
      </c>
      <c r="DW7" s="293" t="n">
        <v>25.944129</v>
      </c>
      <c r="DX7" s="88" t="s">
        <v>4150</v>
      </c>
      <c r="DY7" s="293" t="n">
        <v>25.506409</v>
      </c>
      <c r="DZ7" s="293" t="n">
        <v>25.490401</v>
      </c>
      <c r="EA7" s="88" t="s">
        <v>4150</v>
      </c>
      <c r="EB7" s="293" t="n">
        <v>26.224386</v>
      </c>
      <c r="EC7" s="43" t="n">
        <v>26.126436</v>
      </c>
      <c r="ED7" s="88" t="s">
        <v>4150</v>
      </c>
      <c r="EE7" s="43" t="n">
        <v>26.484328</v>
      </c>
      <c r="EF7" s="43" t="n">
        <v>26.49995</v>
      </c>
      <c r="EG7" s="88" t="s">
        <v>4150</v>
      </c>
      <c r="EH7" s="43" t="n">
        <v>26.499087</v>
      </c>
      <c r="EI7" s="43" t="n">
        <v>26.499087</v>
      </c>
      <c r="EJ7" s="88" t="s">
        <v>4150</v>
      </c>
      <c r="EK7" s="43" t="n">
        <v>27.873635</v>
      </c>
      <c r="EL7" s="43" t="n">
        <v>27.873635</v>
      </c>
      <c r="EP7" s="88" t="s">
        <v>4150</v>
      </c>
      <c r="EQ7" s="43" t="n">
        <v>28.666132</v>
      </c>
      <c r="ER7" s="43" t="n">
        <v>28.844816</v>
      </c>
      <c r="ES7" s="88" t="s">
        <v>4150</v>
      </c>
      <c r="ET7" s="43" t="n">
        <v>26.990889</v>
      </c>
      <c r="EU7" s="43" t="n">
        <v>26.990889</v>
      </c>
      <c r="EV7" s="88" t="s">
        <v>4150</v>
      </c>
      <c r="EW7" s="291" t="n">
        <v>26.35391</v>
      </c>
      <c r="EX7" s="43" t="n">
        <v>26.436044</v>
      </c>
      <c r="EY7" s="88" t="s">
        <v>4150</v>
      </c>
      <c r="EZ7" s="43" t="n">
        <v>26.147772</v>
      </c>
      <c r="FA7" s="43" t="n">
        <v>26.225963</v>
      </c>
      <c r="FB7" s="88" t="s">
        <v>4150</v>
      </c>
      <c r="FC7" s="43" t="n">
        <v>26.188814</v>
      </c>
      <c r="FD7" s="43" t="n">
        <v>26.147963</v>
      </c>
      <c r="FE7" s="88" t="s">
        <v>4150</v>
      </c>
      <c r="FF7" s="43" t="n">
        <v>26.328987</v>
      </c>
      <c r="FG7" s="43" t="n">
        <v>26.446439</v>
      </c>
      <c r="FH7" s="88" t="s">
        <v>4150</v>
      </c>
      <c r="FI7" s="43" t="n">
        <v>26.206838</v>
      </c>
      <c r="FJ7" s="43" t="n">
        <v>26.472433</v>
      </c>
      <c r="FK7" s="88" t="s">
        <v>4150</v>
      </c>
      <c r="FL7" s="43" t="n">
        <v>27.670533</v>
      </c>
      <c r="FM7" s="43" t="n">
        <v>27.898554</v>
      </c>
      <c r="FN7" s="88" t="s">
        <v>4150</v>
      </c>
      <c r="FO7" s="43" t="n">
        <v>28.151007</v>
      </c>
      <c r="FP7" s="43" t="n">
        <v>28.120205</v>
      </c>
      <c r="FQ7" s="88" t="s">
        <v>4150</v>
      </c>
      <c r="FR7" s="43" t="n">
        <v>28.036647</v>
      </c>
      <c r="FS7" s="43" t="n">
        <v>28.036647</v>
      </c>
      <c r="FT7" s="88" t="s">
        <v>4150</v>
      </c>
      <c r="FU7" s="43" t="n">
        <v>27.763875</v>
      </c>
      <c r="FV7" s="43" t="n">
        <v>27.764829</v>
      </c>
      <c r="FW7" s="88" t="s">
        <v>4150</v>
      </c>
      <c r="FX7" s="43" t="n">
        <v>27.886082</v>
      </c>
      <c r="FY7" s="43" t="n">
        <v>27.847943</v>
      </c>
      <c r="GC7" s="88" t="s">
        <v>4150</v>
      </c>
      <c r="GD7" s="43" t="n">
        <v>28.033609</v>
      </c>
      <c r="GE7" s="43" t="n">
        <v>27.980832</v>
      </c>
      <c r="GF7" s="88" t="s">
        <v>4150</v>
      </c>
      <c r="GG7" s="43" t="n">
        <v>27.185914</v>
      </c>
      <c r="GH7" s="0" t="n">
        <v>27.173251</v>
      </c>
      <c r="GJ7" s="88" t="s">
        <v>4150</v>
      </c>
      <c r="GK7" s="0" t="n">
        <v>27.167879</v>
      </c>
      <c r="GM7" s="88" t="s">
        <v>4150</v>
      </c>
      <c r="GN7" s="0" t="n">
        <v>26.775371</v>
      </c>
      <c r="GQ7" s="0" t="n">
        <v>26.202895</v>
      </c>
      <c r="GT7" s="0" t="n">
        <v>26.191201</v>
      </c>
      <c r="GW7" s="0" t="n">
        <v>25.815345</v>
      </c>
      <c r="GZ7" s="0" t="n">
        <v>25.175684</v>
      </c>
      <c r="HC7" s="0" t="n">
        <v>24.669853</v>
      </c>
      <c r="HF7" s="0" t="n">
        <v>25.035071</v>
      </c>
      <c r="HI7" s="0" t="n">
        <v>24.203928</v>
      </c>
      <c r="HL7" s="0" t="n">
        <v>23.413086</v>
      </c>
      <c r="HR7" s="0" t="n">
        <v>24.2527</v>
      </c>
      <c r="HU7" s="0" t="n">
        <v>24.4431</v>
      </c>
      <c r="HX7" s="0" t="n">
        <v>27.8025</v>
      </c>
      <c r="IA7" s="0" t="n">
        <v>27.2022</v>
      </c>
      <c r="ID7" s="0" t="n">
        <v>26.571</v>
      </c>
      <c r="IG7" s="0" t="n">
        <v>26.7633</v>
      </c>
      <c r="IJ7" s="0" t="n">
        <v>27.6011</v>
      </c>
      <c r="IM7" s="0" t="n">
        <v>27.316</v>
      </c>
      <c r="IP7" s="0" t="n">
        <v>28.2022</v>
      </c>
      <c r="IS7" s="0" t="n">
        <v>28.3707</v>
      </c>
      <c r="IV7" s="0" t="n">
        <v>28.3553</v>
      </c>
      <c r="IY7" s="0" t="n">
        <v>28.0391</v>
      </c>
      <c r="JE7" s="0" t="n">
        <v>28.2035</v>
      </c>
      <c r="JH7" s="0" t="n">
        <v>27.9304</v>
      </c>
      <c r="JK7" s="0" t="n">
        <v>27.7184</v>
      </c>
      <c r="JN7" s="0" t="n">
        <v>28.0096</v>
      </c>
      <c r="JQ7" s="0" t="n">
        <v>27.4665</v>
      </c>
      <c r="JT7" s="0" t="n">
        <v>27.1935</v>
      </c>
      <c r="JW7" s="0" t="n">
        <v>27.2205</v>
      </c>
      <c r="JZ7" s="0" t="n">
        <v>26.6455</v>
      </c>
      <c r="KC7" s="0" t="n">
        <v>26.7028</v>
      </c>
      <c r="KF7" s="0" t="n">
        <v>26.272</v>
      </c>
      <c r="KI7" s="0" t="n">
        <v>26.6588</v>
      </c>
      <c r="KL7" s="0" t="n">
        <v>27.2846</v>
      </c>
      <c r="KR7" s="298" t="n">
        <v>28.4101</v>
      </c>
      <c r="KU7" s="0" t="n">
        <v>28.9877</v>
      </c>
      <c r="KX7" s="0" t="n">
        <v>29.2549</v>
      </c>
      <c r="LA7" s="0" t="n">
        <v>29.2549</v>
      </c>
      <c r="LD7" s="0" t="n">
        <v>29.2549</v>
      </c>
      <c r="LG7" s="0" t="n">
        <v>29.2549</v>
      </c>
      <c r="LJ7" s="0" t="n">
        <v>36.5686</v>
      </c>
    </row>
    <row r="8" customFormat="false" ht="30" hidden="false" customHeight="true" outlineLevel="0" collapsed="false">
      <c r="A8" s="299"/>
      <c r="B8" s="299"/>
      <c r="C8" s="222"/>
      <c r="D8" s="222"/>
      <c r="E8" s="300" t="s">
        <v>4173</v>
      </c>
      <c r="F8" s="300"/>
      <c r="G8" s="301"/>
      <c r="H8" s="302"/>
      <c r="I8" s="303" t="s">
        <v>4174</v>
      </c>
      <c r="J8" s="303" t="s">
        <v>4175</v>
      </c>
      <c r="K8" s="304" t="n">
        <v>2014</v>
      </c>
      <c r="L8" s="304"/>
      <c r="M8" s="304"/>
      <c r="N8" s="304" t="n">
        <v>2014</v>
      </c>
      <c r="O8" s="304"/>
      <c r="P8" s="304"/>
      <c r="Q8" s="304" t="n">
        <v>2014</v>
      </c>
      <c r="R8" s="304"/>
      <c r="S8" s="304"/>
      <c r="T8" s="304" t="n">
        <v>2014</v>
      </c>
      <c r="U8" s="304"/>
      <c r="V8" s="304"/>
      <c r="W8" s="304" t="n">
        <v>2014</v>
      </c>
      <c r="X8" s="304"/>
      <c r="Y8" s="304"/>
      <c r="Z8" s="304" t="n">
        <v>2014</v>
      </c>
      <c r="AA8" s="304"/>
      <c r="AB8" s="304"/>
      <c r="AC8" s="304" t="n">
        <v>2015</v>
      </c>
      <c r="AD8" s="304"/>
      <c r="AE8" s="304"/>
      <c r="AF8" s="304" t="n">
        <v>2015</v>
      </c>
      <c r="AG8" s="304"/>
      <c r="AH8" s="304"/>
      <c r="AI8" s="304" t="n">
        <v>2015</v>
      </c>
      <c r="AJ8" s="304"/>
      <c r="AK8" s="304"/>
      <c r="AL8" s="304" t="n">
        <v>2015</v>
      </c>
      <c r="AM8" s="304"/>
      <c r="AN8" s="304"/>
      <c r="AO8" s="304" t="n">
        <v>2015</v>
      </c>
      <c r="AP8" s="304"/>
      <c r="AQ8" s="304"/>
      <c r="AR8" s="304" t="n">
        <v>2015</v>
      </c>
      <c r="AS8" s="304"/>
      <c r="AT8" s="304"/>
      <c r="AU8" s="304" t="n">
        <v>2015</v>
      </c>
      <c r="AV8" s="304"/>
      <c r="AW8" s="304"/>
      <c r="AX8" s="304" t="n">
        <v>2015</v>
      </c>
      <c r="AY8" s="304"/>
      <c r="AZ8" s="304"/>
      <c r="BA8" s="304" t="n">
        <v>2015</v>
      </c>
      <c r="BB8" s="304"/>
      <c r="BC8" s="304"/>
      <c r="BD8" s="304" t="n">
        <v>2015</v>
      </c>
      <c r="BE8" s="304"/>
      <c r="BF8" s="304"/>
      <c r="BG8" s="304" t="n">
        <v>2015</v>
      </c>
      <c r="BH8" s="304"/>
      <c r="BI8" s="304"/>
      <c r="BJ8" s="304" t="n">
        <v>2015</v>
      </c>
      <c r="BK8" s="304"/>
      <c r="BL8" s="304"/>
      <c r="BM8" s="304" t="n">
        <v>2015</v>
      </c>
      <c r="BN8" s="304"/>
      <c r="BO8" s="304"/>
      <c r="BP8" s="304" t="n">
        <v>2016</v>
      </c>
      <c r="BQ8" s="304"/>
      <c r="BR8" s="304"/>
      <c r="BS8" s="304" t="n">
        <v>2016</v>
      </c>
      <c r="BT8" s="304"/>
      <c r="BU8" s="304"/>
      <c r="BV8" s="304" t="n">
        <v>2016</v>
      </c>
      <c r="BW8" s="304"/>
      <c r="BX8" s="304"/>
      <c r="BY8" s="304" t="n">
        <v>2016</v>
      </c>
      <c r="BZ8" s="304"/>
      <c r="CA8" s="304"/>
      <c r="CB8" s="304" t="n">
        <v>2016</v>
      </c>
      <c r="CC8" s="304"/>
      <c r="CD8" s="304"/>
      <c r="CE8" s="304" t="n">
        <v>2016</v>
      </c>
      <c r="CF8" s="304"/>
      <c r="CG8" s="304"/>
      <c r="CH8" s="304" t="n">
        <v>2016</v>
      </c>
      <c r="CI8" s="304"/>
      <c r="CJ8" s="304"/>
      <c r="CK8" s="304" t="n">
        <v>2016</v>
      </c>
      <c r="CL8" s="304"/>
      <c r="CM8" s="304"/>
      <c r="CN8" s="304" t="n">
        <v>2016</v>
      </c>
      <c r="CO8" s="304"/>
      <c r="CP8" s="304"/>
      <c r="CQ8" s="304" t="n">
        <v>2016</v>
      </c>
      <c r="CR8" s="304"/>
      <c r="CS8" s="304"/>
      <c r="CT8" s="304" t="n">
        <v>2016</v>
      </c>
      <c r="CU8" s="304"/>
      <c r="CV8" s="304"/>
      <c r="CW8" s="304" t="n">
        <v>2016</v>
      </c>
      <c r="CX8" s="304"/>
      <c r="CY8" s="304"/>
      <c r="CZ8" s="304" t="n">
        <v>2016</v>
      </c>
      <c r="DA8" s="304"/>
      <c r="DB8" s="304"/>
      <c r="DC8" s="304" t="n">
        <v>2017</v>
      </c>
      <c r="DD8" s="304"/>
      <c r="DE8" s="304"/>
      <c r="DF8" s="304" t="n">
        <v>2017</v>
      </c>
      <c r="DG8" s="304"/>
      <c r="DH8" s="304"/>
      <c r="DI8" s="304" t="n">
        <v>2017</v>
      </c>
      <c r="DJ8" s="304"/>
      <c r="DK8" s="304"/>
      <c r="DL8" s="304" t="n">
        <v>2017</v>
      </c>
      <c r="DM8" s="304"/>
      <c r="DN8" s="304"/>
      <c r="DO8" s="304" t="n">
        <v>2017</v>
      </c>
      <c r="DP8" s="304"/>
      <c r="DQ8" s="304"/>
      <c r="DR8" s="304" t="n">
        <v>2017</v>
      </c>
      <c r="DS8" s="304"/>
      <c r="DT8" s="304"/>
      <c r="DU8" s="304" t="n">
        <v>2017</v>
      </c>
      <c r="DV8" s="304"/>
      <c r="DW8" s="304"/>
      <c r="DX8" s="304" t="n">
        <v>2017</v>
      </c>
      <c r="DY8" s="304"/>
      <c r="DZ8" s="304"/>
      <c r="EA8" s="304" t="n">
        <v>2017</v>
      </c>
      <c r="EB8" s="304"/>
      <c r="EC8" s="304"/>
      <c r="ED8" s="304" t="n">
        <v>2017</v>
      </c>
      <c r="EE8" s="304"/>
      <c r="EF8" s="304"/>
      <c r="EG8" s="304" t="n">
        <v>2017</v>
      </c>
      <c r="EH8" s="304"/>
      <c r="EI8" s="304"/>
      <c r="EJ8" s="304" t="n">
        <v>2017</v>
      </c>
      <c r="EK8" s="304"/>
      <c r="EL8" s="304"/>
      <c r="EM8" s="304" t="n">
        <v>2017</v>
      </c>
      <c r="EN8" s="304"/>
      <c r="EO8" s="304"/>
      <c r="EP8" s="304" t="n">
        <v>2018</v>
      </c>
      <c r="EQ8" s="304"/>
      <c r="ER8" s="304"/>
      <c r="ES8" s="304" t="n">
        <v>2018</v>
      </c>
      <c r="ET8" s="304"/>
      <c r="EU8" s="304"/>
      <c r="EV8" s="304" t="n">
        <v>2018</v>
      </c>
      <c r="EW8" s="304"/>
      <c r="EX8" s="304"/>
      <c r="EY8" s="304" t="n">
        <v>2018</v>
      </c>
      <c r="EZ8" s="304"/>
      <c r="FA8" s="304"/>
      <c r="FB8" s="304" t="n">
        <v>2018</v>
      </c>
      <c r="FC8" s="304"/>
      <c r="FD8" s="304"/>
      <c r="FE8" s="304" t="n">
        <v>2018</v>
      </c>
      <c r="FF8" s="304"/>
      <c r="FG8" s="304"/>
      <c r="FH8" s="304" t="n">
        <v>2018</v>
      </c>
      <c r="FI8" s="304"/>
      <c r="FJ8" s="304"/>
      <c r="FK8" s="304" t="n">
        <v>2018</v>
      </c>
      <c r="FL8" s="304"/>
      <c r="FM8" s="304"/>
      <c r="FN8" s="304" t="n">
        <v>2018</v>
      </c>
      <c r="FO8" s="304"/>
      <c r="FP8" s="304"/>
      <c r="FQ8" s="304" t="n">
        <v>2018</v>
      </c>
      <c r="FR8" s="304"/>
      <c r="FS8" s="304"/>
      <c r="FT8" s="304" t="n">
        <v>2018</v>
      </c>
      <c r="FU8" s="304"/>
      <c r="FV8" s="304"/>
      <c r="FW8" s="304" t="n">
        <v>2018</v>
      </c>
      <c r="FX8" s="304"/>
      <c r="FY8" s="304"/>
      <c r="FZ8" s="304" t="n">
        <v>2018</v>
      </c>
      <c r="GA8" s="304"/>
      <c r="GB8" s="304"/>
      <c r="GC8" s="304" t="n">
        <v>2019</v>
      </c>
      <c r="GD8" s="304"/>
      <c r="GE8" s="304"/>
      <c r="GF8" s="304" t="n">
        <v>2019</v>
      </c>
      <c r="GG8" s="304"/>
      <c r="GH8" s="304"/>
      <c r="GI8" s="304" t="n">
        <v>2019</v>
      </c>
      <c r="GJ8" s="304"/>
      <c r="GK8" s="304"/>
      <c r="GL8" s="304" t="n">
        <v>2019</v>
      </c>
      <c r="GM8" s="304"/>
      <c r="GN8" s="304"/>
      <c r="GO8" s="304" t="n">
        <v>2019</v>
      </c>
      <c r="GP8" s="304"/>
      <c r="GQ8" s="304"/>
      <c r="GR8" s="304" t="n">
        <v>2019</v>
      </c>
      <c r="GS8" s="304"/>
      <c r="GT8" s="304"/>
      <c r="GU8" s="304" t="n">
        <v>2019</v>
      </c>
      <c r="GV8" s="304"/>
      <c r="GW8" s="304"/>
      <c r="GX8" s="304" t="n">
        <v>2019</v>
      </c>
      <c r="GY8" s="304"/>
      <c r="GZ8" s="304"/>
      <c r="HA8" s="304" t="n">
        <v>2019</v>
      </c>
      <c r="HB8" s="304"/>
      <c r="HC8" s="304"/>
      <c r="HD8" s="304" t="n">
        <v>2019</v>
      </c>
      <c r="HE8" s="304"/>
      <c r="HF8" s="304"/>
      <c r="HG8" s="304" t="n">
        <v>2019</v>
      </c>
      <c r="HH8" s="304"/>
      <c r="HI8" s="304"/>
      <c r="HJ8" s="304" t="n">
        <v>2019</v>
      </c>
      <c r="HK8" s="304"/>
      <c r="HL8" s="304"/>
      <c r="HM8" s="304" t="n">
        <v>2019</v>
      </c>
      <c r="HN8" s="304"/>
      <c r="HO8" s="304"/>
      <c r="HP8" s="304" t="n">
        <v>2020</v>
      </c>
      <c r="HQ8" s="304"/>
      <c r="HR8" s="304"/>
      <c r="HS8" s="304" t="n">
        <v>2020</v>
      </c>
      <c r="HT8" s="304"/>
      <c r="HU8" s="304"/>
      <c r="HV8" s="304" t="n">
        <v>2020</v>
      </c>
      <c r="HW8" s="304"/>
      <c r="HX8" s="304"/>
      <c r="HY8" s="304" t="n">
        <v>2020</v>
      </c>
      <c r="HZ8" s="304"/>
      <c r="IA8" s="304"/>
      <c r="IB8" s="304" t="n">
        <v>2020</v>
      </c>
      <c r="IC8" s="304"/>
      <c r="ID8" s="304"/>
      <c r="IE8" s="304" t="n">
        <v>2020</v>
      </c>
      <c r="IF8" s="304"/>
      <c r="IG8" s="304"/>
      <c r="IH8" s="304" t="n">
        <v>2020</v>
      </c>
      <c r="II8" s="304"/>
      <c r="IJ8" s="304"/>
      <c r="IK8" s="304" t="n">
        <v>2020</v>
      </c>
      <c r="IL8" s="304"/>
      <c r="IM8" s="304"/>
      <c r="IN8" s="304" t="n">
        <v>2020</v>
      </c>
      <c r="IO8" s="304"/>
      <c r="IP8" s="304"/>
      <c r="IQ8" s="304" t="n">
        <v>2020</v>
      </c>
      <c r="IR8" s="304"/>
      <c r="IS8" s="304"/>
      <c r="IT8" s="304" t="n">
        <v>2020</v>
      </c>
      <c r="IU8" s="304"/>
      <c r="IV8" s="304"/>
      <c r="IW8" s="304" t="n">
        <v>2020</v>
      </c>
      <c r="IX8" s="304"/>
      <c r="IY8" s="304"/>
      <c r="IZ8" s="304" t="n">
        <v>2020</v>
      </c>
      <c r="JA8" s="304"/>
      <c r="JB8" s="304"/>
      <c r="JC8" s="304" t="n">
        <v>2021</v>
      </c>
      <c r="JD8" s="304"/>
      <c r="JE8" s="304"/>
      <c r="JF8" s="304" t="n">
        <v>2021</v>
      </c>
      <c r="JG8" s="304"/>
      <c r="JH8" s="304"/>
      <c r="JI8" s="304" t="n">
        <v>2021</v>
      </c>
      <c r="JJ8" s="304"/>
      <c r="JK8" s="304"/>
      <c r="JL8" s="304" t="n">
        <v>2021</v>
      </c>
      <c r="JM8" s="304"/>
      <c r="JN8" s="304"/>
      <c r="JO8" s="304" t="n">
        <v>2021</v>
      </c>
      <c r="JP8" s="304"/>
      <c r="JQ8" s="304"/>
      <c r="JR8" s="304" t="n">
        <v>2021</v>
      </c>
      <c r="JS8" s="304"/>
      <c r="JT8" s="304"/>
      <c r="JU8" s="304" t="n">
        <v>2021</v>
      </c>
      <c r="JV8" s="304"/>
      <c r="JW8" s="304"/>
      <c r="JX8" s="304" t="n">
        <v>2021</v>
      </c>
      <c r="JY8" s="304"/>
      <c r="JZ8" s="304"/>
      <c r="KA8" s="304" t="n">
        <v>2021</v>
      </c>
      <c r="KB8" s="304"/>
      <c r="KC8" s="304"/>
      <c r="KD8" s="304" t="n">
        <v>2021</v>
      </c>
      <c r="KE8" s="304"/>
      <c r="KF8" s="304"/>
      <c r="KG8" s="304" t="n">
        <v>2021</v>
      </c>
      <c r="KH8" s="304"/>
      <c r="KI8" s="304"/>
      <c r="KJ8" s="304" t="n">
        <v>2021</v>
      </c>
      <c r="KK8" s="304"/>
      <c r="KL8" s="304"/>
      <c r="KM8" s="304" t="n">
        <v>2021</v>
      </c>
      <c r="KN8" s="304"/>
      <c r="KO8" s="304"/>
      <c r="KP8" s="304" t="n">
        <v>2022</v>
      </c>
      <c r="KQ8" s="304"/>
      <c r="KR8" s="304"/>
      <c r="KS8" s="304" t="n">
        <v>2022</v>
      </c>
      <c r="KT8" s="304"/>
      <c r="KU8" s="304"/>
      <c r="KV8" s="304" t="n">
        <v>2022</v>
      </c>
      <c r="KW8" s="304"/>
      <c r="KX8" s="304"/>
      <c r="KY8" s="304" t="n">
        <v>2022</v>
      </c>
      <c r="KZ8" s="304"/>
      <c r="LA8" s="304"/>
      <c r="LB8" s="304" t="n">
        <v>2022</v>
      </c>
      <c r="LC8" s="304"/>
      <c r="LD8" s="304"/>
      <c r="LE8" s="304" t="n">
        <v>2022</v>
      </c>
      <c r="LF8" s="304"/>
      <c r="LG8" s="304"/>
      <c r="LH8" s="304" t="n">
        <v>2022</v>
      </c>
      <c r="LI8" s="304"/>
      <c r="LJ8" s="304"/>
      <c r="LK8" s="304" t="n">
        <v>2022</v>
      </c>
      <c r="LL8" s="304"/>
      <c r="LM8" s="304"/>
      <c r="LN8" s="304" t="n">
        <v>2022</v>
      </c>
      <c r="LO8" s="304"/>
      <c r="LP8" s="304"/>
      <c r="LQ8" s="304" t="n">
        <v>2022</v>
      </c>
      <c r="LR8" s="304"/>
      <c r="LS8" s="304"/>
      <c r="LT8" s="304" t="n">
        <v>2022</v>
      </c>
      <c r="LU8" s="304"/>
      <c r="LV8" s="304"/>
      <c r="LW8" s="304" t="n">
        <v>2022</v>
      </c>
      <c r="LX8" s="304"/>
      <c r="LY8" s="304"/>
      <c r="LZ8" s="304" t="n">
        <v>2022</v>
      </c>
      <c r="MA8" s="304"/>
      <c r="MB8" s="304"/>
      <c r="MC8" s="304" t="n">
        <v>2023</v>
      </c>
      <c r="MD8" s="304"/>
      <c r="ME8" s="304"/>
      <c r="MF8" s="304" t="n">
        <v>2023</v>
      </c>
      <c r="MG8" s="304"/>
      <c r="MH8" s="304"/>
      <c r="MI8" s="304" t="n">
        <v>2023</v>
      </c>
      <c r="MJ8" s="304"/>
      <c r="MK8" s="304"/>
      <c r="ML8" s="304" t="n">
        <v>2023</v>
      </c>
      <c r="MM8" s="304"/>
      <c r="MN8" s="304"/>
      <c r="MO8" s="304" t="n">
        <v>2023</v>
      </c>
      <c r="MP8" s="304"/>
      <c r="MQ8" s="304"/>
      <c r="MR8" s="304" t="n">
        <v>2023</v>
      </c>
      <c r="MS8" s="304"/>
      <c r="MT8" s="304"/>
      <c r="MU8" s="304" t="n">
        <v>2023</v>
      </c>
      <c r="MV8" s="304"/>
      <c r="MW8" s="304"/>
      <c r="MX8" s="304" t="n">
        <v>2023</v>
      </c>
      <c r="MY8" s="304"/>
      <c r="MZ8" s="304"/>
      <c r="NA8" s="304" t="n">
        <v>2023</v>
      </c>
      <c r="NB8" s="304"/>
      <c r="NC8" s="304"/>
      <c r="ND8" s="304" t="n">
        <v>2023</v>
      </c>
      <c r="NE8" s="304"/>
      <c r="NF8" s="304"/>
      <c r="NG8" s="304" t="n">
        <v>2023</v>
      </c>
      <c r="NH8" s="304"/>
      <c r="NI8" s="304"/>
      <c r="NJ8" s="304" t="n">
        <v>2023</v>
      </c>
      <c r="NK8" s="304"/>
      <c r="NL8" s="304"/>
      <c r="NM8" s="304" t="n">
        <v>2023</v>
      </c>
      <c r="NN8" s="304"/>
      <c r="NO8" s="304"/>
      <c r="NP8" s="304" t="n">
        <v>2024</v>
      </c>
      <c r="NQ8" s="304"/>
      <c r="NR8" s="304"/>
      <c r="NS8" s="304" t="n">
        <v>2024</v>
      </c>
      <c r="NT8" s="304"/>
      <c r="NU8" s="304"/>
      <c r="NV8" s="304" t="n">
        <v>2024</v>
      </c>
      <c r="NW8" s="304"/>
      <c r="NX8" s="304"/>
      <c r="NY8" s="304" t="n">
        <v>2024</v>
      </c>
      <c r="NZ8" s="304"/>
      <c r="OA8" s="304"/>
      <c r="OB8" s="304" t="n">
        <v>2024</v>
      </c>
      <c r="OC8" s="304"/>
      <c r="OD8" s="304"/>
      <c r="OE8" s="304" t="n">
        <v>2024</v>
      </c>
      <c r="OF8" s="304"/>
      <c r="OG8" s="304"/>
      <c r="OH8" s="304" t="n">
        <v>2024</v>
      </c>
      <c r="OI8" s="304"/>
      <c r="OJ8" s="304"/>
      <c r="OK8" s="304" t="n">
        <v>2024</v>
      </c>
      <c r="OL8" s="304"/>
      <c r="OM8" s="304"/>
      <c r="ON8" s="304" t="n">
        <v>2024</v>
      </c>
      <c r="OO8" s="304"/>
      <c r="OP8" s="304"/>
      <c r="OQ8" s="304" t="n">
        <v>2024</v>
      </c>
      <c r="OR8" s="304"/>
      <c r="OS8" s="304"/>
      <c r="OT8" s="304" t="n">
        <v>2024</v>
      </c>
      <c r="OU8" s="304"/>
      <c r="OV8" s="304"/>
      <c r="OW8" s="304" t="n">
        <v>2024</v>
      </c>
      <c r="OX8" s="304"/>
      <c r="OY8" s="304"/>
      <c r="OZ8" s="304" t="n">
        <v>2024</v>
      </c>
      <c r="PA8" s="304"/>
      <c r="PB8" s="304"/>
      <c r="PC8" s="304" t="n">
        <v>2025</v>
      </c>
      <c r="PD8" s="304"/>
      <c r="PE8" s="304"/>
      <c r="PF8" s="304" t="n">
        <v>2025</v>
      </c>
      <c r="PG8" s="304"/>
      <c r="PH8" s="304"/>
      <c r="PI8" s="304" t="n">
        <v>2025</v>
      </c>
      <c r="PJ8" s="304"/>
      <c r="PK8" s="304"/>
      <c r="PL8" s="304" t="n">
        <v>2025</v>
      </c>
      <c r="PM8" s="304"/>
      <c r="PN8" s="304"/>
      <c r="PO8" s="304" t="n">
        <v>2025</v>
      </c>
      <c r="PP8" s="304"/>
      <c r="PQ8" s="304"/>
      <c r="PR8" s="304" t="n">
        <v>2025</v>
      </c>
      <c r="PS8" s="304"/>
      <c r="PT8" s="304"/>
      <c r="PU8" s="304" t="n">
        <v>2025</v>
      </c>
      <c r="PV8" s="304"/>
      <c r="PW8" s="304"/>
      <c r="PX8" s="304" t="n">
        <v>2025</v>
      </c>
      <c r="PY8" s="304"/>
      <c r="PZ8" s="304"/>
      <c r="QA8" s="304" t="n">
        <v>2025</v>
      </c>
      <c r="QB8" s="304"/>
      <c r="QC8" s="304"/>
      <c r="QD8" s="304" t="n">
        <v>2025</v>
      </c>
      <c r="QE8" s="304"/>
      <c r="QF8" s="304"/>
      <c r="QG8" s="304" t="n">
        <v>2025</v>
      </c>
      <c r="QH8" s="304"/>
      <c r="QI8" s="304"/>
      <c r="QJ8" s="304" t="n">
        <v>2025</v>
      </c>
      <c r="QK8" s="304"/>
      <c r="QL8" s="304"/>
      <c r="QM8" s="304" t="n">
        <v>2025</v>
      </c>
      <c r="QN8" s="304"/>
      <c r="QO8" s="304"/>
      <c r="QP8" s="304" t="n">
        <v>2026</v>
      </c>
      <c r="QQ8" s="304"/>
      <c r="QR8" s="304"/>
      <c r="QS8" s="304" t="n">
        <v>2026</v>
      </c>
      <c r="QT8" s="304"/>
      <c r="QU8" s="304"/>
      <c r="QV8" s="304" t="n">
        <v>2026</v>
      </c>
      <c r="QW8" s="304"/>
      <c r="QX8" s="304"/>
      <c r="QY8" s="304" t="n">
        <v>2026</v>
      </c>
      <c r="QZ8" s="304"/>
      <c r="RA8" s="304"/>
      <c r="RB8" s="304" t="n">
        <v>2026</v>
      </c>
      <c r="RC8" s="304"/>
      <c r="RD8" s="304"/>
      <c r="RE8" s="304" t="n">
        <v>2026</v>
      </c>
      <c r="RF8" s="304"/>
      <c r="RG8" s="304"/>
      <c r="RH8" s="304" t="n">
        <v>2026</v>
      </c>
      <c r="RI8" s="304"/>
      <c r="RJ8" s="304"/>
      <c r="RK8" s="304" t="n">
        <v>2026</v>
      </c>
      <c r="RL8" s="304"/>
      <c r="RM8" s="304"/>
      <c r="RN8" s="304" t="n">
        <v>2026</v>
      </c>
      <c r="RO8" s="304"/>
      <c r="RP8" s="304"/>
      <c r="RQ8" s="304" t="n">
        <v>2026</v>
      </c>
      <c r="RR8" s="304"/>
      <c r="RS8" s="304"/>
      <c r="RT8" s="304" t="n">
        <v>2026</v>
      </c>
      <c r="RU8" s="304"/>
      <c r="RV8" s="304"/>
      <c r="RW8" s="304" t="n">
        <v>2026</v>
      </c>
      <c r="RX8" s="304"/>
      <c r="RY8" s="304"/>
      <c r="RZ8" s="304" t="n">
        <v>2026</v>
      </c>
      <c r="SA8" s="304"/>
      <c r="SB8" s="304"/>
    </row>
    <row r="9" customFormat="false" ht="29.25" hidden="false" customHeight="true" outlineLevel="0" collapsed="false">
      <c r="A9" s="299" t="s">
        <v>4176</v>
      </c>
      <c r="B9" s="305" t="s">
        <v>4177</v>
      </c>
      <c r="C9" s="306" t="s">
        <v>4178</v>
      </c>
      <c r="D9" s="306" t="s">
        <v>4179</v>
      </c>
      <c r="E9" s="306" t="s">
        <v>4180</v>
      </c>
      <c r="F9" s="307" t="s">
        <v>4181</v>
      </c>
      <c r="G9" s="308" t="s">
        <v>4182</v>
      </c>
      <c r="H9" s="307"/>
      <c r="I9" s="307"/>
      <c r="J9" s="309"/>
      <c r="K9" s="310" t="s">
        <v>4183</v>
      </c>
      <c r="L9" s="310"/>
      <c r="M9" s="310"/>
      <c r="N9" s="310" t="s">
        <v>4184</v>
      </c>
      <c r="O9" s="310"/>
      <c r="P9" s="310"/>
      <c r="Q9" s="310" t="s">
        <v>4185</v>
      </c>
      <c r="R9" s="310"/>
      <c r="S9" s="310"/>
      <c r="T9" s="310" t="s">
        <v>4186</v>
      </c>
      <c r="U9" s="310"/>
      <c r="V9" s="310"/>
      <c r="W9" s="310" t="s">
        <v>4187</v>
      </c>
      <c r="X9" s="310"/>
      <c r="Y9" s="310"/>
      <c r="Z9" s="310" t="s">
        <v>4188</v>
      </c>
      <c r="AA9" s="310"/>
      <c r="AB9" s="310"/>
      <c r="AC9" s="310" t="s">
        <v>4189</v>
      </c>
      <c r="AD9" s="310"/>
      <c r="AE9" s="310"/>
      <c r="AF9" s="310" t="s">
        <v>4190</v>
      </c>
      <c r="AG9" s="310"/>
      <c r="AH9" s="310"/>
      <c r="AI9" s="310" t="s">
        <v>4191</v>
      </c>
      <c r="AJ9" s="310"/>
      <c r="AK9" s="310"/>
      <c r="AL9" s="310" t="s">
        <v>4192</v>
      </c>
      <c r="AM9" s="310"/>
      <c r="AN9" s="310"/>
      <c r="AO9" s="310" t="s">
        <v>4193</v>
      </c>
      <c r="AP9" s="310"/>
      <c r="AQ9" s="310"/>
      <c r="AR9" s="310" t="s">
        <v>4194</v>
      </c>
      <c r="AS9" s="310"/>
      <c r="AT9" s="310"/>
      <c r="AU9" s="310" t="s">
        <v>4195</v>
      </c>
      <c r="AV9" s="310"/>
      <c r="AW9" s="310"/>
      <c r="AX9" s="310" t="s">
        <v>4183</v>
      </c>
      <c r="AY9" s="310"/>
      <c r="AZ9" s="310"/>
      <c r="BA9" s="310" t="s">
        <v>4184</v>
      </c>
      <c r="BB9" s="310"/>
      <c r="BC9" s="310"/>
      <c r="BD9" s="310" t="s">
        <v>4185</v>
      </c>
      <c r="BE9" s="310"/>
      <c r="BF9" s="310"/>
      <c r="BG9" s="310" t="s">
        <v>4186</v>
      </c>
      <c r="BH9" s="310"/>
      <c r="BI9" s="310"/>
      <c r="BJ9" s="310" t="s">
        <v>4187</v>
      </c>
      <c r="BK9" s="310"/>
      <c r="BL9" s="310"/>
      <c r="BM9" s="310" t="s">
        <v>4188</v>
      </c>
      <c r="BN9" s="310"/>
      <c r="BO9" s="310"/>
      <c r="BP9" s="310" t="s">
        <v>4189</v>
      </c>
      <c r="BQ9" s="310"/>
      <c r="BR9" s="310"/>
      <c r="BS9" s="310" t="s">
        <v>4190</v>
      </c>
      <c r="BT9" s="310"/>
      <c r="BU9" s="310"/>
      <c r="BV9" s="310" t="s">
        <v>4191</v>
      </c>
      <c r="BW9" s="310"/>
      <c r="BX9" s="310"/>
      <c r="BY9" s="310" t="s">
        <v>4192</v>
      </c>
      <c r="BZ9" s="310"/>
      <c r="CA9" s="310"/>
      <c r="CB9" s="310" t="s">
        <v>4193</v>
      </c>
      <c r="CC9" s="310"/>
      <c r="CD9" s="310"/>
      <c r="CE9" s="310" t="s">
        <v>4194</v>
      </c>
      <c r="CF9" s="310"/>
      <c r="CG9" s="310"/>
      <c r="CH9" s="310" t="s">
        <v>4195</v>
      </c>
      <c r="CI9" s="310"/>
      <c r="CJ9" s="310"/>
      <c r="CK9" s="310" t="s">
        <v>4183</v>
      </c>
      <c r="CL9" s="310"/>
      <c r="CM9" s="310"/>
      <c r="CN9" s="310" t="s">
        <v>4184</v>
      </c>
      <c r="CO9" s="310"/>
      <c r="CP9" s="310"/>
      <c r="CQ9" s="310" t="s">
        <v>4185</v>
      </c>
      <c r="CR9" s="310"/>
      <c r="CS9" s="310"/>
      <c r="CT9" s="310" t="s">
        <v>4186</v>
      </c>
      <c r="CU9" s="310"/>
      <c r="CV9" s="310"/>
      <c r="CW9" s="310" t="s">
        <v>4187</v>
      </c>
      <c r="CX9" s="310"/>
      <c r="CY9" s="310"/>
      <c r="CZ9" s="310" t="s">
        <v>4188</v>
      </c>
      <c r="DA9" s="310"/>
      <c r="DB9" s="310"/>
      <c r="DC9" s="310" t="s">
        <v>4189</v>
      </c>
      <c r="DD9" s="310"/>
      <c r="DE9" s="310"/>
      <c r="DF9" s="310" t="s">
        <v>4190</v>
      </c>
      <c r="DG9" s="310"/>
      <c r="DH9" s="310"/>
      <c r="DI9" s="310" t="s">
        <v>4191</v>
      </c>
      <c r="DJ9" s="310"/>
      <c r="DK9" s="310"/>
      <c r="DL9" s="310" t="s">
        <v>4192</v>
      </c>
      <c r="DM9" s="310"/>
      <c r="DN9" s="310"/>
      <c r="DO9" s="310" t="s">
        <v>4193</v>
      </c>
      <c r="DP9" s="310"/>
      <c r="DQ9" s="310"/>
      <c r="DR9" s="310" t="s">
        <v>4194</v>
      </c>
      <c r="DS9" s="310"/>
      <c r="DT9" s="310"/>
      <c r="DU9" s="310" t="s">
        <v>4195</v>
      </c>
      <c r="DV9" s="310"/>
      <c r="DW9" s="310"/>
      <c r="DX9" s="310" t="s">
        <v>4183</v>
      </c>
      <c r="DY9" s="310"/>
      <c r="DZ9" s="310"/>
      <c r="EA9" s="310" t="s">
        <v>4184</v>
      </c>
      <c r="EB9" s="310"/>
      <c r="EC9" s="310"/>
      <c r="ED9" s="310" t="s">
        <v>4185</v>
      </c>
      <c r="EE9" s="310"/>
      <c r="EF9" s="310"/>
      <c r="EG9" s="310" t="s">
        <v>4186</v>
      </c>
      <c r="EH9" s="310"/>
      <c r="EI9" s="310"/>
      <c r="EJ9" s="310" t="s">
        <v>4187</v>
      </c>
      <c r="EK9" s="310"/>
      <c r="EL9" s="310"/>
      <c r="EM9" s="310" t="s">
        <v>4188</v>
      </c>
      <c r="EN9" s="310"/>
      <c r="EO9" s="310"/>
      <c r="EP9" s="310" t="s">
        <v>4189</v>
      </c>
      <c r="EQ9" s="310"/>
      <c r="ER9" s="310"/>
      <c r="ES9" s="310" t="s">
        <v>4190</v>
      </c>
      <c r="ET9" s="310"/>
      <c r="EU9" s="310"/>
      <c r="EV9" s="310" t="s">
        <v>4191</v>
      </c>
      <c r="EW9" s="310"/>
      <c r="EX9" s="310"/>
      <c r="EY9" s="310" t="s">
        <v>4192</v>
      </c>
      <c r="EZ9" s="310"/>
      <c r="FA9" s="310"/>
      <c r="FB9" s="310" t="s">
        <v>4193</v>
      </c>
      <c r="FC9" s="310"/>
      <c r="FD9" s="310"/>
      <c r="FE9" s="310" t="s">
        <v>4194</v>
      </c>
      <c r="FF9" s="310"/>
      <c r="FG9" s="310"/>
      <c r="FH9" s="310" t="s">
        <v>4195</v>
      </c>
      <c r="FI9" s="310"/>
      <c r="FJ9" s="310"/>
      <c r="FK9" s="310" t="s">
        <v>4183</v>
      </c>
      <c r="FL9" s="310"/>
      <c r="FM9" s="310"/>
      <c r="FN9" s="310" t="s">
        <v>4184</v>
      </c>
      <c r="FO9" s="310"/>
      <c r="FP9" s="310"/>
      <c r="FQ9" s="310" t="s">
        <v>4185</v>
      </c>
      <c r="FR9" s="310"/>
      <c r="FS9" s="310"/>
      <c r="FT9" s="310" t="s">
        <v>4186</v>
      </c>
      <c r="FU9" s="310"/>
      <c r="FV9" s="310"/>
      <c r="FW9" s="310" t="s">
        <v>4187</v>
      </c>
      <c r="FX9" s="310"/>
      <c r="FY9" s="310"/>
      <c r="FZ9" s="310" t="s">
        <v>4196</v>
      </c>
      <c r="GA9" s="310"/>
      <c r="GB9" s="310"/>
      <c r="GC9" s="310" t="s">
        <v>4189</v>
      </c>
      <c r="GD9" s="310"/>
      <c r="GE9" s="310"/>
      <c r="GF9" s="310" t="s">
        <v>4190</v>
      </c>
      <c r="GG9" s="310"/>
      <c r="GH9" s="310"/>
      <c r="GI9" s="310" t="s">
        <v>4191</v>
      </c>
      <c r="GJ9" s="310"/>
      <c r="GK9" s="310"/>
      <c r="GL9" s="310" t="s">
        <v>4192</v>
      </c>
      <c r="GM9" s="310"/>
      <c r="GN9" s="310"/>
      <c r="GO9" s="310" t="s">
        <v>4193</v>
      </c>
      <c r="GP9" s="310"/>
      <c r="GQ9" s="310"/>
      <c r="GR9" s="310" t="s">
        <v>4194</v>
      </c>
      <c r="GS9" s="310"/>
      <c r="GT9" s="310"/>
      <c r="GU9" s="310" t="s">
        <v>4195</v>
      </c>
      <c r="GV9" s="310"/>
      <c r="GW9" s="310"/>
      <c r="GX9" s="310" t="s">
        <v>4183</v>
      </c>
      <c r="GY9" s="310"/>
      <c r="GZ9" s="310"/>
      <c r="HA9" s="310" t="s">
        <v>4184</v>
      </c>
      <c r="HB9" s="310"/>
      <c r="HC9" s="310"/>
      <c r="HD9" s="310" t="s">
        <v>4185</v>
      </c>
      <c r="HE9" s="310"/>
      <c r="HF9" s="310"/>
      <c r="HG9" s="310" t="s">
        <v>4186</v>
      </c>
      <c r="HH9" s="310"/>
      <c r="HI9" s="310"/>
      <c r="HJ9" s="310" t="s">
        <v>4187</v>
      </c>
      <c r="HK9" s="310"/>
      <c r="HL9" s="310"/>
      <c r="HM9" s="310" t="s">
        <v>4196</v>
      </c>
      <c r="HN9" s="310"/>
      <c r="HO9" s="310"/>
      <c r="HP9" s="310" t="s">
        <v>4189</v>
      </c>
      <c r="HQ9" s="310"/>
      <c r="HR9" s="310"/>
      <c r="HS9" s="310" t="s">
        <v>4190</v>
      </c>
      <c r="HT9" s="310"/>
      <c r="HU9" s="310"/>
      <c r="HV9" s="310" t="s">
        <v>4191</v>
      </c>
      <c r="HW9" s="310"/>
      <c r="HX9" s="310"/>
      <c r="HY9" s="310" t="s">
        <v>4192</v>
      </c>
      <c r="HZ9" s="310"/>
      <c r="IA9" s="310"/>
      <c r="IB9" s="310" t="s">
        <v>4193</v>
      </c>
      <c r="IC9" s="310"/>
      <c r="ID9" s="310"/>
      <c r="IE9" s="310" t="s">
        <v>4194</v>
      </c>
      <c r="IF9" s="310"/>
      <c r="IG9" s="310"/>
      <c r="IH9" s="310" t="s">
        <v>4195</v>
      </c>
      <c r="II9" s="310"/>
      <c r="IJ9" s="310"/>
      <c r="IK9" s="310" t="s">
        <v>4183</v>
      </c>
      <c r="IL9" s="310"/>
      <c r="IM9" s="310"/>
      <c r="IN9" s="310" t="s">
        <v>4184</v>
      </c>
      <c r="IO9" s="310"/>
      <c r="IP9" s="310"/>
      <c r="IQ9" s="310" t="s">
        <v>4185</v>
      </c>
      <c r="IR9" s="310"/>
      <c r="IS9" s="310"/>
      <c r="IT9" s="310" t="s">
        <v>4186</v>
      </c>
      <c r="IU9" s="310"/>
      <c r="IV9" s="310"/>
      <c r="IW9" s="310" t="s">
        <v>4187</v>
      </c>
      <c r="IX9" s="310"/>
      <c r="IY9" s="310"/>
      <c r="IZ9" s="310" t="s">
        <v>4196</v>
      </c>
      <c r="JA9" s="310"/>
      <c r="JB9" s="310"/>
      <c r="JC9" s="310" t="s">
        <v>4189</v>
      </c>
      <c r="JD9" s="310"/>
      <c r="JE9" s="310"/>
      <c r="JF9" s="310" t="s">
        <v>4190</v>
      </c>
      <c r="JG9" s="310"/>
      <c r="JH9" s="310"/>
      <c r="JI9" s="310" t="s">
        <v>4191</v>
      </c>
      <c r="JJ9" s="310"/>
      <c r="JK9" s="310"/>
      <c r="JL9" s="310" t="s">
        <v>4192</v>
      </c>
      <c r="JM9" s="310"/>
      <c r="JN9" s="310"/>
      <c r="JO9" s="310" t="s">
        <v>4193</v>
      </c>
      <c r="JP9" s="310"/>
      <c r="JQ9" s="310"/>
      <c r="JR9" s="310" t="s">
        <v>4194</v>
      </c>
      <c r="JS9" s="310"/>
      <c r="JT9" s="310"/>
      <c r="JU9" s="310" t="s">
        <v>4195</v>
      </c>
      <c r="JV9" s="310"/>
      <c r="JW9" s="310"/>
      <c r="JX9" s="310" t="s">
        <v>4183</v>
      </c>
      <c r="JY9" s="310"/>
      <c r="JZ9" s="310"/>
      <c r="KA9" s="310" t="s">
        <v>4184</v>
      </c>
      <c r="KB9" s="310"/>
      <c r="KC9" s="310"/>
      <c r="KD9" s="310" t="s">
        <v>4185</v>
      </c>
      <c r="KE9" s="310"/>
      <c r="KF9" s="310"/>
      <c r="KG9" s="310" t="s">
        <v>4186</v>
      </c>
      <c r="KH9" s="310"/>
      <c r="KI9" s="310"/>
      <c r="KJ9" s="310" t="s">
        <v>4187</v>
      </c>
      <c r="KK9" s="310"/>
      <c r="KL9" s="310"/>
      <c r="KM9" s="310" t="s">
        <v>4196</v>
      </c>
      <c r="KN9" s="310"/>
      <c r="KO9" s="310"/>
      <c r="KP9" s="310" t="s">
        <v>4189</v>
      </c>
      <c r="KQ9" s="310"/>
      <c r="KR9" s="310"/>
      <c r="KS9" s="310" t="s">
        <v>4190</v>
      </c>
      <c r="KT9" s="310"/>
      <c r="KU9" s="310"/>
      <c r="KV9" s="310" t="s">
        <v>4191</v>
      </c>
      <c r="KW9" s="310"/>
      <c r="KX9" s="310"/>
      <c r="KY9" s="310" t="s">
        <v>4192</v>
      </c>
      <c r="KZ9" s="310"/>
      <c r="LA9" s="310"/>
      <c r="LB9" s="310" t="s">
        <v>4193</v>
      </c>
      <c r="LC9" s="310"/>
      <c r="LD9" s="310"/>
      <c r="LE9" s="310" t="s">
        <v>4194</v>
      </c>
      <c r="LF9" s="310"/>
      <c r="LG9" s="310"/>
      <c r="LH9" s="310" t="s">
        <v>4195</v>
      </c>
      <c r="LI9" s="310"/>
      <c r="LJ9" s="310"/>
      <c r="LK9" s="310" t="s">
        <v>4183</v>
      </c>
      <c r="LL9" s="310"/>
      <c r="LM9" s="310"/>
      <c r="LN9" s="310" t="s">
        <v>4184</v>
      </c>
      <c r="LO9" s="310"/>
      <c r="LP9" s="310"/>
      <c r="LQ9" s="310" t="s">
        <v>4185</v>
      </c>
      <c r="LR9" s="310"/>
      <c r="LS9" s="310"/>
      <c r="LT9" s="310" t="s">
        <v>4186</v>
      </c>
      <c r="LU9" s="310"/>
      <c r="LV9" s="310"/>
      <c r="LW9" s="310" t="s">
        <v>4187</v>
      </c>
      <c r="LX9" s="310"/>
      <c r="LY9" s="310"/>
      <c r="LZ9" s="310" t="s">
        <v>4196</v>
      </c>
      <c r="MA9" s="310"/>
      <c r="MB9" s="310"/>
      <c r="MC9" s="310" t="s">
        <v>4189</v>
      </c>
      <c r="MD9" s="310"/>
      <c r="ME9" s="310"/>
      <c r="MF9" s="310" t="s">
        <v>4190</v>
      </c>
      <c r="MG9" s="310"/>
      <c r="MH9" s="310"/>
      <c r="MI9" s="310" t="s">
        <v>4191</v>
      </c>
      <c r="MJ9" s="310"/>
      <c r="MK9" s="310"/>
      <c r="ML9" s="310" t="s">
        <v>4192</v>
      </c>
      <c r="MM9" s="310"/>
      <c r="MN9" s="310"/>
      <c r="MO9" s="310" t="s">
        <v>4193</v>
      </c>
      <c r="MP9" s="310"/>
      <c r="MQ9" s="310"/>
      <c r="MR9" s="310" t="s">
        <v>4194</v>
      </c>
      <c r="MS9" s="310"/>
      <c r="MT9" s="310"/>
      <c r="MU9" s="310" t="s">
        <v>4195</v>
      </c>
      <c r="MV9" s="310"/>
      <c r="MW9" s="310"/>
      <c r="MX9" s="310" t="s">
        <v>4183</v>
      </c>
      <c r="MY9" s="310"/>
      <c r="MZ9" s="310"/>
      <c r="NA9" s="310" t="s">
        <v>4184</v>
      </c>
      <c r="NB9" s="310"/>
      <c r="NC9" s="310"/>
      <c r="ND9" s="310" t="s">
        <v>4185</v>
      </c>
      <c r="NE9" s="310"/>
      <c r="NF9" s="310"/>
      <c r="NG9" s="310" t="s">
        <v>4186</v>
      </c>
      <c r="NH9" s="310"/>
      <c r="NI9" s="310"/>
      <c r="NJ9" s="310" t="s">
        <v>4187</v>
      </c>
      <c r="NK9" s="310"/>
      <c r="NL9" s="310"/>
      <c r="NM9" s="310" t="s">
        <v>4196</v>
      </c>
      <c r="NN9" s="310"/>
      <c r="NO9" s="310"/>
      <c r="NP9" s="310" t="s">
        <v>4189</v>
      </c>
      <c r="NQ9" s="310"/>
      <c r="NR9" s="310"/>
      <c r="NS9" s="310" t="s">
        <v>4190</v>
      </c>
      <c r="NT9" s="310"/>
      <c r="NU9" s="310"/>
      <c r="NV9" s="310" t="s">
        <v>4191</v>
      </c>
      <c r="NW9" s="310"/>
      <c r="NX9" s="310"/>
      <c r="NY9" s="310" t="s">
        <v>4192</v>
      </c>
      <c r="NZ9" s="310"/>
      <c r="OA9" s="310"/>
      <c r="OB9" s="310" t="s">
        <v>4193</v>
      </c>
      <c r="OC9" s="310"/>
      <c r="OD9" s="310"/>
      <c r="OE9" s="310" t="s">
        <v>4194</v>
      </c>
      <c r="OF9" s="310"/>
      <c r="OG9" s="310"/>
      <c r="OH9" s="310" t="s">
        <v>4195</v>
      </c>
      <c r="OI9" s="310"/>
      <c r="OJ9" s="310"/>
      <c r="OK9" s="310" t="s">
        <v>4183</v>
      </c>
      <c r="OL9" s="310"/>
      <c r="OM9" s="310"/>
      <c r="ON9" s="310" t="s">
        <v>4184</v>
      </c>
      <c r="OO9" s="310"/>
      <c r="OP9" s="310"/>
      <c r="OQ9" s="310" t="s">
        <v>4185</v>
      </c>
      <c r="OR9" s="310"/>
      <c r="OS9" s="310"/>
      <c r="OT9" s="310" t="s">
        <v>4186</v>
      </c>
      <c r="OU9" s="310"/>
      <c r="OV9" s="310"/>
      <c r="OW9" s="310" t="s">
        <v>4187</v>
      </c>
      <c r="OX9" s="310"/>
      <c r="OY9" s="310"/>
      <c r="OZ9" s="310" t="s">
        <v>4196</v>
      </c>
      <c r="PA9" s="310"/>
      <c r="PB9" s="310"/>
      <c r="PC9" s="310" t="s">
        <v>4189</v>
      </c>
      <c r="PD9" s="310"/>
      <c r="PE9" s="310"/>
      <c r="PF9" s="310" t="s">
        <v>4190</v>
      </c>
      <c r="PG9" s="310"/>
      <c r="PH9" s="310"/>
      <c r="PI9" s="310" t="s">
        <v>4191</v>
      </c>
      <c r="PJ9" s="310"/>
      <c r="PK9" s="310"/>
      <c r="PL9" s="310" t="s">
        <v>4192</v>
      </c>
      <c r="PM9" s="310"/>
      <c r="PN9" s="310"/>
      <c r="PO9" s="310" t="s">
        <v>4193</v>
      </c>
      <c r="PP9" s="310"/>
      <c r="PQ9" s="310"/>
      <c r="PR9" s="310" t="s">
        <v>4194</v>
      </c>
      <c r="PS9" s="310"/>
      <c r="PT9" s="310"/>
      <c r="PU9" s="310" t="s">
        <v>4195</v>
      </c>
      <c r="PV9" s="310"/>
      <c r="PW9" s="310"/>
      <c r="PX9" s="310" t="s">
        <v>4183</v>
      </c>
      <c r="PY9" s="310"/>
      <c r="PZ9" s="310"/>
      <c r="QA9" s="310" t="s">
        <v>4184</v>
      </c>
      <c r="QB9" s="310"/>
      <c r="QC9" s="310"/>
      <c r="QD9" s="310" t="s">
        <v>4185</v>
      </c>
      <c r="QE9" s="310"/>
      <c r="QF9" s="310"/>
      <c r="QG9" s="310" t="s">
        <v>4186</v>
      </c>
      <c r="QH9" s="310"/>
      <c r="QI9" s="310"/>
      <c r="QJ9" s="310" t="s">
        <v>4187</v>
      </c>
      <c r="QK9" s="310"/>
      <c r="QL9" s="310"/>
      <c r="QM9" s="310" t="s">
        <v>4196</v>
      </c>
      <c r="QN9" s="310"/>
      <c r="QO9" s="310"/>
      <c r="QP9" s="310" t="s">
        <v>4189</v>
      </c>
      <c r="QQ9" s="310"/>
      <c r="QR9" s="310"/>
      <c r="QS9" s="310" t="s">
        <v>4190</v>
      </c>
      <c r="QT9" s="310"/>
      <c r="QU9" s="310"/>
      <c r="QV9" s="310" t="s">
        <v>4191</v>
      </c>
      <c r="QW9" s="310"/>
      <c r="QX9" s="310"/>
      <c r="QY9" s="310" t="s">
        <v>4192</v>
      </c>
      <c r="QZ9" s="310"/>
      <c r="RA9" s="310"/>
      <c r="RB9" s="310" t="s">
        <v>4193</v>
      </c>
      <c r="RC9" s="310"/>
      <c r="RD9" s="310"/>
      <c r="RE9" s="310" t="s">
        <v>4194</v>
      </c>
      <c r="RF9" s="310"/>
      <c r="RG9" s="310"/>
      <c r="RH9" s="310" t="s">
        <v>4195</v>
      </c>
      <c r="RI9" s="310"/>
      <c r="RJ9" s="310"/>
      <c r="RK9" s="310" t="s">
        <v>4183</v>
      </c>
      <c r="RL9" s="310"/>
      <c r="RM9" s="310"/>
      <c r="RN9" s="310" t="s">
        <v>4184</v>
      </c>
      <c r="RO9" s="310"/>
      <c r="RP9" s="310"/>
      <c r="RQ9" s="310" t="s">
        <v>4185</v>
      </c>
      <c r="RR9" s="310"/>
      <c r="RS9" s="310"/>
      <c r="RT9" s="310" t="s">
        <v>4186</v>
      </c>
      <c r="RU9" s="310"/>
      <c r="RV9" s="310"/>
      <c r="RW9" s="310" t="s">
        <v>4187</v>
      </c>
      <c r="RX9" s="310"/>
      <c r="RY9" s="310"/>
      <c r="RZ9" s="310" t="s">
        <v>4196</v>
      </c>
      <c r="SA9" s="310"/>
      <c r="SB9" s="310"/>
    </row>
    <row r="10" s="318" customFormat="true" ht="78" hidden="false" customHeight="true" outlineLevel="0" collapsed="false">
      <c r="A10" s="311"/>
      <c r="B10" s="312"/>
      <c r="C10" s="312"/>
      <c r="D10" s="312"/>
      <c r="E10" s="311"/>
      <c r="F10" s="312"/>
      <c r="G10" s="313"/>
      <c r="H10" s="312"/>
      <c r="I10" s="312"/>
      <c r="J10" s="312"/>
      <c r="K10" s="314" t="s">
        <v>4197</v>
      </c>
      <c r="L10" s="314" t="s">
        <v>4198</v>
      </c>
      <c r="M10" s="315" t="s">
        <v>4199</v>
      </c>
      <c r="N10" s="314" t="s">
        <v>4197</v>
      </c>
      <c r="O10" s="314" t="s">
        <v>4198</v>
      </c>
      <c r="P10" s="315" t="s">
        <v>4199</v>
      </c>
      <c r="Q10" s="314" t="s">
        <v>4197</v>
      </c>
      <c r="R10" s="314" t="s">
        <v>4198</v>
      </c>
      <c r="S10" s="315" t="s">
        <v>4199</v>
      </c>
      <c r="T10" s="314" t="s">
        <v>4197</v>
      </c>
      <c r="U10" s="314" t="s">
        <v>4198</v>
      </c>
      <c r="V10" s="315" t="s">
        <v>4199</v>
      </c>
      <c r="W10" s="316" t="s">
        <v>4197</v>
      </c>
      <c r="X10" s="314" t="s">
        <v>4198</v>
      </c>
      <c r="Y10" s="315" t="s">
        <v>4199</v>
      </c>
      <c r="Z10" s="314" t="s">
        <v>4197</v>
      </c>
      <c r="AA10" s="314" t="s">
        <v>4198</v>
      </c>
      <c r="AB10" s="315" t="s">
        <v>4199</v>
      </c>
      <c r="AC10" s="317" t="s">
        <v>4197</v>
      </c>
      <c r="AD10" s="314" t="s">
        <v>4198</v>
      </c>
      <c r="AE10" s="315" t="s">
        <v>4199</v>
      </c>
      <c r="AF10" s="314" t="s">
        <v>4197</v>
      </c>
      <c r="AG10" s="314" t="s">
        <v>4198</v>
      </c>
      <c r="AH10" s="315" t="s">
        <v>4199</v>
      </c>
      <c r="AI10" s="314" t="s">
        <v>4197</v>
      </c>
      <c r="AJ10" s="314" t="s">
        <v>4198</v>
      </c>
      <c r="AK10" s="315" t="s">
        <v>4199</v>
      </c>
      <c r="AL10" s="314" t="s">
        <v>4197</v>
      </c>
      <c r="AM10" s="314" t="s">
        <v>4198</v>
      </c>
      <c r="AN10" s="315" t="s">
        <v>4199</v>
      </c>
      <c r="AO10" s="317" t="s">
        <v>4197</v>
      </c>
      <c r="AP10" s="314" t="s">
        <v>4198</v>
      </c>
      <c r="AQ10" s="315" t="s">
        <v>4199</v>
      </c>
      <c r="AR10" s="317" t="s">
        <v>4197</v>
      </c>
      <c r="AS10" s="314" t="s">
        <v>4198</v>
      </c>
      <c r="AT10" s="315" t="s">
        <v>4199</v>
      </c>
      <c r="AU10" s="317" t="s">
        <v>4197</v>
      </c>
      <c r="AV10" s="314" t="s">
        <v>4198</v>
      </c>
      <c r="AW10" s="315" t="s">
        <v>4199</v>
      </c>
      <c r="AX10" s="317" t="s">
        <v>4197</v>
      </c>
      <c r="AY10" s="314" t="s">
        <v>4198</v>
      </c>
      <c r="AZ10" s="315" t="s">
        <v>4199</v>
      </c>
      <c r="BA10" s="314" t="s">
        <v>4197</v>
      </c>
      <c r="BB10" s="314" t="s">
        <v>4198</v>
      </c>
      <c r="BC10" s="315" t="s">
        <v>4199</v>
      </c>
      <c r="BD10" s="317" t="s">
        <v>4197</v>
      </c>
      <c r="BE10" s="314" t="s">
        <v>4198</v>
      </c>
      <c r="BF10" s="315" t="s">
        <v>4199</v>
      </c>
      <c r="BG10" s="317" t="s">
        <v>4197</v>
      </c>
      <c r="BH10" s="314" t="s">
        <v>4198</v>
      </c>
      <c r="BI10" s="315" t="s">
        <v>4199</v>
      </c>
      <c r="BJ10" s="317" t="s">
        <v>4197</v>
      </c>
      <c r="BK10" s="314" t="s">
        <v>4198</v>
      </c>
      <c r="BL10" s="315" t="s">
        <v>4199</v>
      </c>
      <c r="BM10" s="314" t="s">
        <v>4197</v>
      </c>
      <c r="BN10" s="314" t="s">
        <v>4198</v>
      </c>
      <c r="BO10" s="315" t="s">
        <v>4199</v>
      </c>
      <c r="BP10" s="317" t="s">
        <v>4197</v>
      </c>
      <c r="BQ10" s="314" t="s">
        <v>4198</v>
      </c>
      <c r="BR10" s="315" t="s">
        <v>4199</v>
      </c>
      <c r="BS10" s="317" t="s">
        <v>4197</v>
      </c>
      <c r="BT10" s="314" t="s">
        <v>4198</v>
      </c>
      <c r="BU10" s="315" t="s">
        <v>4199</v>
      </c>
      <c r="BV10" s="317" t="s">
        <v>4197</v>
      </c>
      <c r="BW10" s="314" t="s">
        <v>4198</v>
      </c>
      <c r="BX10" s="315" t="s">
        <v>4199</v>
      </c>
      <c r="BY10" s="317" t="s">
        <v>4197</v>
      </c>
      <c r="BZ10" s="314" t="s">
        <v>4198</v>
      </c>
      <c r="CA10" s="315" t="s">
        <v>4199</v>
      </c>
      <c r="CB10" s="317" t="s">
        <v>4197</v>
      </c>
      <c r="CC10" s="314" t="s">
        <v>4198</v>
      </c>
      <c r="CD10" s="315" t="s">
        <v>4199</v>
      </c>
      <c r="CE10" s="317" t="s">
        <v>4197</v>
      </c>
      <c r="CF10" s="314" t="s">
        <v>4198</v>
      </c>
      <c r="CG10" s="315" t="s">
        <v>4199</v>
      </c>
      <c r="CH10" s="317" t="s">
        <v>4197</v>
      </c>
      <c r="CI10" s="314" t="s">
        <v>4198</v>
      </c>
      <c r="CJ10" s="315" t="s">
        <v>4199</v>
      </c>
      <c r="CK10" s="317" t="s">
        <v>4197</v>
      </c>
      <c r="CL10" s="314" t="s">
        <v>4198</v>
      </c>
      <c r="CM10" s="315" t="s">
        <v>4199</v>
      </c>
      <c r="CN10" s="314" t="s">
        <v>4197</v>
      </c>
      <c r="CO10" s="314" t="s">
        <v>4198</v>
      </c>
      <c r="CP10" s="315" t="s">
        <v>4199</v>
      </c>
      <c r="CQ10" s="317" t="s">
        <v>4197</v>
      </c>
      <c r="CR10" s="314" t="s">
        <v>4198</v>
      </c>
      <c r="CS10" s="315" t="s">
        <v>4199</v>
      </c>
      <c r="CT10" s="314" t="s">
        <v>4197</v>
      </c>
      <c r="CU10" s="314" t="s">
        <v>4198</v>
      </c>
      <c r="CV10" s="315" t="s">
        <v>4199</v>
      </c>
      <c r="CW10" s="317" t="s">
        <v>4197</v>
      </c>
      <c r="CX10" s="314" t="s">
        <v>4198</v>
      </c>
      <c r="CY10" s="315" t="s">
        <v>4199</v>
      </c>
      <c r="CZ10" s="314" t="s">
        <v>4197</v>
      </c>
      <c r="DA10" s="314" t="s">
        <v>4198</v>
      </c>
      <c r="DB10" s="315" t="s">
        <v>4199</v>
      </c>
      <c r="DC10" s="314" t="s">
        <v>4197</v>
      </c>
      <c r="DD10" s="314" t="s">
        <v>4198</v>
      </c>
      <c r="DE10" s="315" t="s">
        <v>4199</v>
      </c>
      <c r="DF10" s="314" t="s">
        <v>4197</v>
      </c>
      <c r="DG10" s="314" t="s">
        <v>4198</v>
      </c>
      <c r="DH10" s="315" t="s">
        <v>4199</v>
      </c>
      <c r="DI10" s="314" t="s">
        <v>4197</v>
      </c>
      <c r="DJ10" s="314" t="s">
        <v>4198</v>
      </c>
      <c r="DK10" s="315" t="s">
        <v>4199</v>
      </c>
      <c r="DL10" s="317" t="s">
        <v>4197</v>
      </c>
      <c r="DM10" s="314" t="s">
        <v>4198</v>
      </c>
      <c r="DN10" s="315" t="s">
        <v>4199</v>
      </c>
      <c r="DO10" s="314" t="s">
        <v>4197</v>
      </c>
      <c r="DP10" s="314" t="s">
        <v>4198</v>
      </c>
      <c r="DQ10" s="315" t="s">
        <v>4199</v>
      </c>
      <c r="DR10" s="314" t="s">
        <v>4197</v>
      </c>
      <c r="DS10" s="314" t="s">
        <v>4198</v>
      </c>
      <c r="DT10" s="315" t="s">
        <v>4199</v>
      </c>
      <c r="DU10" s="314" t="s">
        <v>4197</v>
      </c>
      <c r="DV10" s="314" t="s">
        <v>4198</v>
      </c>
      <c r="DW10" s="315" t="s">
        <v>4199</v>
      </c>
      <c r="DX10" s="314" t="s">
        <v>4197</v>
      </c>
      <c r="DY10" s="314" t="s">
        <v>4198</v>
      </c>
      <c r="DZ10" s="315" t="s">
        <v>4199</v>
      </c>
      <c r="EA10" s="314" t="s">
        <v>4197</v>
      </c>
      <c r="EB10" s="314" t="s">
        <v>4198</v>
      </c>
      <c r="EC10" s="315" t="s">
        <v>4199</v>
      </c>
      <c r="ED10" s="317" t="s">
        <v>4197</v>
      </c>
      <c r="EE10" s="314" t="s">
        <v>4198</v>
      </c>
      <c r="EF10" s="315" t="s">
        <v>4199</v>
      </c>
      <c r="EG10" s="314" t="s">
        <v>4197</v>
      </c>
      <c r="EH10" s="314" t="s">
        <v>4198</v>
      </c>
      <c r="EI10" s="315" t="s">
        <v>4199</v>
      </c>
      <c r="EJ10" s="314" t="s">
        <v>4197</v>
      </c>
      <c r="EK10" s="314" t="s">
        <v>4198</v>
      </c>
      <c r="EL10" s="315" t="s">
        <v>4199</v>
      </c>
      <c r="EM10" s="314" t="s">
        <v>4197</v>
      </c>
      <c r="EN10" s="314" t="s">
        <v>4198</v>
      </c>
      <c r="EO10" s="315" t="s">
        <v>4199</v>
      </c>
      <c r="EP10" s="314" t="s">
        <v>4197</v>
      </c>
      <c r="EQ10" s="314" t="s">
        <v>4198</v>
      </c>
      <c r="ER10" s="315" t="s">
        <v>4199</v>
      </c>
      <c r="ES10" s="314" t="s">
        <v>4197</v>
      </c>
      <c r="ET10" s="314" t="s">
        <v>4198</v>
      </c>
      <c r="EU10" s="315" t="s">
        <v>4199</v>
      </c>
      <c r="EV10" s="314" t="s">
        <v>4197</v>
      </c>
      <c r="EW10" s="314" t="s">
        <v>4198</v>
      </c>
      <c r="EX10" s="315" t="s">
        <v>4199</v>
      </c>
      <c r="EY10" s="314" t="s">
        <v>4197</v>
      </c>
      <c r="EZ10" s="314" t="s">
        <v>4198</v>
      </c>
      <c r="FA10" s="315" t="s">
        <v>4199</v>
      </c>
      <c r="FB10" s="314" t="s">
        <v>4197</v>
      </c>
      <c r="FC10" s="314" t="s">
        <v>4198</v>
      </c>
      <c r="FD10" s="315" t="s">
        <v>4199</v>
      </c>
      <c r="FE10" s="314" t="s">
        <v>4197</v>
      </c>
      <c r="FF10" s="314" t="s">
        <v>4198</v>
      </c>
      <c r="FG10" s="315" t="s">
        <v>4199</v>
      </c>
      <c r="FH10" s="314" t="s">
        <v>4197</v>
      </c>
      <c r="FI10" s="314" t="s">
        <v>4198</v>
      </c>
      <c r="FJ10" s="315" t="s">
        <v>4199</v>
      </c>
      <c r="FK10" s="314" t="s">
        <v>4197</v>
      </c>
      <c r="FL10" s="314" t="s">
        <v>4198</v>
      </c>
      <c r="FM10" s="315" t="s">
        <v>4199</v>
      </c>
      <c r="FN10" s="317" t="s">
        <v>4197</v>
      </c>
      <c r="FO10" s="314" t="s">
        <v>4198</v>
      </c>
      <c r="FP10" s="315" t="s">
        <v>4199</v>
      </c>
      <c r="FQ10" s="314" t="s">
        <v>4197</v>
      </c>
      <c r="FR10" s="314" t="s">
        <v>4198</v>
      </c>
      <c r="FS10" s="315" t="s">
        <v>4199</v>
      </c>
      <c r="FT10" s="314" t="s">
        <v>4197</v>
      </c>
      <c r="FU10" s="314" t="s">
        <v>4198</v>
      </c>
      <c r="FV10" s="315" t="s">
        <v>4199</v>
      </c>
      <c r="FW10" s="314" t="s">
        <v>4197</v>
      </c>
      <c r="FX10" s="314" t="s">
        <v>4198</v>
      </c>
      <c r="FY10" s="315" t="s">
        <v>4199</v>
      </c>
      <c r="FZ10" s="314" t="s">
        <v>4197</v>
      </c>
      <c r="GA10" s="314" t="s">
        <v>4198</v>
      </c>
      <c r="GB10" s="315" t="s">
        <v>4199</v>
      </c>
      <c r="GC10" s="314" t="s">
        <v>4197</v>
      </c>
      <c r="GD10" s="314" t="s">
        <v>4198</v>
      </c>
      <c r="GE10" s="315" t="s">
        <v>4199</v>
      </c>
      <c r="GF10" s="314" t="s">
        <v>4197</v>
      </c>
      <c r="GG10" s="314" t="s">
        <v>4198</v>
      </c>
      <c r="GH10" s="315" t="s">
        <v>4199</v>
      </c>
      <c r="GI10" s="314" t="s">
        <v>4197</v>
      </c>
      <c r="GJ10" s="314" t="s">
        <v>4198</v>
      </c>
      <c r="GK10" s="315" t="s">
        <v>4199</v>
      </c>
      <c r="GL10" s="314" t="s">
        <v>4197</v>
      </c>
      <c r="GM10" s="314" t="s">
        <v>4198</v>
      </c>
      <c r="GN10" s="315" t="s">
        <v>4199</v>
      </c>
      <c r="GO10" s="314" t="s">
        <v>4197</v>
      </c>
      <c r="GP10" s="314" t="s">
        <v>4198</v>
      </c>
      <c r="GQ10" s="315" t="s">
        <v>4199</v>
      </c>
      <c r="GR10" s="314" t="s">
        <v>4197</v>
      </c>
      <c r="GS10" s="314" t="s">
        <v>4198</v>
      </c>
      <c r="GT10" s="315" t="s">
        <v>4199</v>
      </c>
      <c r="GU10" s="314" t="s">
        <v>4197</v>
      </c>
      <c r="GV10" s="314" t="s">
        <v>4198</v>
      </c>
      <c r="GW10" s="315" t="s">
        <v>4199</v>
      </c>
      <c r="GX10" s="317" t="s">
        <v>4197</v>
      </c>
      <c r="GY10" s="314" t="s">
        <v>4198</v>
      </c>
      <c r="GZ10" s="315" t="s">
        <v>4199</v>
      </c>
      <c r="HA10" s="314" t="s">
        <v>4197</v>
      </c>
      <c r="HB10" s="314" t="s">
        <v>4198</v>
      </c>
      <c r="HC10" s="315" t="s">
        <v>4199</v>
      </c>
      <c r="HD10" s="314" t="s">
        <v>4197</v>
      </c>
      <c r="HE10" s="314" t="s">
        <v>4198</v>
      </c>
      <c r="HF10" s="315" t="s">
        <v>4199</v>
      </c>
      <c r="HG10" s="314" t="s">
        <v>4197</v>
      </c>
      <c r="HH10" s="314" t="s">
        <v>4198</v>
      </c>
      <c r="HI10" s="315" t="s">
        <v>4199</v>
      </c>
      <c r="HJ10" s="314" t="s">
        <v>4197</v>
      </c>
      <c r="HK10" s="314" t="s">
        <v>4198</v>
      </c>
      <c r="HL10" s="315" t="s">
        <v>4199</v>
      </c>
      <c r="HM10" s="314" t="s">
        <v>4197</v>
      </c>
      <c r="HN10" s="314" t="s">
        <v>4198</v>
      </c>
      <c r="HO10" s="315" t="s">
        <v>4199</v>
      </c>
      <c r="HP10" s="314" t="s">
        <v>4197</v>
      </c>
      <c r="HQ10" s="314" t="s">
        <v>4198</v>
      </c>
      <c r="HR10" s="315" t="s">
        <v>4199</v>
      </c>
      <c r="HS10" s="314" t="s">
        <v>4197</v>
      </c>
      <c r="HT10" s="314" t="s">
        <v>4198</v>
      </c>
      <c r="HU10" s="315" t="s">
        <v>4199</v>
      </c>
      <c r="HV10" s="314" t="s">
        <v>4197</v>
      </c>
      <c r="HW10" s="314" t="s">
        <v>4198</v>
      </c>
      <c r="HX10" s="315" t="s">
        <v>4199</v>
      </c>
      <c r="HY10" s="314" t="s">
        <v>4197</v>
      </c>
      <c r="HZ10" s="314" t="s">
        <v>4198</v>
      </c>
      <c r="IA10" s="315" t="s">
        <v>4199</v>
      </c>
      <c r="IB10" s="314" t="s">
        <v>4197</v>
      </c>
      <c r="IC10" s="314" t="s">
        <v>4198</v>
      </c>
      <c r="ID10" s="315" t="s">
        <v>4199</v>
      </c>
      <c r="IE10" s="314" t="s">
        <v>4197</v>
      </c>
      <c r="IF10" s="314" t="s">
        <v>4198</v>
      </c>
      <c r="IG10" s="315" t="s">
        <v>4199</v>
      </c>
      <c r="IH10" s="314" t="s">
        <v>4197</v>
      </c>
      <c r="II10" s="314" t="s">
        <v>4198</v>
      </c>
      <c r="IJ10" s="315" t="s">
        <v>4199</v>
      </c>
      <c r="IK10" s="314" t="s">
        <v>4197</v>
      </c>
      <c r="IL10" s="314" t="s">
        <v>4198</v>
      </c>
      <c r="IM10" s="315" t="s">
        <v>4199</v>
      </c>
      <c r="IN10" s="314" t="s">
        <v>4197</v>
      </c>
      <c r="IO10" s="314" t="s">
        <v>4198</v>
      </c>
      <c r="IP10" s="315" t="s">
        <v>4199</v>
      </c>
      <c r="IQ10" s="314" t="s">
        <v>4197</v>
      </c>
      <c r="IR10" s="314" t="s">
        <v>4198</v>
      </c>
      <c r="IS10" s="315" t="s">
        <v>4199</v>
      </c>
      <c r="IT10" s="314" t="s">
        <v>4197</v>
      </c>
      <c r="IU10" s="314" t="s">
        <v>4198</v>
      </c>
      <c r="IV10" s="315" t="s">
        <v>4199</v>
      </c>
      <c r="IW10" s="314" t="s">
        <v>4197</v>
      </c>
      <c r="IX10" s="314" t="s">
        <v>4198</v>
      </c>
      <c r="IY10" s="315" t="s">
        <v>4199</v>
      </c>
      <c r="IZ10" s="314" t="s">
        <v>4197</v>
      </c>
      <c r="JA10" s="314" t="s">
        <v>4198</v>
      </c>
      <c r="JB10" s="315" t="s">
        <v>4199</v>
      </c>
      <c r="JC10" s="314" t="s">
        <v>4197</v>
      </c>
      <c r="JD10" s="314" t="s">
        <v>4198</v>
      </c>
      <c r="JE10" s="315" t="s">
        <v>4199</v>
      </c>
      <c r="JF10" s="314" t="s">
        <v>4197</v>
      </c>
      <c r="JG10" s="314" t="s">
        <v>4198</v>
      </c>
      <c r="JH10" s="315" t="s">
        <v>4199</v>
      </c>
      <c r="JI10" s="314" t="s">
        <v>4197</v>
      </c>
      <c r="JJ10" s="314" t="s">
        <v>4198</v>
      </c>
      <c r="JK10" s="315" t="s">
        <v>4199</v>
      </c>
      <c r="JL10" s="314" t="s">
        <v>4197</v>
      </c>
      <c r="JM10" s="314" t="s">
        <v>4198</v>
      </c>
      <c r="JN10" s="315" t="s">
        <v>4199</v>
      </c>
      <c r="JO10" s="314" t="s">
        <v>4197</v>
      </c>
      <c r="JP10" s="314" t="s">
        <v>4198</v>
      </c>
      <c r="JQ10" s="315" t="s">
        <v>4199</v>
      </c>
      <c r="JR10" s="314" t="s">
        <v>4197</v>
      </c>
      <c r="JS10" s="314" t="s">
        <v>4198</v>
      </c>
      <c r="JT10" s="315" t="s">
        <v>4199</v>
      </c>
      <c r="JU10" s="314" t="s">
        <v>4197</v>
      </c>
      <c r="JV10" s="314" t="s">
        <v>4198</v>
      </c>
      <c r="JW10" s="315" t="s">
        <v>4199</v>
      </c>
      <c r="JX10" s="314" t="s">
        <v>4197</v>
      </c>
      <c r="JY10" s="314" t="s">
        <v>4198</v>
      </c>
      <c r="JZ10" s="315" t="s">
        <v>4199</v>
      </c>
      <c r="KA10" s="314" t="s">
        <v>4197</v>
      </c>
      <c r="KB10" s="314" t="s">
        <v>4198</v>
      </c>
      <c r="KC10" s="315" t="s">
        <v>4199</v>
      </c>
      <c r="KD10" s="314" t="s">
        <v>4197</v>
      </c>
      <c r="KE10" s="314" t="s">
        <v>4198</v>
      </c>
      <c r="KF10" s="315" t="s">
        <v>4199</v>
      </c>
      <c r="KG10" s="314" t="s">
        <v>4197</v>
      </c>
      <c r="KH10" s="314" t="s">
        <v>4198</v>
      </c>
      <c r="KI10" s="315" t="s">
        <v>4199</v>
      </c>
      <c r="KJ10" s="314" t="s">
        <v>4197</v>
      </c>
      <c r="KK10" s="314" t="s">
        <v>4198</v>
      </c>
      <c r="KL10" s="315" t="s">
        <v>4199</v>
      </c>
      <c r="KM10" s="314" t="s">
        <v>4197</v>
      </c>
      <c r="KN10" s="314" t="s">
        <v>4198</v>
      </c>
      <c r="KO10" s="315" t="s">
        <v>4199</v>
      </c>
      <c r="KP10" s="314" t="s">
        <v>4197</v>
      </c>
      <c r="KQ10" s="314" t="s">
        <v>4198</v>
      </c>
      <c r="KR10" s="315" t="s">
        <v>4199</v>
      </c>
      <c r="KS10" s="314" t="s">
        <v>4197</v>
      </c>
      <c r="KT10" s="314" t="s">
        <v>4198</v>
      </c>
      <c r="KU10" s="315" t="s">
        <v>4199</v>
      </c>
      <c r="KV10" s="314" t="s">
        <v>4197</v>
      </c>
      <c r="KW10" s="314" t="s">
        <v>4198</v>
      </c>
      <c r="KX10" s="315" t="s">
        <v>4199</v>
      </c>
      <c r="KY10" s="314" t="s">
        <v>4197</v>
      </c>
      <c r="KZ10" s="314" t="s">
        <v>4198</v>
      </c>
      <c r="LA10" s="315" t="s">
        <v>4199</v>
      </c>
      <c r="LB10" s="314" t="s">
        <v>4197</v>
      </c>
      <c r="LC10" s="314" t="s">
        <v>4198</v>
      </c>
      <c r="LD10" s="315" t="s">
        <v>4199</v>
      </c>
      <c r="LE10" s="314" t="s">
        <v>4197</v>
      </c>
      <c r="LF10" s="314" t="s">
        <v>4198</v>
      </c>
      <c r="LG10" s="315" t="s">
        <v>4199</v>
      </c>
      <c r="LH10" s="314" t="s">
        <v>4197</v>
      </c>
      <c r="LI10" s="314" t="s">
        <v>4198</v>
      </c>
      <c r="LJ10" s="315" t="s">
        <v>4199</v>
      </c>
      <c r="LK10" s="314" t="s">
        <v>4197</v>
      </c>
      <c r="LL10" s="314" t="s">
        <v>4198</v>
      </c>
      <c r="LM10" s="315" t="s">
        <v>4199</v>
      </c>
      <c r="LN10" s="314" t="s">
        <v>4197</v>
      </c>
      <c r="LO10" s="314" t="s">
        <v>4198</v>
      </c>
      <c r="LP10" s="315" t="s">
        <v>4199</v>
      </c>
      <c r="LQ10" s="314" t="s">
        <v>4197</v>
      </c>
      <c r="LR10" s="314" t="s">
        <v>4198</v>
      </c>
      <c r="LS10" s="315" t="s">
        <v>4199</v>
      </c>
      <c r="LT10" s="314" t="s">
        <v>4197</v>
      </c>
      <c r="LU10" s="314" t="s">
        <v>4198</v>
      </c>
      <c r="LV10" s="315" t="s">
        <v>4199</v>
      </c>
      <c r="LW10" s="314" t="s">
        <v>4197</v>
      </c>
      <c r="LX10" s="314" t="s">
        <v>4198</v>
      </c>
      <c r="LY10" s="315" t="s">
        <v>4199</v>
      </c>
      <c r="LZ10" s="314" t="s">
        <v>4197</v>
      </c>
      <c r="MA10" s="314" t="s">
        <v>4198</v>
      </c>
      <c r="MB10" s="315" t="s">
        <v>4199</v>
      </c>
      <c r="MC10" s="314" t="s">
        <v>4197</v>
      </c>
      <c r="MD10" s="314" t="s">
        <v>4198</v>
      </c>
      <c r="ME10" s="315" t="s">
        <v>4199</v>
      </c>
      <c r="MF10" s="314" t="s">
        <v>4197</v>
      </c>
      <c r="MG10" s="314" t="s">
        <v>4198</v>
      </c>
      <c r="MH10" s="315" t="s">
        <v>4199</v>
      </c>
      <c r="MI10" s="314" t="s">
        <v>4197</v>
      </c>
      <c r="MJ10" s="314" t="s">
        <v>4198</v>
      </c>
      <c r="MK10" s="315" t="s">
        <v>4199</v>
      </c>
      <c r="ML10" s="314" t="s">
        <v>4197</v>
      </c>
      <c r="MM10" s="314" t="s">
        <v>4198</v>
      </c>
      <c r="MN10" s="315" t="s">
        <v>4199</v>
      </c>
      <c r="MO10" s="314" t="s">
        <v>4197</v>
      </c>
      <c r="MP10" s="314" t="s">
        <v>4198</v>
      </c>
      <c r="MQ10" s="315" t="s">
        <v>4199</v>
      </c>
      <c r="MR10" s="314" t="s">
        <v>4197</v>
      </c>
      <c r="MS10" s="314" t="s">
        <v>4198</v>
      </c>
      <c r="MT10" s="315" t="s">
        <v>4199</v>
      </c>
      <c r="MU10" s="314" t="s">
        <v>4197</v>
      </c>
      <c r="MV10" s="314" t="s">
        <v>4198</v>
      </c>
      <c r="MW10" s="315" t="s">
        <v>4199</v>
      </c>
      <c r="MX10" s="314" t="s">
        <v>4197</v>
      </c>
      <c r="MY10" s="314" t="s">
        <v>4198</v>
      </c>
      <c r="MZ10" s="315" t="s">
        <v>4199</v>
      </c>
      <c r="NA10" s="314" t="s">
        <v>4197</v>
      </c>
      <c r="NB10" s="314" t="s">
        <v>4198</v>
      </c>
      <c r="NC10" s="315" t="s">
        <v>4199</v>
      </c>
      <c r="ND10" s="314" t="s">
        <v>4197</v>
      </c>
      <c r="NE10" s="314" t="s">
        <v>4198</v>
      </c>
      <c r="NF10" s="315" t="s">
        <v>4199</v>
      </c>
      <c r="NG10" s="314" t="s">
        <v>4197</v>
      </c>
      <c r="NH10" s="314" t="s">
        <v>4198</v>
      </c>
      <c r="NI10" s="315" t="s">
        <v>4199</v>
      </c>
      <c r="NJ10" s="314" t="s">
        <v>4197</v>
      </c>
      <c r="NK10" s="314" t="s">
        <v>4198</v>
      </c>
      <c r="NL10" s="315" t="s">
        <v>4199</v>
      </c>
      <c r="NM10" s="314" t="s">
        <v>4197</v>
      </c>
      <c r="NN10" s="314" t="s">
        <v>4198</v>
      </c>
      <c r="NO10" s="315" t="s">
        <v>4199</v>
      </c>
      <c r="NP10" s="314" t="s">
        <v>4197</v>
      </c>
      <c r="NQ10" s="314" t="s">
        <v>4198</v>
      </c>
      <c r="NR10" s="315" t="s">
        <v>4199</v>
      </c>
      <c r="NS10" s="314" t="s">
        <v>4197</v>
      </c>
      <c r="NT10" s="314" t="s">
        <v>4198</v>
      </c>
      <c r="NU10" s="315" t="s">
        <v>4199</v>
      </c>
      <c r="NV10" s="314" t="s">
        <v>4197</v>
      </c>
      <c r="NW10" s="314" t="s">
        <v>4198</v>
      </c>
      <c r="NX10" s="315" t="s">
        <v>4199</v>
      </c>
      <c r="NY10" s="314" t="s">
        <v>4197</v>
      </c>
      <c r="NZ10" s="314" t="s">
        <v>4198</v>
      </c>
      <c r="OA10" s="315" t="s">
        <v>4199</v>
      </c>
      <c r="OB10" s="314" t="s">
        <v>4197</v>
      </c>
      <c r="OC10" s="314" t="s">
        <v>4198</v>
      </c>
      <c r="OD10" s="315" t="s">
        <v>4199</v>
      </c>
      <c r="OE10" s="314" t="s">
        <v>4197</v>
      </c>
      <c r="OF10" s="314" t="s">
        <v>4198</v>
      </c>
      <c r="OG10" s="315" t="s">
        <v>4199</v>
      </c>
      <c r="OH10" s="314" t="s">
        <v>4197</v>
      </c>
      <c r="OI10" s="314" t="s">
        <v>4198</v>
      </c>
      <c r="OJ10" s="315" t="s">
        <v>4199</v>
      </c>
      <c r="OK10" s="314" t="s">
        <v>4197</v>
      </c>
      <c r="OL10" s="314" t="s">
        <v>4198</v>
      </c>
      <c r="OM10" s="315" t="s">
        <v>4199</v>
      </c>
      <c r="ON10" s="314" t="s">
        <v>4197</v>
      </c>
      <c r="OO10" s="314" t="s">
        <v>4198</v>
      </c>
      <c r="OP10" s="315" t="s">
        <v>4199</v>
      </c>
      <c r="OQ10" s="314" t="s">
        <v>4197</v>
      </c>
      <c r="OR10" s="314" t="s">
        <v>4198</v>
      </c>
      <c r="OS10" s="315" t="s">
        <v>4199</v>
      </c>
      <c r="OT10" s="314" t="s">
        <v>4197</v>
      </c>
      <c r="OU10" s="314" t="s">
        <v>4198</v>
      </c>
      <c r="OV10" s="315" t="s">
        <v>4199</v>
      </c>
      <c r="OW10" s="314" t="s">
        <v>4197</v>
      </c>
      <c r="OX10" s="314" t="s">
        <v>4198</v>
      </c>
      <c r="OY10" s="315" t="s">
        <v>4199</v>
      </c>
      <c r="OZ10" s="314" t="s">
        <v>4197</v>
      </c>
      <c r="PA10" s="314" t="s">
        <v>4198</v>
      </c>
      <c r="PB10" s="315" t="s">
        <v>4199</v>
      </c>
      <c r="PC10" s="314" t="s">
        <v>4197</v>
      </c>
      <c r="PD10" s="314" t="s">
        <v>4198</v>
      </c>
      <c r="PE10" s="315" t="s">
        <v>4199</v>
      </c>
      <c r="PF10" s="314" t="s">
        <v>4197</v>
      </c>
      <c r="PG10" s="314" t="s">
        <v>4198</v>
      </c>
      <c r="PH10" s="315" t="s">
        <v>4199</v>
      </c>
      <c r="PI10" s="314" t="s">
        <v>4197</v>
      </c>
      <c r="PJ10" s="314" t="s">
        <v>4198</v>
      </c>
      <c r="PK10" s="315" t="s">
        <v>4199</v>
      </c>
      <c r="PL10" s="314" t="s">
        <v>4197</v>
      </c>
      <c r="PM10" s="314" t="s">
        <v>4198</v>
      </c>
      <c r="PN10" s="315" t="s">
        <v>4199</v>
      </c>
      <c r="PO10" s="314" t="s">
        <v>4197</v>
      </c>
      <c r="PP10" s="314" t="s">
        <v>4198</v>
      </c>
      <c r="PQ10" s="315" t="s">
        <v>4199</v>
      </c>
      <c r="PR10" s="314" t="s">
        <v>4197</v>
      </c>
      <c r="PS10" s="314" t="s">
        <v>4198</v>
      </c>
      <c r="PT10" s="315" t="s">
        <v>4199</v>
      </c>
      <c r="PU10" s="314" t="s">
        <v>4197</v>
      </c>
      <c r="PV10" s="314" t="s">
        <v>4198</v>
      </c>
      <c r="PW10" s="315" t="s">
        <v>4199</v>
      </c>
      <c r="PX10" s="314" t="s">
        <v>4197</v>
      </c>
      <c r="PY10" s="314" t="s">
        <v>4198</v>
      </c>
      <c r="PZ10" s="315" t="s">
        <v>4199</v>
      </c>
      <c r="QA10" s="314" t="s">
        <v>4197</v>
      </c>
      <c r="QB10" s="314" t="s">
        <v>4198</v>
      </c>
      <c r="QC10" s="315" t="s">
        <v>4199</v>
      </c>
      <c r="QD10" s="314" t="s">
        <v>4197</v>
      </c>
      <c r="QE10" s="314" t="s">
        <v>4198</v>
      </c>
      <c r="QF10" s="315" t="s">
        <v>4199</v>
      </c>
      <c r="QG10" s="314" t="s">
        <v>4197</v>
      </c>
      <c r="QH10" s="314" t="s">
        <v>4198</v>
      </c>
      <c r="QI10" s="315" t="s">
        <v>4199</v>
      </c>
      <c r="QJ10" s="314" t="s">
        <v>4197</v>
      </c>
      <c r="QK10" s="314" t="s">
        <v>4198</v>
      </c>
      <c r="QL10" s="315" t="s">
        <v>4199</v>
      </c>
      <c r="QM10" s="314" t="s">
        <v>4197</v>
      </c>
      <c r="QN10" s="314" t="s">
        <v>4198</v>
      </c>
      <c r="QO10" s="315" t="s">
        <v>4199</v>
      </c>
      <c r="QP10" s="314" t="s">
        <v>4197</v>
      </c>
      <c r="QQ10" s="314" t="s">
        <v>4198</v>
      </c>
      <c r="QR10" s="315" t="s">
        <v>4199</v>
      </c>
      <c r="QS10" s="314" t="s">
        <v>4197</v>
      </c>
      <c r="QT10" s="314" t="s">
        <v>4198</v>
      </c>
      <c r="QU10" s="315" t="s">
        <v>4199</v>
      </c>
      <c r="QV10" s="314" t="s">
        <v>4197</v>
      </c>
      <c r="QW10" s="314" t="s">
        <v>4198</v>
      </c>
      <c r="QX10" s="315" t="s">
        <v>4199</v>
      </c>
      <c r="QY10" s="314" t="s">
        <v>4197</v>
      </c>
      <c r="QZ10" s="314" t="s">
        <v>4198</v>
      </c>
      <c r="RA10" s="315" t="s">
        <v>4199</v>
      </c>
      <c r="RB10" s="314" t="s">
        <v>4197</v>
      </c>
      <c r="RC10" s="314" t="s">
        <v>4198</v>
      </c>
      <c r="RD10" s="315" t="s">
        <v>4199</v>
      </c>
      <c r="RE10" s="314" t="s">
        <v>4197</v>
      </c>
      <c r="RF10" s="314" t="s">
        <v>4198</v>
      </c>
      <c r="RG10" s="315" t="s">
        <v>4199</v>
      </c>
      <c r="RH10" s="314" t="s">
        <v>4197</v>
      </c>
      <c r="RI10" s="314" t="s">
        <v>4198</v>
      </c>
      <c r="RJ10" s="315" t="s">
        <v>4199</v>
      </c>
      <c r="RK10" s="314" t="s">
        <v>4197</v>
      </c>
      <c r="RL10" s="314" t="s">
        <v>4198</v>
      </c>
      <c r="RM10" s="315" t="s">
        <v>4199</v>
      </c>
      <c r="RN10" s="314" t="s">
        <v>4197</v>
      </c>
      <c r="RO10" s="314" t="s">
        <v>4198</v>
      </c>
      <c r="RP10" s="315" t="s">
        <v>4199</v>
      </c>
      <c r="RQ10" s="314" t="s">
        <v>4197</v>
      </c>
      <c r="RR10" s="314" t="s">
        <v>4198</v>
      </c>
      <c r="RS10" s="315" t="s">
        <v>4199</v>
      </c>
      <c r="RT10" s="314" t="s">
        <v>4197</v>
      </c>
      <c r="RU10" s="314" t="s">
        <v>4198</v>
      </c>
      <c r="RV10" s="315" t="s">
        <v>4199</v>
      </c>
      <c r="RW10" s="314" t="s">
        <v>4197</v>
      </c>
      <c r="RX10" s="314" t="s">
        <v>4198</v>
      </c>
      <c r="RY10" s="315" t="s">
        <v>4199</v>
      </c>
      <c r="RZ10" s="314" t="s">
        <v>4197</v>
      </c>
      <c r="SA10" s="314" t="s">
        <v>4198</v>
      </c>
      <c r="SB10" s="315" t="s">
        <v>4199</v>
      </c>
    </row>
    <row r="11" s="329" customFormat="true" ht="15" hidden="false" customHeight="false" outlineLevel="0" collapsed="false">
      <c r="A11" s="85" t="n">
        <v>2.53</v>
      </c>
      <c r="B11" s="319"/>
      <c r="C11" s="320" t="n">
        <v>3525798.52</v>
      </c>
      <c r="D11" s="319"/>
      <c r="E11" s="321"/>
      <c r="F11" s="322" t="n">
        <v>24.820658</v>
      </c>
      <c r="G11" s="323" t="n">
        <v>0</v>
      </c>
      <c r="H11" s="324" t="n">
        <f aca="false">1-G11</f>
        <v>1</v>
      </c>
      <c r="I11" s="324"/>
      <c r="J11" s="319" t="n">
        <v>552009.39</v>
      </c>
      <c r="K11" s="325"/>
      <c r="L11" s="326"/>
      <c r="M11" s="327"/>
      <c r="N11" s="328"/>
      <c r="O11" s="326"/>
      <c r="P11" s="327"/>
      <c r="Q11" s="328"/>
      <c r="R11" s="326"/>
      <c r="S11" s="327"/>
      <c r="T11" s="328"/>
      <c r="U11" s="328"/>
      <c r="V11" s="327"/>
      <c r="W11" s="325"/>
      <c r="X11" s="328"/>
      <c r="Y11" s="327"/>
      <c r="AC11" s="328"/>
      <c r="AD11" s="328"/>
      <c r="AE11" s="327"/>
      <c r="AF11" s="328"/>
      <c r="AG11" s="328"/>
      <c r="AH11" s="327"/>
      <c r="AI11" s="328"/>
      <c r="AJ11" s="328"/>
      <c r="AK11" s="327"/>
      <c r="AL11" s="328"/>
      <c r="AM11" s="328"/>
      <c r="AN11" s="327"/>
      <c r="AO11" s="328"/>
      <c r="AP11" s="328"/>
      <c r="AQ11" s="327"/>
      <c r="AR11" s="328"/>
      <c r="AS11" s="328"/>
      <c r="AT11" s="327"/>
      <c r="AU11" s="328"/>
      <c r="AV11" s="328"/>
      <c r="AW11" s="327"/>
      <c r="AX11" s="328"/>
      <c r="AY11" s="328"/>
      <c r="AZ11" s="327"/>
      <c r="BA11" s="328"/>
      <c r="BB11" s="328"/>
      <c r="BC11" s="327"/>
      <c r="BD11" s="328"/>
      <c r="BE11" s="328"/>
      <c r="BF11" s="327"/>
      <c r="BG11" s="328"/>
      <c r="BH11" s="328"/>
      <c r="BI11" s="327"/>
      <c r="BJ11" s="328"/>
      <c r="BK11" s="328"/>
      <c r="BL11" s="327"/>
      <c r="BP11" s="328"/>
      <c r="BQ11" s="328"/>
      <c r="BR11" s="327"/>
      <c r="BS11" s="325" t="n">
        <f aca="false">BT11*$H11+BU11*$G11</f>
        <v>59579.3892234541</v>
      </c>
      <c r="BT11" s="328" t="n">
        <f aca="false">BU11/$F11*BU$7</f>
        <v>59579.3892234541</v>
      </c>
      <c r="BU11" s="327" t="n">
        <v>55064.52</v>
      </c>
      <c r="BV11" s="325" t="n">
        <f aca="false">BW11*$H11+BX11*$G11</f>
        <v>57908.2519674233</v>
      </c>
      <c r="BW11" s="328" t="n">
        <f aca="false">BX11/$F11*BX$7</f>
        <v>57908.2519674233</v>
      </c>
      <c r="BX11" s="327" t="n">
        <v>55064.52</v>
      </c>
      <c r="BY11" s="325" t="n">
        <f aca="false">BZ11*$H11+CA11*$G11</f>
        <v>56375.0008670117</v>
      </c>
      <c r="BZ11" s="328" t="n">
        <f aca="false">CA11/$F11*CA$7</f>
        <v>56375.0008670117</v>
      </c>
      <c r="CA11" s="327" t="n">
        <v>55064.52</v>
      </c>
      <c r="CB11" s="325" t="n">
        <f aca="false">CC11*$H11+CD11*$G11</f>
        <v>55909.4296036439</v>
      </c>
      <c r="CC11" s="328" t="n">
        <f aca="false">CD11/$F11*CD$7</f>
        <v>55909.4296036439</v>
      </c>
      <c r="CD11" s="327" t="n">
        <v>55064.52</v>
      </c>
      <c r="CE11" s="325" t="n">
        <f aca="false">CF11*$H11+CG11*$G11</f>
        <v>55224.0298320117</v>
      </c>
      <c r="CF11" s="328" t="n">
        <f aca="false">CG11/$F11*CG$7</f>
        <v>55224.0298320117</v>
      </c>
      <c r="CG11" s="327" t="n">
        <v>55064.52</v>
      </c>
      <c r="CH11" s="325" t="n">
        <f aca="false">CI11*$H11+CJ11*$G11</f>
        <v>55044.415993078</v>
      </c>
      <c r="CI11" s="328" t="n">
        <f aca="false">CJ11/$F11*CJ$7</f>
        <v>55044.415993078</v>
      </c>
      <c r="CJ11" s="327" t="n">
        <v>55064.52</v>
      </c>
      <c r="CK11" s="325" t="n">
        <f aca="false">CL11*$H11+CM11*$G11</f>
        <v>56044.6114131543</v>
      </c>
      <c r="CL11" s="328" t="n">
        <f aca="false">CM11/$F11*CM$7</f>
        <v>56044.6114131543</v>
      </c>
      <c r="CM11" s="327" t="n">
        <v>55064.52</v>
      </c>
      <c r="CN11" s="325" t="n">
        <f aca="false">CO11*$H11+CP11*$G11</f>
        <v>57249.4475207724</v>
      </c>
      <c r="CO11" s="328" t="n">
        <f aca="false">CP11/$F11*CP$7</f>
        <v>57249.4475207724</v>
      </c>
      <c r="CP11" s="327" t="n">
        <v>55064.52</v>
      </c>
      <c r="CQ11" s="325" t="n">
        <f aca="false">CR11*$H11+CS11*$G11</f>
        <v>57023.2652411745</v>
      </c>
      <c r="CR11" s="328" t="n">
        <f aca="false">CS11/$F11*CS$7</f>
        <v>57023.2652411745</v>
      </c>
      <c r="CS11" s="330" t="n">
        <v>55064.52</v>
      </c>
      <c r="CT11" s="325" t="n">
        <f aca="false">CU11*$H11+CV11*$G11</f>
        <v>57201.2884187792</v>
      </c>
      <c r="CU11" s="328" t="n">
        <f aca="false">CV11/$F11*CV$7</f>
        <v>57201.2884187792</v>
      </c>
      <c r="CV11" s="327" t="n">
        <v>55064.52</v>
      </c>
      <c r="CW11" s="325" t="n">
        <f aca="false">CX11*$H11+CY11*$G11</f>
        <v>58724.6450289158</v>
      </c>
      <c r="CX11" s="328" t="n">
        <f aca="false">CY11/$F11*CY$7</f>
        <v>58724.6450289158</v>
      </c>
      <c r="CY11" s="327" t="n">
        <v>55064.52</v>
      </c>
      <c r="DC11" s="325" t="n">
        <f aca="false">DD11*$H11+DE11*$G11</f>
        <v>60880.3083745274</v>
      </c>
      <c r="DD11" s="328" t="n">
        <f aca="false">DE11/$F11*DE$7</f>
        <v>60880.3083745274</v>
      </c>
      <c r="DE11" s="327" t="n">
        <v>55064.52</v>
      </c>
      <c r="DF11" s="325" t="n">
        <f aca="false">DG11*$H11+DH11*$G11</f>
        <v>59955.5063081519</v>
      </c>
      <c r="DG11" s="328" t="n">
        <f aca="false">DH11/$F11*DH$7</f>
        <v>59955.5063081519</v>
      </c>
      <c r="DH11" s="327" t="n">
        <v>55064.52</v>
      </c>
      <c r="DI11" s="325" t="n">
        <f aca="false">DJ11*$H11+DK11*$G11</f>
        <v>59650.6095869739</v>
      </c>
      <c r="DJ11" s="328" t="n">
        <f aca="false">DK11/$F11*DK$7</f>
        <v>59650.6095869739</v>
      </c>
      <c r="DK11" s="327" t="n">
        <v>55064.52</v>
      </c>
      <c r="DL11" s="325" t="n">
        <f aca="false">DM11*$H11+DN11*$G11</f>
        <v>59427.0229472015</v>
      </c>
      <c r="DM11" s="328" t="n">
        <f aca="false">DN11/$F11*DN$7</f>
        <v>59427.0229472015</v>
      </c>
      <c r="DN11" s="327" t="n">
        <v>55064.52</v>
      </c>
      <c r="DO11" s="325" t="n">
        <f aca="false">DP11*$H11+DQ11*$G11</f>
        <v>58500.9718678159</v>
      </c>
      <c r="DP11" s="328" t="n">
        <f aca="false">DQ11/$F11*DQ$7</f>
        <v>58500.9718678159</v>
      </c>
      <c r="DQ11" s="327" t="n">
        <v>55064.52</v>
      </c>
      <c r="DR11" s="325" t="n">
        <f aca="false">DS11*$H11+DT11*$G11</f>
        <v>57732.1899399089</v>
      </c>
      <c r="DS11" s="328" t="n">
        <f aca="false">DT11/$F11*DT$7</f>
        <v>57732.1899399089</v>
      </c>
      <c r="DT11" s="327" t="n">
        <v>55064.52</v>
      </c>
      <c r="DU11" s="325" t="n">
        <f aca="false">DV11*$H11+DW11*$G11</f>
        <v>57556.9354447847</v>
      </c>
      <c r="DV11" s="328" t="n">
        <f aca="false">DW11/$F11*DW$7</f>
        <v>57556.9354447847</v>
      </c>
      <c r="DW11" s="327" t="n">
        <v>55064.52</v>
      </c>
      <c r="DX11" s="325" t="n">
        <f aca="false">DY11*$H11+DZ11*$G11</f>
        <v>56550.3418834634</v>
      </c>
      <c r="DY11" s="328" t="n">
        <f aca="false">DZ11/$F11*DZ$7</f>
        <v>56550.3418834634</v>
      </c>
      <c r="DZ11" s="327" t="n">
        <v>55064.52</v>
      </c>
      <c r="EA11" s="325" t="n">
        <f aca="false">EB11*$H11+EC11*$G11</f>
        <v>57961.3827180053</v>
      </c>
      <c r="EB11" s="328" t="n">
        <f aca="false">EC11/$F11*EC$7</f>
        <v>57961.3827180053</v>
      </c>
      <c r="EC11" s="327" t="n">
        <v>55064.52</v>
      </c>
      <c r="ED11" s="325" t="n">
        <f aca="false">EE11*$H11+EF11*$G11</f>
        <v>58790.0218750849</v>
      </c>
      <c r="EE11" s="328" t="n">
        <f aca="false">EF11/$F11*EF$7</f>
        <v>58790.0218750849</v>
      </c>
      <c r="EF11" s="327" t="n">
        <v>55064.52</v>
      </c>
      <c r="EG11" s="325" t="n">
        <f aca="false">EH11*$H11+EI11*$G11</f>
        <v>58788.1073134016</v>
      </c>
      <c r="EH11" s="328" t="n">
        <f aca="false">EI11/$F11*EI$7</f>
        <v>58788.1073134016</v>
      </c>
      <c r="EI11" s="327" t="n">
        <v>55064.52</v>
      </c>
      <c r="EJ11" s="325" t="n">
        <f aca="false">EK11*$H11+EL11*$G11</f>
        <v>61837.5359722615</v>
      </c>
      <c r="EK11" s="328" t="n">
        <f aca="false">EL11/$F11*EL$7</f>
        <v>61837.5359722615</v>
      </c>
      <c r="EL11" s="327" t="n">
        <v>55064.52</v>
      </c>
      <c r="EO11" s="327"/>
      <c r="EP11" s="325" t="n">
        <f aca="false">EQ11*$H11+ER11*$G11</f>
        <v>63992.0967255711</v>
      </c>
      <c r="EQ11" s="328" t="n">
        <f aca="false">ER11/$F11*ER$7</f>
        <v>63992.0967255711</v>
      </c>
      <c r="ER11" s="327" t="n">
        <v>55064.52</v>
      </c>
      <c r="ES11" s="325" t="n">
        <f aca="false">ET11*$H11+EU11*$G11</f>
        <v>59879.1678753351</v>
      </c>
      <c r="ET11" s="328" t="n">
        <f aca="false">EU11/$F11*EU$7</f>
        <v>59879.1678753351</v>
      </c>
      <c r="EU11" s="327" t="n">
        <v>55064.52</v>
      </c>
      <c r="EV11" s="325" t="n">
        <f aca="false">EW11*$H11+EX11*$G11</f>
        <v>58648.2466967185</v>
      </c>
      <c r="EW11" s="328" t="n">
        <f aca="false">EX11/$F11*EX$7</f>
        <v>58648.2466967185</v>
      </c>
      <c r="EX11" s="327" t="n">
        <v>55064.52</v>
      </c>
      <c r="EY11" s="325" t="n">
        <f aca="false">EZ11*$H11+FA11*$G11</f>
        <v>58182.1829273325</v>
      </c>
      <c r="EZ11" s="328" t="n">
        <f aca="false">FA11/$F11*FA$7</f>
        <v>58182.1829273325</v>
      </c>
      <c r="FA11" s="327" t="n">
        <v>55064.52</v>
      </c>
      <c r="FB11" s="325" t="n">
        <f aca="false">FC11*$H11+FD11*$G11</f>
        <v>58009.140272299</v>
      </c>
      <c r="FC11" s="328" t="n">
        <f aca="false">FD11/$F11*FD$7</f>
        <v>58009.140272299</v>
      </c>
      <c r="FD11" s="327" t="n">
        <v>55064.52</v>
      </c>
      <c r="FE11" s="325" t="n">
        <f aca="false">FF11*$H11+FG11*$G11</f>
        <v>58671.3079582451</v>
      </c>
      <c r="FF11" s="328" t="n">
        <f aca="false">FG11/$F11*FG$7</f>
        <v>58671.3079582451</v>
      </c>
      <c r="FG11" s="327" t="n">
        <v>55064.52</v>
      </c>
      <c r="FH11" s="325" t="n">
        <f aca="false">FI11*$H11+FJ11*$G11</f>
        <v>58728.9755322828</v>
      </c>
      <c r="FI11" s="328" t="n">
        <f aca="false">FJ11/$F11*FJ$7</f>
        <v>58728.9755322828</v>
      </c>
      <c r="FJ11" s="327" t="n">
        <v>55064.52</v>
      </c>
      <c r="FK11" s="325" t="n">
        <f aca="false">FL11*$H11+FM11*$G11</f>
        <v>61892.8186635536</v>
      </c>
      <c r="FL11" s="328" t="n">
        <f aca="false">FM11/$F11*FM$7</f>
        <v>61892.8186635536</v>
      </c>
      <c r="FM11" s="327" t="n">
        <v>55064.52</v>
      </c>
      <c r="FN11" s="325" t="n">
        <f aca="false">FO11*$H11+FP11*$G11</f>
        <v>62384.5504267695</v>
      </c>
      <c r="FO11" s="328" t="n">
        <f aca="false">FP11/$F11*FP$7</f>
        <v>62384.5504267695</v>
      </c>
      <c r="FP11" s="327" t="n">
        <v>55064.52</v>
      </c>
      <c r="FQ11" s="325" t="n">
        <f aca="false">FR11*$H11+FS11*$G11</f>
        <v>62199.177373317</v>
      </c>
      <c r="FR11" s="328" t="n">
        <f aca="false">FS11/$F11*FS$7</f>
        <v>62199.177373317</v>
      </c>
      <c r="FS11" s="327" t="n">
        <v>55064.52</v>
      </c>
      <c r="FT11" s="325" t="n">
        <f aca="false">FU11*$H11+FV11*$G11</f>
        <v>61596.150342472</v>
      </c>
      <c r="FU11" s="328" t="n">
        <f aca="false">FV11/$F11*FV$7</f>
        <v>61596.150342472</v>
      </c>
      <c r="FV11" s="327" t="n">
        <v>55064.52</v>
      </c>
      <c r="FW11" s="325" t="n">
        <f aca="false">FX11*$H11+FY11*$G11</f>
        <v>61780.5383838881</v>
      </c>
      <c r="FX11" s="328" t="n">
        <f aca="false">FY11/$F11*FY$7</f>
        <v>61780.5383838881</v>
      </c>
      <c r="FY11" s="327" t="n">
        <v>55064.52</v>
      </c>
      <c r="GC11" s="325" t="n">
        <f aca="false">GD11*$H11+GE11*$G11</f>
        <v>62075.352042667</v>
      </c>
      <c r="GD11" s="328" t="n">
        <f aca="false">GE11/$F11*GE$7</f>
        <v>62075.352042667</v>
      </c>
      <c r="GE11" s="327" t="n">
        <v>55064.52</v>
      </c>
      <c r="GF11" s="325" t="n">
        <f aca="false">GG11*$H11+GH11*$G11</f>
        <v>60283.7371658124</v>
      </c>
      <c r="GG11" s="328" t="n">
        <f aca="false">GH11/$F11*GH$7</f>
        <v>60283.7371658124</v>
      </c>
      <c r="GH11" s="327" t="n">
        <v>55064.52</v>
      </c>
      <c r="GI11" s="325" t="n">
        <f aca="false">GJ11*$H11+GK11*$G11</f>
        <v>60271.8194075709</v>
      </c>
      <c r="GJ11" s="328" t="n">
        <f aca="false">GK11/$F11*GK$7</f>
        <v>60271.8194075709</v>
      </c>
      <c r="GK11" s="327" t="n">
        <v>55064.52</v>
      </c>
      <c r="GL11" s="325" t="n">
        <f aca="false">GM11*$H11+GN11*$G11</f>
        <v>59401.0421454951</v>
      </c>
      <c r="GM11" s="328" t="n">
        <f aca="false">GN11/$F11*GN$7</f>
        <v>59401.0421454951</v>
      </c>
      <c r="GN11" s="327" t="n">
        <v>55064.52</v>
      </c>
      <c r="GO11" s="325" t="n">
        <f aca="false">GP11*$H11+GQ11*$G11</f>
        <v>58131.0066713542</v>
      </c>
      <c r="GP11" s="328" t="n">
        <f aca="false">GQ11/$F11*GQ$7</f>
        <v>58131.0066713542</v>
      </c>
      <c r="GQ11" s="327" t="n">
        <v>55064.52</v>
      </c>
      <c r="GR11" s="325" t="n">
        <f aca="false">GS11*$H11+GT11*$G11</f>
        <v>58105.0635840726</v>
      </c>
      <c r="GS11" s="328" t="n">
        <f aca="false">GT11/$F11*GT$7</f>
        <v>58105.0635840726</v>
      </c>
      <c r="GT11" s="327" t="n">
        <v>55064.52</v>
      </c>
      <c r="GU11" s="325" t="n">
        <f aca="false">GV11*$H11+GW11*$G11</f>
        <v>57271.2287103509</v>
      </c>
      <c r="GV11" s="328" t="n">
        <f aca="false">GW11/$F11*GW$7</f>
        <v>57271.2287103509</v>
      </c>
      <c r="GW11" s="327" t="n">
        <v>55064.52</v>
      </c>
      <c r="GX11" s="325" t="n">
        <f aca="false">GY11*$H11+GZ11*$G11</f>
        <v>55852.1436108454</v>
      </c>
      <c r="GY11" s="328" t="n">
        <f aca="false">GZ11/$F11*GZ$7</f>
        <v>55852.1436108454</v>
      </c>
      <c r="GZ11" s="327" t="n">
        <v>55064.52</v>
      </c>
      <c r="HA11" s="325" t="n">
        <f aca="false">HB11*$H11+HC11*$G11</f>
        <v>54729.9597744572</v>
      </c>
      <c r="HB11" s="328" t="n">
        <f aca="false">HC11/$F11*HC$7</f>
        <v>54729.9597744572</v>
      </c>
      <c r="HC11" s="327" t="n">
        <v>55064.52</v>
      </c>
      <c r="HD11" s="325" t="n">
        <f aca="false">HE11*$H11+HF11*$G11</f>
        <v>55540.1942922271</v>
      </c>
      <c r="HE11" s="328" t="n">
        <f aca="false">HF11/$F11*HF$7</f>
        <v>55540.1942922271</v>
      </c>
      <c r="HF11" s="327" t="n">
        <v>55064.52</v>
      </c>
      <c r="HG11" s="325" t="n">
        <f aca="false">HH11*$H11+HI11*$G11</f>
        <v>53696.3072225789</v>
      </c>
      <c r="HH11" s="328" t="n">
        <f aca="false">HI11/$F11*HI$7</f>
        <v>53696.3072225789</v>
      </c>
      <c r="HI11" s="327" t="n">
        <v>55064.52</v>
      </c>
      <c r="HJ11" s="325" t="n">
        <f aca="false">HK11*$H11+HL11*$G11</f>
        <v>51941.8277431936</v>
      </c>
      <c r="HK11" s="328" t="n">
        <f aca="false">HL11/$F11*HL$7</f>
        <v>51941.8277431936</v>
      </c>
      <c r="HL11" s="327" t="n">
        <v>55064.52</v>
      </c>
      <c r="HP11" s="325" t="n">
        <f aca="false">HQ11*$H11+HR11*$G11</f>
        <v>53805.2209846733</v>
      </c>
      <c r="HQ11" s="328" t="n">
        <f aca="false">HR11/$F11*HR$7</f>
        <v>53805.2209846733</v>
      </c>
      <c r="HR11" s="327" t="n">
        <v>55065.25</v>
      </c>
      <c r="HS11" s="325" t="n">
        <f aca="false">HT11*$H11+HU11*$G11</f>
        <v>54227.6182945674</v>
      </c>
      <c r="HT11" s="328" t="n">
        <f aca="false">HU11/$F11*HU$7</f>
        <v>54227.6182945674</v>
      </c>
      <c r="HU11" s="327" t="n">
        <v>55065.24</v>
      </c>
      <c r="HV11" s="325" t="n">
        <f aca="false">HW11*$H11+HX11*$G11</f>
        <v>61680.5297869218</v>
      </c>
      <c r="HW11" s="328" t="n">
        <f aca="false">HX11/$F11*HX$7</f>
        <v>61680.5297869218</v>
      </c>
      <c r="HX11" s="327" t="n">
        <v>55065.24</v>
      </c>
      <c r="HY11" s="325" t="n">
        <f aca="false">HZ11*$H11+IA11*$G11</f>
        <v>40232.4996521849</v>
      </c>
      <c r="HZ11" s="328" t="n">
        <f aca="false">IA11/$F11*IA$7</f>
        <v>40232.4996521849</v>
      </c>
      <c r="IA11" s="329" t="n">
        <v>36710.16</v>
      </c>
      <c r="IB11" s="325" t="n">
        <f aca="false">IC11*$H11+ID11*$G11</f>
        <v>39298.9445066283</v>
      </c>
      <c r="IC11" s="328" t="n">
        <f aca="false">ID11/$F11*ID$7</f>
        <v>39298.9445066283</v>
      </c>
      <c r="ID11" s="329" t="n">
        <v>36710.16</v>
      </c>
      <c r="IE11" s="325" t="n">
        <f aca="false">IF11*$H11+IG11*$G11</f>
        <v>39583.3593584828</v>
      </c>
      <c r="IF11" s="328" t="n">
        <f aca="false">IG11/$F11*IG$7</f>
        <v>39583.3593584828</v>
      </c>
      <c r="IG11" s="329" t="n">
        <v>36710.16</v>
      </c>
      <c r="IH11" s="325" t="n">
        <f aca="false">II11*$H11+IJ11*$G11</f>
        <v>40822.4792902751</v>
      </c>
      <c r="II11" s="328" t="n">
        <f aca="false">IJ11/$F11*IJ$7</f>
        <v>40822.4792902751</v>
      </c>
      <c r="IJ11" s="329" t="n">
        <v>36710.16</v>
      </c>
      <c r="IK11" s="325" t="n">
        <f aca="false">IL11*$H11+IM11*$G11</f>
        <v>40400.8117174009</v>
      </c>
      <c r="IL11" s="328" t="n">
        <f aca="false">IM11/$F11*IM$7</f>
        <v>40400.8117174009</v>
      </c>
      <c r="IM11" s="329" t="n">
        <v>36710.16</v>
      </c>
      <c r="IN11" s="325" t="n">
        <f aca="false">IO11*$H11+IP11*$G11</f>
        <v>41711.5160424837</v>
      </c>
      <c r="IO11" s="328" t="n">
        <f aca="false">IP11/$F11*IP$7</f>
        <v>41711.5160424837</v>
      </c>
      <c r="IP11" s="329" t="n">
        <v>36710.16</v>
      </c>
      <c r="IQ11" s="325" t="n">
        <f aca="false">IR11*$H11+IS11*$G11</f>
        <v>41960.730304249</v>
      </c>
      <c r="IR11" s="328" t="n">
        <f aca="false">IS11/$F11*IS$7</f>
        <v>41960.730304249</v>
      </c>
      <c r="IS11" s="329" t="n">
        <v>36710.16</v>
      </c>
      <c r="IT11" s="325" t="n">
        <f aca="false">IU11*$H11+IV11*$G11</f>
        <v>41937.9534518384</v>
      </c>
      <c r="IU11" s="328" t="n">
        <f aca="false">IV11/$F11*IV$7</f>
        <v>41937.9534518384</v>
      </c>
      <c r="IV11" s="329" t="n">
        <v>36710.16</v>
      </c>
      <c r="IW11" s="325" t="n">
        <f aca="false">IX11*$H11+IY11*$G11</f>
        <v>41470.2884692259</v>
      </c>
      <c r="IX11" s="328" t="n">
        <f aca="false">IY11/$F11*IY$7</f>
        <v>41470.2884692259</v>
      </c>
      <c r="IY11" s="329" t="n">
        <v>36710.16</v>
      </c>
      <c r="JC11" s="325" t="n">
        <f aca="false">JD11*$H11+JE11*$G11</f>
        <v>41713.438763791</v>
      </c>
      <c r="JD11" s="329" t="n">
        <f aca="false">JE11/$F11*JE$7</f>
        <v>41713.438763791</v>
      </c>
      <c r="JE11" s="329" t="n">
        <v>36710.16</v>
      </c>
      <c r="JF11" s="325" t="n">
        <f aca="false">JG11*$H11+JH11*$G11</f>
        <v>20654.7596938002</v>
      </c>
      <c r="JG11" s="326" t="n">
        <f aca="false">JH11/$F11*JH$7</f>
        <v>20654.7596938002</v>
      </c>
      <c r="JH11" s="329" t="n">
        <v>18355.08</v>
      </c>
      <c r="JI11" s="325" t="n">
        <f aca="false">JJ11*$H11+JK11*$G11</f>
        <v>20497.9839564286</v>
      </c>
      <c r="JJ11" s="326" t="n">
        <f aca="false">JK11/$F11*JK$7</f>
        <v>20497.9839564286</v>
      </c>
      <c r="JK11" s="329" t="n">
        <v>18355.08</v>
      </c>
      <c r="JL11" s="325" t="n">
        <f aca="false">JM11*$H11+JN11*$G11</f>
        <v>20713.3287428561</v>
      </c>
      <c r="JM11" s="326" t="n">
        <f aca="false">JN11/$F11*JN$7</f>
        <v>20713.3287428561</v>
      </c>
      <c r="JN11" s="329" t="n">
        <v>18355.08</v>
      </c>
      <c r="JO11" s="325" t="n">
        <f aca="false">JP11*$H11+JQ11*$G11</f>
        <v>20311.7018420704</v>
      </c>
      <c r="JP11" s="326" t="n">
        <f aca="false">JQ11/$F11*JQ$7</f>
        <v>20311.7018420704</v>
      </c>
      <c r="JQ11" s="326" t="n">
        <v>18355.08</v>
      </c>
      <c r="JR11" s="325" t="n">
        <f aca="false">JS11*$H11+JT11*$G11</f>
        <v>20109.8161047946</v>
      </c>
      <c r="JS11" s="328" t="n">
        <f aca="false">JT11/$F11*JT$7</f>
        <v>20109.8161047946</v>
      </c>
      <c r="JT11" s="326" t="n">
        <v>18355.08</v>
      </c>
      <c r="JU11" s="326"/>
      <c r="JW11" s="326"/>
    </row>
    <row r="12" s="329" customFormat="true" ht="15" hidden="false" customHeight="false" outlineLevel="0" collapsed="false">
      <c r="A12" s="85" t="n">
        <v>2.57</v>
      </c>
      <c r="B12" s="319"/>
      <c r="C12" s="319" t="n">
        <v>3470607.89</v>
      </c>
      <c r="D12" s="319"/>
      <c r="E12" s="321"/>
      <c r="F12" s="322" t="n">
        <v>24.820658</v>
      </c>
      <c r="G12" s="323" t="n">
        <v>0</v>
      </c>
      <c r="H12" s="324" t="n">
        <f aca="false">1-G12</f>
        <v>1</v>
      </c>
      <c r="I12" s="324"/>
      <c r="J12" s="319" t="n">
        <v>502551.76</v>
      </c>
      <c r="K12" s="325"/>
      <c r="L12" s="326"/>
      <c r="M12" s="327"/>
      <c r="N12" s="328"/>
      <c r="O12" s="326"/>
      <c r="P12" s="327"/>
      <c r="Q12" s="328"/>
      <c r="R12" s="326"/>
      <c r="S12" s="327"/>
      <c r="T12" s="328"/>
      <c r="U12" s="328"/>
      <c r="V12" s="327"/>
      <c r="W12" s="325"/>
      <c r="X12" s="328"/>
      <c r="Y12" s="327"/>
      <c r="AC12" s="328"/>
      <c r="AD12" s="328"/>
      <c r="AE12" s="327"/>
      <c r="AF12" s="328"/>
      <c r="AG12" s="328"/>
      <c r="AH12" s="327"/>
      <c r="AI12" s="328"/>
      <c r="AJ12" s="328"/>
      <c r="AK12" s="327"/>
      <c r="AL12" s="328"/>
      <c r="AM12" s="328"/>
      <c r="AN12" s="327"/>
      <c r="AO12" s="328"/>
      <c r="AP12" s="328"/>
      <c r="AQ12" s="327"/>
      <c r="AR12" s="328"/>
      <c r="AS12" s="328"/>
      <c r="AT12" s="327"/>
      <c r="AU12" s="328"/>
      <c r="AV12" s="328"/>
      <c r="AW12" s="327"/>
      <c r="AX12" s="328"/>
      <c r="AY12" s="328"/>
      <c r="AZ12" s="327"/>
      <c r="BA12" s="328"/>
      <c r="BB12" s="328"/>
      <c r="BC12" s="327"/>
      <c r="BD12" s="328"/>
      <c r="BE12" s="328"/>
      <c r="BF12" s="327"/>
      <c r="BG12" s="328"/>
      <c r="BH12" s="328"/>
      <c r="BI12" s="327"/>
      <c r="BJ12" s="328"/>
      <c r="BK12" s="0"/>
      <c r="BL12" s="327"/>
      <c r="BP12" s="328"/>
      <c r="BQ12" s="328"/>
      <c r="BR12" s="327"/>
      <c r="BS12" s="328"/>
      <c r="BT12" s="328"/>
      <c r="BU12" s="327"/>
      <c r="BV12" s="325" t="n">
        <f aca="false">BW12*$H12+BX12*$G12</f>
        <v>52022.0973784635</v>
      </c>
      <c r="BW12" s="328" t="n">
        <f aca="false">BX12/$F12*BX$7</f>
        <v>52022.0973784635</v>
      </c>
      <c r="BX12" s="327" t="n">
        <v>49467.42</v>
      </c>
      <c r="BY12" s="325" t="n">
        <f aca="false">BZ12*$H12+CA12*$G12</f>
        <v>50644.6954479732</v>
      </c>
      <c r="BZ12" s="328" t="n">
        <f aca="false">CA12/$F12*CA$7</f>
        <v>50644.6954479732</v>
      </c>
      <c r="CA12" s="327" t="n">
        <v>49467.42</v>
      </c>
      <c r="CB12" s="325" t="n">
        <f aca="false">CC12*$H12+CD12*$G12</f>
        <v>50226.4477410115</v>
      </c>
      <c r="CC12" s="328" t="n">
        <f aca="false">CD12/$F12*CD$7</f>
        <v>50226.4477410115</v>
      </c>
      <c r="CD12" s="327" t="n">
        <v>49467.42</v>
      </c>
      <c r="CE12" s="325" t="n">
        <f aca="false">CF12*$H12+CG12*$G12</f>
        <v>49610.7162614448</v>
      </c>
      <c r="CF12" s="328" t="n">
        <f aca="false">CG12/$F12*CG$7</f>
        <v>49610.7162614448</v>
      </c>
      <c r="CG12" s="327" t="n">
        <v>49467.42</v>
      </c>
      <c r="CH12" s="325" t="n">
        <f aca="false">CI12*$H12+CJ12*$G12</f>
        <v>49449.3594892738</v>
      </c>
      <c r="CI12" s="328" t="n">
        <f aca="false">CJ12/$F12*CJ$7</f>
        <v>49449.3594892738</v>
      </c>
      <c r="CJ12" s="327" t="n">
        <v>49467.42</v>
      </c>
      <c r="CK12" s="325" t="n">
        <f aca="false">CL12*$H12+CM12*$G12</f>
        <v>50347.8888313436</v>
      </c>
      <c r="CL12" s="328" t="n">
        <f aca="false">CM12/$F12*CM$7</f>
        <v>50347.8888313436</v>
      </c>
      <c r="CM12" s="327" t="n">
        <v>49467.42</v>
      </c>
      <c r="CN12" s="325" t="n">
        <f aca="false">CO12*$H12+CP12*$G12</f>
        <v>51430.2579097758</v>
      </c>
      <c r="CO12" s="328" t="n">
        <f aca="false">CP12/$F12*CP$7</f>
        <v>51430.2579097758</v>
      </c>
      <c r="CP12" s="327" t="n">
        <v>49467.42</v>
      </c>
      <c r="CQ12" s="325" t="n">
        <f aca="false">CR12*$H12+CS12*$G12</f>
        <v>51227.0662026397</v>
      </c>
      <c r="CR12" s="328" t="n">
        <f aca="false">CS12/$F12*CS$7</f>
        <v>51227.0662026397</v>
      </c>
      <c r="CS12" s="327" t="n">
        <v>49467.42</v>
      </c>
      <c r="CT12" s="325" t="n">
        <f aca="false">CU12*$H12+CV12*$G12</f>
        <v>51386.9939981841</v>
      </c>
      <c r="CU12" s="328" t="n">
        <f aca="false">CV12/$F12*CV$7</f>
        <v>51386.9939981841</v>
      </c>
      <c r="CV12" s="327" t="n">
        <v>49467.42</v>
      </c>
      <c r="CW12" s="325" t="n">
        <f aca="false">CX12*$H12+CY12*$G12</f>
        <v>52755.5071758783</v>
      </c>
      <c r="CX12" s="328" t="n">
        <f aca="false">CY12/$F12*CY$7</f>
        <v>52755.5071758783</v>
      </c>
      <c r="CY12" s="327" t="n">
        <v>49467.42</v>
      </c>
      <c r="DC12" s="325" t="n">
        <f aca="false">DD12*$H12+DE12*$G12</f>
        <v>54692.0555031128</v>
      </c>
      <c r="DD12" s="328" t="n">
        <f aca="false">DE12/$F12*DE$7</f>
        <v>54692.0555031128</v>
      </c>
      <c r="DE12" s="327" t="n">
        <v>49467.42</v>
      </c>
      <c r="DF12" s="325" t="n">
        <f aca="false">DG12*$H12+DH12*$G12</f>
        <v>53861.256065757</v>
      </c>
      <c r="DG12" s="328" t="n">
        <f aca="false">DH12/$F12*DH$7</f>
        <v>53861.256065757</v>
      </c>
      <c r="DH12" s="327" t="n">
        <v>49467.42</v>
      </c>
      <c r="DI12" s="325" t="n">
        <f aca="false">DJ12*$H12+DK12*$G12</f>
        <v>53587.3509420379</v>
      </c>
      <c r="DJ12" s="328" t="n">
        <f aca="false">DK12/$F12*DK$7</f>
        <v>53587.3509420379</v>
      </c>
      <c r="DK12" s="327" t="n">
        <v>49467.42</v>
      </c>
      <c r="DL12" s="325" t="n">
        <f aca="false">DM12*$H12+DN12*$G12</f>
        <v>53386.4910377654</v>
      </c>
      <c r="DM12" s="328" t="n">
        <f aca="false">DN12/$F12*DN$7</f>
        <v>53386.4910377654</v>
      </c>
      <c r="DN12" s="327" t="n">
        <v>49467.42</v>
      </c>
      <c r="DO12" s="325" t="n">
        <f aca="false">DP12*$H12+DQ12*$G12</f>
        <v>52554.5695448436</v>
      </c>
      <c r="DP12" s="328" t="n">
        <f aca="false">DQ12/$F12*DQ$7</f>
        <v>52554.5695448436</v>
      </c>
      <c r="DQ12" s="327" t="n">
        <v>49467.42</v>
      </c>
      <c r="DR12" s="325" t="n">
        <f aca="false">DS12*$H12+DT12*$G12</f>
        <v>51863.9313895272</v>
      </c>
      <c r="DS12" s="328" t="n">
        <f aca="false">DT12/$F12*DT$7</f>
        <v>51863.9313895272</v>
      </c>
      <c r="DT12" s="327" t="n">
        <v>49467.42</v>
      </c>
      <c r="DU12" s="325" t="n">
        <f aca="false">DV12*$H12+DW12*$G12</f>
        <v>51706.4908503707</v>
      </c>
      <c r="DV12" s="328" t="n">
        <f aca="false">DW12/$F12*DW$7</f>
        <v>51706.4908503707</v>
      </c>
      <c r="DW12" s="327" t="n">
        <v>49467.42</v>
      </c>
      <c r="DX12" s="325" t="n">
        <f aca="false">DY12*$H12+DZ12*$G12</f>
        <v>50802.2137138919</v>
      </c>
      <c r="DY12" s="328" t="n">
        <f aca="false">DZ12/$F12*DZ$7</f>
        <v>50802.2137138919</v>
      </c>
      <c r="DZ12" s="327" t="n">
        <v>49467.42</v>
      </c>
      <c r="EA12" s="325" t="n">
        <f aca="false">EB12*$H12+EC12*$G12</f>
        <v>52069.8275893862</v>
      </c>
      <c r="EB12" s="328" t="n">
        <f aca="false">EC12/$F12*EC$7</f>
        <v>52069.8275893862</v>
      </c>
      <c r="EC12" s="327" t="n">
        <v>49467.42</v>
      </c>
      <c r="ED12" s="325" t="n">
        <f aca="false">EE12*$H12+EF12*$G12</f>
        <v>52814.2387131316</v>
      </c>
      <c r="EE12" s="328" t="n">
        <f aca="false">EF12/$F12*EF$7</f>
        <v>52814.2387131316</v>
      </c>
      <c r="EF12" s="327" t="n">
        <v>49467.42</v>
      </c>
      <c r="EG12" s="325" t="n">
        <f aca="false">EH12*$H12+EI12*$G12</f>
        <v>52812.5187593955</v>
      </c>
      <c r="EH12" s="328" t="n">
        <f aca="false">EI12/$F12*EI$7</f>
        <v>52812.5187593955</v>
      </c>
      <c r="EI12" s="327" t="n">
        <v>49467.42</v>
      </c>
      <c r="EJ12" s="325" t="n">
        <f aca="false">EK12*$H12+EL12*$G12</f>
        <v>55551.984539318</v>
      </c>
      <c r="EK12" s="328" t="n">
        <f aca="false">EL12/$F12*EL$7</f>
        <v>55551.984539318</v>
      </c>
      <c r="EL12" s="327" t="n">
        <v>49467.42</v>
      </c>
      <c r="EO12" s="327"/>
      <c r="EP12" s="325" t="n">
        <f aca="false">EQ12*$H12+ER12*$G12</f>
        <v>57487.542348584</v>
      </c>
      <c r="EQ12" s="328" t="n">
        <f aca="false">ER12/$F12*ER$7</f>
        <v>57487.542348584</v>
      </c>
      <c r="ER12" s="327" t="n">
        <v>49467.42</v>
      </c>
      <c r="ES12" s="325" t="n">
        <f aca="false">ET12*$H12+EU12*$G12</f>
        <v>53792.6771456413</v>
      </c>
      <c r="ET12" s="328" t="n">
        <f aca="false">EU12/$F12*EU$7</f>
        <v>53792.6771456413</v>
      </c>
      <c r="EU12" s="327" t="n">
        <v>49467.42</v>
      </c>
      <c r="EV12" s="325" t="n">
        <f aca="false">EW12*$H12+EX12*$G12</f>
        <v>52686.8744449273</v>
      </c>
      <c r="EW12" s="328" t="n">
        <f aca="false">EX12/$F12*EX$7</f>
        <v>52686.8744449273</v>
      </c>
      <c r="EX12" s="327" t="n">
        <v>49467.42</v>
      </c>
      <c r="EY12" s="325" t="n">
        <f aca="false">EZ12*$H12+FA12*$G12</f>
        <v>52268.1842933197</v>
      </c>
      <c r="EZ12" s="328" t="n">
        <f aca="false">FA12/$F12*FA$7</f>
        <v>52268.1842933197</v>
      </c>
      <c r="FA12" s="327" t="n">
        <v>49467.42</v>
      </c>
      <c r="FB12" s="325" t="n">
        <f aca="false">FC12*$H12+FD12*$G12</f>
        <v>52112.730769082</v>
      </c>
      <c r="FC12" s="328" t="n">
        <f aca="false">FD12/$F12*FD$7</f>
        <v>52112.730769082</v>
      </c>
      <c r="FD12" s="327" t="n">
        <v>49467.42</v>
      </c>
      <c r="FE12" s="325" t="n">
        <f aca="false">FF12*$H12+FG12*$G12</f>
        <v>52707.5916165228</v>
      </c>
      <c r="FF12" s="328" t="n">
        <f aca="false">FG12/$F12*FG$7</f>
        <v>52707.5916165228</v>
      </c>
      <c r="FG12" s="327" t="n">
        <v>49467.42</v>
      </c>
      <c r="FH12" s="325" t="n">
        <f aca="false">FI12*$H12+FJ12*$G12</f>
        <v>52759.397499972</v>
      </c>
      <c r="FI12" s="328" t="n">
        <f aca="false">FJ12/$F12*FJ$7</f>
        <v>52759.397499972</v>
      </c>
      <c r="FJ12" s="327" t="n">
        <v>49467.42</v>
      </c>
      <c r="FK12" s="325" t="n">
        <f aca="false">FL12*$H12+FM12*$G12</f>
        <v>55601.6479543242</v>
      </c>
      <c r="FL12" s="328" t="n">
        <f aca="false">FM12/$F12*FM$7</f>
        <v>55601.6479543242</v>
      </c>
      <c r="FM12" s="327" t="n">
        <v>49467.42</v>
      </c>
      <c r="FN12" s="325" t="n">
        <f aca="false">FO12*$H12+FP12*$G12</f>
        <v>56043.3970453603</v>
      </c>
      <c r="FO12" s="328" t="n">
        <f aca="false">FP12/$F12*FP$7</f>
        <v>56043.3970453603</v>
      </c>
      <c r="FP12" s="327" t="n">
        <v>49467.42</v>
      </c>
      <c r="FQ12" s="325" t="n">
        <f aca="false">FR12*$H12+FS12*$G12</f>
        <v>55876.8664610237</v>
      </c>
      <c r="FR12" s="328" t="n">
        <f aca="false">FS12/$F12*FS$7</f>
        <v>55876.8664610237</v>
      </c>
      <c r="FS12" s="327" t="n">
        <v>49467.42</v>
      </c>
      <c r="FT12" s="325" t="n">
        <f aca="false">FU12*$H12+FV12*$G12</f>
        <v>55335.1348449819</v>
      </c>
      <c r="FU12" s="328" t="n">
        <f aca="false">FV12/$F12*FV$7</f>
        <v>55335.1348449819</v>
      </c>
      <c r="FV12" s="327" t="n">
        <v>49467.42</v>
      </c>
      <c r="FW12" s="325" t="n">
        <f aca="false">FX12*$H12+FY12*$G12</f>
        <v>55500.7805400268</v>
      </c>
      <c r="FX12" s="328" t="n">
        <f aca="false">FY12/$F12*FY$7</f>
        <v>55500.7805400268</v>
      </c>
      <c r="FY12" s="327" t="n">
        <v>49467.42</v>
      </c>
      <c r="GC12" s="325" t="n">
        <f aca="false">GD12*$H12+GE12*$G12</f>
        <v>55765.6275064682</v>
      </c>
      <c r="GD12" s="328" t="n">
        <f aca="false">GE12/$F12*GE$7</f>
        <v>55765.6275064682</v>
      </c>
      <c r="GE12" s="327" t="n">
        <v>49467.42</v>
      </c>
      <c r="GF12" s="325" t="n">
        <f aca="false">GG12*$H12+GH12*$G12</f>
        <v>54156.1234993214</v>
      </c>
      <c r="GG12" s="328" t="n">
        <f aca="false">GH12/$F12*GH$7</f>
        <v>54156.1234993214</v>
      </c>
      <c r="GH12" s="327" t="n">
        <v>49467.42</v>
      </c>
      <c r="GI12" s="325" t="n">
        <f aca="false">GJ12*$H12+GK12*$G12</f>
        <v>54145.417136088</v>
      </c>
      <c r="GJ12" s="328" t="n">
        <f aca="false">GK12/$F12*GK$7</f>
        <v>54145.417136088</v>
      </c>
      <c r="GK12" s="327" t="n">
        <v>49467.42</v>
      </c>
      <c r="GL12" s="325" t="n">
        <f aca="false">GM12*$H12+GN12*$G12</f>
        <v>53363.1510861968</v>
      </c>
      <c r="GM12" s="328" t="n">
        <f aca="false">GN12/$F12*GN$7</f>
        <v>53363.1510861968</v>
      </c>
      <c r="GN12" s="327" t="n">
        <v>49467.42</v>
      </c>
      <c r="GO12" s="325" t="n">
        <f aca="false">GP12*$H12+GQ12*$G12</f>
        <v>52222.2099100233</v>
      </c>
      <c r="GP12" s="328" t="n">
        <f aca="false">GQ12/$F12*GQ$7</f>
        <v>52222.2099100233</v>
      </c>
      <c r="GQ12" s="327" t="n">
        <v>49467.42</v>
      </c>
      <c r="GR12" s="325" t="n">
        <f aca="false">GS12*$H12+GT12*$G12</f>
        <v>52198.9038393511</v>
      </c>
      <c r="GS12" s="328" t="n">
        <f aca="false">GT12/$F12*GT$7</f>
        <v>52198.9038393511</v>
      </c>
      <c r="GT12" s="327" t="n">
        <v>49467.42</v>
      </c>
      <c r="GU12" s="325" t="n">
        <f aca="false">GV12*$H12+GW12*$G12</f>
        <v>51449.8251238908</v>
      </c>
      <c r="GV12" s="328" t="n">
        <f aca="false">GW12/$F12*GW$7</f>
        <v>51449.8251238908</v>
      </c>
      <c r="GW12" s="327" t="n">
        <v>49467.42</v>
      </c>
      <c r="GX12" s="325" t="n">
        <f aca="false">GY12*$H12+GZ12*$G12</f>
        <v>50174.9846525132</v>
      </c>
      <c r="GY12" s="328" t="n">
        <f aca="false">GZ12/$F12*GZ$7</f>
        <v>50174.9846525132</v>
      </c>
      <c r="GZ12" s="327" t="n">
        <v>49467.42</v>
      </c>
      <c r="HA12" s="325" t="n">
        <f aca="false">HB12*$H12+HC12*$G12</f>
        <v>49166.8665548375</v>
      </c>
      <c r="HB12" s="328" t="n">
        <f aca="false">HC12/$F12*HC$7</f>
        <v>49166.8665548375</v>
      </c>
      <c r="HC12" s="327" t="n">
        <v>49467.42</v>
      </c>
      <c r="HD12" s="325" t="n">
        <f aca="false">HE12*$H12+HF12*$G12</f>
        <v>49894.7438011845</v>
      </c>
      <c r="HE12" s="328" t="n">
        <f aca="false">HF12/$F12*HF$7</f>
        <v>49894.7438011845</v>
      </c>
      <c r="HF12" s="327" t="n">
        <v>49467.42</v>
      </c>
      <c r="HG12" s="325" t="n">
        <f aca="false">HH12*$H12+HI12*$G12</f>
        <v>48238.2808717545</v>
      </c>
      <c r="HH12" s="328" t="n">
        <f aca="false">HI12/$F12*HI$7</f>
        <v>48238.2808717545</v>
      </c>
      <c r="HI12" s="327" t="n">
        <v>49467.42</v>
      </c>
      <c r="HJ12" s="325" t="n">
        <f aca="false">HK12*$H12+HL12*$G12</f>
        <v>46662.1375895079</v>
      </c>
      <c r="HK12" s="328" t="n">
        <f aca="false">HL12/$F12*HL$7</f>
        <v>46662.1375895079</v>
      </c>
      <c r="HL12" s="327" t="n">
        <v>49467.42</v>
      </c>
      <c r="HP12" s="325" t="n">
        <f aca="false">HQ12*$H12+HR12*$G12</f>
        <v>48335.4831702689</v>
      </c>
      <c r="HQ12" s="328" t="n">
        <f aca="false">HR12/$F12*HR$7</f>
        <v>48335.4831702689</v>
      </c>
      <c r="HR12" s="327" t="n">
        <v>49467.42</v>
      </c>
      <c r="HS12" s="325" t="n">
        <f aca="false">HT12*$H12+HU12*$G12</f>
        <v>48715.7862791953</v>
      </c>
      <c r="HT12" s="328" t="n">
        <f aca="false">HU12/$F12*HU$7</f>
        <v>48715.7862791953</v>
      </c>
      <c r="HU12" s="329" t="n">
        <v>49468.27</v>
      </c>
      <c r="HV12" s="325" t="n">
        <f aca="false">HW12*$H12+HX12*$G12</f>
        <v>55411.1538320217</v>
      </c>
      <c r="HW12" s="328" t="n">
        <f aca="false">HX12/$F12*HX$7</f>
        <v>55411.1538320217</v>
      </c>
      <c r="HX12" s="327" t="n">
        <v>49468.26</v>
      </c>
      <c r="HY12" s="325" t="n">
        <f aca="false">HZ12*$H12+IA12*$G12</f>
        <v>54214.739277742</v>
      </c>
      <c r="HZ12" s="328" t="n">
        <f aca="false">IA12/$F12*IA$7</f>
        <v>54214.739277742</v>
      </c>
      <c r="IA12" s="327" t="n">
        <v>49468.26</v>
      </c>
      <c r="IB12" s="325" t="n">
        <f aca="false">IC12*$H12+ID12*$G12</f>
        <v>52956.7401661954</v>
      </c>
      <c r="IC12" s="328" t="n">
        <f aca="false">ID12/$F12*ID$7</f>
        <v>52956.7401661954</v>
      </c>
      <c r="ID12" s="327" t="n">
        <v>49468.26</v>
      </c>
      <c r="IE12" s="325" t="n">
        <f aca="false">IF12*$H12+IG12*$G12</f>
        <v>53339.9994012246</v>
      </c>
      <c r="IF12" s="328" t="n">
        <f aca="false">IG12/$F12*IG$7</f>
        <v>53339.9994012246</v>
      </c>
      <c r="IG12" s="327" t="n">
        <v>49468.26</v>
      </c>
      <c r="IH12" s="325" t="n">
        <f aca="false">II12*$H12+IJ12*$G12</f>
        <v>55009.7580445289</v>
      </c>
      <c r="II12" s="328" t="n">
        <f aca="false">IJ12/$F12*IJ$7</f>
        <v>55009.7580445289</v>
      </c>
      <c r="IJ12" s="327" t="n">
        <v>49468.26</v>
      </c>
      <c r="IK12" s="325" t="n">
        <f aca="false">IL12*$H12+IM12*$G12</f>
        <v>54441.5458349251</v>
      </c>
      <c r="IL12" s="328" t="n">
        <f aca="false">IM12/$F12*IM$7</f>
        <v>54441.5458349251</v>
      </c>
      <c r="IM12" s="327" t="n">
        <v>49468.26</v>
      </c>
      <c r="IN12" s="325" t="n">
        <f aca="false">IO12*$H12+IP12*$G12</f>
        <v>56207.7670210032</v>
      </c>
      <c r="IO12" s="328" t="n">
        <f aca="false">IP12/$F12*IP$7</f>
        <v>56207.7670210032</v>
      </c>
      <c r="IP12" s="327" t="n">
        <v>49468.26</v>
      </c>
      <c r="IQ12" s="325" t="n">
        <f aca="false">IR12*$H12+IS12*$G12</f>
        <v>56543.5921957428</v>
      </c>
      <c r="IR12" s="328" t="n">
        <f aca="false">IS12/$F12*IS$7</f>
        <v>56543.5921957428</v>
      </c>
      <c r="IS12" s="327" t="n">
        <v>49468.26</v>
      </c>
      <c r="IT12" s="325" t="n">
        <f aca="false">IU12*$H12+IV12*$G12</f>
        <v>56512.8995684965</v>
      </c>
      <c r="IU12" s="328" t="n">
        <f aca="false">IV12/$F12*IV$7</f>
        <v>56512.8995684965</v>
      </c>
      <c r="IV12" s="327" t="n">
        <v>49468.26</v>
      </c>
      <c r="IW12" s="325" t="n">
        <f aca="false">IX12*$H12+IY12*$G12</f>
        <v>55882.7041960773</v>
      </c>
      <c r="IX12" s="328" t="n">
        <f aca="false">IY12/$F12*IY$7</f>
        <v>55882.7041960773</v>
      </c>
      <c r="IY12" s="327" t="n">
        <v>49468.26</v>
      </c>
      <c r="JC12" s="325" t="n">
        <f aca="false">JD12*$H12+JE12*$G12</f>
        <v>56210.3579570695</v>
      </c>
      <c r="JD12" s="329" t="n">
        <f aca="false">JE12/$F12*JE$7</f>
        <v>56210.3579570695</v>
      </c>
      <c r="JE12" s="327" t="n">
        <v>49468.26</v>
      </c>
      <c r="JF12" s="326"/>
      <c r="JG12" s="326"/>
      <c r="JH12" s="327"/>
      <c r="JI12" s="328"/>
      <c r="JJ12" s="326"/>
      <c r="JL12" s="326"/>
      <c r="JM12" s="326"/>
      <c r="JO12" s="328"/>
      <c r="JP12" s="326"/>
      <c r="JR12" s="328"/>
      <c r="JS12" s="328"/>
      <c r="JU12" s="326"/>
    </row>
    <row r="13" s="329" customFormat="true" ht="15" hidden="false" customHeight="false" outlineLevel="0" collapsed="false">
      <c r="A13" s="85" t="n">
        <v>2.58</v>
      </c>
      <c r="B13" s="319"/>
      <c r="C13" s="319" t="n">
        <v>1380832.5</v>
      </c>
      <c r="D13" s="319"/>
      <c r="E13" s="321"/>
      <c r="F13" s="322" t="n">
        <v>24.820658</v>
      </c>
      <c r="G13" s="323" t="n">
        <v>0</v>
      </c>
      <c r="H13" s="324" t="n">
        <f aca="false">1-G13</f>
        <v>1</v>
      </c>
      <c r="I13" s="324"/>
      <c r="J13" s="319" t="n">
        <v>201794.58</v>
      </c>
      <c r="K13" s="325"/>
      <c r="L13" s="326"/>
      <c r="M13" s="327"/>
      <c r="N13" s="328"/>
      <c r="O13" s="326"/>
      <c r="P13" s="327"/>
      <c r="Q13" s="328"/>
      <c r="R13" s="326"/>
      <c r="S13" s="327"/>
      <c r="T13" s="328"/>
      <c r="U13" s="328"/>
      <c r="V13" s="327"/>
      <c r="W13" s="325"/>
      <c r="X13" s="328"/>
      <c r="Y13" s="327"/>
      <c r="AC13" s="328"/>
      <c r="AD13" s="328"/>
      <c r="AE13" s="327"/>
      <c r="AF13" s="328"/>
      <c r="AG13" s="328"/>
      <c r="AH13" s="327"/>
      <c r="AI13" s="328"/>
      <c r="AJ13" s="328"/>
      <c r="AK13" s="327"/>
      <c r="AL13" s="328"/>
      <c r="AM13" s="328"/>
      <c r="AN13" s="327"/>
      <c r="AO13" s="328"/>
      <c r="AP13" s="328"/>
      <c r="AQ13" s="327"/>
      <c r="AR13" s="328"/>
      <c r="AS13" s="328"/>
      <c r="AT13" s="327"/>
      <c r="AU13" s="328"/>
      <c r="AV13" s="328"/>
      <c r="AW13" s="327"/>
      <c r="AX13" s="328"/>
      <c r="AY13" s="328"/>
      <c r="AZ13" s="327"/>
      <c r="BA13" s="328"/>
      <c r="BB13" s="328"/>
      <c r="BC13" s="327"/>
      <c r="BD13" s="328"/>
      <c r="BE13" s="328"/>
      <c r="BF13" s="327"/>
      <c r="BG13" s="325" t="n">
        <f aca="false">BH13*$H13+BI13*$G13</f>
        <v>19643.484762823</v>
      </c>
      <c r="BH13" s="328" t="n">
        <f aca="false">BI13/$F13*BI$7</f>
        <v>19643.484762823</v>
      </c>
      <c r="BI13" s="327" t="n">
        <v>20328.24</v>
      </c>
      <c r="BJ13" s="325" t="n">
        <f aca="false">BK13*$H13+BL13*$G13</f>
        <v>19261.4812311777</v>
      </c>
      <c r="BK13" s="328" t="n">
        <f aca="false">BL13/$F13*BL$7</f>
        <v>19261.4812311777</v>
      </c>
      <c r="BL13" s="327" t="n">
        <v>20328.24</v>
      </c>
      <c r="BP13" s="325" t="n">
        <f aca="false">BQ13*$H13+BR13*$G13</f>
        <v>20197.5120792366</v>
      </c>
      <c r="BQ13" s="328" t="n">
        <f aca="false">BR13/$F13*BR$7</f>
        <v>20197.5120792366</v>
      </c>
      <c r="BR13" s="327" t="n">
        <v>20328.24</v>
      </c>
      <c r="BS13" s="325" t="n">
        <f aca="false">BT13*$H13+BU13*$G13</f>
        <v>21995.0001051092</v>
      </c>
      <c r="BT13" s="328" t="n">
        <f aca="false">BU13/$F13*BU$7</f>
        <v>21995.0001051092</v>
      </c>
      <c r="BU13" s="327" t="n">
        <v>20328.24</v>
      </c>
      <c r="BV13" s="325" t="n">
        <v>21378.11</v>
      </c>
      <c r="BW13" s="328" t="n">
        <f aca="false">BX13/$F13*BX$7</f>
        <v>21378.0642049409</v>
      </c>
      <c r="BX13" s="327" t="n">
        <v>20328.24</v>
      </c>
      <c r="BY13" s="325" t="n">
        <v>20812.07</v>
      </c>
      <c r="BZ13" s="328" t="n">
        <f aca="false">CA13/$F13*CA$7</f>
        <v>20812.0319150121</v>
      </c>
      <c r="CA13" s="327" t="n">
        <v>20328.24</v>
      </c>
      <c r="CB13" s="325" t="n">
        <f aca="false">CC13*$H13+CD13*$G13</f>
        <v>20640.1563701268</v>
      </c>
      <c r="CC13" s="328" t="n">
        <f aca="false">CD13/$F13*CD$7</f>
        <v>20640.1563701268</v>
      </c>
      <c r="CD13" s="327" t="n">
        <v>20328.24</v>
      </c>
      <c r="CE13" s="325" t="n">
        <f aca="false">CF13*$H13+CG13*$G13</f>
        <v>20387.1264507943</v>
      </c>
      <c r="CF13" s="328" t="n">
        <f aca="false">CG13/$F13*CG$7</f>
        <v>20387.1264507943</v>
      </c>
      <c r="CG13" s="327" t="n">
        <v>20328.24</v>
      </c>
      <c r="CH13" s="325" t="n">
        <f aca="false">CI13*$H13+CJ13*$G13</f>
        <v>20320.8181777872</v>
      </c>
      <c r="CI13" s="328" t="n">
        <f aca="false">CJ13/$F13*CJ$7</f>
        <v>20320.8181777872</v>
      </c>
      <c r="CJ13" s="327" t="n">
        <v>20328.24</v>
      </c>
      <c r="CK13" s="325" t="n">
        <f aca="false">CL13*$H13+CM13*$G13</f>
        <v>20690.061613419</v>
      </c>
      <c r="CL13" s="328" t="n">
        <f aca="false">CM13/$F13*CM$7</f>
        <v>20690.061613419</v>
      </c>
      <c r="CM13" s="327" t="n">
        <v>20328.24</v>
      </c>
      <c r="CN13" s="325" t="n">
        <f aca="false">CO13*$H13+CP13*$G13</f>
        <v>21134.8525160969</v>
      </c>
      <c r="CO13" s="328" t="n">
        <f aca="false">CP13/$F13*CP$7</f>
        <v>21134.8525160969</v>
      </c>
      <c r="CP13" s="327" t="n">
        <v>20328.24</v>
      </c>
      <c r="CQ13" s="325" t="n">
        <f aca="false">CR13*$H13+CS13*$G13</f>
        <v>21051.3525116764</v>
      </c>
      <c r="CR13" s="328" t="n">
        <f aca="false">CS13/$F13*CS$7</f>
        <v>21051.3525116764</v>
      </c>
      <c r="CS13" s="327" t="n">
        <v>20328.24</v>
      </c>
      <c r="CT13" s="325" t="n">
        <f aca="false">CU13*$H13+CV13*$G13</f>
        <v>21117.0735581853</v>
      </c>
      <c r="CU13" s="328" t="n">
        <f aca="false">CV13/$F13*CV$7</f>
        <v>21117.0735581853</v>
      </c>
      <c r="CV13" s="327" t="n">
        <v>20328.24</v>
      </c>
      <c r="CW13" s="325" t="n">
        <f aca="false">CX13*$H13+CY13*$G13</f>
        <v>21679.4530863541</v>
      </c>
      <c r="CX13" s="328" t="n">
        <f aca="false">CY13/$F13*CY$7</f>
        <v>21679.4530863541</v>
      </c>
      <c r="CY13" s="327" t="n">
        <v>20328.24</v>
      </c>
      <c r="DC13" s="325" t="n">
        <f aca="false">DD13*$H13+DE13*$G13</f>
        <v>22475.2621090932</v>
      </c>
      <c r="DD13" s="328" t="n">
        <f aca="false">DE13/$F13*DE$7</f>
        <v>22475.2621090932</v>
      </c>
      <c r="DE13" s="327" t="n">
        <v>20328.24</v>
      </c>
      <c r="DF13" s="325" t="n">
        <f aca="false">DG13*$H13+DH13*$G13</f>
        <v>22133.8517352666</v>
      </c>
      <c r="DG13" s="328" t="n">
        <f aca="false">DH13/$F13*DH$7</f>
        <v>22133.8517352666</v>
      </c>
      <c r="DH13" s="327" t="n">
        <v>20328.24</v>
      </c>
      <c r="DI13" s="325" t="n">
        <f aca="false">DJ13*$H13+DK13*$G13</f>
        <v>22021.2926187372</v>
      </c>
      <c r="DJ13" s="328" t="n">
        <f aca="false">DK13/$F13*DK$7</f>
        <v>22021.2926187372</v>
      </c>
      <c r="DK13" s="327" t="n">
        <v>20328.24</v>
      </c>
      <c r="DL13" s="325" t="n">
        <f aca="false">DM13*$H13+DN13*$G13</f>
        <v>21938.750850025</v>
      </c>
      <c r="DM13" s="328" t="n">
        <f aca="false">DN13/$F13*DN$7</f>
        <v>21938.750850025</v>
      </c>
      <c r="DN13" s="327" t="n">
        <v>20328.24</v>
      </c>
      <c r="DO13" s="325" t="n">
        <f aca="false">DP13*$H13+DQ13*$G13</f>
        <v>21596.8793764517</v>
      </c>
      <c r="DP13" s="328" t="n">
        <f aca="false">DQ13/$F13*DQ$7</f>
        <v>21596.8793764517</v>
      </c>
      <c r="DQ13" s="327" t="n">
        <v>20328.24</v>
      </c>
      <c r="DR13" s="325" t="n">
        <f aca="false">DS13*$H13+DT13*$G13</f>
        <v>21313.0671587449</v>
      </c>
      <c r="DS13" s="328" t="n">
        <f aca="false">DT13/$F13*DT$7</f>
        <v>21313.0671587449</v>
      </c>
      <c r="DT13" s="327" t="n">
        <v>20328.24</v>
      </c>
      <c r="DU13" s="325" t="n">
        <f aca="false">DV13*$H13+DW13*$G13</f>
        <v>21248.3682303249</v>
      </c>
      <c r="DV13" s="328" t="n">
        <f aca="false">DW13/$F13*DW$7</f>
        <v>21248.3682303249</v>
      </c>
      <c r="DW13" s="327" t="n">
        <v>20328.24</v>
      </c>
      <c r="DX13" s="325" t="n">
        <f aca="false">DY13*$H13+DZ13*$G13</f>
        <v>20876.7627846224</v>
      </c>
      <c r="DY13" s="328" t="n">
        <f aca="false">DZ13/$F13*DZ$7</f>
        <v>20876.7627846224</v>
      </c>
      <c r="DZ13" s="327" t="n">
        <v>20328.24</v>
      </c>
      <c r="EA13" s="325" t="n">
        <f aca="false">EB13*$H13+EC13*$G13</f>
        <v>21397.6785527862</v>
      </c>
      <c r="EB13" s="328" t="n">
        <f aca="false">EC13/$F13*EC$7</f>
        <v>21397.6785527862</v>
      </c>
      <c r="EC13" s="327" t="n">
        <v>20328.24</v>
      </c>
      <c r="ED13" s="325" t="n">
        <f aca="false">EE13*$H13+EF13*$G13</f>
        <v>21703.588341131</v>
      </c>
      <c r="EE13" s="328" t="n">
        <f aca="false">EF13/$F13*EF$7</f>
        <v>21703.588341131</v>
      </c>
      <c r="EF13" s="327" t="n">
        <v>20328.24</v>
      </c>
      <c r="EG13" s="325" t="n">
        <f aca="false">EH13*$H13+EI13*$G13</f>
        <v>21702.8815399205</v>
      </c>
      <c r="EH13" s="328" t="n">
        <f aca="false">EI13/$F13*EI$7</f>
        <v>21702.8815399205</v>
      </c>
      <c r="EI13" s="327" t="n">
        <v>20328.24</v>
      </c>
      <c r="EJ13" s="325" t="n">
        <f aca="false">EK13*$H13+EL13*$G13</f>
        <v>22828.64305823</v>
      </c>
      <c r="EK13" s="328" t="n">
        <f aca="false">EL13/$F13*EL$7</f>
        <v>22828.64305823</v>
      </c>
      <c r="EL13" s="327" t="n">
        <v>20328.24</v>
      </c>
      <c r="EO13" s="327"/>
      <c r="EP13" s="325" t="n">
        <f aca="false">EQ13*$H13+ER13*$G13</f>
        <v>23624.0450355442</v>
      </c>
      <c r="EQ13" s="328" t="n">
        <f aca="false">ER13/$F13*ER$7</f>
        <v>23624.0450355442</v>
      </c>
      <c r="ER13" s="327" t="n">
        <v>20328.24</v>
      </c>
      <c r="ES13" s="325" t="n">
        <f aca="false">ET13*$H13+EU13*$G13</f>
        <v>22105.669777383</v>
      </c>
      <c r="ET13" s="328" t="n">
        <f aca="false">EU13/$F13*EU$7</f>
        <v>22105.669777383</v>
      </c>
      <c r="EU13" s="327" t="n">
        <v>20328.24</v>
      </c>
      <c r="EV13" s="325" t="n">
        <f aca="false">EW13*$H13+EX13*$G13</f>
        <v>21651.2490153388</v>
      </c>
      <c r="EW13" s="328" t="n">
        <f aca="false">EX13/$F13*EX$7</f>
        <v>21651.2490153388</v>
      </c>
      <c r="EX13" s="327" t="n">
        <v>20328.24</v>
      </c>
      <c r="EY13" s="325" t="n">
        <f aca="false">EZ13*$H13+FA13*$G13</f>
        <v>21479.1916513704</v>
      </c>
      <c r="EZ13" s="328" t="n">
        <f aca="false">FA13/$F13*FA$7</f>
        <v>21479.1916513704</v>
      </c>
      <c r="FA13" s="327" t="n">
        <v>20328.24</v>
      </c>
      <c r="FB13" s="325" t="n">
        <f aca="false">FC13*$H13+FD13*$G13</f>
        <v>21415.3092708147</v>
      </c>
      <c r="FC13" s="328" t="n">
        <f aca="false">FD13/$F13*FD$7</f>
        <v>21415.3092708147</v>
      </c>
      <c r="FD13" s="327" t="n">
        <v>20328.24</v>
      </c>
      <c r="FE13" s="325" t="n">
        <f aca="false">FF13*$H13+FG13*$G13</f>
        <v>21659.7625710551</v>
      </c>
      <c r="FF13" s="328" t="n">
        <f aca="false">FG13/$F13*FG$7</f>
        <v>21659.7625710551</v>
      </c>
      <c r="FG13" s="327" t="n">
        <v>20328.24</v>
      </c>
      <c r="FH13" s="325" t="n">
        <f aca="false">FI13*$H13+FJ13*$G13</f>
        <v>21681.0517838778</v>
      </c>
      <c r="FI13" s="328" t="n">
        <f aca="false">FJ13/$F13*FJ$7</f>
        <v>21681.0517838778</v>
      </c>
      <c r="FJ13" s="327" t="n">
        <v>20328.24</v>
      </c>
      <c r="FK13" s="325" t="n">
        <f aca="false">FL13*$H13+FM13*$G13</f>
        <v>22849.0518408078</v>
      </c>
      <c r="FL13" s="328" t="n">
        <f aca="false">FM13/$F13*FM$7</f>
        <v>22849.0518408078</v>
      </c>
      <c r="FM13" s="327" t="n">
        <v>20328.24</v>
      </c>
      <c r="FN13" s="325" t="n">
        <f aca="false">FO13*$H13+FP13*$G13</f>
        <v>23030.5850912252</v>
      </c>
      <c r="FO13" s="328" t="n">
        <f aca="false">FP13/$F13*FP$7</f>
        <v>23030.5850912252</v>
      </c>
      <c r="FP13" s="327" t="n">
        <v>20328.24</v>
      </c>
      <c r="FQ13" s="325" t="n">
        <f aca="false">FR13*$H13+FS13*$G13</f>
        <v>22962.1506815524</v>
      </c>
      <c r="FR13" s="328" t="n">
        <f aca="false">FS13/$F13*FS$7</f>
        <v>22962.1506815524</v>
      </c>
      <c r="FS13" s="327" t="n">
        <v>20328.24</v>
      </c>
      <c r="FT13" s="325" t="n">
        <f aca="false">FU13*$H13+FV13*$G13</f>
        <v>22739.5304133742</v>
      </c>
      <c r="FU13" s="328" t="n">
        <f aca="false">FV13/$F13*FV$7</f>
        <v>22739.5304133742</v>
      </c>
      <c r="FV13" s="327" t="n">
        <v>20328.24</v>
      </c>
      <c r="FW13" s="325" t="n">
        <f aca="false">FX13*$H13+FY13*$G13</f>
        <v>22807.6011848808</v>
      </c>
      <c r="FX13" s="328" t="n">
        <f aca="false">FY13/$F13*FY$7</f>
        <v>22807.6011848808</v>
      </c>
      <c r="FY13" s="327" t="n">
        <v>20328.24</v>
      </c>
      <c r="GC13" s="325" t="n">
        <f aca="false">GD13*$H13+GE13*$G13</f>
        <v>22916.4379242355</v>
      </c>
      <c r="GD13" s="328" t="n">
        <f aca="false">GE13/$F13*GE$7</f>
        <v>22916.4379242355</v>
      </c>
      <c r="GE13" s="327" t="n">
        <v>20328.24</v>
      </c>
      <c r="GF13" s="325" t="n">
        <f aca="false">GG13*$H13+GH13*$G13</f>
        <v>22255.0251451126</v>
      </c>
      <c r="GG13" s="328" t="n">
        <f aca="false">GH13/$F13*GH$7</f>
        <v>22255.0251451126</v>
      </c>
      <c r="GH13" s="327" t="n">
        <v>20328.24</v>
      </c>
      <c r="GI13" s="325" t="n">
        <f aca="false">GJ13*$H13+GK13*$G13</f>
        <v>22250.625450903</v>
      </c>
      <c r="GJ13" s="328" t="n">
        <f aca="false">GK13/$F13*GK$7</f>
        <v>22250.625450903</v>
      </c>
      <c r="GK13" s="327" t="n">
        <v>20328.24</v>
      </c>
      <c r="GL13" s="325" t="n">
        <f aca="false">GM13*$H13+GN13*$G13</f>
        <v>21929.159483888</v>
      </c>
      <c r="GM13" s="328" t="n">
        <f aca="false">GN13/$F13*GN$7</f>
        <v>21929.159483888</v>
      </c>
      <c r="GN13" s="327" t="n">
        <v>20328.24</v>
      </c>
      <c r="GO13" s="325" t="n">
        <f aca="false">GP13*$H13+GQ13*$G13</f>
        <v>21460.2988468235</v>
      </c>
      <c r="GP13" s="328" t="n">
        <f aca="false">GQ13/$F13*GQ$7</f>
        <v>21460.2988468235</v>
      </c>
      <c r="GQ13" s="327" t="n">
        <v>20328.24</v>
      </c>
      <c r="GR13" s="325" t="n">
        <f aca="false">GS13*$H13+GT13*$G13</f>
        <v>21450.7214037694</v>
      </c>
      <c r="GS13" s="328" t="n">
        <f aca="false">GT13/$F13*GT$7</f>
        <v>21450.7214037694</v>
      </c>
      <c r="GT13" s="327" t="n">
        <v>20328.24</v>
      </c>
      <c r="GU13" s="325" t="n">
        <f aca="false">GV13*$H13+GW13*$G13</f>
        <v>21142.8935059981</v>
      </c>
      <c r="GV13" s="328" t="n">
        <f aca="false">GW13/$F13*GW$7</f>
        <v>21142.8935059981</v>
      </c>
      <c r="GW13" s="327" t="n">
        <v>20328.24</v>
      </c>
      <c r="GX13" s="325" t="n">
        <f aca="false">GY13*$H13+GZ13*$G13</f>
        <v>20619.0080261434</v>
      </c>
      <c r="GY13" s="328" t="n">
        <f aca="false">GZ13/$F13*GZ$7</f>
        <v>20619.0080261434</v>
      </c>
      <c r="GZ13" s="327" t="n">
        <v>20328.24</v>
      </c>
      <c r="HA13" s="325" t="n">
        <f aca="false">HB13*$H13+HC13*$G13</f>
        <v>20204.7299692345</v>
      </c>
      <c r="HB13" s="328" t="n">
        <f aca="false">HC13/$F13*HC$7</f>
        <v>20204.7299692345</v>
      </c>
      <c r="HC13" s="327" t="n">
        <v>20328.24</v>
      </c>
      <c r="HD13" s="325" t="n">
        <f aca="false">HE13*$H13+HF13*$G13</f>
        <v>20503.8452931038</v>
      </c>
      <c r="HE13" s="328" t="n">
        <f aca="false">HF13/$F13*HF$7</f>
        <v>20503.8452931038</v>
      </c>
      <c r="HF13" s="327" t="n">
        <v>20328.24</v>
      </c>
      <c r="HG13" s="325" t="n">
        <f aca="false">HH13*$H13+HI13*$G13</f>
        <v>19823.1351210238</v>
      </c>
      <c r="HH13" s="328" t="n">
        <f aca="false">HI13/$F13*HI$7</f>
        <v>19823.1351210238</v>
      </c>
      <c r="HI13" s="327" t="n">
        <v>20328.24</v>
      </c>
      <c r="HJ13" s="325" t="n">
        <f aca="false">HK13*$H13+HL13*$G13</f>
        <v>19175.4316645691</v>
      </c>
      <c r="HK13" s="328" t="n">
        <f aca="false">HL13/$F13*HL$7</f>
        <v>19175.4316645691</v>
      </c>
      <c r="HL13" s="327" t="n">
        <v>20328.24</v>
      </c>
      <c r="HP13" s="325" t="n">
        <f aca="false">HQ13*$H13+HR13*$G13</f>
        <v>19863.0796269785</v>
      </c>
      <c r="HQ13" s="328" t="n">
        <f aca="false">HR13/$F13*HR$7</f>
        <v>19863.0796269785</v>
      </c>
      <c r="HR13" s="327" t="n">
        <v>20328.24</v>
      </c>
      <c r="HS13" s="325" t="n">
        <f aca="false">HT13*$H13+HU13*$G13</f>
        <v>20019.0181559248</v>
      </c>
      <c r="HT13" s="328" t="n">
        <f aca="false">HU13/$F13*HU$7</f>
        <v>20019.0181559248</v>
      </c>
      <c r="HU13" s="327" t="n">
        <v>20328.24</v>
      </c>
      <c r="HV13" s="325" t="n">
        <f aca="false">HW13*$H13+HX13*$G13</f>
        <v>22770.383146168</v>
      </c>
      <c r="HW13" s="328" t="n">
        <f aca="false">HX13/$F13*HX$7</f>
        <v>22770.383146168</v>
      </c>
      <c r="HX13" s="327" t="n">
        <v>20328.24</v>
      </c>
      <c r="HY13" s="325" t="n">
        <f aca="false">HZ13*$H13+IA13*$G13</f>
        <v>22278.7345173524</v>
      </c>
      <c r="HZ13" s="328" t="n">
        <f aca="false">IA13/$F13*IA$7</f>
        <v>22278.7345173524</v>
      </c>
      <c r="IA13" s="327" t="n">
        <v>20328.24</v>
      </c>
      <c r="IB13" s="325" t="n">
        <f aca="false">IC13*$H13+ID13*$G13</f>
        <v>21761.7786377783</v>
      </c>
      <c r="IC13" s="328" t="n">
        <f aca="false">ID13/$F13*ID$7</f>
        <v>21761.7786377783</v>
      </c>
      <c r="ID13" s="327" t="n">
        <v>20328.24</v>
      </c>
      <c r="IE13" s="325" t="n">
        <f aca="false">IF13*$H13+IG13*$G13</f>
        <v>21919.2732759945</v>
      </c>
      <c r="IF13" s="328" t="n">
        <f aca="false">IG13/$F13*IG$7</f>
        <v>21919.2732759945</v>
      </c>
      <c r="IG13" s="327" t="n">
        <v>20328.24</v>
      </c>
      <c r="IH13" s="325" t="n">
        <f aca="false">II13*$H13+IJ13*$G13</f>
        <v>22605.4355635536</v>
      </c>
      <c r="II13" s="328" t="n">
        <f aca="false">IJ13/$F13*IJ$7</f>
        <v>22605.4355635536</v>
      </c>
      <c r="IJ13" s="327" t="n">
        <v>20328.24</v>
      </c>
      <c r="IK13" s="325" t="n">
        <f aca="false">IL13*$H13+IM13*$G13</f>
        <v>22371.9372725735</v>
      </c>
      <c r="IL13" s="328" t="n">
        <f aca="false">IM13/$F13*IM$7</f>
        <v>22371.9372725735</v>
      </c>
      <c r="IM13" s="327" t="n">
        <v>20328.24</v>
      </c>
      <c r="IN13" s="325" t="n">
        <f aca="false">IO13*$H13+IP13*$G13</f>
        <v>23097.7393962723</v>
      </c>
      <c r="IO13" s="328" t="n">
        <f aca="false">IP13/$F13*IP$7</f>
        <v>23097.7393962723</v>
      </c>
      <c r="IP13" s="327" t="n">
        <v>20328.24</v>
      </c>
      <c r="IQ13" s="325" t="n">
        <f aca="false">IR13*$H13+IS13*$G13</f>
        <v>23235.7417183702</v>
      </c>
      <c r="IR13" s="328" t="n">
        <f aca="false">IS13/$F13*IS$7</f>
        <v>23235.7417183702</v>
      </c>
      <c r="IS13" s="327" t="n">
        <v>20328.24</v>
      </c>
      <c r="IT13" s="325" t="n">
        <f aca="false">IU13*$H13+IV13*$G13</f>
        <v>23223.1290432349</v>
      </c>
      <c r="IU13" s="328" t="n">
        <f aca="false">IV13/$F13*IV$7</f>
        <v>23223.1290432349</v>
      </c>
      <c r="IV13" s="327" t="n">
        <v>20328.24</v>
      </c>
      <c r="IW13" s="325" t="n">
        <f aca="false">IX13*$H13+IY13*$G13</f>
        <v>22964.1597005204</v>
      </c>
      <c r="IX13" s="328" t="n">
        <f aca="false">IY13/$F13*IY$7</f>
        <v>22964.1597005204</v>
      </c>
      <c r="IY13" s="327" t="n">
        <v>20328.24</v>
      </c>
      <c r="JC13" s="325" t="n">
        <f aca="false">JD13*$H13+JE13*$G13</f>
        <v>23098.8041026148</v>
      </c>
      <c r="JD13" s="329" t="n">
        <f aca="false">JE13/$F13*JE$7</f>
        <v>23098.8041026148</v>
      </c>
      <c r="JE13" s="327" t="n">
        <v>20328.24</v>
      </c>
      <c r="JF13" s="326"/>
      <c r="JG13" s="326"/>
      <c r="JH13" s="327"/>
      <c r="JI13" s="328"/>
      <c r="JJ13" s="326"/>
      <c r="JL13" s="326"/>
      <c r="JM13" s="326"/>
      <c r="JO13" s="328"/>
      <c r="JP13" s="326"/>
      <c r="JR13" s="328"/>
      <c r="JS13" s="328"/>
      <c r="JU13" s="326"/>
    </row>
    <row r="14" s="329" customFormat="true" ht="15" hidden="false" customHeight="false" outlineLevel="0" collapsed="false">
      <c r="A14" s="85" t="n">
        <v>2.68</v>
      </c>
      <c r="B14" s="319"/>
      <c r="C14" s="319" t="n">
        <v>2149003.06</v>
      </c>
      <c r="D14" s="319"/>
      <c r="E14" s="321"/>
      <c r="F14" s="322" t="n">
        <v>23.146841</v>
      </c>
      <c r="G14" s="323" t="n">
        <v>0</v>
      </c>
      <c r="H14" s="324" t="n">
        <f aca="false">1-G14</f>
        <v>1</v>
      </c>
      <c r="I14" s="324"/>
      <c r="J14" s="319" t="n">
        <v>299706.7</v>
      </c>
      <c r="K14" s="325"/>
      <c r="L14" s="326"/>
      <c r="M14" s="327"/>
      <c r="N14" s="328"/>
      <c r="O14" s="326"/>
      <c r="P14" s="327"/>
      <c r="Q14" s="328"/>
      <c r="R14" s="326"/>
      <c r="S14" s="327"/>
      <c r="T14" s="328"/>
      <c r="U14" s="328"/>
      <c r="V14" s="327"/>
      <c r="W14" s="325"/>
      <c r="X14" s="328"/>
      <c r="Y14" s="327"/>
      <c r="AC14" s="328"/>
      <c r="AD14" s="328"/>
      <c r="AE14" s="327"/>
      <c r="AF14" s="328"/>
      <c r="AG14" s="328"/>
      <c r="AH14" s="327"/>
      <c r="AI14" s="328"/>
      <c r="AJ14" s="328"/>
      <c r="AK14" s="327"/>
      <c r="AL14" s="328"/>
      <c r="AM14" s="328"/>
      <c r="AN14" s="327"/>
      <c r="AO14" s="328"/>
      <c r="AP14" s="328"/>
      <c r="AQ14" s="327"/>
      <c r="AR14" s="328"/>
      <c r="AS14" s="328"/>
      <c r="AT14" s="327"/>
      <c r="AU14" s="328"/>
      <c r="AV14" s="328"/>
      <c r="AW14" s="327"/>
      <c r="AX14" s="328"/>
      <c r="AY14" s="328"/>
      <c r="AZ14" s="327"/>
      <c r="BA14" s="328"/>
      <c r="BB14" s="328"/>
      <c r="BC14" s="327"/>
      <c r="BD14" s="328"/>
      <c r="BE14" s="328"/>
      <c r="BF14" s="327"/>
      <c r="BG14" s="328"/>
      <c r="BH14" s="328"/>
      <c r="BI14" s="327"/>
      <c r="BJ14" s="325"/>
      <c r="BK14" s="328"/>
      <c r="BL14" s="327"/>
      <c r="BP14" s="328"/>
      <c r="BQ14" s="328"/>
      <c r="BR14" s="327"/>
      <c r="BS14" s="328"/>
      <c r="BT14" s="328"/>
      <c r="BU14" s="327"/>
      <c r="BV14" s="328"/>
      <c r="BW14" s="328"/>
      <c r="BX14" s="327"/>
      <c r="BY14" s="328"/>
      <c r="BZ14" s="328"/>
      <c r="CA14" s="327"/>
      <c r="CB14" s="325" t="n">
        <f aca="false">CC14*$H14+CD14*$G14</f>
        <v>34714.6896605252</v>
      </c>
      <c r="CC14" s="328" t="n">
        <f aca="false">CD14/$F14*CD$7</f>
        <v>34714.6896605252</v>
      </c>
      <c r="CD14" s="327" t="n">
        <v>31884.42</v>
      </c>
      <c r="CE14" s="325" t="n">
        <f aca="false">CF14*$H14+CG14*$G14</f>
        <v>34289.118508498</v>
      </c>
      <c r="CF14" s="328" t="n">
        <f aca="false">CG14/$F14*CG$7</f>
        <v>34289.118508498</v>
      </c>
      <c r="CG14" s="327" t="n">
        <v>31884.42</v>
      </c>
      <c r="CH14" s="325" t="n">
        <f aca="false">CI14*$H14+CJ14*$G14</f>
        <v>34177.594589876</v>
      </c>
      <c r="CI14" s="328" t="n">
        <f aca="false">CJ14/$F14*CJ$7</f>
        <v>34177.594589876</v>
      </c>
      <c r="CJ14" s="327" t="n">
        <v>31884.42</v>
      </c>
      <c r="CK14" s="325" t="n">
        <f aca="false">(CL14*$H14+CM14*$G14)+5000</f>
        <v>39798.6253149965</v>
      </c>
      <c r="CL14" s="328" t="n">
        <f aca="false">CM14/$F14*CM$7</f>
        <v>34798.6253149965</v>
      </c>
      <c r="CM14" s="327" t="n">
        <v>31884.42</v>
      </c>
      <c r="CN14" s="325" t="n">
        <f aca="false">(CO14*$H14+CP14*$G14)+7500</f>
        <v>43046.7193639659</v>
      </c>
      <c r="CO14" s="328" t="n">
        <f aca="false">CP14/$F14*CP$7</f>
        <v>35546.7193639659</v>
      </c>
      <c r="CP14" s="327" t="n">
        <v>31884.42</v>
      </c>
      <c r="CQ14" s="325" t="n">
        <f aca="false">(CR14*$H14+CS14*$G14)</f>
        <v>35406.2806633994</v>
      </c>
      <c r="CR14" s="328" t="n">
        <f aca="false">CS14/$F14*CS$7</f>
        <v>35406.2806633994</v>
      </c>
      <c r="CS14" s="327" t="n">
        <v>31884.42</v>
      </c>
      <c r="CT14" s="325" t="n">
        <f aca="false">(CU14*$H14+CV14*$G14)</f>
        <v>35516.8169254707</v>
      </c>
      <c r="CU14" s="328" t="n">
        <f aca="false">CV14/$F14*CV$7</f>
        <v>35516.8169254707</v>
      </c>
      <c r="CV14" s="327" t="n">
        <v>31884.42</v>
      </c>
      <c r="CW14" s="325" t="n">
        <f aca="false">(CX14*$H14+CY14*$G14)+7500</f>
        <v>43962.6833443933</v>
      </c>
      <c r="CX14" s="328" t="n">
        <f aca="false">CY14/$F14*CY$7</f>
        <v>36462.6833443933</v>
      </c>
      <c r="CY14" s="327" t="n">
        <v>31884.42</v>
      </c>
      <c r="DB14" s="327"/>
      <c r="DC14" s="325" t="n">
        <f aca="false">(DD14*$H14+DE14*$G14)</f>
        <v>37801.1549508108</v>
      </c>
      <c r="DD14" s="328" t="n">
        <f aca="false">DE14/$F14*DE$7</f>
        <v>37801.1549508108</v>
      </c>
      <c r="DE14" s="327" t="n">
        <v>31884.42</v>
      </c>
      <c r="DF14" s="325" t="n">
        <f aca="false">(DG14*$H14+DH14*$G14)</f>
        <v>37226.9366667175</v>
      </c>
      <c r="DG14" s="328" t="n">
        <f aca="false">DH14/$F14*DH$7</f>
        <v>37226.9366667175</v>
      </c>
      <c r="DH14" s="327" t="n">
        <v>31884.42</v>
      </c>
      <c r="DI14" s="325" t="n">
        <f aca="false">(DJ14*$H14+DK14*$G14)</f>
        <v>37037.6234304845</v>
      </c>
      <c r="DJ14" s="328" t="n">
        <f aca="false">DK14/$F14*DK$7</f>
        <v>37037.6234304845</v>
      </c>
      <c r="DK14" s="327" t="n">
        <v>31884.42</v>
      </c>
      <c r="DL14" s="325" t="n">
        <f aca="false">(DM14*$H14+DN14*$G14)</f>
        <v>36898.7963870508</v>
      </c>
      <c r="DM14" s="328" t="n">
        <f aca="false">DN14/$F14*DN$7</f>
        <v>36898.7963870508</v>
      </c>
      <c r="DN14" s="327" t="n">
        <v>31884.42</v>
      </c>
      <c r="DO14" s="325" t="n">
        <f aca="false">(DP14*$H14+DQ14*$G14)</f>
        <v>36323.8025790552</v>
      </c>
      <c r="DP14" s="328" t="n">
        <f aca="false">DQ14/$F14*DQ$7</f>
        <v>36323.8025790552</v>
      </c>
      <c r="DQ14" s="327" t="n">
        <v>31884.42</v>
      </c>
      <c r="DR14" s="325" t="n">
        <f aca="false">(DS14*$H14+DT14*$G14)</f>
        <v>35846.4586634919</v>
      </c>
      <c r="DS14" s="328" t="n">
        <f aca="false">DT14/$F14*DT$7</f>
        <v>35846.4586634919</v>
      </c>
      <c r="DT14" s="327" t="n">
        <v>31884.42</v>
      </c>
      <c r="DU14" s="325" t="n">
        <f aca="false">(DV14*$H14+DW14*$G14)</f>
        <v>35737.6415023622</v>
      </c>
      <c r="DV14" s="328" t="n">
        <f aca="false">DW14/$F14*DW$7</f>
        <v>35737.6415023622</v>
      </c>
      <c r="DW14" s="327" t="n">
        <v>31884.42</v>
      </c>
      <c r="DX14" s="325" t="n">
        <f aca="false">(DY14*$H14+DZ14*$G14)</f>
        <v>35112.6381112835</v>
      </c>
      <c r="DY14" s="328" t="n">
        <f aca="false">DZ14/$F14*DZ$7</f>
        <v>35112.6381112835</v>
      </c>
      <c r="DZ14" s="327" t="n">
        <v>31884.42</v>
      </c>
      <c r="EA14" s="325" t="n">
        <f aca="false">(EB14*$H14+EC14*$G14)</f>
        <v>35988.7666108356</v>
      </c>
      <c r="EB14" s="328" t="n">
        <f aca="false">EC14/$F14*EC$7</f>
        <v>35988.7666108356</v>
      </c>
      <c r="EC14" s="327" t="n">
        <v>31884.42</v>
      </c>
      <c r="ED14" s="325" t="n">
        <f aca="false">(EE14*$H14+EF14*$G14)</f>
        <v>36503.2764418695</v>
      </c>
      <c r="EE14" s="328" t="n">
        <f aca="false">EF14/$F14*EF$7</f>
        <v>36503.2764418695</v>
      </c>
      <c r="EF14" s="327" t="n">
        <v>31884.42</v>
      </c>
      <c r="EG14" s="325" t="n">
        <f aca="false">(EH14*$H14+EI14*$G14)</f>
        <v>36502.0876725485</v>
      </c>
      <c r="EH14" s="328" t="n">
        <f aca="false">EI14/$F14*EI$7</f>
        <v>36502.0876725485</v>
      </c>
      <c r="EI14" s="327" t="n">
        <v>31884.42</v>
      </c>
      <c r="EJ14" s="325" t="n">
        <f aca="false">(EK14*$H14+EL14*$G14)+7500</f>
        <v>45895.5065517018</v>
      </c>
      <c r="EK14" s="328" t="n">
        <f aca="false">EL14/$F14*EL$7</f>
        <v>38395.5065517018</v>
      </c>
      <c r="EL14" s="327" t="n">
        <v>31884.42</v>
      </c>
      <c r="EO14" s="327"/>
      <c r="EP14" s="325" t="n">
        <f aca="false">(EQ14*$H14+ER14*$G14)</f>
        <v>39733.293548209</v>
      </c>
      <c r="EQ14" s="328" t="n">
        <f aca="false">ER14/$F14*ER$7</f>
        <v>39733.293548209</v>
      </c>
      <c r="ER14" s="327" t="n">
        <v>31884.42</v>
      </c>
      <c r="ES14" s="325" t="n">
        <f aca="false">(ET14*$H14+EU14*$G14)</f>
        <v>37179.5374171957</v>
      </c>
      <c r="ET14" s="328" t="n">
        <f aca="false">EU14/$F14*EU$7</f>
        <v>37179.5374171957</v>
      </c>
      <c r="EU14" s="327" t="n">
        <v>31884.42</v>
      </c>
      <c r="EV14" s="325" t="n">
        <f aca="false">(EW14*$H14+EX14*$G14)</f>
        <v>36415.2469027838</v>
      </c>
      <c r="EW14" s="328" t="n">
        <f aca="false">EX14/$F14*EX$7</f>
        <v>36415.2469027838</v>
      </c>
      <c r="EX14" s="327" t="n">
        <v>31884.42</v>
      </c>
      <c r="EY14" s="325" t="n">
        <f aca="false">(EZ14*$H14+FA14*$G14)</f>
        <v>36125.8635334498</v>
      </c>
      <c r="EZ14" s="328" t="n">
        <f aca="false">FA14/$F14*FA$7</f>
        <v>36125.8635334498</v>
      </c>
      <c r="FA14" s="327" t="n">
        <v>31884.42</v>
      </c>
      <c r="FB14" s="325" t="n">
        <f aca="false">(FC14*$H14+FD14*$G14)</f>
        <v>36018.4197245948</v>
      </c>
      <c r="FC14" s="328" t="n">
        <f aca="false">FD14/$F14*FD$7</f>
        <v>36018.4197245948</v>
      </c>
      <c r="FD14" s="327" t="n">
        <v>31884.42</v>
      </c>
      <c r="FE14" s="325" t="n">
        <f aca="false">(FF14*$H14+FG14*$G14)</f>
        <v>36429.5658565409</v>
      </c>
      <c r="FF14" s="328" t="n">
        <f aca="false">FG14/$F14*FG$7</f>
        <v>36429.5658565409</v>
      </c>
      <c r="FG14" s="327" t="n">
        <v>31884.42</v>
      </c>
      <c r="FH14" s="325" t="n">
        <f aca="false">(FI14*$H14+FJ14*$G14)</f>
        <v>36465.3721945841</v>
      </c>
      <c r="FI14" s="328" t="n">
        <f aca="false">FJ14/$F14*FJ$7</f>
        <v>36465.3721945841</v>
      </c>
      <c r="FJ14" s="327" t="n">
        <v>31884.42</v>
      </c>
      <c r="FK14" s="325" t="n">
        <f aca="false">(FL14*$H14+FM14*$G14)</f>
        <v>38429.8320936615</v>
      </c>
      <c r="FL14" s="328" t="n">
        <f aca="false">FM14/$F14*FM$7</f>
        <v>38429.8320936615</v>
      </c>
      <c r="FM14" s="327" t="n">
        <v>31884.42</v>
      </c>
      <c r="FN14" s="325" t="n">
        <f aca="false">(FO14*$H14+FP14*$G14)</f>
        <v>38735.1529613091</v>
      </c>
      <c r="FO14" s="328" t="n">
        <f aca="false">FP14/$F14*FP$7</f>
        <v>38735.1529613091</v>
      </c>
      <c r="FP14" s="327" t="n">
        <v>31884.42</v>
      </c>
      <c r="FQ14" s="325" t="n">
        <f aca="false">(FR14*$H14+FS14*$G14)</f>
        <v>38620.0530923308</v>
      </c>
      <c r="FR14" s="328" t="n">
        <f aca="false">FS14/$F14*FS$7</f>
        <v>38620.0530923308</v>
      </c>
      <c r="FS14" s="327" t="n">
        <v>31884.42</v>
      </c>
      <c r="FT14" s="325" t="n">
        <f aca="false">(FU14*$H14+FV14*$G14)</f>
        <v>38245.6279482881</v>
      </c>
      <c r="FU14" s="328" t="n">
        <f aca="false">FV14/$F14*FV$7</f>
        <v>38245.6279482881</v>
      </c>
      <c r="FV14" s="327" t="n">
        <v>31884.42</v>
      </c>
      <c r="FW14" s="325" t="n">
        <f aca="false">(FX14*$H14+FY14*$G14)</f>
        <v>38360.1162140467</v>
      </c>
      <c r="FX14" s="328" t="n">
        <f aca="false">FY14/$F14*FY$7</f>
        <v>38360.1162140467</v>
      </c>
      <c r="FY14" s="327" t="n">
        <v>31884.42</v>
      </c>
      <c r="GC14" s="325" t="n">
        <f aca="false">(GD14*$H14+GE14*$G14)</f>
        <v>38543.1687821867</v>
      </c>
      <c r="GD14" s="328" t="n">
        <f aca="false">GE14/$F14*GE$7</f>
        <v>38543.1687821867</v>
      </c>
      <c r="GE14" s="327" t="n">
        <v>31884.42</v>
      </c>
      <c r="GF14" s="325" t="n">
        <f aca="false">(GG14*$H14+GH14*$G14)</f>
        <v>37430.7382873291</v>
      </c>
      <c r="GG14" s="328" t="n">
        <f aca="false">GH14/$F14*GH$7</f>
        <v>37430.7382873291</v>
      </c>
      <c r="GH14" s="327" t="n">
        <v>31884.42</v>
      </c>
      <c r="GI14" s="325" t="n">
        <f aca="false">(GJ14*$H14+GK14*$G14)</f>
        <v>37423.3384393654</v>
      </c>
      <c r="GJ14" s="328" t="n">
        <f aca="false">GK14/$F14*GK$7</f>
        <v>37423.3384393654</v>
      </c>
      <c r="GK14" s="327" t="n">
        <v>31884.42</v>
      </c>
      <c r="GL14" s="325" t="n">
        <f aca="false">(GM14*$H14+GN14*$G14)</f>
        <v>36882.6646633906</v>
      </c>
      <c r="GM14" s="328" t="n">
        <f aca="false">GN14/$F14*GN$7</f>
        <v>36882.6646633906</v>
      </c>
      <c r="GN14" s="327" t="n">
        <v>31884.42</v>
      </c>
      <c r="GO14" s="325" t="n">
        <f aca="false">(GP14*$H14+GQ14*$G14)</f>
        <v>36094.0877157233</v>
      </c>
      <c r="GP14" s="328" t="n">
        <f aca="false">GQ14/$F14*GQ$7</f>
        <v>36094.0877157233</v>
      </c>
      <c r="GQ14" s="327" t="n">
        <v>31884.42</v>
      </c>
      <c r="GR14" s="325" t="n">
        <f aca="false">(GS14*$H14+GT14*$G14)</f>
        <v>36077.9794093034</v>
      </c>
      <c r="GS14" s="328" t="n">
        <f aca="false">GT14/$F14*GT$7</f>
        <v>36077.9794093034</v>
      </c>
      <c r="GT14" s="327" t="n">
        <v>31884.42</v>
      </c>
      <c r="GU14" s="325" t="n">
        <f aca="false">(GV14*$H14+GW14*$G14)</f>
        <v>35560.2435090343</v>
      </c>
      <c r="GV14" s="328" t="n">
        <f aca="false">GW14/$F14*GW$7</f>
        <v>35560.2435090343</v>
      </c>
      <c r="GW14" s="327" t="n">
        <v>31884.42</v>
      </c>
      <c r="GX14" s="325" t="n">
        <f aca="false">GY14*$H14+GZ14*$G14</f>
        <v>34679.1202498553</v>
      </c>
      <c r="GY14" s="328" t="n">
        <f aca="false">GZ14/$F14*GZ$7</f>
        <v>34679.1202498553</v>
      </c>
      <c r="GZ14" s="327" t="n">
        <v>31884.42</v>
      </c>
      <c r="HA14" s="325" t="n">
        <f aca="false">HB14*$H14+HC14*$G14</f>
        <v>33982.3457719462</v>
      </c>
      <c r="HB14" s="328" t="n">
        <f aca="false">HC14/$F14*HC$7</f>
        <v>33982.3457719462</v>
      </c>
      <c r="HC14" s="327" t="n">
        <v>31884.42</v>
      </c>
      <c r="HD14" s="325" t="n">
        <f aca="false">HE14*$H14+HF14*$G14</f>
        <v>34485.4279896691</v>
      </c>
      <c r="HE14" s="328" t="n">
        <f aca="false">HF14/$F14*HF$7</f>
        <v>34485.4279896691</v>
      </c>
      <c r="HF14" s="327" t="n">
        <v>31884.42</v>
      </c>
      <c r="HG14" s="325" t="n">
        <f aca="false">HH14*$H14+HI14*$G14</f>
        <v>33340.5411996289</v>
      </c>
      <c r="HH14" s="328" t="n">
        <f aca="false">HI14/$F14*HI$7</f>
        <v>33340.5411996289</v>
      </c>
      <c r="HI14" s="327" t="n">
        <v>31884.42</v>
      </c>
      <c r="HJ14" s="325" t="n">
        <f aca="false">HK14*$H14+HL14*$G14</f>
        <v>32251.1684216485</v>
      </c>
      <c r="HK14" s="328" t="n">
        <f aca="false">HL14/$F14*HL$7</f>
        <v>32251.1684216485</v>
      </c>
      <c r="HL14" s="327" t="n">
        <v>31884.42</v>
      </c>
      <c r="HP14" s="325" t="n">
        <f aca="false">HQ14*$H14+HR14*$G14</f>
        <v>33407.7238848273</v>
      </c>
      <c r="HQ14" s="328" t="n">
        <f aca="false">HR14/$F14*HR$7</f>
        <v>33407.7238848273</v>
      </c>
      <c r="HR14" s="327" t="n">
        <v>31884.42</v>
      </c>
      <c r="HS14" s="325" t="n">
        <f aca="false">HT14*$H14+HU14*$G14</f>
        <v>33669.9969772117</v>
      </c>
      <c r="HT14" s="328" t="n">
        <f aca="false">HU14/$F14*HU$7</f>
        <v>33669.9969772117</v>
      </c>
      <c r="HU14" s="327" t="n">
        <v>31884.42</v>
      </c>
      <c r="HV14" s="325" t="n">
        <f aca="false">HW14*$H14+HX14*$G14</f>
        <v>38297.5191755108</v>
      </c>
      <c r="HW14" s="328" t="n">
        <f aca="false">HX14/$F14*HX$7</f>
        <v>38297.5191755108</v>
      </c>
      <c r="HX14" s="327" t="n">
        <v>31884.42</v>
      </c>
      <c r="HY14" s="325" t="n">
        <f aca="false">HZ14*$H14+IA14*$G14</f>
        <v>37470.6150927464</v>
      </c>
      <c r="HZ14" s="328" t="n">
        <f aca="false">IA14/$F14*IA$7</f>
        <v>37470.6150927464</v>
      </c>
      <c r="IA14" s="327" t="n">
        <v>31884.42</v>
      </c>
      <c r="IB14" s="325" t="n">
        <f aca="false">IC14*$H14+ID14*$G14</f>
        <v>36601.1467318586</v>
      </c>
      <c r="IC14" s="328" t="n">
        <f aca="false">ID14/$F14*ID$7</f>
        <v>36601.1467318586</v>
      </c>
      <c r="ID14" s="327" t="n">
        <v>31884.42</v>
      </c>
      <c r="IE14" s="325" t="n">
        <f aca="false">IF14*$H14+IG14*$G14</f>
        <v>36866.0370452279</v>
      </c>
      <c r="IF14" s="328" t="n">
        <f aca="false">IG14/$F14*IG$7</f>
        <v>36866.0370452279</v>
      </c>
      <c r="IG14" s="327" t="n">
        <v>31884.42</v>
      </c>
      <c r="IH14" s="325" t="n">
        <f aca="false">II14*$H14+IJ14*$G14</f>
        <v>38020.0937511084</v>
      </c>
      <c r="II14" s="328" t="n">
        <f aca="false">IJ14/$F14*IJ$7</f>
        <v>38020.0937511084</v>
      </c>
      <c r="IJ14" s="327" t="n">
        <v>31884.42</v>
      </c>
      <c r="IK14" s="325" t="n">
        <f aca="false">IL14*$H14+IM14*$G14</f>
        <v>37627.3728548963</v>
      </c>
      <c r="IL14" s="328" t="n">
        <f aca="false">IM14/$F14*IM$7</f>
        <v>37627.3728548963</v>
      </c>
      <c r="IM14" s="327" t="n">
        <v>31884.42</v>
      </c>
      <c r="IN14" s="325" t="n">
        <f aca="false">IO14*$H14+IP14*$G14</f>
        <v>38848.099821656</v>
      </c>
      <c r="IO14" s="328" t="n">
        <f aca="false">IP14/$F14*IP$7</f>
        <v>38848.099821656</v>
      </c>
      <c r="IP14" s="327" t="n">
        <v>31884.42</v>
      </c>
      <c r="IQ14" s="325" t="n">
        <f aca="false">IR14*$H14+IS14*$G14</f>
        <v>39080.2059984773</v>
      </c>
      <c r="IR14" s="328" t="n">
        <f aca="false">IS14/$F14*IS$7</f>
        <v>39080.2059984773</v>
      </c>
      <c r="IS14" s="327" t="n">
        <v>31884.42</v>
      </c>
      <c r="IT14" s="325" t="n">
        <f aca="false">IU14*$H14+IV14*$G14</f>
        <v>39058.9927336521</v>
      </c>
      <c r="IU14" s="328" t="n">
        <f aca="false">IV14/$F14*IV$7</f>
        <v>39058.9927336521</v>
      </c>
      <c r="IV14" s="327" t="n">
        <v>31884.42</v>
      </c>
      <c r="IW14" s="325" t="n">
        <f aca="false">IX14*$H14+IY14*$G14</f>
        <v>38623.4320623708</v>
      </c>
      <c r="IX14" s="328" t="n">
        <f aca="false">IY14/$F14*IY$7</f>
        <v>38623.4320623708</v>
      </c>
      <c r="IY14" s="327" t="n">
        <v>31884.42</v>
      </c>
      <c r="JC14" s="325" t="n">
        <f aca="false">JD14*$H14+JE14*$G14</f>
        <v>38849.8905518036</v>
      </c>
      <c r="JD14" s="329" t="n">
        <f aca="false">JE14/$F14*JE$7</f>
        <v>38849.8905518036</v>
      </c>
      <c r="JE14" s="327" t="n">
        <v>31884.42</v>
      </c>
      <c r="JF14" s="325" t="n">
        <f aca="false">JG14*$H14+JH14*$G14</f>
        <v>38473.6994723384</v>
      </c>
      <c r="JG14" s="326" t="n">
        <f aca="false">JH14/$F14*JH$7</f>
        <v>38473.6994723384</v>
      </c>
      <c r="JH14" s="327" t="n">
        <v>31884.42</v>
      </c>
      <c r="JI14" s="325" t="n">
        <f aca="false">JJ14*$H14+JK14*$G14</f>
        <v>38181.6727098095</v>
      </c>
      <c r="JJ14" s="326" t="n">
        <f aca="false">JK14/$F14*JK$7</f>
        <v>38181.6727098095</v>
      </c>
      <c r="JK14" s="327" t="n">
        <v>31884.42</v>
      </c>
      <c r="JL14" s="325" t="n">
        <f aca="false">JM14*$H14+JN14*$G14</f>
        <v>38582.796262868</v>
      </c>
      <c r="JM14" s="326" t="n">
        <f aca="false">JN14/$F14*JN$7</f>
        <v>38582.796262868</v>
      </c>
      <c r="JN14" s="327" t="n">
        <v>31884.42</v>
      </c>
      <c r="JO14" s="325" t="n">
        <f aca="false">JP14*$H14+JQ14*$G14</f>
        <v>37834.6843065972</v>
      </c>
      <c r="JP14" s="326" t="n">
        <f aca="false">JQ14/$F14*JQ$7</f>
        <v>37834.6843065972</v>
      </c>
      <c r="JQ14" s="327" t="n">
        <v>31884.42</v>
      </c>
      <c r="JR14" s="325" t="n">
        <f aca="false">JS14*$H14+JT14*$G14</f>
        <v>37458.6309756048</v>
      </c>
      <c r="JS14" s="328" t="n">
        <f aca="false">JT14/$F14*JT$7</f>
        <v>37458.6309756048</v>
      </c>
      <c r="JT14" s="327" t="n">
        <v>31884.42</v>
      </c>
      <c r="JU14" s="326"/>
      <c r="JW14" s="327"/>
      <c r="JZ14" s="327"/>
    </row>
    <row r="15" s="329" customFormat="true" ht="15" hidden="false" customHeight="false" outlineLevel="0" collapsed="false">
      <c r="A15" s="85" t="n">
        <v>2.79</v>
      </c>
      <c r="B15" s="319"/>
      <c r="C15" s="319" t="n">
        <v>1295530.88</v>
      </c>
      <c r="D15" s="319"/>
      <c r="E15" s="321"/>
      <c r="F15" s="322" t="n">
        <v>24.850409</v>
      </c>
      <c r="G15" s="323" t="n">
        <v>0</v>
      </c>
      <c r="H15" s="324" t="n">
        <f aca="false">1-G15</f>
        <v>1</v>
      </c>
      <c r="I15" s="324"/>
      <c r="J15" s="319" t="n">
        <v>208327</v>
      </c>
      <c r="K15" s="325"/>
      <c r="L15" s="326"/>
      <c r="M15" s="327"/>
      <c r="N15" s="328"/>
      <c r="O15" s="326"/>
      <c r="P15" s="327"/>
      <c r="Q15" s="328"/>
      <c r="R15" s="326"/>
      <c r="S15" s="327"/>
      <c r="T15" s="328"/>
      <c r="U15" s="328"/>
      <c r="V15" s="327"/>
      <c r="W15" s="325"/>
      <c r="X15" s="328"/>
      <c r="Y15" s="327"/>
      <c r="AC15" s="328"/>
      <c r="AD15" s="328"/>
      <c r="AE15" s="327"/>
      <c r="AF15" s="328"/>
      <c r="AG15" s="328"/>
      <c r="AH15" s="327"/>
      <c r="AI15" s="328"/>
      <c r="AJ15" s="328"/>
      <c r="AK15" s="327"/>
      <c r="AL15" s="328"/>
      <c r="AM15" s="328"/>
      <c r="AN15" s="327"/>
      <c r="AO15" s="328"/>
      <c r="AP15" s="328"/>
      <c r="AQ15" s="327"/>
      <c r="AR15" s="328"/>
      <c r="AS15" s="328"/>
      <c r="AT15" s="327"/>
      <c r="AU15" s="328"/>
      <c r="AV15" s="328"/>
      <c r="AW15" s="327"/>
      <c r="AX15" s="328"/>
      <c r="AY15" s="328"/>
      <c r="AZ15" s="327"/>
      <c r="BA15" s="328"/>
      <c r="BB15" s="328"/>
      <c r="BC15" s="327"/>
      <c r="BD15" s="328"/>
      <c r="BE15" s="328"/>
      <c r="BF15" s="327"/>
      <c r="BG15" s="328"/>
      <c r="BH15" s="328"/>
      <c r="BI15" s="327"/>
      <c r="BJ15" s="325"/>
      <c r="BK15" s="328"/>
      <c r="BL15" s="327"/>
      <c r="BP15" s="325"/>
      <c r="BQ15" s="328"/>
      <c r="BR15" s="327"/>
      <c r="BS15" s="325"/>
      <c r="BT15" s="328"/>
      <c r="BU15" s="327"/>
      <c r="BV15" s="325"/>
      <c r="BW15" s="328"/>
      <c r="BX15" s="327"/>
      <c r="BY15" s="325"/>
      <c r="BZ15" s="328"/>
      <c r="CA15" s="327"/>
      <c r="CB15" s="325"/>
      <c r="CC15" s="328"/>
      <c r="CD15" s="327"/>
      <c r="CE15" s="328"/>
      <c r="CF15" s="328"/>
      <c r="CG15" s="327"/>
      <c r="CH15" s="328"/>
      <c r="CI15" s="328"/>
      <c r="CJ15" s="327"/>
      <c r="CK15" s="328"/>
      <c r="CL15" s="328"/>
      <c r="CM15" s="327"/>
      <c r="CN15" s="325"/>
      <c r="CO15" s="328"/>
      <c r="CP15" s="327"/>
      <c r="CQ15" s="328"/>
      <c r="CR15" s="328"/>
      <c r="CS15" s="327"/>
      <c r="CT15" s="328"/>
      <c r="CU15" s="328"/>
      <c r="CV15" s="327"/>
      <c r="CW15" s="328"/>
      <c r="CX15" s="328"/>
      <c r="CY15" s="327"/>
      <c r="DB15" s="327"/>
      <c r="DC15" s="325" t="n">
        <f aca="false">(DD15*$H15+DE15*$G15)+2500</f>
        <v>26511.836256922</v>
      </c>
      <c r="DD15" s="328" t="n">
        <f aca="false">DE15/$F15*DE$7</f>
        <v>24011.836256922</v>
      </c>
      <c r="DE15" s="327" t="n">
        <v>21744.06</v>
      </c>
      <c r="DF15" s="325" t="n">
        <f aca="false">(DG15*$H15+DH15*$G15)</f>
        <v>23647.0845600143</v>
      </c>
      <c r="DG15" s="328" t="n">
        <f aca="false">DH15/$F15*DH$7</f>
        <v>23647.0845600143</v>
      </c>
      <c r="DH15" s="327" t="n">
        <v>21744.06</v>
      </c>
      <c r="DI15" s="325" t="n">
        <f aca="false">(DJ15*$H15+DK15*$G15)</f>
        <v>23526.8300747847</v>
      </c>
      <c r="DJ15" s="328" t="n">
        <f aca="false">DK15/$F15*DK$7</f>
        <v>23526.8300747847</v>
      </c>
      <c r="DK15" s="327" t="n">
        <v>21744.06</v>
      </c>
      <c r="DL15" s="325" t="n">
        <f aca="false">(DM15*$H15+DN15*$G15)</f>
        <v>23438.6451439459</v>
      </c>
      <c r="DM15" s="328" t="n">
        <f aca="false">DN15/$F15*DN$7</f>
        <v>23438.6451439459</v>
      </c>
      <c r="DN15" s="327" t="n">
        <v>21744.06</v>
      </c>
      <c r="DO15" s="325" t="n">
        <f aca="false">(DP15*$H15+DQ15*$G15)</f>
        <v>23073.4008231229</v>
      </c>
      <c r="DP15" s="328" t="n">
        <f aca="false">DQ15/$F15*DQ$7</f>
        <v>23073.4008231229</v>
      </c>
      <c r="DQ15" s="327" t="n">
        <v>21744.06</v>
      </c>
      <c r="DR15" s="325" t="n">
        <f aca="false">(DS15*$H15+DT15*$G15)</f>
        <v>22770.1851157283</v>
      </c>
      <c r="DS15" s="328" t="n">
        <f aca="false">DT15/$F15*DT$7</f>
        <v>22770.1851157283</v>
      </c>
      <c r="DT15" s="327" t="n">
        <v>21744.06</v>
      </c>
      <c r="DU15" s="325" t="n">
        <f aca="false">(DV15*$H15+DW15*$G15)</f>
        <v>22701.0628929182</v>
      </c>
      <c r="DV15" s="328" t="n">
        <f aca="false">DW15/$F15*DW$7</f>
        <v>22701.0628929182</v>
      </c>
      <c r="DW15" s="327" t="n">
        <v>21744.06</v>
      </c>
      <c r="DX15" s="325" t="n">
        <f aca="false">(DY15*$H15+DZ15*$G15)</f>
        <v>22304.0517670377</v>
      </c>
      <c r="DY15" s="328" t="n">
        <f aca="false">DZ15/$F15*DZ$7</f>
        <v>22304.0517670377</v>
      </c>
      <c r="DZ15" s="327" t="n">
        <v>21744.06</v>
      </c>
      <c r="EA15" s="325" t="n">
        <f aca="false">(EB15*$H15+EC15*$G15)</f>
        <v>22860.5811666987</v>
      </c>
      <c r="EB15" s="328" t="n">
        <f aca="false">EC15/$F15*EC$7</f>
        <v>22860.5811666987</v>
      </c>
      <c r="EC15" s="327" t="n">
        <v>21744.06</v>
      </c>
      <c r="ED15" s="325" t="n">
        <f aca="false">(EE15*$H15+EF15*$G15)</f>
        <v>23187.4051971137</v>
      </c>
      <c r="EE15" s="328" t="n">
        <f aca="false">EF15/$F15*EF$7</f>
        <v>23187.4051971137</v>
      </c>
      <c r="EF15" s="327" t="n">
        <v>21744.06</v>
      </c>
      <c r="EG15" s="325" t="n">
        <f aca="false">(EH15*$H15+EI15*$G15)</f>
        <v>23186.6500737762</v>
      </c>
      <c r="EH15" s="328" t="n">
        <f aca="false">EI15/$F15*EI$7</f>
        <v>23186.6500737762</v>
      </c>
      <c r="EI15" s="327" t="n">
        <v>21744.06</v>
      </c>
      <c r="EJ15" s="325" t="n">
        <f aca="false">(EK15*$H15+EL15*$G15)</f>
        <v>24389.3769256715</v>
      </c>
      <c r="EK15" s="328" t="n">
        <f aca="false">EL15/$F15*EL$7</f>
        <v>24389.3769256715</v>
      </c>
      <c r="EL15" s="327" t="n">
        <v>21744.06</v>
      </c>
      <c r="EO15" s="327"/>
      <c r="EP15" s="325" t="n">
        <f aca="false">(EQ15*$H15+ER15*$G15)</f>
        <v>25239.1584296645</v>
      </c>
      <c r="EQ15" s="328" t="n">
        <f aca="false">ER15/$F15*ER$7</f>
        <v>25239.1584296645</v>
      </c>
      <c r="ER15" s="327" t="n">
        <v>21744.06</v>
      </c>
      <c r="ES15" s="325" t="n">
        <f aca="false">(ET15*$H15+EU15*$G15)</f>
        <v>23616.9758763061</v>
      </c>
      <c r="ET15" s="328" t="n">
        <f aca="false">EU15/$F15*EU$7</f>
        <v>23616.9758763061</v>
      </c>
      <c r="EU15" s="327" t="n">
        <v>21744.06</v>
      </c>
      <c r="EV15" s="325" t="n">
        <f aca="false">(EW15*$H15+EX15*$G15)</f>
        <v>23131.4875702303</v>
      </c>
      <c r="EW15" s="328" t="n">
        <f aca="false">EX15/$F15*EX$7</f>
        <v>23131.4875702303</v>
      </c>
      <c r="EX15" s="327" t="n">
        <v>21744.06</v>
      </c>
      <c r="EY15" s="325" t="n">
        <f aca="false">(EZ15*$H15+FA15*$G15)</f>
        <v>22947.6670999572</v>
      </c>
      <c r="EZ15" s="328" t="n">
        <f aca="false">FA15/$F15*FA$7</f>
        <v>22947.6670999572</v>
      </c>
      <c r="FA15" s="327" t="n">
        <v>21744.06</v>
      </c>
      <c r="FB15" s="325" t="n">
        <f aca="false">(FC15*$H15+FD15*$G15)</f>
        <v>22879.4172502263</v>
      </c>
      <c r="FC15" s="328" t="n">
        <f aca="false">FD15/$F15*FD$7</f>
        <v>22879.4172502263</v>
      </c>
      <c r="FD15" s="327" t="n">
        <v>21744.06</v>
      </c>
      <c r="FE15" s="325" t="n">
        <f aca="false">(FF15*$H15+FG15*$G15)</f>
        <v>23140.5831752041</v>
      </c>
      <c r="FF15" s="328" t="n">
        <f aca="false">FG15/$F15*FG$7</f>
        <v>23140.5831752041</v>
      </c>
      <c r="FG15" s="327" t="n">
        <v>21744.06</v>
      </c>
      <c r="FH15" s="325" t="n">
        <f aca="false">(FI15*$H15+FJ15*$G15)</f>
        <v>23163.3278751259</v>
      </c>
      <c r="FI15" s="328" t="n">
        <f aca="false">FJ15/$F15*FJ$7</f>
        <v>23163.3278751259</v>
      </c>
      <c r="FJ15" s="327" t="n">
        <v>21744.06</v>
      </c>
      <c r="FK15" s="325" t="n">
        <f aca="false">(FL15*$H15+FM15*$G15)</f>
        <v>24411.1810026644</v>
      </c>
      <c r="FL15" s="328" t="n">
        <f aca="false">FM15/$F15*FM$7</f>
        <v>24411.1810026644</v>
      </c>
      <c r="FM15" s="327" t="n">
        <v>21744.06</v>
      </c>
      <c r="FN15" s="325" t="n">
        <f aca="false">(FO15*$H15+FP15*$G15)</f>
        <v>24605.1252006476</v>
      </c>
      <c r="FO15" s="328" t="n">
        <f aca="false">FP15/$F15*FP$7</f>
        <v>24605.1252006476</v>
      </c>
      <c r="FP15" s="327" t="n">
        <v>21744.06</v>
      </c>
      <c r="FQ15" s="325" t="n">
        <f aca="false">(FR15*$H15+FS15*$G15)</f>
        <v>24532.0121116244</v>
      </c>
      <c r="FR15" s="328" t="n">
        <f aca="false">FS15/$F15*FS$7</f>
        <v>24532.0121116244</v>
      </c>
      <c r="FS15" s="327" t="n">
        <v>21744.06</v>
      </c>
      <c r="FT15" s="325" t="n">
        <f aca="false">(FU15*$H15+FV15*$G15)</f>
        <v>24294.1718852893</v>
      </c>
      <c r="FU15" s="328" t="n">
        <f aca="false">FV15/$F15*FV$7</f>
        <v>24294.1718852893</v>
      </c>
      <c r="FV15" s="327" t="n">
        <v>21744.06</v>
      </c>
      <c r="FW15" s="325" t="n">
        <f aca="false">(FX15*$H15+FY15*$G15)</f>
        <v>24366.8964751679</v>
      </c>
      <c r="FX15" s="328" t="n">
        <f aca="false">FY15/$F15*FY$7</f>
        <v>24366.8964751679</v>
      </c>
      <c r="FY15" s="327" t="n">
        <v>21744.06</v>
      </c>
      <c r="GC15" s="325" t="n">
        <f aca="false">(GD15*$H15+GE15*$G15)</f>
        <v>24483.1740941535</v>
      </c>
      <c r="GD15" s="328" t="n">
        <f aca="false">GE15/$F15*GE$7</f>
        <v>24483.1740941535</v>
      </c>
      <c r="GE15" s="327" t="n">
        <v>21744.06</v>
      </c>
      <c r="GF15" s="325" t="n">
        <f aca="false">(GG15*$H15+GH15*$G15)</f>
        <v>23776.5422749807</v>
      </c>
      <c r="GG15" s="328" t="n">
        <f aca="false">GH15/$F15*GH$7</f>
        <v>23776.5422749807</v>
      </c>
      <c r="GH15" s="327" t="n">
        <v>21744.06</v>
      </c>
      <c r="GI15" s="325" t="n">
        <f aca="false">(GJ15*$H15+GK15*$G15)</f>
        <v>23771.84178533</v>
      </c>
      <c r="GJ15" s="328" t="n">
        <f aca="false">GK15/$F15*GK$7</f>
        <v>23771.84178533</v>
      </c>
      <c r="GK15" s="327" t="n">
        <v>21744.06</v>
      </c>
      <c r="GL15" s="325" t="n">
        <f aca="false">(GM15*$H15+GN15*$G15)</f>
        <v>23428.3980415075</v>
      </c>
      <c r="GM15" s="328" t="n">
        <f aca="false">GN15/$F15*GN$7</f>
        <v>23428.3980415075</v>
      </c>
      <c r="GN15" s="327" t="n">
        <v>21744.06</v>
      </c>
      <c r="GO15" s="325" t="n">
        <f aca="false">(GP15*$H15+GQ15*$G15)</f>
        <v>22927.4826443983</v>
      </c>
      <c r="GP15" s="328" t="n">
        <f aca="false">GQ15/$F15*GQ$7</f>
        <v>22927.4826443983</v>
      </c>
      <c r="GQ15" s="327" t="n">
        <v>21744.06</v>
      </c>
      <c r="GR15" s="325" t="n">
        <f aca="false">(GS15*$H15+GT15*$G15)</f>
        <v>22917.2504169271</v>
      </c>
      <c r="GS15" s="328" t="n">
        <f aca="false">GT15/$F15*GT$7</f>
        <v>22917.2504169271</v>
      </c>
      <c r="GT15" s="327" t="n">
        <v>21744.06</v>
      </c>
      <c r="GU15" s="325" t="n">
        <f aca="false">(GV15*$H15+GW15*$G15)</f>
        <v>22588.3771410241</v>
      </c>
      <c r="GV15" s="328" t="n">
        <f aca="false">GW15/$F15*GW$7</f>
        <v>22588.3771410241</v>
      </c>
      <c r="GW15" s="327" t="n">
        <v>21744.06</v>
      </c>
      <c r="GX15" s="325" t="n">
        <f aca="false">(GY15*$H15+GZ15*$G15)</f>
        <v>22028.6749983487</v>
      </c>
      <c r="GY15" s="328" t="n">
        <f aca="false">GZ15/$F15*GZ$7</f>
        <v>22028.6749983487</v>
      </c>
      <c r="GZ15" s="327" t="n">
        <v>21744.06</v>
      </c>
      <c r="HA15" s="325" t="n">
        <f aca="false">(HB15*$H15+HC15*$G15)</f>
        <v>21586.0738478461</v>
      </c>
      <c r="HB15" s="328" t="n">
        <f aca="false">HC15/$F15*HC$7</f>
        <v>21586.0738478461</v>
      </c>
      <c r="HC15" s="327" t="n">
        <v>21744.06</v>
      </c>
      <c r="HD15" s="325" t="n">
        <f aca="false">(HE15*$H15+HF15*$G15)</f>
        <v>21905.6388942435</v>
      </c>
      <c r="HE15" s="328" t="n">
        <f aca="false">HF15/$F15*HF$7</f>
        <v>21905.6388942435</v>
      </c>
      <c r="HF15" s="327" t="n">
        <v>21744.06</v>
      </c>
      <c r="HG15" s="325" t="n">
        <f aca="false">(HH15*$H15+HI15*$G15)</f>
        <v>21178.3903704635</v>
      </c>
      <c r="HH15" s="328" t="n">
        <f aca="false">HI15/$F15*HI$7</f>
        <v>21178.3903704635</v>
      </c>
      <c r="HI15" s="327" t="n">
        <v>21744.06</v>
      </c>
      <c r="HJ15" s="325" t="n">
        <f aca="false">(HK15*$H15+HL15*$G15)</f>
        <v>20486.4051440425</v>
      </c>
      <c r="HK15" s="328" t="n">
        <f aca="false">HL15/$F15*HL$7</f>
        <v>20486.4051440425</v>
      </c>
      <c r="HL15" s="327" t="n">
        <v>21744.06</v>
      </c>
      <c r="HP15" s="325" t="n">
        <f aca="false">(HQ15*$H15+HR15*$G15)</f>
        <v>21221.0657765029</v>
      </c>
      <c r="HQ15" s="328" t="n">
        <f aca="false">HR15/$F15*HR$7</f>
        <v>21221.0657765029</v>
      </c>
      <c r="HR15" s="327" t="n">
        <v>21744.06</v>
      </c>
      <c r="HS15" s="325" t="n">
        <f aca="false">(HT15*$H15+HU15*$G15)</f>
        <v>21387.6654096921</v>
      </c>
      <c r="HT15" s="328" t="n">
        <f aca="false">HU15/$F15*HU$7</f>
        <v>21387.6654096921</v>
      </c>
      <c r="HU15" s="327" t="n">
        <v>21744.06</v>
      </c>
      <c r="HV15" s="325" t="n">
        <f aca="false">(HW15*$H15+HX15*$G15)</f>
        <v>24327.1339377151</v>
      </c>
      <c r="HW15" s="328" t="n">
        <f aca="false">HX15/$F15*HX$7</f>
        <v>24327.1339377151</v>
      </c>
      <c r="HX15" s="327" t="n">
        <v>21744.06</v>
      </c>
      <c r="HY15" s="325" t="n">
        <f aca="false">(HZ15*$H15+IA15*$G15)</f>
        <v>23801.8725942096</v>
      </c>
      <c r="HZ15" s="328" t="n">
        <f aca="false">IA15/$F15*IA$7</f>
        <v>23801.8725942096</v>
      </c>
      <c r="IA15" s="327" t="n">
        <v>21744.06</v>
      </c>
      <c r="IB15" s="325" t="n">
        <f aca="false">(IC15*$H15+ID15*$G15)</f>
        <v>23249.5738102339</v>
      </c>
      <c r="IC15" s="328" t="n">
        <f aca="false">ID15/$F15*ID$7</f>
        <v>23249.5738102339</v>
      </c>
      <c r="ID15" s="327" t="n">
        <v>21744.06</v>
      </c>
      <c r="IE15" s="325" t="n">
        <f aca="false">(IF15*$H15+IG15*$G15)</f>
        <v>23417.8359397626</v>
      </c>
      <c r="IF15" s="328" t="n">
        <f aca="false">IG15/$F15*IG$7</f>
        <v>23417.8359397626</v>
      </c>
      <c r="IG15" s="327" t="n">
        <v>21744.06</v>
      </c>
      <c r="IH15" s="325" t="n">
        <f aca="false">(II15*$H15+IJ15*$G15)</f>
        <v>24150.9093257177</v>
      </c>
      <c r="II15" s="328" t="n">
        <f aca="false">IJ15/$F15*IJ$7</f>
        <v>24150.9093257177</v>
      </c>
      <c r="IJ15" s="327" t="n">
        <v>21744.06</v>
      </c>
      <c r="IK15" s="325" t="n">
        <f aca="false">(IL15*$H15+IM15*$G15)</f>
        <v>23901.4473749708</v>
      </c>
      <c r="IL15" s="328" t="n">
        <f aca="false">IM15/$F15*IM$7</f>
        <v>23901.4473749708</v>
      </c>
      <c r="IM15" s="327" t="n">
        <v>21744.06</v>
      </c>
      <c r="IN15" s="325" t="n">
        <f aca="false">(IO15*$H15+IP15*$G15)</f>
        <v>24676.870667682</v>
      </c>
      <c r="IO15" s="328" t="n">
        <f aca="false">IP15/$F15*IP$7</f>
        <v>24676.870667682</v>
      </c>
      <c r="IP15" s="327" t="n">
        <v>21744.06</v>
      </c>
      <c r="IQ15" s="325" t="n">
        <f aca="false">(IR15*$H15+IS15*$G15)</f>
        <v>24824.3078430621</v>
      </c>
      <c r="IR15" s="328" t="n">
        <f aca="false">IS15/$F15*IS$7</f>
        <v>24824.3078430621</v>
      </c>
      <c r="IS15" s="327" t="n">
        <v>21744.06</v>
      </c>
      <c r="IT15" s="325" t="n">
        <f aca="false">(IU15*$H15+IV15*$G15)</f>
        <v>24810.8328727306</v>
      </c>
      <c r="IU15" s="328" t="n">
        <f aca="false">IV15/$F15*IV$7</f>
        <v>24810.8328727306</v>
      </c>
      <c r="IV15" s="327" t="n">
        <v>21744.06</v>
      </c>
      <c r="IW15" s="325" t="n">
        <f aca="false">(IX15*$H15+IY15*$G15)</f>
        <v>24535.15139948</v>
      </c>
      <c r="IX15" s="328" t="n">
        <f aca="false">IY15/$F15*IY$7</f>
        <v>24535.15139948</v>
      </c>
      <c r="IY15" s="327" t="n">
        <v>21744.94</v>
      </c>
      <c r="IZ15" s="327"/>
      <c r="JA15" s="327"/>
      <c r="JB15" s="327"/>
      <c r="JC15" s="325" t="n">
        <f aca="false">(JD15*$H15+JE15*$G15)</f>
        <v>24678.0081651775</v>
      </c>
      <c r="JD15" s="329" t="n">
        <f aca="false">JE15/$F15*JE$7</f>
        <v>24678.0081651775</v>
      </c>
      <c r="JE15" s="327" t="n">
        <v>21744.06</v>
      </c>
      <c r="JF15" s="326"/>
      <c r="JG15" s="326"/>
      <c r="JH15" s="327"/>
      <c r="JI15" s="328"/>
      <c r="JJ15" s="326"/>
      <c r="JL15" s="326"/>
      <c r="JM15" s="326"/>
      <c r="JO15" s="328"/>
      <c r="JP15" s="326"/>
      <c r="JR15" s="328"/>
      <c r="JS15" s="328"/>
      <c r="JU15" s="326"/>
    </row>
    <row r="16" s="329" customFormat="true" ht="15" hidden="false" customHeight="false" outlineLevel="0" collapsed="false">
      <c r="A16" s="85" t="s">
        <v>3972</v>
      </c>
      <c r="B16" s="319"/>
      <c r="C16" s="319" t="n">
        <v>4927446.89</v>
      </c>
      <c r="D16" s="319"/>
      <c r="E16" s="321"/>
      <c r="F16" s="322" t="n">
        <v>25.196137</v>
      </c>
      <c r="G16" s="323" t="n">
        <v>0</v>
      </c>
      <c r="H16" s="324" t="n">
        <f aca="false">1-G16</f>
        <v>1</v>
      </c>
      <c r="I16" s="324"/>
      <c r="J16" s="319" t="n">
        <v>829914.73</v>
      </c>
      <c r="K16" s="325"/>
      <c r="L16" s="326"/>
      <c r="M16" s="327"/>
      <c r="N16" s="328"/>
      <c r="O16" s="326"/>
      <c r="P16" s="327"/>
      <c r="Q16" s="328"/>
      <c r="R16" s="326"/>
      <c r="S16" s="327"/>
      <c r="T16" s="328"/>
      <c r="U16" s="328"/>
      <c r="V16" s="327"/>
      <c r="W16" s="325"/>
      <c r="X16" s="328"/>
      <c r="Y16" s="327"/>
      <c r="AC16" s="328"/>
      <c r="AD16" s="328"/>
      <c r="AE16" s="327"/>
      <c r="AF16" s="328"/>
      <c r="AG16" s="328"/>
      <c r="AH16" s="327"/>
      <c r="AI16" s="328"/>
      <c r="AJ16" s="328"/>
      <c r="AK16" s="327"/>
      <c r="AL16" s="328"/>
      <c r="AM16" s="328"/>
      <c r="AN16" s="327"/>
      <c r="AO16" s="328"/>
      <c r="AP16" s="328"/>
      <c r="AQ16" s="327"/>
      <c r="AR16" s="328"/>
      <c r="AS16" s="328"/>
      <c r="AT16" s="327"/>
      <c r="AU16" s="328"/>
      <c r="AV16" s="328"/>
      <c r="AW16" s="327"/>
      <c r="AX16" s="328"/>
      <c r="AY16" s="328"/>
      <c r="AZ16" s="327"/>
      <c r="BA16" s="328"/>
      <c r="BB16" s="328"/>
      <c r="BC16" s="327"/>
      <c r="BD16" s="328"/>
      <c r="BE16" s="328"/>
      <c r="BF16" s="327"/>
      <c r="BG16" s="328"/>
      <c r="BH16" s="328"/>
      <c r="BI16" s="327"/>
      <c r="BJ16" s="325"/>
      <c r="BK16" s="328"/>
      <c r="BL16" s="327"/>
      <c r="BP16" s="325"/>
      <c r="BQ16" s="328"/>
      <c r="BR16" s="327"/>
      <c r="BS16" s="325"/>
      <c r="BT16" s="328"/>
      <c r="BU16" s="327"/>
      <c r="BV16" s="325"/>
      <c r="BW16" s="328"/>
      <c r="BX16" s="327"/>
      <c r="BY16" s="325"/>
      <c r="BZ16" s="328"/>
      <c r="CA16" s="327"/>
      <c r="CB16" s="325"/>
      <c r="CC16" s="328"/>
      <c r="CD16" s="327"/>
      <c r="CE16" s="328"/>
      <c r="CF16" s="328"/>
      <c r="CG16" s="327"/>
      <c r="CH16" s="328"/>
      <c r="CI16" s="328"/>
      <c r="CJ16" s="327"/>
      <c r="CK16" s="328"/>
      <c r="CL16" s="328"/>
      <c r="CM16" s="327"/>
      <c r="CN16" s="328" t="n">
        <v>0</v>
      </c>
      <c r="CO16" s="328"/>
      <c r="CP16" s="327"/>
      <c r="CQ16" s="328"/>
      <c r="CR16" s="328"/>
      <c r="CS16" s="327"/>
      <c r="CT16" s="328"/>
      <c r="CU16" s="328"/>
      <c r="CV16" s="327"/>
      <c r="CW16" s="328"/>
      <c r="CX16" s="328"/>
      <c r="CY16" s="327"/>
      <c r="DB16" s="327"/>
      <c r="DC16" s="325" t="n">
        <f aca="false">DD16*$H16+DE16*$G16</f>
        <v>92974.8274171219</v>
      </c>
      <c r="DD16" s="328" t="n">
        <f aca="false">DE16/$F16*DE$7</f>
        <v>92974.8274171219</v>
      </c>
      <c r="DE16" s="327" t="n">
        <v>85365.24</v>
      </c>
      <c r="DF16" s="325" t="n">
        <f aca="false">DG16*$H16+DH16*$G16</f>
        <v>91562.4936952343</v>
      </c>
      <c r="DG16" s="328" t="n">
        <f aca="false">DH16/$F16*DH$7</f>
        <v>91562.4936952343</v>
      </c>
      <c r="DH16" s="327" t="n">
        <v>85365.24</v>
      </c>
      <c r="DI16" s="325" t="n">
        <f aca="false">DJ16*$H16+DK16*$G16</f>
        <v>91096.863333161</v>
      </c>
      <c r="DJ16" s="328" t="n">
        <f aca="false">DK16/$F16*DK$7</f>
        <v>91096.863333161</v>
      </c>
      <c r="DK16" s="327" t="n">
        <v>85365.24</v>
      </c>
      <c r="DL16" s="325" t="n">
        <f aca="false">DM16*$H16+DN16*$G16</f>
        <v>90755.4076178297</v>
      </c>
      <c r="DM16" s="328" t="n">
        <f aca="false">DN16/$F16*DN$7</f>
        <v>90755.4076178297</v>
      </c>
      <c r="DN16" s="327" t="n">
        <v>85365.24</v>
      </c>
      <c r="DO16" s="325" t="n">
        <f aca="false">DP16*$H16+DQ16*$G16</f>
        <v>89341.1664356786</v>
      </c>
      <c r="DP16" s="328" t="n">
        <f aca="false">DQ16/$F16*DQ$7</f>
        <v>89341.1664356786</v>
      </c>
      <c r="DQ16" s="327" t="n">
        <v>85365.24</v>
      </c>
      <c r="DR16" s="325" t="n">
        <f aca="false">DS16*$H16+DT16*$G16</f>
        <v>88167.102621336</v>
      </c>
      <c r="DS16" s="328" t="n">
        <f aca="false">DT16/$F16*DT$7</f>
        <v>88167.102621336</v>
      </c>
      <c r="DT16" s="327" t="n">
        <v>85365.24</v>
      </c>
      <c r="DU16" s="325" t="n">
        <f aca="false">DV16*$H16+DW16*$G16</f>
        <v>87899.4585033396</v>
      </c>
      <c r="DV16" s="328" t="n">
        <f aca="false">DW16/$F16*DW$7</f>
        <v>87899.4585033396</v>
      </c>
      <c r="DW16" s="327" t="n">
        <v>85365.24</v>
      </c>
      <c r="DX16" s="325" t="n">
        <f aca="false">DY16*$H16+DZ16*$G16</f>
        <v>86362.2149324414</v>
      </c>
      <c r="DY16" s="328" t="n">
        <f aca="false">DZ16/$F16*DZ$7</f>
        <v>86362.2149324414</v>
      </c>
      <c r="DZ16" s="327" t="n">
        <v>85365.24</v>
      </c>
      <c r="EA16" s="325" t="n">
        <f aca="false">EB16*$H16+EC16*$G16</f>
        <v>88517.119885665</v>
      </c>
      <c r="EB16" s="328" t="n">
        <f aca="false">EC16/$F16*EC$7</f>
        <v>88517.119885665</v>
      </c>
      <c r="EC16" s="327" t="n">
        <v>85365.24</v>
      </c>
      <c r="ED16" s="325" t="n">
        <f aca="false">EE16*$H16+EF16*$G16</f>
        <v>89782.5961074112</v>
      </c>
      <c r="EE16" s="328" t="n">
        <f aca="false">EF16/$F16*EF$7</f>
        <v>89782.5961074112</v>
      </c>
      <c r="EF16" s="327" t="n">
        <v>85365.24</v>
      </c>
      <c r="EG16" s="325" t="n">
        <f aca="false">EH16*$H16+EI16*$G16</f>
        <v>89779.6722384816</v>
      </c>
      <c r="EH16" s="328" t="n">
        <f aca="false">EI16/$F16*EI$7</f>
        <v>89779.6722384816</v>
      </c>
      <c r="EI16" s="327" t="n">
        <v>85365.24</v>
      </c>
      <c r="EJ16" s="325" t="n">
        <f aca="false">EK16*$H16+EL16*$G16</f>
        <v>94436.6805692238</v>
      </c>
      <c r="EK16" s="328" t="n">
        <f aca="false">EL16/$F16*EL$7</f>
        <v>94436.6805692238</v>
      </c>
      <c r="EL16" s="327" t="n">
        <v>85365.24</v>
      </c>
      <c r="EO16" s="327"/>
      <c r="EP16" s="325" t="n">
        <f aca="false">EQ16*$H16+ER16*$G16</f>
        <v>97727.0698518523</v>
      </c>
      <c r="EQ16" s="328" t="n">
        <f aca="false">ER16/$F16*ER$7</f>
        <v>97727.0698518523</v>
      </c>
      <c r="ER16" s="327" t="n">
        <v>85365.24</v>
      </c>
      <c r="ES16" s="325" t="n">
        <f aca="false">ET16*$H16+EU16*$G16</f>
        <v>91445.9116212283</v>
      </c>
      <c r="ET16" s="328" t="n">
        <f aca="false">EU16/$F16*EU$7</f>
        <v>91445.9116212283</v>
      </c>
      <c r="EU16" s="327" t="n">
        <v>85365.24</v>
      </c>
      <c r="EV16" s="325" t="n">
        <f aca="false">EW16*$H16+EX16*$G16</f>
        <v>89566.0807333505</v>
      </c>
      <c r="EW16" s="328" t="n">
        <f aca="false">EX16/$F16*EX$7</f>
        <v>89566.0807333505</v>
      </c>
      <c r="EX16" s="327" t="n">
        <v>85365.24</v>
      </c>
      <c r="EY16" s="325" t="n">
        <f aca="false">EZ16*$H16+FA16*$G16</f>
        <v>88854.3202367141</v>
      </c>
      <c r="EZ16" s="328" t="n">
        <f aca="false">FA16/$F16*FA$7</f>
        <v>88854.3202367141</v>
      </c>
      <c r="FA16" s="327" t="n">
        <v>85365.24</v>
      </c>
      <c r="FB16" s="325" t="n">
        <f aca="false">FC16*$H16+FD16*$G16</f>
        <v>88590.0539835182</v>
      </c>
      <c r="FC16" s="328" t="n">
        <f aca="false">FD16/$F16*FD$7</f>
        <v>88590.0539835182</v>
      </c>
      <c r="FD16" s="327" t="n">
        <v>85365.24</v>
      </c>
      <c r="FE16" s="325" t="n">
        <f aca="false">FF16*$H16+FG16*$G16</f>
        <v>89601.2992936322</v>
      </c>
      <c r="FF16" s="328" t="n">
        <f aca="false">FG16/$F16*FG$7</f>
        <v>89601.2992936322</v>
      </c>
      <c r="FG16" s="327" t="n">
        <v>85365.24</v>
      </c>
      <c r="FH16" s="325" t="n">
        <f aca="false">FI16*$H16+FJ16*$G16</f>
        <v>89689.3677165242</v>
      </c>
      <c r="FI16" s="328" t="n">
        <f aca="false">FJ16/$F16*FJ$7</f>
        <v>89689.3677165242</v>
      </c>
      <c r="FJ16" s="327" t="n">
        <v>85365.24</v>
      </c>
      <c r="FK16" s="325" t="n">
        <f aca="false">FL16*$H16+FM16*$G16</f>
        <v>94521.1068610621</v>
      </c>
      <c r="FL16" s="328" t="n">
        <f aca="false">FM16/$F16*FM$7</f>
        <v>94521.1068610621</v>
      </c>
      <c r="FM16" s="327" t="n">
        <v>85365.24</v>
      </c>
      <c r="FN16" s="325" t="n">
        <f aca="false">FO16*$H16+FP16*$G16</f>
        <v>95272.0668519226</v>
      </c>
      <c r="FO16" s="328" t="n">
        <f aca="false">FP16/$F16*FP$7</f>
        <v>95272.0668519226</v>
      </c>
      <c r="FP16" s="327" t="n">
        <v>85365.24</v>
      </c>
      <c r="FQ16" s="325" t="n">
        <f aca="false">FR16*$H16+FS16*$G16</f>
        <v>94988.9699341721</v>
      </c>
      <c r="FR16" s="328" t="n">
        <f aca="false">FS16/$F16*FS$7</f>
        <v>94988.9699341721</v>
      </c>
      <c r="FS16" s="327" t="n">
        <v>85365.24</v>
      </c>
      <c r="FT16" s="325" t="n">
        <f aca="false">FU16*$H16+FV16*$G16</f>
        <v>94068.0426981311</v>
      </c>
      <c r="FU16" s="328" t="n">
        <f aca="false">FV16/$F16*FV$7</f>
        <v>94068.0426981311</v>
      </c>
      <c r="FV16" s="327" t="n">
        <v>85365.24</v>
      </c>
      <c r="FW16" s="325" t="n">
        <f aca="false">FX16*$H16+FY16*$G16</f>
        <v>94349.6353310557</v>
      </c>
      <c r="FX16" s="328" t="n">
        <f aca="false">FY16/$F16*FY$7</f>
        <v>94349.6353310557</v>
      </c>
      <c r="FY16" s="327" t="n">
        <v>85365.24</v>
      </c>
      <c r="GC16" s="325" t="n">
        <f aca="false">GD16*$H16+GE16*$G16</f>
        <v>94799.8671018371</v>
      </c>
      <c r="GD16" s="328" t="n">
        <f aca="false">GE16/$F16*GE$7</f>
        <v>94799.8671018371</v>
      </c>
      <c r="GE16" s="327" t="n">
        <v>85365.24</v>
      </c>
      <c r="GF16" s="325" t="n">
        <f aca="false">GG16*$H16+GH16*$G16</f>
        <v>92063.7593451425</v>
      </c>
      <c r="GG16" s="328" t="n">
        <f aca="false">GH16/$F16*GH$7</f>
        <v>92063.7593451425</v>
      </c>
      <c r="GH16" s="327" t="n">
        <v>85365.24</v>
      </c>
      <c r="GI16" s="325" t="n">
        <f aca="false">GJ16*$H16+GK16*$G16</f>
        <v>92045.5588539608</v>
      </c>
      <c r="GJ16" s="328" t="n">
        <f aca="false">GK16/$F16*GK$7</f>
        <v>92045.5588539608</v>
      </c>
      <c r="GK16" s="327" t="n">
        <v>85365.24</v>
      </c>
      <c r="GL16" s="325" t="n">
        <f aca="false">GM16*$H16+GN16*$G16</f>
        <v>90715.7304115325</v>
      </c>
      <c r="GM16" s="328" t="n">
        <f aca="false">GN16/$F16*GN$7</f>
        <v>90715.7304115325</v>
      </c>
      <c r="GN16" s="327" t="n">
        <v>85365.24</v>
      </c>
      <c r="GO16" s="325" t="n">
        <f aca="false">GP16*$H16+GQ16*$G16</f>
        <v>88776.1651863458</v>
      </c>
      <c r="GP16" s="328" t="n">
        <f aca="false">GQ16/$F16*GQ$7</f>
        <v>88776.1651863458</v>
      </c>
      <c r="GQ16" s="327" t="n">
        <v>85365.24</v>
      </c>
      <c r="GR16" s="325" t="n">
        <f aca="false">GS16*$H16+GT16*$G16</f>
        <v>88736.5455765398</v>
      </c>
      <c r="GS16" s="328" t="n">
        <f aca="false">GT16/$F16*GT$7</f>
        <v>88736.5455765398</v>
      </c>
      <c r="GT16" s="327" t="n">
        <v>85365.24</v>
      </c>
      <c r="GU16" s="325" t="n">
        <f aca="false">GV16*$H16+GW16*$G16</f>
        <v>87463.1345911399</v>
      </c>
      <c r="GV16" s="328" t="n">
        <f aca="false">GW16/$F16*GW$7</f>
        <v>87463.1345911399</v>
      </c>
      <c r="GW16" s="327" t="n">
        <v>85365.24</v>
      </c>
      <c r="GX16" s="325" t="n">
        <f aca="false">GY16*$H16+GZ16*$G16</f>
        <v>85295.9446451716</v>
      </c>
      <c r="GY16" s="328" t="n">
        <f aca="false">GZ16/$F16*GZ$7</f>
        <v>85295.9446451716</v>
      </c>
      <c r="GZ16" s="327" t="n">
        <v>85365.24</v>
      </c>
      <c r="HA16" s="325" t="n">
        <f aca="false">HB16*$H16+HC16*$G16</f>
        <v>83582.1746051675</v>
      </c>
      <c r="HB16" s="328" t="n">
        <f aca="false">HC16/$F16*HC$7</f>
        <v>83582.1746051675</v>
      </c>
      <c r="HC16" s="327" t="n">
        <v>85365.24</v>
      </c>
      <c r="HD16" s="325" t="n">
        <f aca="false">HE16*$H16+HF16*$G16</f>
        <v>84819.5437392661</v>
      </c>
      <c r="HE16" s="328" t="n">
        <f aca="false">HF16/$F16*HF$7</f>
        <v>84819.5437392661</v>
      </c>
      <c r="HF16" s="327" t="n">
        <v>85365.24</v>
      </c>
      <c r="HG16" s="325" t="n">
        <f aca="false">HH16*$H16+HI16*$G16</f>
        <v>82003.607245933</v>
      </c>
      <c r="HH16" s="328" t="n">
        <f aca="false">HI16/$F16*HI$7</f>
        <v>82003.607245933</v>
      </c>
      <c r="HI16" s="327" t="n">
        <v>85365.24</v>
      </c>
      <c r="HJ16" s="325" t="n">
        <f aca="false">HK16*$H16+HL16*$G16</f>
        <v>79324.21170478</v>
      </c>
      <c r="HK16" s="328" t="n">
        <f aca="false">HL16/$F16*HL$7</f>
        <v>79324.21170478</v>
      </c>
      <c r="HL16" s="327" t="n">
        <v>85365.24</v>
      </c>
      <c r="HP16" s="325" t="n">
        <f aca="false">HQ16*$H16+HR16*$G16</f>
        <v>82168.8481908159</v>
      </c>
      <c r="HQ16" s="328" t="n">
        <f aca="false">HR16/$F16*HR$7</f>
        <v>82168.8481908159</v>
      </c>
      <c r="HR16" s="327" t="n">
        <v>85365.24</v>
      </c>
      <c r="HS16" s="325" t="n">
        <f aca="false">HT16*$H16+HU16*$G16</f>
        <v>82813.9288909248</v>
      </c>
      <c r="HT16" s="328" t="n">
        <f aca="false">HU16/$F16*HU$7</f>
        <v>82813.9288909248</v>
      </c>
      <c r="HU16" s="327" t="n">
        <v>85365.24</v>
      </c>
      <c r="HV16" s="325" t="n">
        <f aca="false">HW16*$H16+HX16*$G16</f>
        <v>94195.673134338</v>
      </c>
      <c r="HW16" s="328" t="n">
        <f aca="false">HX16/$F16*HX$7</f>
        <v>94195.673134338</v>
      </c>
      <c r="HX16" s="327" t="n">
        <v>85365.24</v>
      </c>
      <c r="HY16" s="325" t="n">
        <f aca="false">HZ16*$H16+IA16*$G16</f>
        <v>92161.8393933959</v>
      </c>
      <c r="HZ16" s="328" t="n">
        <f aca="false">IA16/$F16*IA$7</f>
        <v>92161.8393933959</v>
      </c>
      <c r="IA16" s="327" t="n">
        <v>85365.24</v>
      </c>
      <c r="IB16" s="325" t="n">
        <f aca="false">IC16*$H16+ID16*$G16</f>
        <v>90023.3155598416</v>
      </c>
      <c r="IC16" s="328" t="n">
        <f aca="false">ID16/$F16*ID$7</f>
        <v>90023.3155598416</v>
      </c>
      <c r="ID16" s="327" t="n">
        <v>85365.24</v>
      </c>
      <c r="IE16" s="325" t="n">
        <f aca="false">IF16*$H16+IG16*$G16</f>
        <v>90674.833514836</v>
      </c>
      <c r="IF16" s="328" t="n">
        <f aca="false">IG16/$F16*IG$7</f>
        <v>90674.833514836</v>
      </c>
      <c r="IG16" s="327" t="n">
        <v>85365.24</v>
      </c>
      <c r="IH16" s="325" t="n">
        <f aca="false">II16*$H16+IJ16*$G16</f>
        <v>93513.3241164707</v>
      </c>
      <c r="II16" s="328" t="n">
        <f aca="false">IJ16/$F16*IJ$7</f>
        <v>93513.3241164707</v>
      </c>
      <c r="IJ16" s="327" t="n">
        <v>85365.24</v>
      </c>
      <c r="IK16" s="325" t="n">
        <f aca="false">IL16*$H16+IM16*$G16</f>
        <v>92547.3970807509</v>
      </c>
      <c r="IL16" s="328" t="n">
        <f aca="false">IM16/$F16*IM$7</f>
        <v>92547.3970807509</v>
      </c>
      <c r="IM16" s="327" t="n">
        <v>85365.24</v>
      </c>
      <c r="IN16" s="325" t="n">
        <f aca="false">IO16*$H16+IP16*$G16</f>
        <v>95549.8682805225</v>
      </c>
      <c r="IO16" s="328" t="n">
        <f aca="false">IP16/$F16*IP$7</f>
        <v>95549.8682805225</v>
      </c>
      <c r="IP16" s="327" t="n">
        <v>85365.24</v>
      </c>
      <c r="IQ16" s="325" t="n">
        <f aca="false">IR16*$H16+IS16*$G16</f>
        <v>96120.7511480034</v>
      </c>
      <c r="IR16" s="328" t="n">
        <f aca="false">IS16/$F16*IS$7</f>
        <v>96120.7511480034</v>
      </c>
      <c r="IS16" s="327" t="n">
        <v>85365.24</v>
      </c>
      <c r="IT16" s="325" t="n">
        <f aca="false">IU16*$H16+IV16*$G16</f>
        <v>96068.5755031416</v>
      </c>
      <c r="IU16" s="328" t="n">
        <f aca="false">IV16/$F16*IV$7</f>
        <v>96068.5755031416</v>
      </c>
      <c r="IV16" s="327" t="n">
        <v>85365.24</v>
      </c>
      <c r="IW16" s="325" t="n">
        <f aca="false">IX16*$H16+IY16*$G16</f>
        <v>94997.992982337</v>
      </c>
      <c r="IX16" s="328" t="n">
        <f aca="false">IY16/$F16*IY$7</f>
        <v>94997.992982337</v>
      </c>
      <c r="IY16" s="327" t="n">
        <v>85365.88</v>
      </c>
      <c r="IZ16" s="327"/>
      <c r="JA16" s="327"/>
      <c r="JB16" s="327"/>
      <c r="JC16" s="326"/>
      <c r="JF16" s="326"/>
      <c r="JG16" s="326"/>
      <c r="JI16" s="328"/>
      <c r="JJ16" s="326"/>
      <c r="JL16" s="326"/>
      <c r="JM16" s="326"/>
      <c r="JO16" s="328"/>
      <c r="JP16" s="326"/>
      <c r="JR16" s="328"/>
      <c r="JS16" s="328"/>
      <c r="JU16" s="326"/>
    </row>
    <row r="17" s="329" customFormat="true" ht="15" hidden="false" customHeight="false" outlineLevel="0" collapsed="false">
      <c r="A17" s="85" t="n">
        <v>2.83</v>
      </c>
      <c r="B17" s="319"/>
      <c r="C17" s="319" t="n">
        <v>1429737.56</v>
      </c>
      <c r="D17" s="319"/>
      <c r="E17" s="321"/>
      <c r="F17" s="322" t="n">
        <v>25.257239</v>
      </c>
      <c r="G17" s="323" t="n">
        <v>0</v>
      </c>
      <c r="H17" s="324" t="n">
        <f aca="false">1-G17</f>
        <v>1</v>
      </c>
      <c r="I17" s="324"/>
      <c r="J17" s="319" t="n">
        <v>215871.56</v>
      </c>
      <c r="K17" s="325"/>
      <c r="L17" s="326"/>
      <c r="M17" s="327"/>
      <c r="N17" s="328"/>
      <c r="O17" s="326"/>
      <c r="P17" s="327"/>
      <c r="Q17" s="328"/>
      <c r="R17" s="326"/>
      <c r="S17" s="327"/>
      <c r="T17" s="328"/>
      <c r="U17" s="328"/>
      <c r="V17" s="327"/>
      <c r="W17" s="325"/>
      <c r="X17" s="328"/>
      <c r="Y17" s="327"/>
      <c r="AC17" s="328"/>
      <c r="AD17" s="328"/>
      <c r="AE17" s="327"/>
      <c r="AF17" s="328"/>
      <c r="AG17" s="328"/>
      <c r="AH17" s="327"/>
      <c r="AI17" s="328"/>
      <c r="AJ17" s="328"/>
      <c r="AK17" s="327"/>
      <c r="AL17" s="328"/>
      <c r="AM17" s="328"/>
      <c r="AN17" s="327"/>
      <c r="AO17" s="328"/>
      <c r="AP17" s="328"/>
      <c r="AQ17" s="327"/>
      <c r="AR17" s="328"/>
      <c r="AS17" s="328"/>
      <c r="AT17" s="327"/>
      <c r="AU17" s="328"/>
      <c r="AV17" s="328"/>
      <c r="AW17" s="327"/>
      <c r="AX17" s="328"/>
      <c r="AY17" s="328"/>
      <c r="AZ17" s="327"/>
      <c r="BA17" s="328"/>
      <c r="BB17" s="328"/>
      <c r="BC17" s="327"/>
      <c r="BD17" s="328"/>
      <c r="BE17" s="328"/>
      <c r="BF17" s="327"/>
      <c r="BG17" s="328"/>
      <c r="BH17" s="328"/>
      <c r="BI17" s="327"/>
      <c r="BJ17" s="325"/>
      <c r="BK17" s="328"/>
      <c r="BL17" s="327"/>
      <c r="BP17" s="325"/>
      <c r="BQ17" s="328"/>
      <c r="BR17" s="327"/>
      <c r="BS17" s="325"/>
      <c r="BT17" s="328"/>
      <c r="BU17" s="327"/>
      <c r="BV17" s="325"/>
      <c r="BW17" s="328"/>
      <c r="BX17" s="327"/>
      <c r="BY17" s="325"/>
      <c r="BZ17" s="328"/>
      <c r="CA17" s="327"/>
      <c r="CB17" s="325"/>
      <c r="CC17" s="328"/>
      <c r="CD17" s="327"/>
      <c r="CE17" s="328"/>
      <c r="CF17" s="328"/>
      <c r="CG17" s="327"/>
      <c r="CH17" s="325" t="n">
        <f aca="false">CI17*$H17+CJ17*$G17</f>
        <v>22082.3767191655</v>
      </c>
      <c r="CI17" s="328" t="n">
        <f aca="false">CJ17/$F17*CJ$7</f>
        <v>22082.3767191655</v>
      </c>
      <c r="CJ17" s="327" t="n">
        <v>22479</v>
      </c>
      <c r="CK17" s="325" t="n">
        <f aca="false">CL17*$H17+CM17*$G17</f>
        <v>22483.6289017972</v>
      </c>
      <c r="CL17" s="328" t="n">
        <f aca="false">CM17/$F17*CM$7</f>
        <v>22483.6289017972</v>
      </c>
      <c r="CM17" s="327" t="n">
        <v>22479</v>
      </c>
      <c r="CN17" s="325" t="n">
        <f aca="false">CO17*$H17+CP17*$G17</f>
        <v>22966.9775636601</v>
      </c>
      <c r="CO17" s="328" t="n">
        <f aca="false">CP17/$F17*CP$7</f>
        <v>22966.9775636601</v>
      </c>
      <c r="CP17" s="327" t="n">
        <v>22479</v>
      </c>
      <c r="CQ17" s="325" t="n">
        <f aca="false">CR17*$H17+CS17*$G17</f>
        <v>22876.2391624041</v>
      </c>
      <c r="CR17" s="328" t="n">
        <f aca="false">CS17/$F17*CS$7</f>
        <v>22876.2391624041</v>
      </c>
      <c r="CS17" s="327" t="n">
        <v>22479</v>
      </c>
      <c r="CT17" s="325" t="n">
        <f aca="false">CU17*$H17+CV17*$G17</f>
        <v>22947.6573944207</v>
      </c>
      <c r="CU17" s="328" t="n">
        <f aca="false">CV17/$F17*CV$7</f>
        <v>22947.6573944207</v>
      </c>
      <c r="CV17" s="327" t="n">
        <v>22479</v>
      </c>
      <c r="CW17" s="325" t="n">
        <f aca="false">CX17*$H17+CY17*$G17</f>
        <v>23558.788131949</v>
      </c>
      <c r="CX17" s="328" t="n">
        <f aca="false">CY17/$F17*CY$7</f>
        <v>23558.788131949</v>
      </c>
      <c r="CY17" s="327" t="n">
        <v>22479</v>
      </c>
      <c r="DB17" s="327"/>
      <c r="DC17" s="325" t="n">
        <f aca="false">DD17*$H17+DE17*$G17</f>
        <v>24423.5837559679</v>
      </c>
      <c r="DD17" s="328" t="n">
        <f aca="false">DE17/$F17*DE$7</f>
        <v>24423.5837559679</v>
      </c>
      <c r="DE17" s="327" t="n">
        <v>22479</v>
      </c>
      <c r="DF17" s="325" t="n">
        <f aca="false">DG17*$H17+DH17*$G17</f>
        <v>24052.5774104208</v>
      </c>
      <c r="DG17" s="328" t="n">
        <f aca="false">DH17/$F17*DH$7</f>
        <v>24052.5774104208</v>
      </c>
      <c r="DH17" s="327" t="n">
        <v>22479</v>
      </c>
      <c r="DI17" s="325" t="n">
        <f aca="false">DJ17*$H17+DK17*$G17</f>
        <v>23930.2608386847</v>
      </c>
      <c r="DJ17" s="328" t="n">
        <f aca="false">DK17/$F17*DK$7</f>
        <v>23930.2608386847</v>
      </c>
      <c r="DK17" s="327" t="n">
        <v>22479</v>
      </c>
      <c r="DL17" s="325" t="n">
        <f aca="false">DM17*$H17+DN17*$G17</f>
        <v>23840.5637400826</v>
      </c>
      <c r="DM17" s="328" t="n">
        <f aca="false">DN17/$F17*DN$7</f>
        <v>23840.5637400826</v>
      </c>
      <c r="DN17" s="327" t="n">
        <v>22479</v>
      </c>
      <c r="DO17" s="325" t="n">
        <f aca="false">DP17*$H17+DQ17*$G17</f>
        <v>23469.0563232585</v>
      </c>
      <c r="DP17" s="328" t="n">
        <f aca="false">DQ17/$F17*DQ$7</f>
        <v>23469.0563232585</v>
      </c>
      <c r="DQ17" s="327" t="n">
        <v>22479</v>
      </c>
      <c r="DR17" s="325" t="n">
        <f aca="false">DS17*$H17+DT17*$G17</f>
        <v>23160.6411672313</v>
      </c>
      <c r="DS17" s="328" t="n">
        <f aca="false">DT17/$F17*DT$7</f>
        <v>23160.6411672313</v>
      </c>
      <c r="DT17" s="327" t="n">
        <v>22479</v>
      </c>
      <c r="DU17" s="325" t="n">
        <f aca="false">DV17*$H17+DW17*$G17</f>
        <v>23090.3336580455</v>
      </c>
      <c r="DV17" s="328" t="n">
        <f aca="false">DW17/$F17*DW$7</f>
        <v>23090.3336580455</v>
      </c>
      <c r="DW17" s="327" t="n">
        <v>22479</v>
      </c>
      <c r="DX17" s="325" t="n">
        <f aca="false">DY17*$H17+DZ17*$G17</f>
        <v>22686.5147088722</v>
      </c>
      <c r="DY17" s="328" t="n">
        <f aca="false">DZ17/$F17*DZ$7</f>
        <v>22686.5147088722</v>
      </c>
      <c r="DZ17" s="327" t="n">
        <v>22479</v>
      </c>
      <c r="EA17" s="325" t="n">
        <f aca="false">EB17*$H17+EC17*$G17</f>
        <v>23252.5873015653</v>
      </c>
      <c r="EB17" s="328" t="n">
        <f aca="false">EC17/$F17*EC$7</f>
        <v>23252.5873015653</v>
      </c>
      <c r="EC17" s="327" t="n">
        <v>22479</v>
      </c>
      <c r="ED17" s="325" t="n">
        <f aca="false">EE17*$H17+EF17*$G17</f>
        <v>23585.0156087924</v>
      </c>
      <c r="EE17" s="328" t="n">
        <f aca="false">EF17/$F17*EF$7</f>
        <v>23585.0156087924</v>
      </c>
      <c r="EF17" s="327" t="n">
        <v>22479</v>
      </c>
      <c r="EG17" s="325" t="n">
        <f aca="false">EH17*$H17+EI17*$G17</f>
        <v>23584.2475368349</v>
      </c>
      <c r="EH17" s="328" t="n">
        <f aca="false">EI17/$F17*EI$7</f>
        <v>23584.2475368349</v>
      </c>
      <c r="EI17" s="327" t="n">
        <v>22479</v>
      </c>
      <c r="EJ17" s="325" t="n">
        <f aca="false">EK17*$H17+EL17*$G17</f>
        <v>24807.598374668</v>
      </c>
      <c r="EK17" s="328" t="n">
        <f aca="false">EL17/$F17*EL$7</f>
        <v>24807.598374668</v>
      </c>
      <c r="EL17" s="327" t="n">
        <v>22479</v>
      </c>
      <c r="EO17" s="327"/>
      <c r="EP17" s="325" t="n">
        <f aca="false">EQ17*$H17+ER17*$G17</f>
        <v>25671.9516675595</v>
      </c>
      <c r="EQ17" s="328" t="n">
        <f aca="false">ER17/$F17*ER$7</f>
        <v>25671.9516675595</v>
      </c>
      <c r="ER17" s="327" t="n">
        <v>22479</v>
      </c>
      <c r="ES17" s="325" t="n">
        <f aca="false">ET17*$H17+EU17*$G17</f>
        <v>24021.95243237</v>
      </c>
      <c r="ET17" s="328" t="n">
        <f aca="false">EU17/$F17*EU$7</f>
        <v>24021.95243237</v>
      </c>
      <c r="EU17" s="327" t="n">
        <v>22479</v>
      </c>
      <c r="EV17" s="325" t="n">
        <f aca="false">EW17*$H17+EX17*$G17</f>
        <v>23528.1391238369</v>
      </c>
      <c r="EW17" s="328" t="n">
        <f aca="false">EX17/$F17*EX$7</f>
        <v>23528.1391238369</v>
      </c>
      <c r="EX17" s="327" t="n">
        <v>22479</v>
      </c>
      <c r="EY17" s="325" t="n">
        <f aca="false">EZ17*$H17+FA17*$G17</f>
        <v>23341.1665573185</v>
      </c>
      <c r="EZ17" s="328" t="n">
        <f aca="false">FA17/$F17*FA$7</f>
        <v>23341.1665573185</v>
      </c>
      <c r="FA17" s="327" t="n">
        <v>22479</v>
      </c>
      <c r="FB17" s="325" t="n">
        <f aca="false">FC17*$H17+FD17*$G17</f>
        <v>23271.7463803942</v>
      </c>
      <c r="FC17" s="328" t="n">
        <f aca="false">FD17/$F17*FD$7</f>
        <v>23271.7463803942</v>
      </c>
      <c r="FD17" s="327" t="n">
        <v>22479</v>
      </c>
      <c r="FE17" s="325" t="n">
        <f aca="false">FF17*$H17+FG17*$G17</f>
        <v>23537.3906974155</v>
      </c>
      <c r="FF17" s="328" t="n">
        <f aca="false">FG17/$F17*FG$7</f>
        <v>23537.3906974155</v>
      </c>
      <c r="FG17" s="327" t="n">
        <v>22479</v>
      </c>
      <c r="FH17" s="325" t="n">
        <f aca="false">FI17*$H17+FJ17*$G17</f>
        <v>23560.5254163767</v>
      </c>
      <c r="FI17" s="328" t="n">
        <f aca="false">FJ17/$F17*FJ$7</f>
        <v>23560.5254163767</v>
      </c>
      <c r="FJ17" s="327" t="n">
        <v>22479</v>
      </c>
      <c r="FK17" s="325" t="n">
        <f aca="false">FL17*$H17+FM17*$G17</f>
        <v>24829.7763411907</v>
      </c>
      <c r="FL17" s="328" t="n">
        <f aca="false">FM17/$F17*FM$7</f>
        <v>24829.7763411907</v>
      </c>
      <c r="FM17" s="327" t="n">
        <v>22479</v>
      </c>
      <c r="FN17" s="325" t="n">
        <f aca="false">FO17*$H17+FP17*$G17</f>
        <v>25027.046233953</v>
      </c>
      <c r="FO17" s="328" t="n">
        <f aca="false">FP17/$F17*FP$7</f>
        <v>25027.046233953</v>
      </c>
      <c r="FP17" s="327" t="n">
        <v>22479</v>
      </c>
      <c r="FQ17" s="325" t="n">
        <f aca="false">FR17*$H17+FS17*$G17</f>
        <v>24952.6794244216</v>
      </c>
      <c r="FR17" s="328" t="n">
        <f aca="false">FS17/$F17*FS$7</f>
        <v>24952.6794244216</v>
      </c>
      <c r="FS17" s="327" t="n">
        <v>22479</v>
      </c>
      <c r="FT17" s="325" t="n">
        <f aca="false">FU17*$H17+FV17*$G17</f>
        <v>24710.7607878676</v>
      </c>
      <c r="FU17" s="328" t="n">
        <f aca="false">FV17/$F17*FV$7</f>
        <v>24710.7607878676</v>
      </c>
      <c r="FV17" s="327" t="n">
        <v>22479</v>
      </c>
      <c r="FW17" s="325" t="n">
        <f aca="false">FX17*$H17+FY17*$G17</f>
        <v>24784.7324363918</v>
      </c>
      <c r="FX17" s="328" t="n">
        <f aca="false">FY17/$F17*FY$7</f>
        <v>24784.7324363918</v>
      </c>
      <c r="FY17" s="327" t="n">
        <v>22479</v>
      </c>
      <c r="GC17" s="325" t="n">
        <f aca="false">GD17*$H17+GE17*$G17</f>
        <v>24903.0039478187</v>
      </c>
      <c r="GD17" s="328" t="n">
        <f aca="false">GE17/$F17*GE$7</f>
        <v>24903.0039478187</v>
      </c>
      <c r="GE17" s="327" t="n">
        <v>22479</v>
      </c>
      <c r="GF17" s="325" t="n">
        <f aca="false">GG17*$H17+GH17*$G17</f>
        <v>24184.2550260145</v>
      </c>
      <c r="GG17" s="328" t="n">
        <f aca="false">GH17/$F17*GH$7</f>
        <v>24184.2550260145</v>
      </c>
      <c r="GH17" s="327" t="n">
        <v>22479</v>
      </c>
      <c r="GI17" s="325" t="n">
        <f aca="false">GJ17*$H17+GK17*$G17</f>
        <v>24179.4739338294</v>
      </c>
      <c r="GJ17" s="328" t="n">
        <f aca="false">GK17/$F17*GK$7</f>
        <v>24179.4739338294</v>
      </c>
      <c r="GK17" s="327" t="n">
        <v>22479</v>
      </c>
      <c r="GL17" s="325" t="n">
        <f aca="false">GM17*$H17+GN17*$G17</f>
        <v>23830.140923519</v>
      </c>
      <c r="GM17" s="328" t="n">
        <f aca="false">GN17/$F17*GN$7</f>
        <v>23830.140923519</v>
      </c>
      <c r="GN17" s="327" t="n">
        <v>22479</v>
      </c>
      <c r="GO17" s="325" t="n">
        <f aca="false">GP17*$H17+GQ17*$G17</f>
        <v>23320.6359849942</v>
      </c>
      <c r="GP17" s="328" t="n">
        <f aca="false">GQ17/$F17*GQ$7</f>
        <v>23320.6359849942</v>
      </c>
      <c r="GQ17" s="327" t="n">
        <v>22479</v>
      </c>
      <c r="GR17" s="325" t="n">
        <f aca="false">GS17*$H17+GT17*$G17</f>
        <v>23310.2282984692</v>
      </c>
      <c r="GS17" s="328" t="n">
        <f aca="false">GT17/$F17*GT$7</f>
        <v>23310.2282984692</v>
      </c>
      <c r="GT17" s="327" t="n">
        <v>22479</v>
      </c>
      <c r="GU17" s="325" t="n">
        <f aca="false">GV17*$H17+GW17*$G17</f>
        <v>22975.7156059298</v>
      </c>
      <c r="GV17" s="328" t="n">
        <f aca="false">GW17/$F17*GW$7</f>
        <v>22975.7156059298</v>
      </c>
      <c r="GW17" s="327" t="n">
        <v>22479</v>
      </c>
      <c r="GX17" s="325" t="n">
        <f aca="false">GY17*$H17+GZ17*$G17</f>
        <v>22406.415865012</v>
      </c>
      <c r="GY17" s="328" t="n">
        <f aca="false">GZ17/$F17*GZ$7</f>
        <v>22406.415865012</v>
      </c>
      <c r="GZ17" s="327" t="n">
        <v>22479</v>
      </c>
      <c r="HA17" s="325" t="n">
        <f aca="false">HB17*$H17+HC17*$G17</f>
        <v>21956.2251276555</v>
      </c>
      <c r="HB17" s="328" t="n">
        <f aca="false">HC17/$F17*HC$7</f>
        <v>21956.2251276555</v>
      </c>
      <c r="HC17" s="327" t="n">
        <v>22479</v>
      </c>
      <c r="HD17" s="325" t="n">
        <f aca="false">HE17*$H17+HF17*$G17</f>
        <v>22281.2699760651</v>
      </c>
      <c r="HE17" s="328" t="n">
        <f aca="false">HF17/$F17*HF$7</f>
        <v>22281.2699760651</v>
      </c>
      <c r="HF17" s="327" t="n">
        <v>22479</v>
      </c>
      <c r="HG17" s="325" t="n">
        <f aca="false">HH17*$H17+HI17*$G17</f>
        <v>21541.5508208162</v>
      </c>
      <c r="HH17" s="328" t="n">
        <f aca="false">HI17/$F17*HI$7</f>
        <v>21541.5508208162</v>
      </c>
      <c r="HI17" s="327" t="n">
        <v>22479</v>
      </c>
      <c r="HJ17" s="325" t="n">
        <f aca="false">HK17*$H17+HL17*$G17</f>
        <v>20837.6996469804</v>
      </c>
      <c r="HK17" s="328" t="n">
        <f aca="false">HL17/$F17*HL$7</f>
        <v>20837.6996469804</v>
      </c>
      <c r="HL17" s="327" t="n">
        <v>22479</v>
      </c>
      <c r="HP17" s="325" t="n">
        <f aca="false">HQ17*$H17+HR17*$G17</f>
        <v>21584.9580114438</v>
      </c>
      <c r="HQ17" s="328" t="n">
        <f aca="false">HR17/$F17*HR$7</f>
        <v>21584.9580114438</v>
      </c>
      <c r="HR17" s="327" t="n">
        <v>22479</v>
      </c>
      <c r="HS17" s="325" t="n">
        <f aca="false">HT17*$H17+HU17*$G17</f>
        <v>21754.4144433206</v>
      </c>
      <c r="HT17" s="328" t="n">
        <f aca="false">HU17/$F17*HU$7</f>
        <v>21754.4144433206</v>
      </c>
      <c r="HU17" s="327" t="n">
        <v>22479</v>
      </c>
      <c r="HV17" s="325" t="n">
        <f aca="false">HW17*$H17+HX17*$G17</f>
        <v>24744.2880633152</v>
      </c>
      <c r="HW17" s="328" t="n">
        <f aca="false">HX17/$F17*HX$7</f>
        <v>24744.2880633152</v>
      </c>
      <c r="HX17" s="327" t="n">
        <v>22479</v>
      </c>
      <c r="HY17" s="325" t="n">
        <f aca="false">HZ17*$H17+IA17*$G17</f>
        <v>24210.0197016784</v>
      </c>
      <c r="HZ17" s="328" t="n">
        <f aca="false">IA17/$F17*IA$7</f>
        <v>24210.0197016784</v>
      </c>
      <c r="IA17" s="327" t="n">
        <v>22479</v>
      </c>
      <c r="IB17" s="325" t="n">
        <f aca="false">IC17*$H17+ID17*$G17</f>
        <v>23648.2502699523</v>
      </c>
      <c r="IC17" s="328" t="n">
        <f aca="false">ID17/$F17*ID$7</f>
        <v>23648.2502699523</v>
      </c>
      <c r="ID17" s="327" t="n">
        <v>22479</v>
      </c>
      <c r="IE17" s="325" t="n">
        <f aca="false">IF17*$H17+IG17*$G17</f>
        <v>23820.4573350238</v>
      </c>
      <c r="IF17" s="328" t="n">
        <f aca="false">IG17/$F17*IG$7</f>
        <v>23820.4573350238</v>
      </c>
      <c r="IG17" s="327" t="n">
        <v>22480</v>
      </c>
      <c r="IH17" s="325" t="n">
        <f aca="false">II17*$H17+IJ17*$G17</f>
        <v>24565.0416064875</v>
      </c>
      <c r="II17" s="328" t="n">
        <f aca="false">IJ17/$F17*IJ$7</f>
        <v>24565.0416064875</v>
      </c>
      <c r="IJ17" s="327" t="n">
        <v>22479</v>
      </c>
      <c r="IK17" s="325" t="n">
        <f aca="false">IL17*$H17+IM17*$G17</f>
        <v>24311.3019598065</v>
      </c>
      <c r="IL17" s="328" t="n">
        <f aca="false">IM17/$F17*IM$7</f>
        <v>24311.3019598065</v>
      </c>
      <c r="IM17" s="327" t="n">
        <v>22479</v>
      </c>
      <c r="IN17" s="325" t="n">
        <f aca="false">IO17*$H17+IP17*$G17</f>
        <v>25100.021969939</v>
      </c>
      <c r="IO17" s="328" t="n">
        <f aca="false">IP17/$F17*IP$7</f>
        <v>25100.021969939</v>
      </c>
      <c r="IP17" s="327" t="n">
        <v>22479</v>
      </c>
      <c r="IQ17" s="325" t="n">
        <f aca="false">IR17*$H17+IS17*$G17</f>
        <v>25249.9873521409</v>
      </c>
      <c r="IR17" s="328" t="n">
        <f aca="false">IS17/$F17*IS$7</f>
        <v>25249.9873521409</v>
      </c>
      <c r="IS17" s="327" t="n">
        <v>22479</v>
      </c>
      <c r="IT17" s="325" t="n">
        <f aca="false">IU17*$H17+IV17*$G17</f>
        <v>25236.2813172097</v>
      </c>
      <c r="IU17" s="328" t="n">
        <f aca="false">IV17/$F17*IV$7</f>
        <v>25236.2813172097</v>
      </c>
      <c r="IV17" s="327" t="n">
        <v>22479</v>
      </c>
      <c r="IW17" s="325" t="n">
        <f aca="false">IX17*$H17+IY17*$G17</f>
        <v>24954.8625999857</v>
      </c>
      <c r="IX17" s="328" t="n">
        <f aca="false">IY17/$F17*IY$7</f>
        <v>24954.8625999857</v>
      </c>
      <c r="IY17" s="327" t="n">
        <v>22479</v>
      </c>
      <c r="JC17" s="326"/>
      <c r="JF17" s="326"/>
      <c r="JG17" s="326"/>
      <c r="JI17" s="328"/>
      <c r="JJ17" s="326"/>
      <c r="JL17" s="326"/>
      <c r="JM17" s="326"/>
      <c r="JO17" s="328"/>
      <c r="JP17" s="326"/>
      <c r="JR17" s="328"/>
      <c r="JS17" s="328"/>
      <c r="JU17" s="326"/>
    </row>
    <row r="18" s="329" customFormat="true" ht="15" hidden="false" customHeight="false" outlineLevel="0" collapsed="false">
      <c r="A18" s="85" t="n">
        <v>2.84</v>
      </c>
      <c r="B18" s="319"/>
      <c r="C18" s="319" t="n">
        <v>469527.31</v>
      </c>
      <c r="D18" s="319"/>
      <c r="E18" s="321"/>
      <c r="F18" s="322" t="n">
        <v>25.196137</v>
      </c>
      <c r="G18" s="323" t="n">
        <v>0</v>
      </c>
      <c r="H18" s="324" t="n">
        <f aca="false">1-G18</f>
        <v>1</v>
      </c>
      <c r="I18" s="324"/>
      <c r="J18" s="319" t="n">
        <v>81031.91</v>
      </c>
      <c r="K18" s="325"/>
      <c r="L18" s="326"/>
      <c r="M18" s="327"/>
      <c r="N18" s="328"/>
      <c r="O18" s="326"/>
      <c r="P18" s="327"/>
      <c r="Q18" s="328"/>
      <c r="R18" s="326"/>
      <c r="S18" s="327"/>
      <c r="T18" s="328"/>
      <c r="U18" s="328"/>
      <c r="V18" s="327"/>
      <c r="W18" s="325"/>
      <c r="X18" s="328"/>
      <c r="Y18" s="327"/>
      <c r="AC18" s="328"/>
      <c r="AD18" s="328"/>
      <c r="AE18" s="327"/>
      <c r="AF18" s="328"/>
      <c r="AG18" s="328"/>
      <c r="AH18" s="327"/>
      <c r="AI18" s="328"/>
      <c r="AJ18" s="328"/>
      <c r="AK18" s="327"/>
      <c r="AL18" s="328"/>
      <c r="AM18" s="328"/>
      <c r="AN18" s="327"/>
      <c r="AO18" s="328"/>
      <c r="AP18" s="328"/>
      <c r="AQ18" s="327"/>
      <c r="AR18" s="328"/>
      <c r="AS18" s="328"/>
      <c r="AT18" s="327"/>
      <c r="AU18" s="328"/>
      <c r="AV18" s="328"/>
      <c r="AW18" s="327"/>
      <c r="AX18" s="328"/>
      <c r="AY18" s="328"/>
      <c r="AZ18" s="327"/>
      <c r="BA18" s="328"/>
      <c r="BB18" s="328"/>
      <c r="BC18" s="327"/>
      <c r="BD18" s="328"/>
      <c r="BE18" s="328"/>
      <c r="BF18" s="327"/>
      <c r="BG18" s="328"/>
      <c r="BH18" s="328"/>
      <c r="BI18" s="327"/>
      <c r="BJ18" s="325"/>
      <c r="BK18" s="328"/>
      <c r="BL18" s="327"/>
      <c r="BP18" s="325"/>
      <c r="BQ18" s="328"/>
      <c r="BR18" s="327"/>
      <c r="BS18" s="325"/>
      <c r="BT18" s="328"/>
      <c r="BU18" s="327"/>
      <c r="BV18" s="325"/>
      <c r="BW18" s="328"/>
      <c r="BX18" s="327"/>
      <c r="BY18" s="325"/>
      <c r="BZ18" s="328"/>
      <c r="CA18" s="327"/>
      <c r="CB18" s="325"/>
      <c r="CC18" s="328"/>
      <c r="CD18" s="327"/>
      <c r="CE18" s="328"/>
      <c r="CF18" s="328"/>
      <c r="CG18" s="327"/>
      <c r="CH18" s="325"/>
      <c r="CI18" s="328"/>
      <c r="CJ18" s="327"/>
      <c r="CK18" s="325"/>
      <c r="CL18" s="328"/>
      <c r="CM18" s="327"/>
      <c r="CN18" s="325"/>
      <c r="CO18" s="328"/>
      <c r="CP18" s="327"/>
      <c r="CQ18" s="325"/>
      <c r="CR18" s="328"/>
      <c r="CS18" s="327"/>
      <c r="CT18" s="325"/>
      <c r="CU18" s="328"/>
      <c r="CV18" s="327"/>
      <c r="CW18" s="328"/>
      <c r="CX18" s="328"/>
      <c r="CY18" s="327"/>
      <c r="DB18" s="327"/>
      <c r="DC18" s="325" t="n">
        <f aca="false">DD18*$H18+DE18*$G18</f>
        <v>8815.11938789506</v>
      </c>
      <c r="DD18" s="328" t="n">
        <f aca="false">DE18/$F18*DE$7</f>
        <v>8815.11938789506</v>
      </c>
      <c r="DE18" s="327" t="n">
        <v>8093.64</v>
      </c>
      <c r="DF18" s="325" t="n">
        <f aca="false">DG18*$H18+DH18*$G18</f>
        <v>8681.21335418838</v>
      </c>
      <c r="DG18" s="328" t="n">
        <f aca="false">DH18/$F18*DH$7</f>
        <v>8681.21335418838</v>
      </c>
      <c r="DH18" s="327" t="n">
        <v>8093.64</v>
      </c>
      <c r="DI18" s="325" t="n">
        <f aca="false">DJ18*$H18+DK18*$G18</f>
        <v>8637.06605812629</v>
      </c>
      <c r="DJ18" s="328" t="n">
        <f aca="false">DK18/$F18*DK$7</f>
        <v>8637.06605812629</v>
      </c>
      <c r="DK18" s="327" t="n">
        <v>8093.64</v>
      </c>
      <c r="DL18" s="325" t="n">
        <f aca="false">DM18*$H18+DN18*$G18</f>
        <v>8604.69199538326</v>
      </c>
      <c r="DM18" s="328" t="n">
        <f aca="false">DN18/$F18*DN$7</f>
        <v>8604.69199538326</v>
      </c>
      <c r="DN18" s="327" t="n">
        <v>8093.64</v>
      </c>
      <c r="DO18" s="325" t="n">
        <f aca="false">DP18*$H18+DQ18*$G18</f>
        <v>8470.6051117582</v>
      </c>
      <c r="DP18" s="328" t="n">
        <f aca="false">DQ18/$F18*DQ$7</f>
        <v>8470.6051117582</v>
      </c>
      <c r="DQ18" s="327" t="n">
        <v>8093.64</v>
      </c>
      <c r="DR18" s="325" t="n">
        <f aca="false">DS18*$H18+DT18*$G18</f>
        <v>8359.28989902857</v>
      </c>
      <c r="DS18" s="328" t="n">
        <f aca="false">DT18/$F18*DT$7</f>
        <v>8359.28989902857</v>
      </c>
      <c r="DT18" s="327" t="n">
        <v>8093.64</v>
      </c>
      <c r="DU18" s="325" t="n">
        <f aca="false">DV18*$H18+DW18*$G18</f>
        <v>8333.91405355353</v>
      </c>
      <c r="DV18" s="328" t="n">
        <f aca="false">DW18/$F18*DW$7</f>
        <v>8333.91405355353</v>
      </c>
      <c r="DW18" s="327" t="n">
        <v>8093.64</v>
      </c>
      <c r="DX18" s="325" t="n">
        <f aca="false">DY18*$H18+DZ18*$G18</f>
        <v>8188.16508060898</v>
      </c>
      <c r="DY18" s="328" t="n">
        <f aca="false">DZ18/$F18*DZ$7</f>
        <v>8188.16508060898</v>
      </c>
      <c r="DZ18" s="327" t="n">
        <v>8093.64</v>
      </c>
      <c r="EA18" s="325" t="n">
        <f aca="false">EB18*$H18+EC18*$G18</f>
        <v>8392.47569843901</v>
      </c>
      <c r="EB18" s="328" t="n">
        <f aca="false">EC18/$F18*EC$7</f>
        <v>8392.47569843901</v>
      </c>
      <c r="EC18" s="327" t="n">
        <v>8093.64</v>
      </c>
      <c r="ED18" s="325" t="n">
        <f aca="false">EE18*$H18+EF18*$G18</f>
        <v>8512.45789455741</v>
      </c>
      <c r="EE18" s="328" t="n">
        <f aca="false">EF18/$F18*EF$7</f>
        <v>8512.45789455741</v>
      </c>
      <c r="EF18" s="327" t="n">
        <v>8093.64</v>
      </c>
      <c r="EG18" s="325" t="n">
        <f aca="false">EH18*$H18+EI18*$G18</f>
        <v>8512.18067700934</v>
      </c>
      <c r="EH18" s="328" t="n">
        <f aca="false">EI18/$F18*EI$7</f>
        <v>8512.18067700934</v>
      </c>
      <c r="EI18" s="327" t="n">
        <v>8093.64</v>
      </c>
      <c r="EJ18" s="325" t="n">
        <f aca="false">EK18*$H18+EL18*$G18</f>
        <v>8953.72045252016</v>
      </c>
      <c r="EK18" s="328" t="n">
        <f aca="false">EL18/$F18*EL$7</f>
        <v>8953.72045252016</v>
      </c>
      <c r="EL18" s="327" t="n">
        <v>8093.64</v>
      </c>
      <c r="EO18" s="327"/>
      <c r="EP18" s="325" t="n">
        <f aca="false">EQ18*$H18+ER18*$G18</f>
        <v>9265.68848908227</v>
      </c>
      <c r="EQ18" s="328" t="n">
        <f aca="false">ER18/$F18*ER$7</f>
        <v>9265.68848908227</v>
      </c>
      <c r="ER18" s="327" t="n">
        <v>8093.64</v>
      </c>
      <c r="ES18" s="325" t="n">
        <f aca="false">ET18*$H18+EU18*$G18</f>
        <v>8670.1599870631</v>
      </c>
      <c r="ET18" s="328" t="n">
        <f aca="false">EU18/$F18*EU$7</f>
        <v>8670.1599870631</v>
      </c>
      <c r="EU18" s="327" t="n">
        <v>8093.64</v>
      </c>
      <c r="EV18" s="325" t="n">
        <f aca="false">EW18*$H18+EX18*$G18</f>
        <v>8491.92966208114</v>
      </c>
      <c r="EW18" s="328" t="n">
        <f aca="false">EX18/$F18*EX$7</f>
        <v>8491.92966208114</v>
      </c>
      <c r="EX18" s="327" t="n">
        <v>8093.64</v>
      </c>
      <c r="EY18" s="325" t="n">
        <f aca="false">EZ18*$H18+FA18*$G18</f>
        <v>8424.44630203908</v>
      </c>
      <c r="EZ18" s="328" t="n">
        <f aca="false">FA18/$F18*FA$7</f>
        <v>8424.44630203908</v>
      </c>
      <c r="FA18" s="327" t="n">
        <v>8093.64</v>
      </c>
      <c r="FB18" s="325" t="n">
        <f aca="false">FC18*$H18+FD18*$G18</f>
        <v>8399.39071832004</v>
      </c>
      <c r="FC18" s="328" t="n">
        <f aca="false">FD18/$F18*FD$7</f>
        <v>8399.39071832004</v>
      </c>
      <c r="FD18" s="327" t="n">
        <v>8093.64</v>
      </c>
      <c r="FE18" s="325" t="n">
        <f aca="false">FF18*$H18+FG18*$G18</f>
        <v>8495.26880044985</v>
      </c>
      <c r="FF18" s="328" t="n">
        <f aca="false">FG18/$F18*FG$7</f>
        <v>8495.26880044985</v>
      </c>
      <c r="FG18" s="327" t="n">
        <v>8093.64</v>
      </c>
      <c r="FH18" s="325" t="n">
        <f aca="false">FI18*$H18+FJ18*$G18</f>
        <v>8503.61873433694</v>
      </c>
      <c r="FI18" s="328" t="n">
        <f aca="false">FJ18/$F18*FJ$7</f>
        <v>8503.61873433694</v>
      </c>
      <c r="FJ18" s="327" t="n">
        <v>8093.64</v>
      </c>
      <c r="FK18" s="325" t="n">
        <f aca="false">FL18*$H18+FM18*$G18</f>
        <v>8961.72506906753</v>
      </c>
      <c r="FL18" s="328" t="n">
        <f aca="false">FM18/$F18*FM$7</f>
        <v>8961.72506906753</v>
      </c>
      <c r="FM18" s="327" t="n">
        <v>8093.64</v>
      </c>
      <c r="FN18" s="325" t="n">
        <f aca="false">FO18*$H18+FP18*$G18</f>
        <v>9032.92500736125</v>
      </c>
      <c r="FO18" s="328" t="n">
        <f aca="false">FP18/$F18*FP$7</f>
        <v>9032.92500736125</v>
      </c>
      <c r="FP18" s="327" t="n">
        <v>8093.64</v>
      </c>
      <c r="FQ18" s="325" t="n">
        <f aca="false">FR18*$H18+FS18*$G18</f>
        <v>9006.0840526895</v>
      </c>
      <c r="FR18" s="328" t="n">
        <f aca="false">FS18/$F18*FS$7</f>
        <v>9006.0840526895</v>
      </c>
      <c r="FS18" s="327" t="n">
        <v>8093.64</v>
      </c>
      <c r="FT18" s="325" t="n">
        <f aca="false">FU18*$H18+FV18*$G18</f>
        <v>8918.76919813383</v>
      </c>
      <c r="FU18" s="328" t="n">
        <f aca="false">FV18/$F18*FV$7</f>
        <v>8918.76919813383</v>
      </c>
      <c r="FV18" s="327" t="n">
        <v>8093.64</v>
      </c>
      <c r="FW18" s="325" t="n">
        <f aca="false">FX18*$H18+FY18*$G18</f>
        <v>8945.46752871363</v>
      </c>
      <c r="FX18" s="328" t="n">
        <f aca="false">FY18/$F18*FY$7</f>
        <v>8945.46752871363</v>
      </c>
      <c r="FY18" s="327" t="n">
        <v>8093.64</v>
      </c>
      <c r="GC18" s="325" t="n">
        <f aca="false">GD18*$H18+GE18*$G18</f>
        <v>8988.15485518594</v>
      </c>
      <c r="GD18" s="328" t="n">
        <f aca="false">GE18/$F18*GE$7</f>
        <v>8988.15485518594</v>
      </c>
      <c r="GE18" s="327" t="n">
        <v>8093.64</v>
      </c>
      <c r="GF18" s="325" t="n">
        <f aca="false">GG18*$H18+GH18*$G18</f>
        <v>8728.73929934736</v>
      </c>
      <c r="GG18" s="328" t="n">
        <f aca="false">GH18/$F18*GH$7</f>
        <v>8728.73929934736</v>
      </c>
      <c r="GH18" s="327" t="n">
        <v>8093.64</v>
      </c>
      <c r="GI18" s="325" t="n">
        <f aca="false">GJ18*$H18+GK18*$G18</f>
        <v>8727.01367632507</v>
      </c>
      <c r="GJ18" s="328" t="n">
        <f aca="false">GK18/$F18*GK$7</f>
        <v>8727.01367632507</v>
      </c>
      <c r="GK18" s="327" t="n">
        <v>8093.64</v>
      </c>
      <c r="GL18" s="325" t="n">
        <f aca="false">GM18*$H18+GN18*$G18</f>
        <v>8600.93012434565</v>
      </c>
      <c r="GM18" s="328" t="n">
        <f aca="false">GN18/$F18*GN$7</f>
        <v>8600.93012434565</v>
      </c>
      <c r="GN18" s="327" t="n">
        <v>8093.64</v>
      </c>
      <c r="GO18" s="325" t="n">
        <f aca="false">GP18*$H18+GQ18*$G18</f>
        <v>8417.03627376689</v>
      </c>
      <c r="GP18" s="328" t="n">
        <f aca="false">GQ18/$F18*GQ$7</f>
        <v>8417.03627376689</v>
      </c>
      <c r="GQ18" s="327" t="n">
        <v>8093.64</v>
      </c>
      <c r="GR18" s="325" t="n">
        <f aca="false">GS18*$H18+GT18*$G18</f>
        <v>8413.27986356162</v>
      </c>
      <c r="GS18" s="328" t="n">
        <f aca="false">GT18/$F18*GT$7</f>
        <v>8413.27986356162</v>
      </c>
      <c r="GT18" s="327" t="n">
        <v>8093.64</v>
      </c>
      <c r="GU18" s="325" t="n">
        <f aca="false">GV18*$H18+GW18*$G18</f>
        <v>8292.54535748079</v>
      </c>
      <c r="GV18" s="328" t="n">
        <f aca="false">GW18/$F18*GW$7</f>
        <v>8292.54535748079</v>
      </c>
      <c r="GW18" s="327" t="n">
        <v>8093.64</v>
      </c>
      <c r="GX18" s="325" t="n">
        <f aca="false">GY18*$H18+GZ18*$G18</f>
        <v>8087.06997623326</v>
      </c>
      <c r="GY18" s="328" t="n">
        <f aca="false">GZ18/$F18*GZ$7</f>
        <v>8087.06997623326</v>
      </c>
      <c r="GZ18" s="327" t="n">
        <v>8093.64</v>
      </c>
      <c r="HA18" s="325" t="n">
        <f aca="false">HB18*$H18+HC18*$G18</f>
        <v>7924.58419458983</v>
      </c>
      <c r="HB18" s="328" t="n">
        <f aca="false">HC18/$F18*HC$7</f>
        <v>7924.58419458983</v>
      </c>
      <c r="HC18" s="327" t="n">
        <v>8093.64</v>
      </c>
      <c r="HD18" s="325" t="n">
        <f aca="false">HE18*$H18+HF18*$G18</f>
        <v>8041.9015045219</v>
      </c>
      <c r="HE18" s="328" t="n">
        <f aca="false">HF18/$F18*HF$7</f>
        <v>8041.9015045219</v>
      </c>
      <c r="HF18" s="327" t="n">
        <v>8093.64</v>
      </c>
      <c r="HG18" s="325" t="n">
        <f aca="false">HH18*$H18+HI18*$G18</f>
        <v>7774.91723504758</v>
      </c>
      <c r="HH18" s="328" t="n">
        <f aca="false">HI18/$F18*HI$7</f>
        <v>7774.91723504758</v>
      </c>
      <c r="HI18" s="327" t="n">
        <v>8093.64</v>
      </c>
      <c r="HJ18" s="325" t="n">
        <f aca="false">HK18*$H18+HL18*$G18</f>
        <v>7520.87867172019</v>
      </c>
      <c r="HK18" s="328" t="n">
        <f aca="false">HL18/$F18*HL$7</f>
        <v>7520.87867172019</v>
      </c>
      <c r="HL18" s="327" t="n">
        <v>8093.64</v>
      </c>
      <c r="HP18" s="325" t="n">
        <f aca="false">HQ18*$H18+HR18*$G18</f>
        <v>7790.58404183149</v>
      </c>
      <c r="HQ18" s="328" t="n">
        <f aca="false">HR18/$F18*HR$7</f>
        <v>7790.58404183149</v>
      </c>
      <c r="HR18" s="327" t="n">
        <v>8093.64</v>
      </c>
      <c r="HS18" s="325" t="n">
        <f aca="false">HT18*$H18+HU18*$G18</f>
        <v>7851.74536414054</v>
      </c>
      <c r="HT18" s="328" t="n">
        <f aca="false">HU18/$F18*HU$7</f>
        <v>7851.74536414054</v>
      </c>
      <c r="HU18" s="327" t="n">
        <v>8093.64</v>
      </c>
      <c r="HV18" s="325" t="n">
        <f aca="false">HW18*$H18+HX18*$G18</f>
        <v>8930.87008139383</v>
      </c>
      <c r="HW18" s="328" t="n">
        <f aca="false">HX18/$F18*HX$7</f>
        <v>8930.87008139383</v>
      </c>
      <c r="HX18" s="327" t="n">
        <v>8093.64</v>
      </c>
      <c r="HY18" s="325" t="n">
        <f aca="false">HZ18*$H18+IA18*$G18</f>
        <v>8738.03845438688</v>
      </c>
      <c r="HZ18" s="328" t="n">
        <f aca="false">IA18/$F18*IA$7</f>
        <v>8738.03845438688</v>
      </c>
      <c r="IA18" s="327" t="n">
        <v>8093.64</v>
      </c>
      <c r="IB18" s="325" t="n">
        <f aca="false">IC18*$H18+ID18*$G18</f>
        <v>8535.280961522</v>
      </c>
      <c r="IC18" s="328" t="n">
        <f aca="false">ID18/$F18*ID$7</f>
        <v>8535.280961522</v>
      </c>
      <c r="ID18" s="327" t="n">
        <v>8093.64</v>
      </c>
      <c r="IE18" s="325" t="n">
        <f aca="false">IF18*$H18+IG18*$G18</f>
        <v>8597.05261215241</v>
      </c>
      <c r="IF18" s="328" t="n">
        <f aca="false">IG18/$F18*IG$7</f>
        <v>8597.05261215241</v>
      </c>
      <c r="IG18" s="327" t="n">
        <v>8093.64</v>
      </c>
      <c r="IH18" s="325" t="n">
        <f aca="false">II18*$H18+IJ18*$G18</f>
        <v>8866.17527932953</v>
      </c>
      <c r="II18" s="328" t="n">
        <f aca="false">IJ18/$F18*IJ$7</f>
        <v>8866.17527932953</v>
      </c>
      <c r="IJ18" s="327" t="n">
        <v>8093.64</v>
      </c>
      <c r="IK18" s="325" t="n">
        <f aca="false">IL18*$H18+IM18*$G18</f>
        <v>8774.5939085821</v>
      </c>
      <c r="IL18" s="328" t="n">
        <f aca="false">IM18/$F18*IM$7</f>
        <v>8774.5939085821</v>
      </c>
      <c r="IM18" s="327" t="n">
        <v>8093.64</v>
      </c>
      <c r="IN18" s="325" t="n">
        <f aca="false">IO18*$H18+IP18*$G18</f>
        <v>9059.26388668231</v>
      </c>
      <c r="IO18" s="328" t="n">
        <f aca="false">IP18/$F18*IP$7</f>
        <v>9059.26388668231</v>
      </c>
      <c r="IP18" s="327" t="n">
        <v>8093.64</v>
      </c>
      <c r="IQ18" s="325" t="n">
        <f aca="false">IR18*$H18+IS18*$G18</f>
        <v>9113.39037202409</v>
      </c>
      <c r="IR18" s="328" t="n">
        <f aca="false">IS18/$F18*IS$7</f>
        <v>9113.39037202409</v>
      </c>
      <c r="IS18" s="327" t="n">
        <v>8093.64</v>
      </c>
      <c r="IT18" s="325" t="n">
        <f aca="false">IU18*$H18+IV18*$G18</f>
        <v>9108.44350036674</v>
      </c>
      <c r="IU18" s="328" t="n">
        <f aca="false">IV18/$F18*IV$7</f>
        <v>9108.44350036674</v>
      </c>
      <c r="IV18" s="327" t="n">
        <v>8093.64</v>
      </c>
      <c r="IW18" s="325" t="n">
        <f aca="false">IX18*$H18+IY18*$G18</f>
        <v>9007.62874531124</v>
      </c>
      <c r="IX18" s="328" t="n">
        <f aca="false">IY18/$F18*IY$7</f>
        <v>9007.62874531124</v>
      </c>
      <c r="IY18" s="329" t="n">
        <v>8094.32</v>
      </c>
      <c r="JC18" s="326"/>
      <c r="JF18" s="326"/>
      <c r="JG18" s="326"/>
      <c r="JI18" s="328"/>
      <c r="JJ18" s="326"/>
      <c r="JL18" s="326"/>
      <c r="JM18" s="326"/>
      <c r="JO18" s="328"/>
      <c r="JP18" s="326"/>
      <c r="JR18" s="328"/>
      <c r="JS18" s="328"/>
      <c r="JU18" s="326"/>
    </row>
    <row r="19" s="329" customFormat="true" ht="15" hidden="false" customHeight="false" outlineLevel="0" collapsed="false">
      <c r="A19" s="85" t="n">
        <v>2.85</v>
      </c>
      <c r="B19" s="319"/>
      <c r="C19" s="319" t="n">
        <v>2242468.31</v>
      </c>
      <c r="D19" s="319"/>
      <c r="E19" s="321"/>
      <c r="F19" s="322" t="n">
        <v>26.246584</v>
      </c>
      <c r="G19" s="323" t="n">
        <v>0</v>
      </c>
      <c r="H19" s="324" t="n">
        <f aca="false">1-G19</f>
        <v>1</v>
      </c>
      <c r="I19" s="324"/>
      <c r="J19" s="319" t="n">
        <v>434259.47</v>
      </c>
      <c r="K19" s="325"/>
      <c r="L19" s="326"/>
      <c r="M19" s="327"/>
      <c r="N19" s="328"/>
      <c r="O19" s="326"/>
      <c r="P19" s="327"/>
      <c r="Q19" s="328"/>
      <c r="R19" s="326"/>
      <c r="S19" s="327"/>
      <c r="T19" s="328"/>
      <c r="U19" s="328"/>
      <c r="V19" s="327"/>
      <c r="W19" s="325"/>
      <c r="X19" s="328"/>
      <c r="Y19" s="327"/>
      <c r="AC19" s="328"/>
      <c r="AD19" s="328"/>
      <c r="AE19" s="327"/>
      <c r="AF19" s="328"/>
      <c r="AG19" s="328"/>
      <c r="AH19" s="327"/>
      <c r="AI19" s="328"/>
      <c r="AJ19" s="328"/>
      <c r="AK19" s="327"/>
      <c r="AL19" s="328"/>
      <c r="AM19" s="328"/>
      <c r="AN19" s="327"/>
      <c r="AO19" s="328"/>
      <c r="AP19" s="328"/>
      <c r="AQ19" s="327"/>
      <c r="AR19" s="328"/>
      <c r="AS19" s="328"/>
      <c r="AT19" s="327"/>
      <c r="AU19" s="328"/>
      <c r="AV19" s="328"/>
      <c r="AW19" s="327"/>
      <c r="AX19" s="328"/>
      <c r="AY19" s="328"/>
      <c r="AZ19" s="327"/>
      <c r="BA19" s="328"/>
      <c r="BB19" s="328"/>
      <c r="BC19" s="327"/>
      <c r="BD19" s="328"/>
      <c r="BE19" s="328"/>
      <c r="BF19" s="327"/>
      <c r="BG19" s="328"/>
      <c r="BH19" s="328"/>
      <c r="BI19" s="327"/>
      <c r="BJ19" s="325"/>
      <c r="BK19" s="328"/>
      <c r="BL19" s="327"/>
      <c r="BP19" s="325"/>
      <c r="BQ19" s="328"/>
      <c r="BR19" s="327"/>
      <c r="BS19" s="325"/>
      <c r="BT19" s="328"/>
      <c r="BU19" s="327"/>
      <c r="BV19" s="325"/>
      <c r="BW19" s="328"/>
      <c r="BX19" s="327"/>
      <c r="BY19" s="325"/>
      <c r="BZ19" s="328"/>
      <c r="CA19" s="327"/>
      <c r="CB19" s="325"/>
      <c r="CC19" s="328"/>
      <c r="CD19" s="327"/>
      <c r="CE19" s="328"/>
      <c r="CF19" s="328"/>
      <c r="CG19" s="327"/>
      <c r="CH19" s="325"/>
      <c r="CI19" s="328"/>
      <c r="CJ19" s="327"/>
      <c r="CK19" s="325"/>
      <c r="CL19" s="328"/>
      <c r="CM19" s="327"/>
      <c r="CN19" s="325"/>
      <c r="CO19" s="328"/>
      <c r="CP19" s="327"/>
      <c r="CQ19" s="325"/>
      <c r="CR19" s="328"/>
      <c r="CS19" s="327"/>
      <c r="CT19" s="325"/>
      <c r="CU19" s="328"/>
      <c r="CV19" s="327"/>
      <c r="CW19" s="328"/>
      <c r="CX19" s="328"/>
      <c r="CY19" s="327"/>
      <c r="DB19" s="327"/>
      <c r="DC19" s="325"/>
      <c r="DD19" s="328"/>
      <c r="DE19" s="327"/>
      <c r="DF19" s="325"/>
      <c r="DG19" s="328"/>
      <c r="DH19" s="327"/>
      <c r="DI19" s="325"/>
      <c r="DJ19" s="328"/>
      <c r="DK19" s="327"/>
      <c r="DL19" s="325"/>
      <c r="DM19" s="328"/>
      <c r="DN19" s="327"/>
      <c r="DO19" s="325"/>
      <c r="DP19" s="328"/>
      <c r="DQ19" s="327"/>
      <c r="DR19" s="325"/>
      <c r="DS19" s="328"/>
      <c r="DT19" s="327"/>
      <c r="DW19" s="327"/>
      <c r="DZ19" s="327"/>
      <c r="EA19" s="325" t="n">
        <f aca="false">(EB19*$H19+EC19*$G19)+2500</f>
        <v>39998.5548807418</v>
      </c>
      <c r="EB19" s="328" t="n">
        <f aca="false">EC19/$F19*EC$7</f>
        <v>37498.5548807418</v>
      </c>
      <c r="EC19" s="327" t="n">
        <v>37671</v>
      </c>
      <c r="ED19" s="325" t="n">
        <f aca="false">(EE19*$H19+EF19*$G19)</f>
        <v>38034.6492499748</v>
      </c>
      <c r="EE19" s="328" t="n">
        <f aca="false">EF19/$F19*EF$7</f>
        <v>38034.6492499748</v>
      </c>
      <c r="EF19" s="327" t="n">
        <v>37671</v>
      </c>
      <c r="EG19" s="325" t="n">
        <f aca="false">(EH19*$H19+EI19*$G19)</f>
        <v>38033.410609815</v>
      </c>
      <c r="EH19" s="328" t="n">
        <f aca="false">EI19/$F19*EI$7</f>
        <v>38033.410609815</v>
      </c>
      <c r="EI19" s="327" t="n">
        <v>37671</v>
      </c>
      <c r="EJ19" s="325" t="n">
        <f aca="false">(EK19*$H19+EL19*$G19)</f>
        <v>40006.2615418829</v>
      </c>
      <c r="EK19" s="328" t="n">
        <f aca="false">EL19/$F19*EL$7</f>
        <v>40006.2615418829</v>
      </c>
      <c r="EL19" s="327" t="n">
        <v>37671</v>
      </c>
      <c r="EO19" s="327"/>
      <c r="EP19" s="325" t="n">
        <f aca="false">(EQ19*$H19+ER19*$G19)</f>
        <v>41400.1709150417</v>
      </c>
      <c r="EQ19" s="328" t="n">
        <f aca="false">ER19/$F19*ER$7</f>
        <v>41400.1709150417</v>
      </c>
      <c r="ER19" s="327" t="n">
        <v>37671</v>
      </c>
      <c r="ES19" s="325" t="n">
        <f aca="false">(ET19*$H19+EU19*$G19)</f>
        <v>38739.2804914727</v>
      </c>
      <c r="ET19" s="328" t="n">
        <f aca="false">EU19/$F19*EU$7</f>
        <v>38739.2804914727</v>
      </c>
      <c r="EU19" s="327" t="n">
        <v>37671</v>
      </c>
      <c r="EV19" s="325" t="n">
        <f aca="false">(EW19*$H19+EX19*$G19)</f>
        <v>37942.9267261599</v>
      </c>
      <c r="EW19" s="328" t="n">
        <f aca="false">EX19/$F19*EX$7</f>
        <v>37942.9267261599</v>
      </c>
      <c r="EX19" s="327" t="n">
        <v>37671</v>
      </c>
      <c r="EY19" s="325" t="n">
        <f aca="false">(EZ19*$H19+FA19*$G19)</f>
        <v>37641.4032459615</v>
      </c>
      <c r="EZ19" s="328" t="n">
        <f aca="false">FA19/$F19*FA$7</f>
        <v>37641.4032459615</v>
      </c>
      <c r="FA19" s="327" t="n">
        <v>37671</v>
      </c>
      <c r="FB19" s="325" t="n">
        <f aca="false">(FC19*$H19+FD19*$G19)</f>
        <v>37529.4519916573</v>
      </c>
      <c r="FC19" s="328" t="n">
        <f aca="false">FD19/$F19*FD$7</f>
        <v>37529.4519916573</v>
      </c>
      <c r="FD19" s="327" t="n">
        <v>37671</v>
      </c>
      <c r="FE19" s="325" t="n">
        <f aca="false">(FF19*$H19+FG19*$G19)</f>
        <v>37957.8463837046</v>
      </c>
      <c r="FF19" s="328" t="n">
        <f aca="false">FG19/$F19*FG$7</f>
        <v>37957.8463837046</v>
      </c>
      <c r="FG19" s="327" t="n">
        <v>37671</v>
      </c>
      <c r="FH19" s="325" t="n">
        <f aca="false">(FI19*$H19+FJ19*$G19)</f>
        <v>37995.1548568377</v>
      </c>
      <c r="FI19" s="328" t="n">
        <f aca="false">FJ19/$F19*FJ$7</f>
        <v>37995.1548568377</v>
      </c>
      <c r="FJ19" s="327" t="n">
        <v>37671</v>
      </c>
      <c r="FK19" s="325" t="n">
        <f aca="false">(FL19*$H19+FM19*$G19)</f>
        <v>40042.0270970881</v>
      </c>
      <c r="FL19" s="328" t="n">
        <f aca="false">FM19/$F19*FM$7</f>
        <v>40042.0270970881</v>
      </c>
      <c r="FM19" s="327" t="n">
        <v>37671</v>
      </c>
      <c r="FN19" s="325" t="n">
        <f aca="false">(FO19*$H19+FP19*$G19)</f>
        <v>40360.1566800083</v>
      </c>
      <c r="FO19" s="328" t="n">
        <f aca="false">FP19/$F19*FP$7</f>
        <v>40360.1566800083</v>
      </c>
      <c r="FP19" s="327" t="n">
        <v>37671</v>
      </c>
      <c r="FQ19" s="325" t="n">
        <f aca="false">(FR19*$H19+FS19*$G19)</f>
        <v>40240.2281811987</v>
      </c>
      <c r="FR19" s="328" t="n">
        <f aca="false">FS19/$F19*FS$7</f>
        <v>40240.2281811987</v>
      </c>
      <c r="FS19" s="327" t="n">
        <v>37671</v>
      </c>
      <c r="FT19" s="325" t="n">
        <f aca="false">(FU19*$H19+FV19*$G19)</f>
        <v>39850.0952832186</v>
      </c>
      <c r="FU19" s="328" t="n">
        <f aca="false">FV19/$F19*FV$7</f>
        <v>39850.0952832186</v>
      </c>
      <c r="FV19" s="327" t="n">
        <v>37671</v>
      </c>
      <c r="FW19" s="325" t="n">
        <f aca="false">(FX19*$H19+FY19*$G19)</f>
        <v>39969.3865210421</v>
      </c>
      <c r="FX19" s="328" t="n">
        <f aca="false">FY19/$F19*FY$7</f>
        <v>39969.3865210421</v>
      </c>
      <c r="FY19" s="327" t="n">
        <v>37671</v>
      </c>
      <c r="GC19" s="325" t="n">
        <f aca="false">(GD19*$H19+GE19*$G19)</f>
        <v>40160.1184471092</v>
      </c>
      <c r="GD19" s="328" t="n">
        <f aca="false">GE19/$F19*GE$7</f>
        <v>40160.1184471092</v>
      </c>
      <c r="GE19" s="327" t="n">
        <v>37671</v>
      </c>
      <c r="GF19" s="325" t="n">
        <f aca="false">(GG19*$H19+GH19*$G19)</f>
        <v>39001.0196534909</v>
      </c>
      <c r="GG19" s="328" t="n">
        <f aca="false">GH19/$F19*GH$7</f>
        <v>39001.0196534909</v>
      </c>
      <c r="GH19" s="327" t="n">
        <v>37671</v>
      </c>
      <c r="GI19" s="325" t="n">
        <f aca="false">(GJ19*$H19+GK19*$G19)</f>
        <v>38993.3093696688</v>
      </c>
      <c r="GJ19" s="328" t="n">
        <f aca="false">GK19/$F19*GK$7</f>
        <v>38993.3093696688</v>
      </c>
      <c r="GK19" s="327" t="n">
        <v>37671</v>
      </c>
      <c r="GL19" s="325" t="n">
        <f aca="false">(GM19*$H19+GN19*$G19)</f>
        <v>38429.9534347403</v>
      </c>
      <c r="GM19" s="328" t="n">
        <f aca="false">GN19/$F19*GN$7</f>
        <v>38429.9534347403</v>
      </c>
      <c r="GN19" s="327" t="n">
        <v>37671</v>
      </c>
      <c r="GO19" s="325" t="n">
        <f aca="false">(GP19*$H19+GQ19*$G19)</f>
        <v>37608.2943801372</v>
      </c>
      <c r="GP19" s="328" t="n">
        <f aca="false">GQ19/$F19*GQ$7</f>
        <v>37608.2943801372</v>
      </c>
      <c r="GQ19" s="327" t="n">
        <v>37671</v>
      </c>
      <c r="GR19" s="325" t="n">
        <f aca="false">(GS19*$H19+GT19*$G19)</f>
        <v>37591.5103036266</v>
      </c>
      <c r="GS19" s="328" t="n">
        <f aca="false">GT19/$F19*GT$7</f>
        <v>37591.5103036266</v>
      </c>
      <c r="GT19" s="327" t="n">
        <v>37671</v>
      </c>
      <c r="GU19" s="325" t="n">
        <f aca="false">(GV19*$H19+GW19*$G19)</f>
        <v>37052.0545262195</v>
      </c>
      <c r="GV19" s="328" t="n">
        <f aca="false">GW19/$F19*GW$7</f>
        <v>37052.0545262195</v>
      </c>
      <c r="GW19" s="327" t="n">
        <v>37671</v>
      </c>
      <c r="GX19" s="325" t="n">
        <f aca="false">(GY19*$H19+GZ19*$G19)</f>
        <v>36133.9666893033</v>
      </c>
      <c r="GY19" s="328" t="n">
        <f aca="false">GZ19/$F19*GZ$7</f>
        <v>36133.9666893033</v>
      </c>
      <c r="GZ19" s="327" t="n">
        <v>37671</v>
      </c>
      <c r="HA19" s="325" t="n">
        <f aca="false">(HB19*$H19+HC19*$G19)</f>
        <v>35407.9613698682</v>
      </c>
      <c r="HB19" s="328" t="n">
        <f aca="false">HC19/$F19*HC$7</f>
        <v>35407.9613698682</v>
      </c>
      <c r="HC19" s="327" t="n">
        <v>37671</v>
      </c>
      <c r="HD19" s="325" t="n">
        <f aca="false">(HE19*$H19+HF19*$G19)</f>
        <v>35932.1487185151</v>
      </c>
      <c r="HE19" s="328" t="n">
        <f aca="false">HF19/$F19*HF$7</f>
        <v>35932.1487185151</v>
      </c>
      <c r="HF19" s="327" t="n">
        <v>37671</v>
      </c>
      <c r="HG19" s="325" t="n">
        <f aca="false">(HH19*$H19+HI19*$G19)</f>
        <v>34739.2320344621</v>
      </c>
      <c r="HH19" s="328" t="n">
        <f aca="false">HI19/$F19*HI$7</f>
        <v>34739.2320344621</v>
      </c>
      <c r="HI19" s="327" t="n">
        <v>37671</v>
      </c>
      <c r="HJ19" s="325" t="n">
        <f aca="false">(HK19*$H19+HL19*$G19)</f>
        <v>33604.158267072</v>
      </c>
      <c r="HK19" s="328" t="n">
        <f aca="false">HL19/$F19*HL$7</f>
        <v>33604.158267072</v>
      </c>
      <c r="HL19" s="327" t="n">
        <v>37671</v>
      </c>
      <c r="HP19" s="325" t="n">
        <f aca="false">(HQ19*$H19+HR19*$G19)</f>
        <v>34809.233144397</v>
      </c>
      <c r="HQ19" s="328" t="n">
        <f aca="false">HR19/$F19*HR$7</f>
        <v>34809.233144397</v>
      </c>
      <c r="HR19" s="327" t="n">
        <v>37671</v>
      </c>
      <c r="HS19" s="325" t="n">
        <f aca="false">(HT19*$H19+HU19*$G19)</f>
        <v>35082.5090266985</v>
      </c>
      <c r="HT19" s="328" t="n">
        <f aca="false">HU19/$F19*HU$7</f>
        <v>35082.5090266985</v>
      </c>
      <c r="HU19" s="327" t="n">
        <v>37671</v>
      </c>
      <c r="HV19" s="325" t="n">
        <f aca="false">(HW19*$H19+HX19*$G19)</f>
        <v>39904.16343323</v>
      </c>
      <c r="HW19" s="328" t="n">
        <f aca="false">HX19/$F19*HX$7</f>
        <v>39904.16343323</v>
      </c>
      <c r="HX19" s="327" t="n">
        <v>37671</v>
      </c>
      <c r="HY19" s="325" t="n">
        <f aca="false">(HZ19*$H19+IA19*$G19)</f>
        <v>39042.5693568352</v>
      </c>
      <c r="HZ19" s="328" t="n">
        <f aca="false">IA19/$F19*IA$7</f>
        <v>39042.5693568352</v>
      </c>
      <c r="IA19" s="327" t="n">
        <v>37671</v>
      </c>
      <c r="IB19" s="325" t="n">
        <f aca="false">(IC19*$H19+ID19*$G19)</f>
        <v>38136.625360466</v>
      </c>
      <c r="IC19" s="328" t="n">
        <f aca="false">ID19/$F19*ID$7</f>
        <v>38136.625360466</v>
      </c>
      <c r="ID19" s="327" t="n">
        <v>37671</v>
      </c>
      <c r="IE19" s="325" t="n">
        <f aca="false">(IF19*$H19+IG19*$G19)</f>
        <v>38412.6282605005</v>
      </c>
      <c r="IF19" s="328" t="n">
        <f aca="false">IG19/$F19*IG$7</f>
        <v>38412.6282605005</v>
      </c>
      <c r="IG19" s="327" t="n">
        <v>37671</v>
      </c>
      <c r="IH19" s="325" t="n">
        <f aca="false">(II19*$H19+IJ19*$G19)</f>
        <v>39615.0995535267</v>
      </c>
      <c r="II19" s="328" t="n">
        <f aca="false">IJ19/$F19*IJ$7</f>
        <v>39615.0995535267</v>
      </c>
      <c r="IJ19" s="327" t="n">
        <v>37671</v>
      </c>
      <c r="IK19" s="325" t="n">
        <f aca="false">(IL19*$H19+IM19*$G19)</f>
        <v>39205.90336632</v>
      </c>
      <c r="IL19" s="328" t="n">
        <f aca="false">IM19/$F19*IM$7</f>
        <v>39205.90336632</v>
      </c>
      <c r="IM19" s="327" t="n">
        <v>37671</v>
      </c>
      <c r="IN19" s="325" t="n">
        <f aca="false">(IO19*$H19+IP19*$G19)</f>
        <v>40477.8418479144</v>
      </c>
      <c r="IO19" s="328" t="n">
        <f aca="false">IP19/$F19*IP$7</f>
        <v>40477.8418479144</v>
      </c>
      <c r="IP19" s="327" t="n">
        <v>37671</v>
      </c>
      <c r="IQ19" s="325" t="n">
        <f aca="false">(IR19*$H19+IS19*$G19)</f>
        <v>40719.6852626612</v>
      </c>
      <c r="IR19" s="328" t="n">
        <f aca="false">IS19/$F19*IS$7</f>
        <v>40719.6852626612</v>
      </c>
      <c r="IS19" s="327" t="n">
        <v>37671</v>
      </c>
      <c r="IT19" s="325" t="n">
        <f aca="false">(IU19*$H19+IV19*$G19)</f>
        <v>40697.5820662986</v>
      </c>
      <c r="IU19" s="328" t="n">
        <f aca="false">IV19/$F19*IV$7</f>
        <v>40697.5820662986</v>
      </c>
      <c r="IV19" s="327" t="n">
        <v>37671</v>
      </c>
      <c r="IW19" s="325" t="n">
        <f aca="false">(IX19*$H19+IY19*$G19)</f>
        <v>40243.7489046194</v>
      </c>
      <c r="IX19" s="328" t="n">
        <f aca="false">IY19/$F19*IY$7</f>
        <v>40243.7489046194</v>
      </c>
      <c r="IY19" s="327" t="n">
        <v>37671</v>
      </c>
      <c r="IZ19" s="327"/>
      <c r="JA19" s="327"/>
      <c r="JB19" s="327"/>
      <c r="JC19" s="325" t="n">
        <f aca="false">(JD19*$H19+JE19*$G19)</f>
        <v>40479.7077021528</v>
      </c>
      <c r="JD19" s="329" t="n">
        <f aca="false">JE19/$F19*JE$7</f>
        <v>40479.7077021528</v>
      </c>
      <c r="JE19" s="327" t="n">
        <v>37671</v>
      </c>
      <c r="JF19" s="325" t="n">
        <f aca="false">(JG19*$H19+JH19*$G19)</f>
        <v>40087.734784839</v>
      </c>
      <c r="JG19" s="326" t="n">
        <f aca="false">JH19/$F19*JH$7</f>
        <v>40087.734784839</v>
      </c>
      <c r="JH19" s="327" t="n">
        <v>37671</v>
      </c>
      <c r="JI19" s="325" t="n">
        <f aca="false">(JJ19*$H19+JK19*$G19)</f>
        <v>39783.4570167302</v>
      </c>
      <c r="JJ19" s="326" t="n">
        <f aca="false">JK19/$F19*JK$7</f>
        <v>39783.4570167302</v>
      </c>
      <c r="JK19" s="327" t="n">
        <v>37671</v>
      </c>
      <c r="JL19" s="325" t="n">
        <f aca="false">(JM19*$H19+JN19*$G19)</f>
        <v>40201.4083661325</v>
      </c>
      <c r="JM19" s="326" t="n">
        <f aca="false">JN19/$F19*JN$7</f>
        <v>40201.4083661325</v>
      </c>
      <c r="JN19" s="327" t="n">
        <v>37671</v>
      </c>
      <c r="JO19" s="325" t="n">
        <f aca="false">(JP19*$H19+JQ19*$G19)</f>
        <v>39421.9118762274</v>
      </c>
      <c r="JP19" s="326" t="n">
        <f aca="false">JQ19/$F19*JQ$7</f>
        <v>39421.9118762274</v>
      </c>
      <c r="JQ19" s="327" t="n">
        <v>37671</v>
      </c>
      <c r="JR19" s="325" t="n">
        <f aca="false">(JS19*$H19+JT19*$G19)</f>
        <v>39030.0824861628</v>
      </c>
      <c r="JS19" s="328" t="n">
        <f aca="false">JT19/$F19*JT$7</f>
        <v>39030.0824861628</v>
      </c>
      <c r="JT19" s="327" t="n">
        <v>37671</v>
      </c>
      <c r="JU19" s="325" t="n">
        <f aca="false">(JV19*$H19+JW19*$G19)</f>
        <v>39068.8348434219</v>
      </c>
      <c r="JV19" s="329" t="n">
        <f aca="false">JW19/$F19*JW$7</f>
        <v>39068.8348434219</v>
      </c>
      <c r="JW19" s="327" t="n">
        <v>37671</v>
      </c>
      <c r="JX19" s="325" t="n">
        <f aca="false">(JY19*$H19+JZ19*$G19)</f>
        <v>38244.4059280248</v>
      </c>
      <c r="JY19" s="329" t="n">
        <f aca="false">JZ19/$F19*JZ$7</f>
        <v>38244.4059280248</v>
      </c>
      <c r="JZ19" s="327" t="n">
        <v>37671.84</v>
      </c>
      <c r="KA19" s="325" t="n">
        <f aca="false">(KB19*$H19+KC19*$G19)</f>
        <v>38325.7942747902</v>
      </c>
      <c r="KB19" s="329" t="n">
        <f aca="false">KC19/$F19*KC$7</f>
        <v>38325.7942747902</v>
      </c>
      <c r="KC19" s="327" t="n">
        <v>37671</v>
      </c>
      <c r="KD19" s="325" t="n">
        <f aca="false">(KE19*$H19+KF19*$G19)</f>
        <v>37707.4788856333</v>
      </c>
      <c r="KE19" s="329" t="n">
        <f aca="false">KF19/$F19*KF$7</f>
        <v>37707.4788856333</v>
      </c>
      <c r="KF19" s="327" t="n">
        <v>37671</v>
      </c>
    </row>
    <row r="20" s="329" customFormat="true" ht="15" hidden="false" customHeight="false" outlineLevel="0" collapsed="false">
      <c r="A20" s="85" t="n">
        <v>2.86</v>
      </c>
      <c r="B20" s="319"/>
      <c r="C20" s="319" t="n">
        <v>1044022.24</v>
      </c>
      <c r="D20" s="319"/>
      <c r="E20" s="321"/>
      <c r="F20" s="322" t="n">
        <v>25.972011</v>
      </c>
      <c r="G20" s="323" t="n">
        <v>0</v>
      </c>
      <c r="H20" s="324" t="n">
        <f aca="false">1-G20</f>
        <v>1</v>
      </c>
      <c r="I20" s="324"/>
      <c r="J20" s="319" t="n">
        <v>162502.2</v>
      </c>
      <c r="K20" s="325"/>
      <c r="L20" s="326"/>
      <c r="M20" s="327"/>
      <c r="N20" s="328"/>
      <c r="O20" s="326"/>
      <c r="P20" s="327"/>
      <c r="Q20" s="328"/>
      <c r="R20" s="326"/>
      <c r="S20" s="327"/>
      <c r="T20" s="328"/>
      <c r="U20" s="328"/>
      <c r="V20" s="327"/>
      <c r="W20" s="325"/>
      <c r="X20" s="328"/>
      <c r="Y20" s="327"/>
      <c r="AC20" s="328"/>
      <c r="AD20" s="328"/>
      <c r="AE20" s="327"/>
      <c r="AF20" s="328"/>
      <c r="AG20" s="328"/>
      <c r="AH20" s="327"/>
      <c r="AI20" s="328"/>
      <c r="AJ20" s="328"/>
      <c r="AK20" s="327"/>
      <c r="AL20" s="328"/>
      <c r="AM20" s="328"/>
      <c r="AN20" s="327"/>
      <c r="AO20" s="328"/>
      <c r="AP20" s="328"/>
      <c r="AQ20" s="327"/>
      <c r="AR20" s="328"/>
      <c r="AS20" s="328"/>
      <c r="AT20" s="327"/>
      <c r="AU20" s="328"/>
      <c r="AV20" s="328"/>
      <c r="AW20" s="327"/>
      <c r="AX20" s="328"/>
      <c r="AY20" s="328"/>
      <c r="AZ20" s="327"/>
      <c r="BA20" s="328"/>
      <c r="BB20" s="328"/>
      <c r="BC20" s="327"/>
      <c r="BD20" s="328"/>
      <c r="BE20" s="328"/>
      <c r="BF20" s="327"/>
      <c r="BG20" s="328"/>
      <c r="BH20" s="328"/>
      <c r="BI20" s="327"/>
      <c r="BJ20" s="325"/>
      <c r="BK20" s="328"/>
      <c r="BL20" s="327"/>
      <c r="BP20" s="325"/>
      <c r="BQ20" s="328"/>
      <c r="BR20" s="327"/>
      <c r="BS20" s="325"/>
      <c r="BT20" s="328"/>
      <c r="BU20" s="327"/>
      <c r="BV20" s="325"/>
      <c r="BW20" s="328"/>
      <c r="BX20" s="327"/>
      <c r="BY20" s="325"/>
      <c r="BZ20" s="328"/>
      <c r="CA20" s="327"/>
      <c r="CB20" s="325"/>
      <c r="CC20" s="328"/>
      <c r="CD20" s="327"/>
      <c r="CE20" s="328"/>
      <c r="CF20" s="328"/>
      <c r="CG20" s="327"/>
      <c r="CH20" s="325"/>
      <c r="CI20" s="328"/>
      <c r="CJ20" s="327"/>
      <c r="CK20" s="325"/>
      <c r="CL20" s="328"/>
      <c r="CM20" s="327"/>
      <c r="CN20" s="325"/>
      <c r="CO20" s="328"/>
      <c r="CP20" s="327"/>
      <c r="CQ20" s="325"/>
      <c r="CR20" s="328"/>
      <c r="CS20" s="327"/>
      <c r="CT20" s="325"/>
      <c r="CU20" s="328"/>
      <c r="CV20" s="327"/>
      <c r="CW20" s="328"/>
      <c r="CX20" s="328"/>
      <c r="CY20" s="327"/>
      <c r="DB20" s="327"/>
      <c r="DC20" s="325"/>
      <c r="DD20" s="328"/>
      <c r="DE20" s="327"/>
      <c r="DF20" s="325"/>
      <c r="DG20" s="328"/>
      <c r="DH20" s="327"/>
      <c r="DI20" s="325"/>
      <c r="DJ20" s="328"/>
      <c r="DK20" s="327"/>
      <c r="DL20" s="325"/>
      <c r="DM20" s="328"/>
      <c r="DN20" s="327"/>
      <c r="DO20" s="325"/>
      <c r="DP20" s="328"/>
      <c r="DQ20" s="327"/>
      <c r="DR20" s="325"/>
      <c r="DS20" s="328"/>
      <c r="DT20" s="327"/>
      <c r="DW20" s="327"/>
      <c r="DZ20" s="327"/>
      <c r="EC20" s="327"/>
      <c r="ED20" s="289"/>
      <c r="EF20" s="327"/>
      <c r="EI20" s="327"/>
      <c r="EJ20" s="325" t="n">
        <f aca="false">(EK20*$H20+EL20*$G20)</f>
        <v>19709.6308523164</v>
      </c>
      <c r="EK20" s="328" t="n">
        <f aca="false">EL20/$F20*EL$7</f>
        <v>19709.6308523164</v>
      </c>
      <c r="EL20" s="327" t="n">
        <v>18364.98</v>
      </c>
      <c r="EO20" s="327"/>
      <c r="EP20" s="325" t="n">
        <f aca="false">(EQ20*$H20+ER20*$G20)</f>
        <v>20396.3593325014</v>
      </c>
      <c r="EQ20" s="328" t="n">
        <f aca="false">ER20/$F20*ER$7</f>
        <v>20396.3593325014</v>
      </c>
      <c r="ER20" s="327" t="n">
        <v>18364.98</v>
      </c>
      <c r="ES20" s="325" t="n">
        <f aca="false">(ET20*$H20+EU20*$G20)</f>
        <v>19085.4353429629</v>
      </c>
      <c r="ET20" s="328" t="n">
        <f aca="false">EU20/$F20*EU$7</f>
        <v>19085.4353429629</v>
      </c>
      <c r="EU20" s="327" t="n">
        <v>18364.98</v>
      </c>
      <c r="EV20" s="325" t="n">
        <f aca="false">(EW20*$H20+EX20*$G20)</f>
        <v>18693.1007898895</v>
      </c>
      <c r="EW20" s="328" t="n">
        <f aca="false">EX20/$F20*EX$7</f>
        <v>18693.1007898895</v>
      </c>
      <c r="EX20" s="327" t="n">
        <v>18364.98</v>
      </c>
      <c r="EY20" s="325" t="n">
        <f aca="false">(EZ20*$H20+FA20*$G20)</f>
        <v>18544.5511314368</v>
      </c>
      <c r="EZ20" s="328" t="n">
        <f aca="false">FA20/$F20*FA$7</f>
        <v>18544.5511314368</v>
      </c>
      <c r="FA20" s="327" t="n">
        <v>18364.98</v>
      </c>
      <c r="FB20" s="325" t="n">
        <f aca="false">(FC20*$H20+FD20*$G20)</f>
        <v>18489.3968178182</v>
      </c>
      <c r="FC20" s="328" t="n">
        <f aca="false">FD20/$F20*FD$7</f>
        <v>18489.3968178182</v>
      </c>
      <c r="FD20" s="327" t="n">
        <v>18364.98</v>
      </c>
      <c r="FE20" s="325" t="n">
        <f aca="false">(FF20*$H20+FG20*$G20)</f>
        <v>18700.4511628391</v>
      </c>
      <c r="FF20" s="328" t="n">
        <f aca="false">FG20/$F20*FG$7</f>
        <v>18700.4511628391</v>
      </c>
      <c r="FG20" s="327" t="n">
        <v>18364.98</v>
      </c>
      <c r="FH20" s="325" t="n">
        <f aca="false">(FI20*$H20+FJ20*$G20)</f>
        <v>18718.8316914058</v>
      </c>
      <c r="FI20" s="328" t="n">
        <f aca="false">FJ20/$F20*FJ$7</f>
        <v>18718.8316914058</v>
      </c>
      <c r="FJ20" s="327" t="n">
        <v>18364.98</v>
      </c>
      <c r="FK20" s="325" t="n">
        <f aca="false">(FL20*$H20+FM20*$G20)</f>
        <v>19727.2512413043</v>
      </c>
      <c r="FL20" s="328" t="n">
        <f aca="false">FM20/$F20*FM$7</f>
        <v>19727.2512413043</v>
      </c>
      <c r="FM20" s="327" t="n">
        <v>18364.98</v>
      </c>
      <c r="FN20" s="325" t="n">
        <f aca="false">(FO20*$H20+FP20*$G20)</f>
        <v>19883.9821229438</v>
      </c>
      <c r="FO20" s="328" t="n">
        <f aca="false">FP20/$F20*FP$7</f>
        <v>19883.9821229438</v>
      </c>
      <c r="FP20" s="327" t="n">
        <v>18364.98</v>
      </c>
      <c r="FQ20" s="325" t="n">
        <f aca="false">(FR20*$H20+FS20*$G20)</f>
        <v>19824.8977109266</v>
      </c>
      <c r="FR20" s="328" t="n">
        <f aca="false">FS20/$F20*FS$7</f>
        <v>19824.8977109266</v>
      </c>
      <c r="FS20" s="327" t="n">
        <v>18364.98</v>
      </c>
      <c r="FT20" s="325" t="n">
        <f aca="false">(FU20*$H20+FV20*$G20)</f>
        <v>19632.6934132447</v>
      </c>
      <c r="FU20" s="328" t="n">
        <f aca="false">FV20/$F20*FV$7</f>
        <v>19632.6934132447</v>
      </c>
      <c r="FV20" s="327" t="n">
        <v>18364.98</v>
      </c>
      <c r="FW20" s="325" t="n">
        <f aca="false">(FX20*$H20+FY20*$G20)</f>
        <v>19691.4638699383</v>
      </c>
      <c r="FX20" s="328" t="n">
        <f aca="false">FY20/$F20*FY$7</f>
        <v>19691.4638699383</v>
      </c>
      <c r="FY20" s="327" t="n">
        <v>18364.98</v>
      </c>
      <c r="GC20" s="325" t="n">
        <f aca="false">(GD20*$H20+GE20*$G20)</f>
        <v>19785.430556893</v>
      </c>
      <c r="GD20" s="328" t="n">
        <f aca="false">GE20/$F20*GE$7</f>
        <v>19785.430556893</v>
      </c>
      <c r="GE20" s="327" t="n">
        <v>18364.98</v>
      </c>
      <c r="GF20" s="325" t="n">
        <f aca="false">(GG20*$H20+GH20*$G20)</f>
        <v>19214.38471399</v>
      </c>
      <c r="GG20" s="328" t="n">
        <f aca="false">GH20/$F20*GH$7</f>
        <v>19214.38471399</v>
      </c>
      <c r="GH20" s="327" t="n">
        <v>18364.98</v>
      </c>
      <c r="GI20" s="325" t="n">
        <f aca="false">(GJ20*$H20+GK20*$G20)</f>
        <v>19210.5861374162</v>
      </c>
      <c r="GJ20" s="328" t="n">
        <f aca="false">GK20/$F20*GK$7</f>
        <v>19210.5861374162</v>
      </c>
      <c r="GK20" s="327" t="n">
        <v>18364.98</v>
      </c>
      <c r="GL20" s="325" t="n">
        <f aca="false">(GM20*$H20+GN20*$G20)</f>
        <v>18933.0411460083</v>
      </c>
      <c r="GM20" s="328" t="n">
        <f aca="false">GN20/$F20*GN$7</f>
        <v>18933.0411460083</v>
      </c>
      <c r="GN20" s="327" t="n">
        <v>18364.98</v>
      </c>
      <c r="GO20" s="325" t="n">
        <f aca="false">(GP20*$H20+GQ20*$G20)</f>
        <v>18528.2395967374</v>
      </c>
      <c r="GP20" s="328" t="n">
        <f aca="false">GQ20/$F20*GQ$7</f>
        <v>18528.2395967374</v>
      </c>
      <c r="GQ20" s="327" t="n">
        <v>18364.98</v>
      </c>
      <c r="GR20" s="325" t="n">
        <f aca="false">(GS20*$H20+GT20*$G20)</f>
        <v>18519.9706923341</v>
      </c>
      <c r="GS20" s="328" t="n">
        <f aca="false">GT20/$F20*GT$7</f>
        <v>18519.9706923341</v>
      </c>
      <c r="GT20" s="327" t="n">
        <v>18364.98</v>
      </c>
      <c r="GU20" s="325" t="n">
        <f aca="false">(GV20*$H20+GW20*$G20)</f>
        <v>18254.2004397773</v>
      </c>
      <c r="GV20" s="328" t="n">
        <f aca="false">GW20/$F20*GW$7</f>
        <v>18254.2004397773</v>
      </c>
      <c r="GW20" s="327" t="n">
        <v>18364.98</v>
      </c>
      <c r="GX20" s="325" t="n">
        <f aca="false">(GY20*$H20+GZ20*$G20)</f>
        <v>17801.891934603</v>
      </c>
      <c r="GY20" s="328" t="n">
        <f aca="false">GZ20/$F20*GZ$7</f>
        <v>17801.891934603</v>
      </c>
      <c r="GZ20" s="327" t="n">
        <v>18364.98</v>
      </c>
      <c r="HA20" s="325" t="n">
        <f aca="false">(HB20*$H20+HC20*$G20)</f>
        <v>17444.2155036797</v>
      </c>
      <c r="HB20" s="328" t="n">
        <f aca="false">HC20/$F20*HC$7</f>
        <v>17444.2155036797</v>
      </c>
      <c r="HC20" s="327" t="n">
        <v>18364.98</v>
      </c>
      <c r="HD20" s="325" t="n">
        <f aca="false">(HE20*$H20+HF20*$G20)</f>
        <v>17702.4635563869</v>
      </c>
      <c r="HE20" s="328" t="n">
        <f aca="false">HF20/$F20*HF$7</f>
        <v>17702.4635563869</v>
      </c>
      <c r="HF20" s="327" t="n">
        <v>18364.98</v>
      </c>
      <c r="HG20" s="325" t="n">
        <f aca="false">(HH20*$H20+HI20*$G20)</f>
        <v>17114.7568681316</v>
      </c>
      <c r="HH20" s="328" t="n">
        <f aca="false">HI20/$F20*HI$7</f>
        <v>17114.7568681316</v>
      </c>
      <c r="HI20" s="327" t="n">
        <v>18364.98</v>
      </c>
      <c r="HJ20" s="325" t="n">
        <f aca="false">(HK20*$H20+HL20*$G20)</f>
        <v>16555.5472823525</v>
      </c>
      <c r="HK20" s="328" t="n">
        <f aca="false">HL20/$F20*HL$7</f>
        <v>16555.5472823525</v>
      </c>
      <c r="HL20" s="327" t="n">
        <v>18364.98</v>
      </c>
      <c r="HP20" s="325" t="n">
        <f aca="false">(HQ20*$H20+HR20*$G20)</f>
        <v>17149.2438704881</v>
      </c>
      <c r="HQ20" s="328" t="n">
        <f aca="false">HR20/$F20*HR$7</f>
        <v>17149.2438704881</v>
      </c>
      <c r="HR20" s="327" t="n">
        <v>18364.98</v>
      </c>
      <c r="HS20" s="325" t="n">
        <f aca="false">(HT20*$H20+HU20*$G20)</f>
        <v>17283.8769642443</v>
      </c>
      <c r="HT20" s="328" t="n">
        <f aca="false">HU20/$F20*HU$7</f>
        <v>17283.8769642443</v>
      </c>
      <c r="HU20" s="327" t="n">
        <v>18364.98</v>
      </c>
      <c r="HV20" s="325" t="n">
        <f aca="false">(HW20*$H20+HX20*$G20)</f>
        <v>19659.3308254028</v>
      </c>
      <c r="HW20" s="328" t="n">
        <f aca="false">HX20/$F20*HX$7</f>
        <v>19659.3308254028</v>
      </c>
      <c r="HX20" s="327" t="n">
        <v>18364.98</v>
      </c>
      <c r="HY20" s="325" t="n">
        <f aca="false">(HZ20*$H20+IA20*$G20)</f>
        <v>19234.8547425149</v>
      </c>
      <c r="HZ20" s="328" t="n">
        <f aca="false">IA20/$F20*IA$7</f>
        <v>19234.8547425149</v>
      </c>
      <c r="IA20" s="327" t="n">
        <v>18364.98</v>
      </c>
      <c r="IB20" s="325" t="n">
        <f aca="false">(IC20*$H20+ID20*$G20)</f>
        <v>18788.5290661551</v>
      </c>
      <c r="IC20" s="328" t="n">
        <f aca="false">ID20/$F20*ID$7</f>
        <v>18788.5290661551</v>
      </c>
      <c r="ID20" s="327" t="n">
        <v>18364.98</v>
      </c>
      <c r="IE20" s="325" t="n">
        <f aca="false">(IF20*$H20+IG20*$G20)</f>
        <v>18924.5056624225</v>
      </c>
      <c r="IF20" s="328" t="n">
        <f aca="false">IG20/$F20*IG$7</f>
        <v>18924.5056624225</v>
      </c>
      <c r="IG20" s="327" t="n">
        <v>18364.98</v>
      </c>
      <c r="IH20" s="325" t="n">
        <f aca="false">(II20*$H20+IJ20*$G20)</f>
        <v>19516.9195592132</v>
      </c>
      <c r="II20" s="328" t="n">
        <f aca="false">IJ20/$F20*IJ$7</f>
        <v>19516.9195592132</v>
      </c>
      <c r="IJ20" s="327" t="n">
        <v>18364.98</v>
      </c>
      <c r="IK20" s="325" t="n">
        <f aca="false">(IL20*$H20+IM20*$G20)</f>
        <v>19315.3234718713</v>
      </c>
      <c r="IL20" s="328" t="n">
        <f aca="false">IM20/$F20*IM$7</f>
        <v>19315.3234718713</v>
      </c>
      <c r="IM20" s="327" t="n">
        <v>18364.98</v>
      </c>
      <c r="IN20" s="325" t="n">
        <f aca="false">(IO20*$H20+IP20*$G20)</f>
        <v>19941.9613273689</v>
      </c>
      <c r="IO20" s="328" t="n">
        <f aca="false">IP20/$F20*IP$7</f>
        <v>19941.9613273689</v>
      </c>
      <c r="IP20" s="327" t="n">
        <v>18364.98</v>
      </c>
      <c r="IQ20" s="325" t="n">
        <f aca="false">(IR20*$H20+IS20*$G20)</f>
        <v>20061.1087869168</v>
      </c>
      <c r="IR20" s="328" t="n">
        <f aca="false">IS20/$F20*IS$7</f>
        <v>20061.1087869168</v>
      </c>
      <c r="IS20" s="327" t="n">
        <v>18364.98</v>
      </c>
      <c r="IT20" s="325" t="n">
        <f aca="false">(IU20*$H20+IV20*$G20)</f>
        <v>20050.2193455101</v>
      </c>
      <c r="IU20" s="328" t="n">
        <f aca="false">IV20/$F20*IV$7</f>
        <v>20050.2193455101</v>
      </c>
      <c r="IV20" s="327" t="n">
        <v>18364.98</v>
      </c>
      <c r="IW20" s="325" t="n">
        <f aca="false">(IX20*$H20+IY20*$G20)</f>
        <v>19826.6322433792</v>
      </c>
      <c r="IX20" s="328" t="n">
        <f aca="false">IY20/$F20*IY$7</f>
        <v>19826.6322433792</v>
      </c>
      <c r="IY20" s="327" t="n">
        <v>18364.98</v>
      </c>
      <c r="IZ20" s="327"/>
      <c r="JA20" s="327"/>
      <c r="JB20" s="327"/>
      <c r="JC20" s="325" t="n">
        <f aca="false">(JD20*$H20+JE20*$G20)</f>
        <v>19942.8805659292</v>
      </c>
      <c r="JD20" s="329" t="n">
        <f aca="false">JE20/$F20*JE$7</f>
        <v>19942.8805659292</v>
      </c>
      <c r="JE20" s="327" t="n">
        <v>18364.98</v>
      </c>
      <c r="JF20" s="325" t="n">
        <f aca="false">(JG20*$H20+JH20*$G20)</f>
        <v>19749.7697576056</v>
      </c>
      <c r="JG20" s="326" t="n">
        <f aca="false">JH20/$F20*JH$7</f>
        <v>19749.7697576056</v>
      </c>
      <c r="JH20" s="327" t="n">
        <v>18364.98</v>
      </c>
      <c r="JI20" s="325" t="n">
        <f aca="false">(JJ20*$H20+JK20*$G20)</f>
        <v>19599.8631616166</v>
      </c>
      <c r="JJ20" s="326" t="n">
        <f aca="false">JK20/$F20*JK$7</f>
        <v>19599.8631616166</v>
      </c>
      <c r="JK20" s="327" t="n">
        <v>18364.98</v>
      </c>
      <c r="JL20" s="325" t="n">
        <f aca="false">(JM20*$H20+JN20*$G20)</f>
        <v>19805.772599126</v>
      </c>
      <c r="JM20" s="326" t="n">
        <f aca="false">JN20/$F20*JN$7</f>
        <v>19805.772599126</v>
      </c>
      <c r="JN20" s="327" t="n">
        <v>18364.98</v>
      </c>
      <c r="JO20" s="325" t="n">
        <f aca="false">(JP20*$H20+JQ20*$G20)</f>
        <v>19421.7430128918</v>
      </c>
      <c r="JP20" s="326" t="n">
        <f aca="false">JQ20/$F20*JQ$7</f>
        <v>19421.7430128918</v>
      </c>
      <c r="JQ20" s="327" t="n">
        <v>18364.98</v>
      </c>
      <c r="JR20" s="325" t="n">
        <f aca="false">(JS20*$H20+JT20*$G20)</f>
        <v>19228.7029152267</v>
      </c>
      <c r="JS20" s="328" t="n">
        <f aca="false">JT20/$F20*JT$7</f>
        <v>19228.7029152267</v>
      </c>
      <c r="JT20" s="327" t="n">
        <v>18364.98</v>
      </c>
      <c r="JU20" s="325" t="n">
        <f aca="false">(JV20*$H20+JW20*$G20)</f>
        <v>19247.7947930178</v>
      </c>
      <c r="JV20" s="329" t="n">
        <f aca="false">JW20/$F20*JW$7</f>
        <v>19247.7947930178</v>
      </c>
      <c r="JW20" s="327" t="n">
        <v>18364.98</v>
      </c>
      <c r="JX20" s="325" t="n">
        <f aca="false">(JY20*$H20+JZ20*$G20)</f>
        <v>18841.2085067267</v>
      </c>
      <c r="JY20" s="329" t="n">
        <f aca="false">JZ20/$F20*JZ$7</f>
        <v>18841.2085067267</v>
      </c>
      <c r="JZ20" s="327" t="n">
        <v>18364.98</v>
      </c>
      <c r="KA20" s="325" t="n">
        <f aca="false">(KB20*$H20+KC20*$G20)</f>
        <v>18881.7257140389</v>
      </c>
      <c r="KB20" s="329" t="n">
        <f aca="false">KC20/$F20*KC$7</f>
        <v>18881.7257140389</v>
      </c>
      <c r="KC20" s="327" t="n">
        <v>18364.98</v>
      </c>
      <c r="KD20" s="325" t="n">
        <f aca="false">(KE20*$H20+KF20*$G20)</f>
        <v>18577.1041972838</v>
      </c>
      <c r="KE20" s="329" t="n">
        <f aca="false">KF20/$F20*KF$7</f>
        <v>18577.1041972838</v>
      </c>
      <c r="KF20" s="327" t="n">
        <v>18364.98</v>
      </c>
      <c r="KG20" s="325" t="n">
        <f aca="false">(KH20*$H20+KI20*$G20)</f>
        <v>18851.6394677332</v>
      </c>
      <c r="KH20" s="329" t="n">
        <f aca="false">KI20/$F20*KI$7</f>
        <v>18851.6394677332</v>
      </c>
      <c r="KI20" s="327" t="n">
        <v>18365.98</v>
      </c>
      <c r="KJ20" s="325" t="n">
        <f aca="false">(KK20*$H20+KL20*$G20)</f>
        <v>19293.1203251069</v>
      </c>
      <c r="KK20" s="329" t="n">
        <f aca="false">KL20/$F20*KL$7</f>
        <v>19293.1203251069</v>
      </c>
      <c r="KL20" s="327" t="n">
        <v>18364.98</v>
      </c>
      <c r="KP20" s="325" t="n">
        <f aca="false">(KQ20*$H20+KR20*$G20)</f>
        <v>20088.9687863601</v>
      </c>
      <c r="KQ20" s="329" t="n">
        <f aca="false">KR20/$F20*KR$7</f>
        <v>20088.9687863601</v>
      </c>
      <c r="KR20" s="327" t="n">
        <v>18364.98</v>
      </c>
      <c r="KS20" s="325" t="n">
        <f aca="false">(KT20*$H20+KU20*$G20)</f>
        <v>20497.3935497717</v>
      </c>
      <c r="KT20" s="329" t="n">
        <f aca="false">KU20/$F20*KU$7</f>
        <v>20497.3935497717</v>
      </c>
      <c r="KU20" s="327" t="n">
        <v>18364.98</v>
      </c>
      <c r="KV20" s="325" t="n">
        <f aca="false">(KW20*$H20+KX20*$G20)</f>
        <v>20686.3324292447</v>
      </c>
      <c r="KW20" s="329" t="n">
        <f aca="false">KX20/$F20*KX$7</f>
        <v>20686.3324292447</v>
      </c>
      <c r="KX20" s="327" t="n">
        <v>18364.98</v>
      </c>
      <c r="KY20" s="325" t="n">
        <f aca="false">(KZ20*$H20+LA20*$G20)</f>
        <v>20686.3324292447</v>
      </c>
      <c r="KZ20" s="329" t="n">
        <f aca="false">LA20/$F20*LA$7</f>
        <v>20686.3324292447</v>
      </c>
      <c r="LA20" s="327" t="n">
        <v>18364.98</v>
      </c>
      <c r="LB20" s="325" t="n">
        <f aca="false">(LC20*$H20+LD20*$G20)</f>
        <v>20686.3324292447</v>
      </c>
      <c r="LC20" s="329" t="n">
        <f aca="false">LD20/$F20*LD$7</f>
        <v>20686.3324292447</v>
      </c>
      <c r="LD20" s="327" t="n">
        <v>18364.98</v>
      </c>
      <c r="LE20" s="325" t="n">
        <f aca="false">(LF20*$H20+LG20*$G20)</f>
        <v>20686.3324292447</v>
      </c>
      <c r="LF20" s="329" t="n">
        <f aca="false">LG20/$F20*LG$7</f>
        <v>20686.3324292447</v>
      </c>
      <c r="LG20" s="327" t="n">
        <v>18364.98</v>
      </c>
      <c r="LH20" s="325" t="n">
        <f aca="false">(LI20*$H20+LJ20*$G20)</f>
        <v>25857.8978588913</v>
      </c>
      <c r="LI20" s="329" t="n">
        <f aca="false">LJ20/$F20*LJ$7</f>
        <v>25857.8978588913</v>
      </c>
      <c r="LJ20" s="327" t="n">
        <v>18364.98</v>
      </c>
      <c r="LM20" s="327" t="n">
        <v>18364.98</v>
      </c>
      <c r="LP20" s="327" t="n">
        <v>18364.98</v>
      </c>
      <c r="LS20" s="327" t="n">
        <v>18364.98</v>
      </c>
      <c r="LV20" s="327" t="n">
        <v>18364.98</v>
      </c>
    </row>
    <row r="21" s="329" customFormat="true" ht="15" hidden="false" customHeight="false" outlineLevel="0" collapsed="false">
      <c r="A21" s="85" t="n">
        <v>2.88</v>
      </c>
      <c r="B21" s="319"/>
      <c r="C21" s="319" t="n">
        <v>1151184.12</v>
      </c>
      <c r="D21" s="319"/>
      <c r="E21" s="321"/>
      <c r="F21" s="322" t="n">
        <v>26.636246</v>
      </c>
      <c r="G21" s="323" t="n">
        <v>0</v>
      </c>
      <c r="H21" s="324" t="n">
        <f aca="false">1-G21</f>
        <v>1</v>
      </c>
      <c r="I21" s="324"/>
      <c r="J21" s="319" t="n">
        <v>179755.45</v>
      </c>
      <c r="K21" s="325"/>
      <c r="L21" s="326"/>
      <c r="M21" s="327"/>
      <c r="N21" s="328"/>
      <c r="O21" s="326"/>
      <c r="P21" s="327"/>
      <c r="Q21" s="328"/>
      <c r="R21" s="326"/>
      <c r="S21" s="327"/>
      <c r="T21" s="328"/>
      <c r="U21" s="328"/>
      <c r="V21" s="327"/>
      <c r="W21" s="325"/>
      <c r="X21" s="328"/>
      <c r="Y21" s="327"/>
      <c r="AC21" s="328"/>
      <c r="AD21" s="328"/>
      <c r="AE21" s="327"/>
      <c r="AF21" s="328"/>
      <c r="AG21" s="328"/>
      <c r="AH21" s="327"/>
      <c r="AI21" s="328"/>
      <c r="AJ21" s="328"/>
      <c r="AK21" s="327"/>
      <c r="AL21" s="328"/>
      <c r="AM21" s="328"/>
      <c r="AN21" s="327"/>
      <c r="AO21" s="328"/>
      <c r="AP21" s="328"/>
      <c r="AQ21" s="327"/>
      <c r="AR21" s="328"/>
      <c r="AS21" s="328"/>
      <c r="AT21" s="327"/>
      <c r="AU21" s="328"/>
      <c r="AV21" s="328"/>
      <c r="AW21" s="327"/>
      <c r="AX21" s="328"/>
      <c r="AY21" s="328"/>
      <c r="AZ21" s="327"/>
      <c r="BA21" s="328"/>
      <c r="BB21" s="328"/>
      <c r="BC21" s="327"/>
      <c r="BD21" s="328"/>
      <c r="BE21" s="328"/>
      <c r="BF21" s="327"/>
      <c r="BG21" s="328"/>
      <c r="BH21" s="328"/>
      <c r="BI21" s="327"/>
      <c r="BJ21" s="325"/>
      <c r="BK21" s="328"/>
      <c r="BL21" s="327"/>
      <c r="BP21" s="325"/>
      <c r="BQ21" s="328"/>
      <c r="BR21" s="327"/>
      <c r="BS21" s="325"/>
      <c r="BT21" s="328"/>
      <c r="BU21" s="327"/>
      <c r="BV21" s="325"/>
      <c r="BW21" s="328"/>
      <c r="BX21" s="327"/>
      <c r="BY21" s="325"/>
      <c r="BZ21" s="328"/>
      <c r="CA21" s="327"/>
      <c r="CB21" s="325"/>
      <c r="CC21" s="328"/>
      <c r="CD21" s="327"/>
      <c r="CE21" s="328"/>
      <c r="CF21" s="328"/>
      <c r="CG21" s="327"/>
      <c r="CH21" s="325"/>
      <c r="CI21" s="328"/>
      <c r="CJ21" s="327"/>
      <c r="CK21" s="325"/>
      <c r="CL21" s="328"/>
      <c r="CM21" s="327"/>
      <c r="CN21" s="325"/>
      <c r="CO21" s="328"/>
      <c r="CP21" s="327"/>
      <c r="CQ21" s="325"/>
      <c r="CR21" s="328"/>
      <c r="CS21" s="327"/>
      <c r="CT21" s="325"/>
      <c r="CU21" s="328"/>
      <c r="CV21" s="327"/>
      <c r="CW21" s="328"/>
      <c r="CX21" s="328"/>
      <c r="CY21" s="327"/>
      <c r="DB21" s="327"/>
      <c r="DC21" s="325"/>
      <c r="DD21" s="328"/>
      <c r="DE21" s="327"/>
      <c r="DF21" s="325"/>
      <c r="DG21" s="328"/>
      <c r="DH21" s="327"/>
      <c r="DI21" s="325"/>
      <c r="DJ21" s="328"/>
      <c r="DK21" s="327"/>
      <c r="DL21" s="325"/>
      <c r="DM21" s="328"/>
      <c r="DN21" s="327"/>
      <c r="DO21" s="325"/>
      <c r="DP21" s="328"/>
      <c r="DQ21" s="327"/>
      <c r="DR21" s="325"/>
      <c r="DS21" s="328"/>
      <c r="DT21" s="327"/>
      <c r="DW21" s="327"/>
      <c r="DZ21" s="327"/>
      <c r="EC21" s="327"/>
      <c r="ED21" s="289"/>
      <c r="EF21" s="327"/>
      <c r="EI21" s="327"/>
      <c r="EJ21" s="289" t="n">
        <v>0</v>
      </c>
      <c r="EL21" s="327"/>
      <c r="EO21" s="327"/>
      <c r="EP21" s="325" t="n">
        <f aca="false">(EQ21*$H21+ER21*$G21)</f>
        <v>21916.1615600637</v>
      </c>
      <c r="EQ21" s="328" t="n">
        <f aca="false">ER21/$F21*ER$7</f>
        <v>21916.1615600637</v>
      </c>
      <c r="ER21" s="327" t="n">
        <v>20238.1</v>
      </c>
      <c r="ES21" s="325" t="n">
        <f aca="false">(ET21*$H21+EU21*$G21)</f>
        <v>20507.5561575344</v>
      </c>
      <c r="ET21" s="328" t="n">
        <f aca="false">EU21/$F21*EU$7</f>
        <v>20507.5561575344</v>
      </c>
      <c r="EU21" s="327" t="n">
        <v>20238.1</v>
      </c>
      <c r="EV21" s="325" t="n">
        <f aca="false">(EW21*$H21+EX21*$G21)</f>
        <v>20085.9874201642</v>
      </c>
      <c r="EW21" s="328" t="n">
        <f aca="false">EX21/$F21*EX$7</f>
        <v>20085.9874201642</v>
      </c>
      <c r="EX21" s="327" t="n">
        <v>20238.1</v>
      </c>
      <c r="EY21" s="325" t="n">
        <f aca="false">(EZ21*$H21+FA21*$G21)</f>
        <v>19926.3688205275</v>
      </c>
      <c r="EZ21" s="328" t="n">
        <f aca="false">FA21/$F21*FA$7</f>
        <v>19926.3688205275</v>
      </c>
      <c r="FA21" s="327" t="n">
        <v>20238.1</v>
      </c>
      <c r="FB21" s="325" t="n">
        <f aca="false">(FC21*$H21+FD21*$G21)</f>
        <v>19867.1047710815</v>
      </c>
      <c r="FC21" s="328" t="n">
        <f aca="false">FD21/$F21*FD$7</f>
        <v>19867.1047710815</v>
      </c>
      <c r="FD21" s="327" t="n">
        <v>20238.1</v>
      </c>
      <c r="FE21" s="325" t="n">
        <f aca="false">(FF21*$H21+FG21*$G21)</f>
        <v>20093.8854944462</v>
      </c>
      <c r="FF21" s="328" t="n">
        <f aca="false">FG21/$F21*FG$7</f>
        <v>20093.8854944462</v>
      </c>
      <c r="FG21" s="327" t="n">
        <v>20238.1</v>
      </c>
      <c r="FH21" s="325" t="n">
        <f aca="false">(FI21*$H21+FJ21*$G21)</f>
        <v>20113.6356188218</v>
      </c>
      <c r="FI21" s="328" t="n">
        <f aca="false">FJ21/$F21*FJ$7</f>
        <v>20113.6356188218</v>
      </c>
      <c r="FJ21" s="327" t="n">
        <v>20238.1</v>
      </c>
      <c r="FK21" s="325" t="n">
        <f aca="false">(FL21*$H21+FM21*$G21)</f>
        <v>21197.1959452319</v>
      </c>
      <c r="FL21" s="328" t="n">
        <f aca="false">FM21/$F21*FM$7</f>
        <v>21197.1959452319</v>
      </c>
      <c r="FM21" s="327" t="n">
        <v>20238.1</v>
      </c>
      <c r="FN21" s="325" t="n">
        <f aca="false">(FO21*$H21+FP21*$G21)</f>
        <v>21365.6053788698</v>
      </c>
      <c r="FO21" s="328" t="n">
        <f aca="false">FP21/$F21*FP$7</f>
        <v>21365.6053788698</v>
      </c>
      <c r="FP21" s="327" t="n">
        <v>20238.1</v>
      </c>
      <c r="FQ21" s="325" t="n">
        <f aca="false">(FR21*$H21+FS21*$G21)</f>
        <v>21302.118386003</v>
      </c>
      <c r="FR21" s="328" t="n">
        <f aca="false">FS21/$F21*FS$7</f>
        <v>21302.118386003</v>
      </c>
      <c r="FS21" s="327" t="n">
        <v>20238.1</v>
      </c>
      <c r="FT21" s="325" t="n">
        <f aca="false">(FU21*$H21+FV21*$G21)</f>
        <v>21095.5922912298</v>
      </c>
      <c r="FU21" s="328" t="n">
        <f aca="false">FV21/$F21*FV$7</f>
        <v>21095.5922912298</v>
      </c>
      <c r="FV21" s="327" t="n">
        <v>20238.1</v>
      </c>
      <c r="FW21" s="325" t="n">
        <f aca="false">(FX21*$H21+FY21*$G21)</f>
        <v>21158.741934892</v>
      </c>
      <c r="FX21" s="328" t="n">
        <f aca="false">FY21/$F21*FY$7</f>
        <v>21158.741934892</v>
      </c>
      <c r="FY21" s="327" t="n">
        <v>20238.1</v>
      </c>
      <c r="GC21" s="325" t="n">
        <f aca="false">(GD21*$H21+GE21*$G21)</f>
        <v>21259.7103998514</v>
      </c>
      <c r="GD21" s="328" t="n">
        <f aca="false">GE21/$F21*GE$7</f>
        <v>21259.7103998514</v>
      </c>
      <c r="GE21" s="327" t="n">
        <v>20238.1</v>
      </c>
      <c r="GF21" s="325" t="n">
        <f aca="false">(GG21*$H21+GH21*$G21)</f>
        <v>20646.1139855481</v>
      </c>
      <c r="GG21" s="328" t="n">
        <f aca="false">GH21/$F21*GH$7</f>
        <v>20646.1139855481</v>
      </c>
      <c r="GH21" s="327" t="n">
        <v>20238.1</v>
      </c>
      <c r="GI21" s="325" t="n">
        <f aca="false">(GJ21*$H21+GK21*$G21)</f>
        <v>20642.0323640914</v>
      </c>
      <c r="GJ21" s="328" t="n">
        <f aca="false">GK21/$F21*GK$7</f>
        <v>20642.0323640914</v>
      </c>
      <c r="GK21" s="327" t="n">
        <v>20238.1</v>
      </c>
      <c r="GL21" s="325" t="n">
        <f aca="false">(GM21*$H21+GN21*$G21)</f>
        <v>20343.806549733</v>
      </c>
      <c r="GM21" s="328" t="n">
        <f aca="false">GN21/$F21*GN$7</f>
        <v>20343.806549733</v>
      </c>
      <c r="GN21" s="327" t="n">
        <v>20238.1</v>
      </c>
      <c r="GO21" s="325" t="n">
        <f aca="false">(GP21*$H21+GQ21*$G21)</f>
        <v>19908.8418578016</v>
      </c>
      <c r="GP21" s="328" t="n">
        <f aca="false">GQ21/$F21*GQ$7</f>
        <v>19908.8418578016</v>
      </c>
      <c r="GQ21" s="327" t="n">
        <v>20238.1</v>
      </c>
      <c r="GR21" s="325" t="n">
        <f aca="false">(GS21*$H21+GT21*$G21)</f>
        <v>19899.9568091577</v>
      </c>
      <c r="GS21" s="328" t="n">
        <f aca="false">GT21/$F21*GT$7</f>
        <v>19899.9568091577</v>
      </c>
      <c r="GT21" s="327" t="n">
        <v>20238.1</v>
      </c>
      <c r="GU21" s="325" t="n">
        <f aca="false">(GV21*$H21+GW21*$G21)</f>
        <v>19614.3831095606</v>
      </c>
      <c r="GV21" s="328" t="n">
        <f aca="false">GW21/$F21*GW$7</f>
        <v>19614.3831095606</v>
      </c>
      <c r="GW21" s="327" t="n">
        <v>20238.1</v>
      </c>
      <c r="GX21" s="325" t="n">
        <f aca="false">(GY21*$H21+GZ21*$G21)</f>
        <v>19128.3715565775</v>
      </c>
      <c r="GY21" s="328" t="n">
        <f aca="false">GZ21/$F21*GZ$7</f>
        <v>19128.3715565775</v>
      </c>
      <c r="GZ21" s="327" t="n">
        <v>20238.1</v>
      </c>
      <c r="HA21" s="325" t="n">
        <f aca="false">(HB21*$H21+HC21*$G21)</f>
        <v>18744.0434361246</v>
      </c>
      <c r="HB21" s="328" t="n">
        <f aca="false">HC21/$F21*HC$7</f>
        <v>18744.0434361246</v>
      </c>
      <c r="HC21" s="327" t="n">
        <v>20238.1</v>
      </c>
      <c r="HD21" s="325" t="n">
        <f aca="false">(HE21*$H21+HF21*$G21)</f>
        <v>19021.5344311319</v>
      </c>
      <c r="HE21" s="328" t="n">
        <f aca="false">HF21/$F21*HF$7</f>
        <v>19021.5344311319</v>
      </c>
      <c r="HF21" s="327" t="n">
        <v>20238.1</v>
      </c>
      <c r="HG21" s="325" t="n">
        <f aca="false">(HH21*$H21+HI21*$G21)</f>
        <v>18390.0357151229</v>
      </c>
      <c r="HH21" s="328" t="n">
        <f aca="false">HI21/$F21*HI$7</f>
        <v>18390.0357151229</v>
      </c>
      <c r="HI21" s="327" t="n">
        <v>20238.1</v>
      </c>
      <c r="HJ21" s="325" t="n">
        <f aca="false">(HK21*$H21+HL21*$G21)</f>
        <v>17789.1575177899</v>
      </c>
      <c r="HK21" s="328" t="n">
        <f aca="false">HL21/$F21*HL$7</f>
        <v>17789.1575177899</v>
      </c>
      <c r="HL21" s="327" t="n">
        <v>20238.1</v>
      </c>
      <c r="HP21" s="325" t="n">
        <f aca="false">(HQ21*$H21+HR21*$G21)</f>
        <v>18427.0924615278</v>
      </c>
      <c r="HQ21" s="328" t="n">
        <f aca="false">HR21/$F21*HR$7</f>
        <v>18427.0924615278</v>
      </c>
      <c r="HR21" s="327" t="n">
        <v>20238.1</v>
      </c>
      <c r="HS21" s="325" t="n">
        <f aca="false">(HT21*$H21+HU21*$G21)</f>
        <v>18571.7575258165</v>
      </c>
      <c r="HT21" s="328" t="n">
        <f aca="false">HU21/$F21*HU$7</f>
        <v>18571.7575258165</v>
      </c>
      <c r="HU21" s="327" t="n">
        <v>20238.1</v>
      </c>
      <c r="HV21" s="325" t="n">
        <f aca="false">(HW21*$H21+HX21*$G21)</f>
        <v>21124.2145477257</v>
      </c>
      <c r="HW21" s="328" t="n">
        <f aca="false">HX21/$F21*HX$7</f>
        <v>21124.2145477257</v>
      </c>
      <c r="HX21" s="327" t="n">
        <v>20238.1</v>
      </c>
      <c r="HY21" s="325" t="n">
        <f aca="false">(HZ21*$H21+IA21*$G21)</f>
        <v>20668.1093056431</v>
      </c>
      <c r="HZ21" s="328" t="n">
        <f aca="false">IA21/$F21*IA$7</f>
        <v>20668.1093056431</v>
      </c>
      <c r="IA21" s="327" t="n">
        <v>20238.1</v>
      </c>
      <c r="IB21" s="325" t="n">
        <f aca="false">(IC21*$H21+ID21*$G21)</f>
        <v>20188.5263824339</v>
      </c>
      <c r="IC21" s="328" t="n">
        <f aca="false">ID21/$F21*ID$7</f>
        <v>20188.5263824339</v>
      </c>
      <c r="ID21" s="327" t="n">
        <v>20238.1</v>
      </c>
      <c r="IE21" s="325" t="n">
        <f aca="false">(IF21*$H21+IG21*$G21)</f>
        <v>20334.6350581835</v>
      </c>
      <c r="IF21" s="328" t="n">
        <f aca="false">IG21/$F21*IG$7</f>
        <v>20334.6350581835</v>
      </c>
      <c r="IG21" s="327" t="n">
        <v>20238.1</v>
      </c>
      <c r="IH21" s="325" t="n">
        <f aca="false">(II21*$H21+IJ21*$G21)</f>
        <v>20971.1917328741</v>
      </c>
      <c r="II21" s="328" t="n">
        <f aca="false">IJ21/$F21*IJ$7</f>
        <v>20971.1917328741</v>
      </c>
      <c r="IJ21" s="327" t="n">
        <v>20238.1</v>
      </c>
      <c r="IK21" s="325" t="n">
        <f aca="false">(IL21*$H21+IM21*$G21)</f>
        <v>20754.5740341939</v>
      </c>
      <c r="IL21" s="328" t="n">
        <f aca="false">IM21/$F21*IM$7</f>
        <v>20754.5740341939</v>
      </c>
      <c r="IM21" s="327" t="n">
        <v>20238.1</v>
      </c>
      <c r="IN21" s="325" t="n">
        <f aca="false">(IO21*$H21+IP21*$G21)</f>
        <v>21427.9048113612</v>
      </c>
      <c r="IO21" s="328" t="n">
        <f aca="false">IP21/$F21*IP$7</f>
        <v>21427.9048113612</v>
      </c>
      <c r="IP21" s="327" t="n">
        <v>20238.1</v>
      </c>
      <c r="IQ21" s="325" t="n">
        <f aca="false">(IR21*$H21+IS21*$G21)</f>
        <v>21555.9303540747</v>
      </c>
      <c r="IR21" s="328" t="n">
        <f aca="false">IS21/$F21*IS$7</f>
        <v>21555.9303540747</v>
      </c>
      <c r="IS21" s="327" t="n">
        <v>20238.1</v>
      </c>
      <c r="IT21" s="325" t="n">
        <f aca="false">(IU21*$H21+IV21*$G21)</f>
        <v>21544.2295032866</v>
      </c>
      <c r="IU21" s="328" t="n">
        <f aca="false">IV21/$F21*IV$7</f>
        <v>21544.2295032866</v>
      </c>
      <c r="IV21" s="327" t="n">
        <v>20238.1</v>
      </c>
      <c r="IW21" s="325" t="n">
        <f aca="false">(IX21*$H21+IY21*$G21)</f>
        <v>21303.9821643786</v>
      </c>
      <c r="IX21" s="328" t="n">
        <f aca="false">IY21/$F21*IY$7</f>
        <v>21303.9821643786</v>
      </c>
      <c r="IY21" s="327" t="n">
        <v>20238.1</v>
      </c>
      <c r="IZ21" s="327"/>
      <c r="JA21" s="327"/>
      <c r="JB21" s="327"/>
      <c r="JC21" s="325" t="n">
        <f aca="false">(JD21*$H21+JE21*$G21)</f>
        <v>21428.8925455186</v>
      </c>
      <c r="JD21" s="329" t="n">
        <f aca="false">JE21/$F21*JE$7</f>
        <v>21428.8925455186</v>
      </c>
      <c r="JE21" s="327" t="n">
        <v>20238.1</v>
      </c>
      <c r="JF21" s="325" t="n">
        <f aca="false">(JG21*$H21+JH21*$G21)</f>
        <v>21221.392392907</v>
      </c>
      <c r="JG21" s="326" t="n">
        <f aca="false">JH21/$F21*JH$7</f>
        <v>21221.392392907</v>
      </c>
      <c r="JH21" s="327" t="n">
        <v>20238.1</v>
      </c>
      <c r="JI21" s="325" t="n">
        <f aca="false">(JJ21*$H21+JK21*$G21)</f>
        <v>21060.3157456948</v>
      </c>
      <c r="JJ21" s="326" t="n">
        <f aca="false">JK21/$F21*JK$7</f>
        <v>21060.3157456948</v>
      </c>
      <c r="JK21" s="327" t="n">
        <v>20238.1</v>
      </c>
      <c r="JL21" s="325" t="n">
        <f aca="false">(JM21*$H21+JN21*$G21)</f>
        <v>21281.5681969599</v>
      </c>
      <c r="JM21" s="326" t="n">
        <f aca="false">JN21/$F21*JN$7</f>
        <v>21281.5681969599</v>
      </c>
      <c r="JN21" s="327" t="n">
        <v>20238.1</v>
      </c>
      <c r="JO21" s="325" t="n">
        <f aca="false">(JP21*$H21+JQ21*$G21)</f>
        <v>20868.9232578044</v>
      </c>
      <c r="JP21" s="326" t="n">
        <f aca="false">JQ21/$F21*JQ$7</f>
        <v>20868.9232578044</v>
      </c>
      <c r="JQ21" s="327" t="n">
        <v>20238.1</v>
      </c>
      <c r="JR21" s="325" t="n">
        <f aca="false">(JS21*$H21+JT21*$G21)</f>
        <v>20661.4990847434</v>
      </c>
      <c r="JS21" s="328" t="n">
        <f aca="false">JT21/$F21*JT$7</f>
        <v>20661.4990847434</v>
      </c>
      <c r="JT21" s="327" t="n">
        <v>20238.1</v>
      </c>
      <c r="JU21" s="325" t="n">
        <f aca="false">(JV21*$H21+JW21*$G21)</f>
        <v>20682.0135633978</v>
      </c>
      <c r="JV21" s="329" t="n">
        <f aca="false">JW21/$F21*JW$7</f>
        <v>20682.0135633978</v>
      </c>
      <c r="JW21" s="327" t="n">
        <v>20238.1</v>
      </c>
      <c r="JX21" s="325" t="n">
        <f aca="false">(JY21*$H21+JZ21*$G21)</f>
        <v>20245.1311476099</v>
      </c>
      <c r="JY21" s="329" t="n">
        <f aca="false">JZ21/$F21*JZ$7</f>
        <v>20245.1311476099</v>
      </c>
      <c r="JZ21" s="327" t="n">
        <v>20238.1</v>
      </c>
      <c r="KA21" s="325" t="n">
        <f aca="false">(KB21*$H21+KC21*$G21)</f>
        <v>20288.6674300876</v>
      </c>
      <c r="KB21" s="329" t="n">
        <f aca="false">KC21/$F21*KC$7</f>
        <v>20288.6674300876</v>
      </c>
      <c r="KC21" s="327" t="n">
        <v>20238.1</v>
      </c>
      <c r="KD21" s="325" t="n">
        <f aca="false">(KE21*$H21+KF21*$G21)</f>
        <v>19961.3475262242</v>
      </c>
      <c r="KE21" s="329" t="n">
        <f aca="false">KF21/$F21*KF$7</f>
        <v>19961.3475262242</v>
      </c>
      <c r="KF21" s="327" t="n">
        <v>20238.1</v>
      </c>
      <c r="KG21" s="325" t="n">
        <f aca="false">(KH21*$H21+KI21*$G21)</f>
        <v>20255.236427836</v>
      </c>
      <c r="KH21" s="329" t="n">
        <f aca="false">KI21/$F21*KI$7</f>
        <v>20255.236427836</v>
      </c>
      <c r="KI21" s="327" t="n">
        <v>20238.1</v>
      </c>
      <c r="KJ21" s="325" t="n">
        <f aca="false">(KK21*$H21+KL21*$G21)</f>
        <v>20730.7369421352</v>
      </c>
      <c r="KK21" s="329" t="n">
        <f aca="false">KL21/$F21*KL$7</f>
        <v>20730.7369421352</v>
      </c>
      <c r="KL21" s="327" t="n">
        <v>20238.12</v>
      </c>
      <c r="KP21" s="325" t="n">
        <f aca="false">(KQ21*$H21+KR21*$G21)</f>
        <v>10792.9438144549</v>
      </c>
      <c r="KQ21" s="329" t="n">
        <f aca="false">KR21/$F21*KR$7</f>
        <v>10792.9438144549</v>
      </c>
      <c r="KR21" s="329" t="n">
        <v>10119.06</v>
      </c>
      <c r="KS21" s="325" t="n">
        <f aca="false">(KT21*$H21+KU21*$G21)</f>
        <v>11012.3729733537</v>
      </c>
      <c r="KT21" s="329" t="n">
        <f aca="false">KU21/$F21*KU$7</f>
        <v>11012.3729733537</v>
      </c>
      <c r="KU21" s="329" t="n">
        <v>10119.06</v>
      </c>
      <c r="KV21" s="325" t="n">
        <f aca="false">(KW21*$H21+KX21*$G21)</f>
        <v>11113.881753232</v>
      </c>
      <c r="KW21" s="329" t="n">
        <f aca="false">KX21/$F21*KX$7</f>
        <v>11113.881753232</v>
      </c>
      <c r="KX21" s="329" t="n">
        <v>10119.06</v>
      </c>
      <c r="KY21" s="325" t="n">
        <f aca="false">(KZ21*$H21+LA21*$G21)</f>
        <v>11113.881753232</v>
      </c>
      <c r="KZ21" s="329" t="n">
        <f aca="false">LA21/$F21*LA$7</f>
        <v>11113.881753232</v>
      </c>
      <c r="LA21" s="329" t="n">
        <v>10119.06</v>
      </c>
      <c r="LB21" s="325" t="n">
        <f aca="false">(LC21*$H21+LD21*$G21)</f>
        <v>11113.881753232</v>
      </c>
      <c r="LC21" s="329" t="n">
        <f aca="false">LD21/$F21*LD$7</f>
        <v>11113.881753232</v>
      </c>
      <c r="LD21" s="329" t="n">
        <v>10119.06</v>
      </c>
      <c r="LE21" s="325" t="n">
        <f aca="false">(LF21*$H21+LG21*$G21)</f>
        <v>11113.881753232</v>
      </c>
      <c r="LF21" s="329" t="n">
        <f aca="false">LG21/$F21*LG$7</f>
        <v>11113.881753232</v>
      </c>
      <c r="LG21" s="329" t="n">
        <v>10119.06</v>
      </c>
      <c r="LH21" s="325" t="n">
        <f aca="false">(LI21*$H21+LJ21*$G21)</f>
        <v>13892.3426940868</v>
      </c>
      <c r="LI21" s="329" t="n">
        <f aca="false">LJ21/$F21*LJ$7</f>
        <v>13892.3426940868</v>
      </c>
      <c r="LJ21" s="329" t="n">
        <v>10119.06</v>
      </c>
      <c r="LM21" s="329" t="n">
        <v>10119.06</v>
      </c>
      <c r="LP21" s="329" t="n">
        <v>10119.06</v>
      </c>
      <c r="LS21" s="329" t="n">
        <v>10119.06</v>
      </c>
      <c r="LV21" s="329" t="n">
        <v>10119.06</v>
      </c>
      <c r="LY21" s="329" t="n">
        <v>10119.06</v>
      </c>
    </row>
    <row r="22" s="329" customFormat="true" ht="15" hidden="false" customHeight="false" outlineLevel="0" collapsed="false">
      <c r="A22" s="283" t="n">
        <v>4.1</v>
      </c>
      <c r="B22" s="319"/>
      <c r="C22" s="319" t="n">
        <v>4099959.96</v>
      </c>
      <c r="D22" s="319"/>
      <c r="E22" s="321"/>
      <c r="F22" s="331" t="n">
        <v>27.717006</v>
      </c>
      <c r="G22" s="323" t="n">
        <v>0</v>
      </c>
      <c r="H22" s="324" t="n">
        <f aca="false">1-G22</f>
        <v>1</v>
      </c>
      <c r="I22" s="332" t="n">
        <f aca="false">J22/F22*27.185914</f>
        <v>743218.766669655</v>
      </c>
      <c r="J22" s="319" t="n">
        <v>757737.96</v>
      </c>
      <c r="K22" s="325"/>
      <c r="L22" s="326"/>
      <c r="M22" s="327"/>
      <c r="N22" s="325"/>
      <c r="O22" s="326"/>
      <c r="P22" s="327"/>
      <c r="Q22" s="325"/>
      <c r="R22" s="326"/>
      <c r="S22" s="327"/>
      <c r="T22" s="325"/>
      <c r="U22" s="328"/>
      <c r="V22" s="327"/>
      <c r="W22" s="325"/>
      <c r="X22" s="328"/>
      <c r="Y22" s="327"/>
      <c r="AC22" s="325"/>
      <c r="AD22" s="328"/>
      <c r="AE22" s="327"/>
      <c r="AF22" s="325"/>
      <c r="AG22" s="328"/>
      <c r="AH22" s="327"/>
      <c r="AI22" s="325"/>
      <c r="AJ22" s="328"/>
      <c r="AK22" s="327"/>
      <c r="AL22" s="325"/>
      <c r="AM22" s="328"/>
      <c r="AN22" s="327"/>
      <c r="AO22" s="325"/>
      <c r="AP22" s="328"/>
      <c r="AQ22" s="327"/>
      <c r="AR22" s="325"/>
      <c r="AS22" s="328"/>
      <c r="AT22" s="327"/>
      <c r="AU22" s="325"/>
      <c r="AV22" s="328"/>
      <c r="AW22" s="327"/>
      <c r="AX22" s="325"/>
      <c r="AY22" s="328"/>
      <c r="AZ22" s="327"/>
      <c r="BA22" s="325"/>
      <c r="BB22" s="328"/>
      <c r="BC22" s="327"/>
      <c r="BD22" s="325"/>
      <c r="BE22" s="328"/>
      <c r="BF22" s="327"/>
      <c r="BG22" s="325"/>
      <c r="BH22" s="328"/>
      <c r="BI22" s="327"/>
      <c r="BJ22" s="325"/>
      <c r="BK22" s="328"/>
      <c r="BL22" s="327"/>
      <c r="BP22" s="325"/>
      <c r="BQ22" s="328"/>
      <c r="BR22" s="327"/>
      <c r="BS22" s="325"/>
      <c r="BT22" s="328"/>
      <c r="BU22" s="327"/>
      <c r="BV22" s="325"/>
      <c r="BW22" s="328"/>
      <c r="BX22" s="327"/>
      <c r="BY22" s="325"/>
      <c r="BZ22" s="328"/>
      <c r="CA22" s="327"/>
      <c r="CB22" s="325"/>
      <c r="CC22" s="328"/>
      <c r="CD22" s="327"/>
      <c r="CE22" s="325"/>
      <c r="CF22" s="328"/>
      <c r="CG22" s="327"/>
      <c r="CH22" s="325"/>
      <c r="CI22" s="328"/>
      <c r="CJ22" s="327"/>
      <c r="CK22" s="325"/>
      <c r="CL22" s="328"/>
      <c r="CM22" s="327"/>
      <c r="CN22" s="325"/>
      <c r="CO22" s="328"/>
      <c r="CP22" s="327"/>
      <c r="CQ22" s="325"/>
      <c r="CR22" s="328"/>
      <c r="CS22" s="327"/>
      <c r="CT22" s="325"/>
      <c r="CU22" s="328"/>
      <c r="CV22" s="327"/>
      <c r="CW22" s="325"/>
      <c r="CX22" s="328"/>
      <c r="CY22" s="327"/>
      <c r="DC22" s="325"/>
      <c r="DD22" s="328"/>
      <c r="DE22" s="327"/>
      <c r="DF22" s="325"/>
      <c r="DG22" s="328"/>
      <c r="DH22" s="327"/>
      <c r="DI22" s="325"/>
      <c r="DJ22" s="328"/>
      <c r="DK22" s="327"/>
      <c r="DL22" s="325"/>
      <c r="DM22" s="328"/>
      <c r="DN22" s="327"/>
      <c r="DO22" s="325"/>
      <c r="DP22" s="328"/>
      <c r="DQ22" s="327"/>
      <c r="DR22" s="325"/>
      <c r="DS22" s="328"/>
      <c r="DT22" s="327"/>
      <c r="DU22" s="325"/>
      <c r="DV22" s="328"/>
      <c r="DW22" s="327"/>
      <c r="DX22" s="325"/>
      <c r="DY22" s="328"/>
      <c r="DZ22" s="327"/>
      <c r="EA22" s="325"/>
      <c r="EB22" s="328"/>
      <c r="EC22" s="327"/>
      <c r="ED22" s="325"/>
      <c r="EE22" s="328"/>
      <c r="EF22" s="327"/>
      <c r="EG22" s="325"/>
      <c r="EH22" s="328"/>
      <c r="EI22" s="327"/>
      <c r="EJ22" s="325"/>
      <c r="EK22" s="328"/>
      <c r="EL22" s="327"/>
      <c r="EP22" s="325"/>
      <c r="EQ22" s="328"/>
      <c r="ER22" s="327"/>
      <c r="ES22" s="325"/>
      <c r="ET22" s="328"/>
      <c r="EU22" s="327"/>
      <c r="EV22" s="325"/>
      <c r="EW22" s="328"/>
      <c r="EX22" s="327"/>
      <c r="EY22" s="325"/>
      <c r="EZ22" s="328"/>
      <c r="FA22" s="327"/>
      <c r="FB22" s="325"/>
      <c r="FC22" s="328"/>
      <c r="FD22" s="327"/>
      <c r="FE22" s="325"/>
      <c r="FF22" s="328"/>
      <c r="FG22" s="327"/>
      <c r="FH22" s="325"/>
      <c r="FI22" s="328"/>
      <c r="FJ22" s="327"/>
      <c r="FK22" s="325"/>
      <c r="FL22" s="328"/>
      <c r="FM22" s="327"/>
      <c r="FN22" s="325"/>
      <c r="FO22" s="328"/>
      <c r="FP22" s="327"/>
      <c r="FQ22" s="325"/>
      <c r="FR22" s="328"/>
      <c r="FS22" s="327"/>
      <c r="FT22" s="328"/>
      <c r="FU22" s="328"/>
      <c r="FV22" s="327"/>
      <c r="FW22" s="325"/>
      <c r="FX22" s="328"/>
      <c r="FY22" s="327"/>
      <c r="GC22" s="328"/>
      <c r="GD22" s="328"/>
      <c r="GE22" s="327"/>
      <c r="GH22" s="327"/>
      <c r="GI22" s="325" t="n">
        <f aca="false">(GJ22*$H22+GK22*$G22)</f>
        <v>54600.1029639457</v>
      </c>
      <c r="GJ22" s="328" t="n">
        <f aca="false">GK22/$F22*GK$7</f>
        <v>54600.1029639457</v>
      </c>
      <c r="GK22" s="327" t="n">
        <v>55703.7</v>
      </c>
      <c r="GL22" s="325" t="n">
        <f aca="false">(GM22*$H22+GN22*$G22)</f>
        <v>53811.267839416</v>
      </c>
      <c r="GM22" s="328" t="n">
        <f aca="false">GN22/$F22*GN$7</f>
        <v>53811.267839416</v>
      </c>
      <c r="GN22" s="327" t="n">
        <v>55703.7</v>
      </c>
      <c r="GO22" s="325" t="n">
        <f aca="false">(GP22*$H22+GQ22*$G22)</f>
        <v>52660.7456163014</v>
      </c>
      <c r="GP22" s="328" t="n">
        <f aca="false">GQ22/$F22*GQ$7</f>
        <v>52660.7456163014</v>
      </c>
      <c r="GQ22" s="327" t="n">
        <v>55703.7</v>
      </c>
      <c r="GR22" s="325" t="n">
        <f aca="false">(GS22*$H22+GT22*$G22)</f>
        <v>52637.2438330352</v>
      </c>
      <c r="GS22" s="328" t="n">
        <f aca="false">GT22/$F22*GT$7</f>
        <v>52637.2438330352</v>
      </c>
      <c r="GT22" s="327" t="n">
        <v>55703.7</v>
      </c>
      <c r="GU22" s="325" t="n">
        <f aca="false">(GV22*$H22+GW22*$G22)</f>
        <v>51881.8747333857</v>
      </c>
      <c r="GV22" s="328" t="n">
        <f aca="false">GW22/$F22*GW$7</f>
        <v>51881.8747333857</v>
      </c>
      <c r="GW22" s="327" t="n">
        <v>55703.7</v>
      </c>
      <c r="GX22" s="325" t="n">
        <f aca="false">(GY22*$H22+GZ22*$G22)</f>
        <v>50596.3287965085</v>
      </c>
      <c r="GY22" s="328" t="n">
        <f aca="false">GZ22/$F22*GZ$7</f>
        <v>50596.3287965085</v>
      </c>
      <c r="GZ22" s="327" t="n">
        <v>55703.7</v>
      </c>
      <c r="HA22" s="325" t="n">
        <f aca="false">(HB22*$H22+HC22*$G22)</f>
        <v>49579.7450329267</v>
      </c>
      <c r="HB22" s="328" t="n">
        <f aca="false">HC22/$F22*HC$7</f>
        <v>49579.7450329267</v>
      </c>
      <c r="HC22" s="327" t="n">
        <v>55703.7</v>
      </c>
      <c r="HD22" s="325" t="n">
        <f aca="false">(HE22*$H22+HF22*$G22)</f>
        <v>50313.7346242484</v>
      </c>
      <c r="HE22" s="328" t="n">
        <f aca="false">HF22/$F22*HF$7</f>
        <v>50313.7346242484</v>
      </c>
      <c r="HF22" s="327" t="n">
        <v>55703.7</v>
      </c>
      <c r="HG22" s="325" t="n">
        <f aca="false">(HH22*$H22+HI22*$G22)</f>
        <v>48643.3615569301</v>
      </c>
      <c r="HH22" s="328" t="n">
        <f aca="false">HI22/$F22*HI$7</f>
        <v>48643.3615569301</v>
      </c>
      <c r="HI22" s="327" t="n">
        <v>55703.7</v>
      </c>
      <c r="HJ22" s="325" t="n">
        <f aca="false">(HK22*$H22+HL22*$G22)</f>
        <v>47053.9826205688</v>
      </c>
      <c r="HK22" s="328" t="n">
        <f aca="false">HL22/$F22*HL$7</f>
        <v>47053.9826205688</v>
      </c>
      <c r="HL22" s="327" t="n">
        <v>55703.7</v>
      </c>
      <c r="HP22" s="325" t="n">
        <f aca="false">(HQ22*$H22+HR22*$G22)</f>
        <v>48741.3801111852</v>
      </c>
      <c r="HQ22" s="328" t="n">
        <f aca="false">HR22/$F22*HR$7</f>
        <v>48741.3801111852</v>
      </c>
      <c r="HR22" s="327" t="n">
        <v>55703.7</v>
      </c>
      <c r="HS22" s="325" t="n">
        <f aca="false">(HT22*$H22+HU22*$G22)</f>
        <v>49124.0327137065</v>
      </c>
      <c r="HT22" s="328" t="n">
        <f aca="false">HU22/$F22*HU$7</f>
        <v>49124.0327137065</v>
      </c>
      <c r="HU22" s="327" t="n">
        <v>55703.7</v>
      </c>
      <c r="HV22" s="325" t="n">
        <f aca="false">(HW22*$H22+HX22*$G22)</f>
        <v>55875.5198613443</v>
      </c>
      <c r="HW22" s="328" t="n">
        <f aca="false">HX22/$F22*HX$7</f>
        <v>55875.5198613443</v>
      </c>
      <c r="HX22" s="327" t="n">
        <v>55703.7</v>
      </c>
      <c r="HY22" s="325" t="n">
        <f aca="false">(HZ22*$H22+IA22*$G22)</f>
        <v>54669.0789091722</v>
      </c>
      <c r="HZ22" s="328" t="n">
        <f aca="false">IA22/$F22*IA$7</f>
        <v>54669.0789091722</v>
      </c>
      <c r="IA22" s="327" t="n">
        <v>55703.7</v>
      </c>
      <c r="IB22" s="325" t="n">
        <f aca="false">(IC22*$H22+ID22*$G22)</f>
        <v>53400.5372982926</v>
      </c>
      <c r="IC22" s="328" t="n">
        <f aca="false">ID22/$F22*ID$7</f>
        <v>53400.5372982926</v>
      </c>
      <c r="ID22" s="327" t="n">
        <v>55703.7</v>
      </c>
      <c r="IE22" s="325" t="n">
        <f aca="false">(IF22*$H22+IG22*$G22)</f>
        <v>53787.008387919</v>
      </c>
      <c r="IF22" s="328" t="n">
        <f aca="false">IG22/$F22*IG$7</f>
        <v>53787.008387919</v>
      </c>
      <c r="IG22" s="327" t="n">
        <v>55703.7</v>
      </c>
      <c r="IH22" s="325" t="n">
        <f aca="false">(II22*$H22+IJ22*$G22)</f>
        <v>55470.7602282151</v>
      </c>
      <c r="II22" s="328" t="n">
        <f aca="false">IJ22/$F22*IJ$7</f>
        <v>55470.7602282151</v>
      </c>
      <c r="IJ22" s="327" t="n">
        <v>55703.7</v>
      </c>
      <c r="IK22" s="325" t="n">
        <f aca="false">(IL22*$H22+IM22*$G22)</f>
        <v>54897.7861894607</v>
      </c>
      <c r="IL22" s="328" t="n">
        <f aca="false">IM22/$F22*IM$7</f>
        <v>54897.7861894607</v>
      </c>
      <c r="IM22" s="327" t="n">
        <v>55703.7</v>
      </c>
      <c r="IN22" s="325" t="n">
        <f aca="false">(IO22*$H22+IP22*$G22)</f>
        <v>56678.8089644314</v>
      </c>
      <c r="IO22" s="328" t="n">
        <f aca="false">IP22/$F22*IP$7</f>
        <v>56678.8089644314</v>
      </c>
      <c r="IP22" s="327" t="n">
        <v>55703.7</v>
      </c>
      <c r="IQ22" s="325" t="n">
        <f aca="false">(IR22*$H22+IS22*$G22)</f>
        <v>57017.4484787426</v>
      </c>
      <c r="IR22" s="328" t="n">
        <f aca="false">IS22/$F22*IS$7</f>
        <v>57017.4484787426</v>
      </c>
      <c r="IS22" s="327" t="n">
        <v>55703.7</v>
      </c>
      <c r="IT22" s="325" t="n">
        <f aca="false">(IU22*$H22+IV22*$G22)</f>
        <v>56986.4986358916</v>
      </c>
      <c r="IU22" s="328" t="n">
        <f aca="false">IV22/$F22*IV$7</f>
        <v>56986.4986358916</v>
      </c>
      <c r="IV22" s="327" t="n">
        <v>55703.7</v>
      </c>
      <c r="IW22" s="325" t="n">
        <f aca="false">(IX22*$H22+IY22*$G22)</f>
        <v>56351.0219924187</v>
      </c>
      <c r="IX22" s="328" t="n">
        <f aca="false">IY22/$F22*IY$7</f>
        <v>56351.0219924187</v>
      </c>
      <c r="IY22" s="327" t="n">
        <v>55703.7</v>
      </c>
      <c r="JC22" s="325" t="n">
        <f aca="false">(JD22*$H22+JE22*$G22)</f>
        <v>56681.4216135033</v>
      </c>
      <c r="JD22" s="329" t="n">
        <f aca="false">JE22/$F22*JE$7</f>
        <v>56681.4216135033</v>
      </c>
      <c r="JE22" s="327" t="n">
        <v>55703.7</v>
      </c>
      <c r="JF22" s="325" t="n">
        <f aca="false">(JG22*$H22+JH22*$G22)</f>
        <v>56132.564335412</v>
      </c>
      <c r="JG22" s="326" t="n">
        <f aca="false">JH22/$F22*JH$7</f>
        <v>56132.564335412</v>
      </c>
      <c r="JH22" s="327" t="n">
        <v>55703.7</v>
      </c>
      <c r="JI22" s="325" t="n">
        <f aca="false">(JJ22*$H22+JK22*$G22)</f>
        <v>55706.501563697</v>
      </c>
      <c r="JJ22" s="326" t="n">
        <f aca="false">JK22/$F22*JK$7</f>
        <v>55706.501563697</v>
      </c>
      <c r="JK22" s="327" t="n">
        <v>55703.7</v>
      </c>
      <c r="JL22" s="325" t="n">
        <f aca="false">(JM22*$H22+JN22*$G22)</f>
        <v>56291.7349557885</v>
      </c>
      <c r="JM22" s="326" t="n">
        <f aca="false">JN22/$F22*JN$7</f>
        <v>56291.7349557885</v>
      </c>
      <c r="JN22" s="327" t="n">
        <v>55703.7</v>
      </c>
      <c r="JO22" s="325" t="n">
        <f aca="false">(JP22*$H22+JQ22*$G22)</f>
        <v>55200.2505627772</v>
      </c>
      <c r="JP22" s="326" t="n">
        <f aca="false">JQ22/$F22*JQ$7</f>
        <v>55200.2505627772</v>
      </c>
      <c r="JQ22" s="327" t="n">
        <v>55703.7</v>
      </c>
      <c r="JR22" s="325" t="n">
        <f aca="false">(JS22*$H22+JT22*$G22)</f>
        <v>54651.5942576915</v>
      </c>
      <c r="JS22" s="328" t="n">
        <f aca="false">JT22/$F22*JT$7</f>
        <v>54651.5942576915</v>
      </c>
      <c r="JT22" s="327" t="n">
        <v>55703.7</v>
      </c>
      <c r="JU22" s="325" t="n">
        <f aca="false">(JV22*$H22+JW22*$G22)</f>
        <v>54705.8569691835</v>
      </c>
      <c r="JV22" s="329" t="n">
        <f aca="false">JW22/$F22*JW$7</f>
        <v>54705.8569691835</v>
      </c>
      <c r="JW22" s="327" t="n">
        <v>55703.7</v>
      </c>
      <c r="JX22" s="325" t="n">
        <f aca="false">(JY22*$H22+JZ22*$G22)</f>
        <v>53550.2621874094</v>
      </c>
      <c r="JY22" s="329" t="n">
        <f aca="false">JZ22/$F22*JZ$7</f>
        <v>53550.2621874094</v>
      </c>
      <c r="JZ22" s="327" t="n">
        <v>55703.7</v>
      </c>
      <c r="KA22" s="325" t="n">
        <f aca="false">(KB22*$H22+KC22*$G22)</f>
        <v>53665.4197195758</v>
      </c>
      <c r="KB22" s="329" t="n">
        <f aca="false">KC22/$F22*KC$7</f>
        <v>53665.4197195758</v>
      </c>
      <c r="KC22" s="327" t="n">
        <v>55703.7</v>
      </c>
      <c r="KD22" s="325" t="n">
        <f aca="false">(KE22*$H22+KF22*$G22)</f>
        <v>52799.6280117701</v>
      </c>
      <c r="KE22" s="329" t="n">
        <f aca="false">KF22/$F22*KF$7</f>
        <v>52799.6280117701</v>
      </c>
      <c r="KF22" s="327" t="n">
        <v>55703.7</v>
      </c>
      <c r="KG22" s="325" t="n">
        <f aca="false">(KH22*$H22+KI22*$G22)</f>
        <v>53576.9915971444</v>
      </c>
      <c r="KH22" s="329" t="n">
        <f aca="false">KI22/$F22*KI$7</f>
        <v>53576.9915971444</v>
      </c>
      <c r="KI22" s="327" t="n">
        <v>55703.7</v>
      </c>
      <c r="KJ22" s="325" t="n">
        <f aca="false">(KK22*$H22+KL22*$G22)</f>
        <v>54834.6806657256</v>
      </c>
      <c r="KK22" s="329" t="n">
        <f aca="false">KL22/$F22*KL$7</f>
        <v>54834.6806657256</v>
      </c>
      <c r="KL22" s="327" t="n">
        <v>55703.7</v>
      </c>
      <c r="KP22" s="325" t="n">
        <f aca="false">(KQ22*$H22+KR22*$G22)</f>
        <v>57096.6318429198</v>
      </c>
      <c r="KQ22" s="329" t="n">
        <f aca="false">KR22/$F22*KR$7</f>
        <v>57096.6318429198</v>
      </c>
      <c r="KR22" s="327" t="n">
        <v>55703.7</v>
      </c>
      <c r="KS22" s="325" t="n">
        <f aca="false">(KT22*$H22+KU22*$G22)</f>
        <v>58257.4519228375</v>
      </c>
      <c r="KT22" s="329" t="n">
        <f aca="false">KU22/$F22*KU$7</f>
        <v>58257.4519228375</v>
      </c>
      <c r="KU22" s="327" t="n">
        <v>55703.7</v>
      </c>
      <c r="KV22" s="325" t="n">
        <f aca="false">(KW22*$H22+KX22*$G22)</f>
        <v>58794.4517936028</v>
      </c>
      <c r="KW22" s="329" t="n">
        <f aca="false">KX22/$F22*KX$7</f>
        <v>58794.4517936028</v>
      </c>
      <c r="KX22" s="327" t="n">
        <v>55703.7</v>
      </c>
      <c r="KY22" s="325" t="n">
        <f aca="false">(KZ22*$H22+LA22*$G22)</f>
        <v>58794.4517936028</v>
      </c>
      <c r="KZ22" s="329" t="n">
        <f aca="false">LA22/$F22*LA$7</f>
        <v>58794.4517936028</v>
      </c>
      <c r="LA22" s="327" t="n">
        <v>55703.7</v>
      </c>
      <c r="LB22" s="325" t="n">
        <f aca="false">(LC22*$H22+LD22*$G22)</f>
        <v>58794.4517936028</v>
      </c>
      <c r="LC22" s="329" t="n">
        <f aca="false">LD22/$F22*LD$7</f>
        <v>58794.4517936028</v>
      </c>
      <c r="LD22" s="327" t="n">
        <v>55703.7</v>
      </c>
      <c r="LE22" s="325" t="n">
        <f aca="false">(LF22*$H22+LG22*$G22)</f>
        <v>58794.4517936028</v>
      </c>
      <c r="LF22" s="329" t="n">
        <f aca="false">LG22/$F22*LG$7</f>
        <v>58794.4517936028</v>
      </c>
      <c r="LG22" s="327" t="n">
        <v>55703.7</v>
      </c>
      <c r="LH22" s="325" t="n">
        <f aca="false">(LI22*$H22+LJ22*$G22)</f>
        <v>73493.0144987521</v>
      </c>
      <c r="LI22" s="329" t="n">
        <f aca="false">LJ22/$F22*LJ$7</f>
        <v>73493.0144987521</v>
      </c>
      <c r="LJ22" s="327" t="n">
        <v>55703.7</v>
      </c>
      <c r="LM22" s="327" t="n">
        <v>55703.7</v>
      </c>
      <c r="LP22" s="327" t="n">
        <v>55703.7</v>
      </c>
      <c r="LS22" s="327" t="n">
        <v>55703.7</v>
      </c>
      <c r="LV22" s="327" t="n">
        <v>55703.7</v>
      </c>
      <c r="LY22" s="327" t="n">
        <v>55703.7</v>
      </c>
      <c r="ME22" s="327" t="n">
        <v>55703.7</v>
      </c>
      <c r="MH22" s="327" t="n">
        <v>55703.7</v>
      </c>
      <c r="MK22" s="327" t="n">
        <v>55703.7</v>
      </c>
      <c r="MN22" s="327" t="n">
        <v>55703.7</v>
      </c>
      <c r="MQ22" s="327" t="n">
        <v>55703.7</v>
      </c>
      <c r="MT22" s="327" t="n">
        <v>55703.7</v>
      </c>
      <c r="MW22" s="327" t="n">
        <v>55703.7</v>
      </c>
      <c r="MZ22" s="327" t="n">
        <v>55703.7</v>
      </c>
      <c r="NC22" s="327" t="n">
        <v>55703.7</v>
      </c>
      <c r="NF22" s="327" t="n">
        <v>55703.7</v>
      </c>
      <c r="NI22" s="327" t="n">
        <v>55703.7</v>
      </c>
      <c r="NL22" s="327" t="n">
        <v>55703.7</v>
      </c>
      <c r="NR22" s="327" t="n">
        <v>55703.7</v>
      </c>
      <c r="NU22" s="327" t="n">
        <v>55703.7</v>
      </c>
    </row>
    <row r="23" s="329" customFormat="true" ht="15" hidden="false" customHeight="false" outlineLevel="0" collapsed="false">
      <c r="A23" s="283" t="n">
        <v>4.2</v>
      </c>
      <c r="B23" s="319"/>
      <c r="C23" s="319" t="n">
        <v>1130081.46</v>
      </c>
      <c r="D23" s="319"/>
      <c r="E23" s="321"/>
      <c r="F23" s="331" t="n">
        <v>28.023739</v>
      </c>
      <c r="G23" s="323" t="n">
        <v>0</v>
      </c>
      <c r="H23" s="324" t="n">
        <f aca="false">1-G23</f>
        <v>1</v>
      </c>
      <c r="I23" s="332" t="n">
        <f aca="false">J23/F23*27.185914</f>
        <v>216256.394835423</v>
      </c>
      <c r="J23" s="319" t="n">
        <v>222921.06</v>
      </c>
      <c r="K23" s="325"/>
      <c r="L23" s="326"/>
      <c r="M23" s="327"/>
      <c r="N23" s="325"/>
      <c r="O23" s="326"/>
      <c r="P23" s="327"/>
      <c r="Q23" s="325"/>
      <c r="R23" s="326"/>
      <c r="S23" s="327"/>
      <c r="T23" s="325"/>
      <c r="U23" s="328"/>
      <c r="V23" s="327"/>
      <c r="W23" s="325"/>
      <c r="X23" s="328"/>
      <c r="Y23" s="327"/>
      <c r="AC23" s="325"/>
      <c r="AD23" s="328"/>
      <c r="AE23" s="327"/>
      <c r="AF23" s="325"/>
      <c r="AG23" s="328"/>
      <c r="AH23" s="327"/>
      <c r="AI23" s="325"/>
      <c r="AJ23" s="328"/>
      <c r="AK23" s="327"/>
      <c r="AL23" s="325"/>
      <c r="AM23" s="328"/>
      <c r="AN23" s="327"/>
      <c r="AO23" s="325"/>
      <c r="AP23" s="328"/>
      <c r="AQ23" s="327"/>
      <c r="AR23" s="325"/>
      <c r="AS23" s="328"/>
      <c r="AT23" s="327"/>
      <c r="AU23" s="325"/>
      <c r="AV23" s="328"/>
      <c r="AW23" s="327"/>
      <c r="AX23" s="325"/>
      <c r="AY23" s="328"/>
      <c r="AZ23" s="327"/>
      <c r="BA23" s="325"/>
      <c r="BB23" s="328"/>
      <c r="BC23" s="327"/>
      <c r="BD23" s="325"/>
      <c r="BE23" s="328"/>
      <c r="BF23" s="327"/>
      <c r="BG23" s="325"/>
      <c r="BH23" s="328"/>
      <c r="BI23" s="327"/>
      <c r="BJ23" s="325"/>
      <c r="BK23" s="328"/>
      <c r="BL23" s="327"/>
      <c r="BP23" s="325"/>
      <c r="BQ23" s="328"/>
      <c r="BR23" s="327"/>
      <c r="BS23" s="325"/>
      <c r="BT23" s="328"/>
      <c r="BU23" s="327"/>
      <c r="BV23" s="325"/>
      <c r="BW23" s="328"/>
      <c r="BX23" s="327"/>
      <c r="BY23" s="325"/>
      <c r="BZ23" s="328"/>
      <c r="CA23" s="327"/>
      <c r="CB23" s="325"/>
      <c r="CC23" s="328"/>
      <c r="CD23" s="327"/>
      <c r="CE23" s="325"/>
      <c r="CF23" s="328"/>
      <c r="CG23" s="327"/>
      <c r="CH23" s="325"/>
      <c r="CI23" s="328"/>
      <c r="CJ23" s="327"/>
      <c r="CK23" s="325"/>
      <c r="CL23" s="328"/>
      <c r="CM23" s="327"/>
      <c r="CN23" s="325"/>
      <c r="CO23" s="328"/>
      <c r="CP23" s="327"/>
      <c r="CQ23" s="325"/>
      <c r="CR23" s="328"/>
      <c r="CS23" s="327"/>
      <c r="CT23" s="325"/>
      <c r="CU23" s="328"/>
      <c r="CV23" s="327"/>
      <c r="CW23" s="325"/>
      <c r="CX23" s="328"/>
      <c r="CY23" s="327"/>
      <c r="DC23" s="325"/>
      <c r="DD23" s="328"/>
      <c r="DE23" s="327"/>
      <c r="DF23" s="325"/>
      <c r="DG23" s="328"/>
      <c r="DH23" s="327"/>
      <c r="DI23" s="325"/>
      <c r="DJ23" s="328"/>
      <c r="DK23" s="327"/>
      <c r="DL23" s="325"/>
      <c r="DM23" s="328"/>
      <c r="DN23" s="327"/>
      <c r="DO23" s="325"/>
      <c r="DP23" s="328"/>
      <c r="DQ23" s="327"/>
      <c r="DR23" s="325"/>
      <c r="DS23" s="328"/>
      <c r="DT23" s="327"/>
      <c r="DU23" s="325"/>
      <c r="DV23" s="328"/>
      <c r="DW23" s="327"/>
      <c r="DX23" s="325"/>
      <c r="DY23" s="328"/>
      <c r="DZ23" s="327"/>
      <c r="EA23" s="325"/>
      <c r="EB23" s="328"/>
      <c r="EC23" s="327"/>
      <c r="ED23" s="325"/>
      <c r="EE23" s="328"/>
      <c r="EF23" s="327"/>
      <c r="EG23" s="325"/>
      <c r="EH23" s="328"/>
      <c r="EI23" s="327"/>
      <c r="EJ23" s="325"/>
      <c r="EK23" s="328"/>
      <c r="EL23" s="327"/>
      <c r="EP23" s="325"/>
      <c r="EQ23" s="328"/>
      <c r="ER23" s="327"/>
      <c r="ES23" s="325"/>
      <c r="ET23" s="328"/>
      <c r="EU23" s="327"/>
      <c r="EV23" s="325"/>
      <c r="EW23" s="328"/>
      <c r="EX23" s="327"/>
      <c r="EY23" s="325"/>
      <c r="EZ23" s="328"/>
      <c r="FA23" s="327"/>
      <c r="FB23" s="325"/>
      <c r="FC23" s="328"/>
      <c r="FD23" s="327"/>
      <c r="FE23" s="325"/>
      <c r="FF23" s="328"/>
      <c r="FG23" s="327"/>
      <c r="FH23" s="325"/>
      <c r="FI23" s="328"/>
      <c r="FJ23" s="327"/>
      <c r="FK23" s="325"/>
      <c r="FL23" s="328"/>
      <c r="FM23" s="327"/>
      <c r="FN23" s="325"/>
      <c r="FO23" s="328"/>
      <c r="FP23" s="327"/>
      <c r="FQ23" s="325"/>
      <c r="FR23" s="328"/>
      <c r="FS23" s="327"/>
      <c r="FT23" s="328"/>
      <c r="FU23" s="328"/>
      <c r="FV23" s="327"/>
      <c r="FW23" s="325"/>
      <c r="FX23" s="328"/>
      <c r="FY23" s="327"/>
      <c r="GC23" s="328"/>
      <c r="GD23" s="328"/>
      <c r="GE23" s="327"/>
      <c r="GH23" s="327"/>
      <c r="GI23" s="325" t="n">
        <f aca="false">(GJ23*$H23+GK23*$G23)</f>
        <v>14657.5872577125</v>
      </c>
      <c r="GJ23" s="328" t="n">
        <f aca="false">GK23/$F23*GK$7</f>
        <v>14657.5872577125</v>
      </c>
      <c r="GK23" s="327" t="n">
        <v>15119.34</v>
      </c>
      <c r="GL23" s="325" t="n">
        <f aca="false">(GM23*$H23+GN23*$G23)</f>
        <v>14445.8217290398</v>
      </c>
      <c r="GM23" s="328" t="n">
        <f aca="false">GN23/$F23*GN$7</f>
        <v>14445.8217290398</v>
      </c>
      <c r="GN23" s="327" t="n">
        <v>15119.34</v>
      </c>
      <c r="GO23" s="325" t="n">
        <f aca="false">(GP23*$H23+GQ23*$G23)</f>
        <v>14136.9600426731</v>
      </c>
      <c r="GP23" s="328" t="n">
        <f aca="false">GQ23/$F23*GQ$7</f>
        <v>14136.9600426731</v>
      </c>
      <c r="GQ23" s="327" t="n">
        <v>15119.34</v>
      </c>
      <c r="GR23" s="325" t="n">
        <f aca="false">(GS23*$H23+GT23*$G23)</f>
        <v>14130.6509073375</v>
      </c>
      <c r="GS23" s="328" t="n">
        <f aca="false">GT23/$F23*GT$7</f>
        <v>14130.6509073375</v>
      </c>
      <c r="GT23" s="327" t="n">
        <v>15119.34</v>
      </c>
      <c r="GU23" s="325" t="n">
        <f aca="false">(GV23*$H23+GW23*$G23)</f>
        <v>13927.8694492659</v>
      </c>
      <c r="GV23" s="328" t="n">
        <f aca="false">GW23/$F23*GW$7</f>
        <v>13927.8694492659</v>
      </c>
      <c r="GW23" s="327" t="n">
        <v>15119.34</v>
      </c>
      <c r="GX23" s="325" t="n">
        <f aca="false">(GY23*$H23+GZ23*$G23)</f>
        <v>13582.7601780248</v>
      </c>
      <c r="GY23" s="328" t="n">
        <f aca="false">GZ23/$F23*GZ$7</f>
        <v>13582.7601780248</v>
      </c>
      <c r="GZ23" s="327" t="n">
        <v>15119.34</v>
      </c>
      <c r="HA23" s="325" t="n">
        <f aca="false">(HB23*$H23+HC23*$G23)</f>
        <v>13309.8547362656</v>
      </c>
      <c r="HB23" s="328" t="n">
        <f aca="false">HC23/$F23*HC$7</f>
        <v>13309.8547362656</v>
      </c>
      <c r="HC23" s="327" t="n">
        <v>15119.34</v>
      </c>
      <c r="HD23" s="325" t="n">
        <f aca="false">(HE23*$H23+HF23*$G23)</f>
        <v>13506.8967910792</v>
      </c>
      <c r="HE23" s="328" t="n">
        <f aca="false">HF23/$F23*HF$7</f>
        <v>13506.8967910792</v>
      </c>
      <c r="HF23" s="327" t="n">
        <v>15119.34</v>
      </c>
      <c r="HG23" s="325" t="n">
        <f aca="false">(HH23*$H23+HI23*$G23)</f>
        <v>13058.4793402308</v>
      </c>
      <c r="HH23" s="328" t="n">
        <f aca="false">HI23/$F23*HI$7</f>
        <v>13058.4793402308</v>
      </c>
      <c r="HI23" s="327" t="n">
        <v>15119.34</v>
      </c>
      <c r="HJ23" s="325" t="n">
        <f aca="false">(HK23*$H23+HL23*$G23)</f>
        <v>12631.8050451169</v>
      </c>
      <c r="HK23" s="328" t="n">
        <f aca="false">HL23/$F23*HL$7</f>
        <v>12631.8050451169</v>
      </c>
      <c r="HL23" s="327" t="n">
        <v>15119.34</v>
      </c>
      <c r="HP23" s="325" t="n">
        <f aca="false">(HQ23*$H23+HR23*$G23)</f>
        <v>13084.7927615227</v>
      </c>
      <c r="HQ23" s="328" t="n">
        <f aca="false">HR23/$F23*HR$7</f>
        <v>13084.7927615227</v>
      </c>
      <c r="HR23" s="327" t="n">
        <v>15119.34</v>
      </c>
      <c r="HS23" s="325" t="n">
        <f aca="false">(HT23*$H23+HU23*$G23)</f>
        <v>13187.5171815581</v>
      </c>
      <c r="HT23" s="328" t="n">
        <f aca="false">HU23/$F23*HU$7</f>
        <v>13187.5171815581</v>
      </c>
      <c r="HU23" s="327" t="n">
        <v>15119.34</v>
      </c>
      <c r="HV23" s="325" t="n">
        <f aca="false">(HW23*$H23+HX23*$G23)</f>
        <v>14999.9773531291</v>
      </c>
      <c r="HW23" s="328" t="n">
        <f aca="false">HX23/$F23*HX$7</f>
        <v>14999.9773531291</v>
      </c>
      <c r="HX23" s="327" t="n">
        <v>15119.34</v>
      </c>
      <c r="HY23" s="325" t="n">
        <f aca="false">(HZ23*$H23+IA23*$G23)</f>
        <v>14676.1040897505</v>
      </c>
      <c r="HZ23" s="328" t="n">
        <f aca="false">IA23/$F23*IA$7</f>
        <v>14676.1040897505</v>
      </c>
      <c r="IA23" s="327" t="n">
        <v>15119.34</v>
      </c>
      <c r="IB23" s="325" t="n">
        <f aca="false">(IC23*$H23+ID23*$G23)</f>
        <v>14335.5596888766</v>
      </c>
      <c r="IC23" s="328" t="n">
        <f aca="false">ID23/$F23*ID$7</f>
        <v>14335.5596888766</v>
      </c>
      <c r="ID23" s="327" t="n">
        <v>15119.34</v>
      </c>
      <c r="IE23" s="325" t="n">
        <f aca="false">(IF23*$H23+IG23*$G23)</f>
        <v>14439.3091950364</v>
      </c>
      <c r="IF23" s="328" t="n">
        <f aca="false">IG23/$F23*IG$7</f>
        <v>14439.3091950364</v>
      </c>
      <c r="IG23" s="327" t="n">
        <v>15119.34</v>
      </c>
      <c r="IH23" s="325" t="n">
        <f aca="false">(II23*$H23+IJ23*$G23)</f>
        <v>14891.3182239529</v>
      </c>
      <c r="II23" s="328" t="n">
        <f aca="false">IJ23/$F23*IJ$7</f>
        <v>14891.3182239529</v>
      </c>
      <c r="IJ23" s="327" t="n">
        <v>15119.34</v>
      </c>
      <c r="IK23" s="325" t="n">
        <f aca="false">(IL23*$H23+IM23*$G23)</f>
        <v>14737.5013534061</v>
      </c>
      <c r="IL23" s="328" t="n">
        <f aca="false">IM23/$F23*IM$7</f>
        <v>14737.5013534061</v>
      </c>
      <c r="IM23" s="327" t="n">
        <v>15119.34</v>
      </c>
      <c r="IN23" s="325" t="n">
        <f aca="false">(IO23*$H23+IP23*$G23)</f>
        <v>15215.6231025417</v>
      </c>
      <c r="IO23" s="328" t="n">
        <f aca="false">IP23/$F23*IP$7</f>
        <v>15215.6231025417</v>
      </c>
      <c r="IP23" s="327" t="n">
        <v>15119.34</v>
      </c>
      <c r="IQ23" s="325" t="n">
        <f aca="false">(IR23*$H23+IS23*$G23)</f>
        <v>15306.5320561971</v>
      </c>
      <c r="IR23" s="328" t="n">
        <f aca="false">IS23/$F23*IS$7</f>
        <v>15306.5320561971</v>
      </c>
      <c r="IS23" s="327" t="n">
        <v>15119.34</v>
      </c>
      <c r="IT23" s="325" t="n">
        <f aca="false">(IU23*$H23+IV23*$G23)</f>
        <v>15298.2234634001</v>
      </c>
      <c r="IU23" s="328" t="n">
        <f aca="false">IV23/$F23*IV$7</f>
        <v>15298.2234634001</v>
      </c>
      <c r="IV23" s="327" t="n">
        <v>15119.34</v>
      </c>
      <c r="IW23" s="325" t="n">
        <f aca="false">(IX23*$H23+IY23*$G23)</f>
        <v>15127.6275515555</v>
      </c>
      <c r="IX23" s="328" t="n">
        <f aca="false">IY23/$F23*IY$7</f>
        <v>15127.6275515555</v>
      </c>
      <c r="IY23" s="327" t="n">
        <v>15119.34</v>
      </c>
      <c r="JC23" s="325" t="n">
        <f aca="false">(JD23*$H23+JE23*$G23)</f>
        <v>15216.3244772584</v>
      </c>
      <c r="JD23" s="329" t="n">
        <f aca="false">JE23/$F23*JE$7</f>
        <v>15216.3244772584</v>
      </c>
      <c r="JE23" s="327" t="n">
        <v>15119.34</v>
      </c>
      <c r="JF23" s="325" t="n">
        <f aca="false">(JG23*$H23+JH23*$G23)</f>
        <v>15068.9818348651</v>
      </c>
      <c r="JG23" s="326" t="n">
        <f aca="false">JH23/$F23*JH$7</f>
        <v>15068.9818348651</v>
      </c>
      <c r="JH23" s="327" t="n">
        <v>15119.34</v>
      </c>
      <c r="JI23" s="325" t="n">
        <f aca="false">(JJ23*$H23+JK23*$G23)</f>
        <v>14954.6038041533</v>
      </c>
      <c r="JJ23" s="326" t="n">
        <f aca="false">JK23/$F23*JK$7</f>
        <v>14954.6038041533</v>
      </c>
      <c r="JK23" s="327" t="n">
        <v>15119.34</v>
      </c>
      <c r="JL23" s="325" t="n">
        <f aca="false">(JM23*$H23+JN23*$G23)</f>
        <v>15111.7117406781</v>
      </c>
      <c r="JM23" s="326" t="n">
        <f aca="false">JN23/$F23*JN$7</f>
        <v>15111.7117406781</v>
      </c>
      <c r="JN23" s="327" t="n">
        <v>15119.34</v>
      </c>
      <c r="JO23" s="325" t="n">
        <f aca="false">(JP23*$H23+JQ23*$G23)</f>
        <v>14818.6989648312</v>
      </c>
      <c r="JP23" s="326" t="n">
        <f aca="false">JQ23/$F23*JQ$7</f>
        <v>14818.6989648312</v>
      </c>
      <c r="JQ23" s="327" t="n">
        <v>15119.34</v>
      </c>
      <c r="JR23" s="325" t="n">
        <f aca="false">(JS23*$H23+JT23*$G23)</f>
        <v>14671.4102743392</v>
      </c>
      <c r="JS23" s="328" t="n">
        <f aca="false">JT23/$F23*JT$7</f>
        <v>14671.4102743392</v>
      </c>
      <c r="JT23" s="327" t="n">
        <v>15119.34</v>
      </c>
      <c r="JU23" s="325" t="n">
        <f aca="false">(JV23*$H23+JW23*$G23)</f>
        <v>14685.9772876846</v>
      </c>
      <c r="JV23" s="329" t="n">
        <f aca="false">JW23/$F23*JW$7</f>
        <v>14685.9772876846</v>
      </c>
      <c r="JW23" s="327" t="n">
        <v>15119.34</v>
      </c>
      <c r="JX23" s="325" t="n">
        <f aca="false">(JY23*$H23+JZ23*$G23)</f>
        <v>14375.7538553296</v>
      </c>
      <c r="JY23" s="329" t="n">
        <f aca="false">JZ23/$F23*JZ$7</f>
        <v>14375.7538553296</v>
      </c>
      <c r="JZ23" s="327" t="n">
        <v>15119.34</v>
      </c>
      <c r="KA23" s="325" t="n">
        <f aca="false">(KB23*$H23+KC23*$G23)</f>
        <v>14406.6682947625</v>
      </c>
      <c r="KB23" s="329" t="n">
        <f aca="false">KC23/$F23*KC$7</f>
        <v>14406.6682947625</v>
      </c>
      <c r="KC23" s="327" t="n">
        <v>15119.34</v>
      </c>
      <c r="KD23" s="325" t="n">
        <f aca="false">(KE23*$H23+KF23*$G23)</f>
        <v>14174.243504052</v>
      </c>
      <c r="KE23" s="329" t="n">
        <f aca="false">KF23/$F23*KF$7</f>
        <v>14174.243504052</v>
      </c>
      <c r="KF23" s="327" t="n">
        <v>15119.34</v>
      </c>
      <c r="KG23" s="325" t="n">
        <f aca="false">(KH23*$H23+KI23*$G23)</f>
        <v>14382.9294581997</v>
      </c>
      <c r="KH23" s="329" t="n">
        <f aca="false">KI23/$F23*KI$7</f>
        <v>14382.9294581997</v>
      </c>
      <c r="KI23" s="327" t="n">
        <v>15119.34</v>
      </c>
      <c r="KJ23" s="325" t="n">
        <f aca="false">(KK23*$H23+KL23*$G23)</f>
        <v>14720.5604564045</v>
      </c>
      <c r="KK23" s="329" t="n">
        <f aca="false">KL23/$F23*KL$7</f>
        <v>14720.5604564045</v>
      </c>
      <c r="KL23" s="327" t="n">
        <v>15119.34</v>
      </c>
      <c r="KP23" s="325" t="n">
        <f aca="false">(KQ23*$H23+KR23*$G23)</f>
        <v>15327.789105301</v>
      </c>
      <c r="KQ23" s="329" t="n">
        <f aca="false">KR23/$F23*KR$7</f>
        <v>15327.789105301</v>
      </c>
      <c r="KR23" s="327" t="n">
        <v>15119.34</v>
      </c>
      <c r="KS23" s="325" t="n">
        <f aca="false">(KT23*$H23+KU23*$G23)</f>
        <v>15639.4152870893</v>
      </c>
      <c r="KT23" s="329" t="n">
        <f aca="false">KU23/$F23*KU$7</f>
        <v>15639.4152870893</v>
      </c>
      <c r="KU23" s="327" t="n">
        <v>15119.34</v>
      </c>
      <c r="KV23" s="325" t="n">
        <f aca="false">(KW23*$H23+KX23*$G23)</f>
        <v>15783.5747673071</v>
      </c>
      <c r="KW23" s="329" t="n">
        <f aca="false">KX23/$F23*KX$7</f>
        <v>15783.5747673071</v>
      </c>
      <c r="KX23" s="327" t="n">
        <v>15119.34</v>
      </c>
      <c r="KY23" s="325" t="n">
        <f aca="false">(KZ23*$H23+LA23*$G23)</f>
        <v>15783.5747673071</v>
      </c>
      <c r="KZ23" s="329" t="n">
        <f aca="false">LA23/$F23*LA$7</f>
        <v>15783.5747673071</v>
      </c>
      <c r="LA23" s="327" t="n">
        <v>15119.34</v>
      </c>
      <c r="LB23" s="325" t="n">
        <f aca="false">(LC23*$H23+LD23*$G23)</f>
        <v>15783.5747673071</v>
      </c>
      <c r="LC23" s="329" t="n">
        <f aca="false">LD23/$F23*LD$7</f>
        <v>15783.5747673071</v>
      </c>
      <c r="LD23" s="327" t="n">
        <v>15119.34</v>
      </c>
      <c r="LE23" s="325" t="n">
        <f aca="false">(LF23*$H23+LG23*$G23)</f>
        <v>15783.5747673071</v>
      </c>
      <c r="LF23" s="329" t="n">
        <f aca="false">LG23/$F23*LG$7</f>
        <v>15783.5747673071</v>
      </c>
      <c r="LG23" s="327" t="n">
        <v>15119.34</v>
      </c>
      <c r="LH23" s="325" t="n">
        <f aca="false">(LI23*$H23+LJ23*$G23)</f>
        <v>19729.4549711586</v>
      </c>
      <c r="LI23" s="329" t="n">
        <f aca="false">LJ23/$F23*LJ$7</f>
        <v>19729.4549711586</v>
      </c>
      <c r="LJ23" s="327" t="n">
        <v>15119.34</v>
      </c>
      <c r="LM23" s="327" t="n">
        <v>15119.34</v>
      </c>
      <c r="LP23" s="327" t="n">
        <v>15119.34</v>
      </c>
      <c r="LS23" s="327" t="n">
        <v>15119.34</v>
      </c>
      <c r="LV23" s="327" t="n">
        <v>15119.34</v>
      </c>
      <c r="LY23" s="327" t="n">
        <v>15119.34</v>
      </c>
      <c r="ME23" s="327" t="n">
        <v>15119.34</v>
      </c>
      <c r="MH23" s="327" t="n">
        <v>15119.34</v>
      </c>
      <c r="MK23" s="327" t="n">
        <v>15119.34</v>
      </c>
      <c r="MN23" s="327" t="n">
        <v>15119.34</v>
      </c>
      <c r="MQ23" s="327" t="n">
        <v>15119.34</v>
      </c>
      <c r="MT23" s="327" t="n">
        <v>15119.34</v>
      </c>
      <c r="MW23" s="327" t="n">
        <v>15119.34</v>
      </c>
      <c r="MZ23" s="327" t="n">
        <v>15119.34</v>
      </c>
      <c r="NC23" s="327" t="n">
        <v>15119.34</v>
      </c>
      <c r="NF23" s="327" t="n">
        <v>15119.34</v>
      </c>
      <c r="NI23" s="327" t="n">
        <v>15119.34</v>
      </c>
      <c r="NL23" s="327" t="n">
        <v>15119.34</v>
      </c>
      <c r="NR23" s="327" t="n">
        <v>15119.34</v>
      </c>
      <c r="NU23" s="327" t="n">
        <v>15119.34</v>
      </c>
    </row>
    <row r="24" s="329" customFormat="true" ht="15" hidden="false" customHeight="false" outlineLevel="0" collapsed="false">
      <c r="A24" s="283" t="n">
        <v>4.3</v>
      </c>
      <c r="B24" s="319"/>
      <c r="C24" s="319" t="n">
        <v>3473666.4</v>
      </c>
      <c r="D24" s="319"/>
      <c r="E24" s="321"/>
      <c r="F24" s="331" t="n">
        <v>27.717006</v>
      </c>
      <c r="G24" s="323" t="n">
        <v>0</v>
      </c>
      <c r="H24" s="324" t="n">
        <f aca="false">1-G24</f>
        <v>1</v>
      </c>
      <c r="I24" s="332" t="n">
        <f aca="false">J24/F24*27.185914</f>
        <v>651354.231623113</v>
      </c>
      <c r="J24" s="319" t="n">
        <v>664078.8</v>
      </c>
      <c r="K24" s="325"/>
      <c r="L24" s="326"/>
      <c r="M24" s="327"/>
      <c r="N24" s="325"/>
      <c r="O24" s="326"/>
      <c r="P24" s="327"/>
      <c r="Q24" s="325"/>
      <c r="R24" s="326"/>
      <c r="S24" s="327"/>
      <c r="T24" s="325"/>
      <c r="U24" s="328"/>
      <c r="V24" s="327"/>
      <c r="W24" s="325"/>
      <c r="X24" s="328"/>
      <c r="Y24" s="327"/>
      <c r="AC24" s="325"/>
      <c r="AD24" s="328"/>
      <c r="AE24" s="327"/>
      <c r="AF24" s="325"/>
      <c r="AG24" s="328"/>
      <c r="AH24" s="327"/>
      <c r="AI24" s="325"/>
      <c r="AJ24" s="328"/>
      <c r="AK24" s="327"/>
      <c r="AL24" s="325"/>
      <c r="AM24" s="328"/>
      <c r="AN24" s="327"/>
      <c r="AO24" s="325"/>
      <c r="AP24" s="328"/>
      <c r="AQ24" s="327"/>
      <c r="AR24" s="325"/>
      <c r="AS24" s="328"/>
      <c r="AT24" s="327"/>
      <c r="AU24" s="325"/>
      <c r="AV24" s="328"/>
      <c r="AW24" s="327"/>
      <c r="AX24" s="325"/>
      <c r="AY24" s="328"/>
      <c r="AZ24" s="327"/>
      <c r="BA24" s="325"/>
      <c r="BB24" s="328"/>
      <c r="BC24" s="327"/>
      <c r="BD24" s="325"/>
      <c r="BE24" s="328"/>
      <c r="BF24" s="327"/>
      <c r="BG24" s="325"/>
      <c r="BH24" s="328"/>
      <c r="BI24" s="327"/>
      <c r="BJ24" s="325"/>
      <c r="BK24" s="328"/>
      <c r="BL24" s="327"/>
      <c r="BP24" s="325"/>
      <c r="BQ24" s="328"/>
      <c r="BR24" s="327"/>
      <c r="BS24" s="325"/>
      <c r="BT24" s="328"/>
      <c r="BU24" s="327"/>
      <c r="BV24" s="325"/>
      <c r="BW24" s="328"/>
      <c r="BX24" s="327"/>
      <c r="BY24" s="325"/>
      <c r="BZ24" s="328"/>
      <c r="CA24" s="327"/>
      <c r="CB24" s="325"/>
      <c r="CC24" s="328"/>
      <c r="CD24" s="327"/>
      <c r="CE24" s="325"/>
      <c r="CF24" s="328"/>
      <c r="CG24" s="327"/>
      <c r="CH24" s="325"/>
      <c r="CI24" s="328"/>
      <c r="CJ24" s="327"/>
      <c r="CK24" s="325"/>
      <c r="CL24" s="328"/>
      <c r="CM24" s="327"/>
      <c r="CN24" s="325"/>
      <c r="CO24" s="328"/>
      <c r="CP24" s="327"/>
      <c r="CQ24" s="325"/>
      <c r="CR24" s="328"/>
      <c r="CS24" s="327"/>
      <c r="CT24" s="325"/>
      <c r="CU24" s="328"/>
      <c r="CV24" s="327"/>
      <c r="CW24" s="325"/>
      <c r="CX24" s="328"/>
      <c r="CY24" s="327"/>
      <c r="DC24" s="325"/>
      <c r="DD24" s="328"/>
      <c r="DE24" s="327"/>
      <c r="DF24" s="325"/>
      <c r="DG24" s="328"/>
      <c r="DH24" s="327"/>
      <c r="DI24" s="325"/>
      <c r="DJ24" s="328"/>
      <c r="DK24" s="327"/>
      <c r="DL24" s="325"/>
      <c r="DM24" s="328"/>
      <c r="DN24" s="327"/>
      <c r="DO24" s="325"/>
      <c r="DP24" s="328"/>
      <c r="DQ24" s="327"/>
      <c r="DR24" s="325"/>
      <c r="DS24" s="328"/>
      <c r="DT24" s="327"/>
      <c r="DU24" s="325"/>
      <c r="DV24" s="328"/>
      <c r="DW24" s="327"/>
      <c r="DX24" s="325"/>
      <c r="DY24" s="328"/>
      <c r="DZ24" s="327"/>
      <c r="EA24" s="325"/>
      <c r="EB24" s="328"/>
      <c r="EC24" s="327"/>
      <c r="ED24" s="325"/>
      <c r="EE24" s="328"/>
      <c r="EF24" s="327"/>
      <c r="EG24" s="325"/>
      <c r="EH24" s="328"/>
      <c r="EI24" s="327"/>
      <c r="EJ24" s="325"/>
      <c r="EK24" s="328"/>
      <c r="EL24" s="327"/>
      <c r="EP24" s="325"/>
      <c r="EQ24" s="328"/>
      <c r="ER24" s="327"/>
      <c r="ES24" s="325"/>
      <c r="ET24" s="328"/>
      <c r="EU24" s="327"/>
      <c r="EV24" s="325"/>
      <c r="EW24" s="328"/>
      <c r="EX24" s="327"/>
      <c r="EY24" s="325"/>
      <c r="EZ24" s="328"/>
      <c r="FA24" s="327"/>
      <c r="FB24" s="325"/>
      <c r="FC24" s="328"/>
      <c r="FD24" s="327"/>
      <c r="FE24" s="325"/>
      <c r="FF24" s="328"/>
      <c r="FG24" s="327"/>
      <c r="FH24" s="325"/>
      <c r="FI24" s="328"/>
      <c r="FJ24" s="327"/>
      <c r="FK24" s="325"/>
      <c r="FL24" s="328"/>
      <c r="FM24" s="327"/>
      <c r="FN24" s="325"/>
      <c r="FO24" s="328"/>
      <c r="FP24" s="327"/>
      <c r="FQ24" s="325"/>
      <c r="FR24" s="328"/>
      <c r="FS24" s="327"/>
      <c r="FT24" s="328"/>
      <c r="FU24" s="328"/>
      <c r="FV24" s="327"/>
      <c r="FW24" s="325"/>
      <c r="FX24" s="328"/>
      <c r="FY24" s="327"/>
      <c r="GC24" s="328"/>
      <c r="GD24" s="328"/>
      <c r="GE24" s="327"/>
      <c r="GH24" s="327"/>
      <c r="GI24" s="325" t="n">
        <f aca="false">(GJ24*$H24+GK24*$G24)</f>
        <v>45898.7380988531</v>
      </c>
      <c r="GJ24" s="328" t="n">
        <f aca="false">GK24/$F24*GK$7</f>
        <v>45898.7380988531</v>
      </c>
      <c r="GK24" s="327" t="n">
        <v>46826.46</v>
      </c>
      <c r="GL24" s="325" t="n">
        <f aca="false">(GM24*$H24+GN24*$G24)</f>
        <v>45235.6159650382</v>
      </c>
      <c r="GM24" s="328" t="n">
        <f aca="false">GN24/$F24*GN$7</f>
        <v>45235.6159650382</v>
      </c>
      <c r="GN24" s="327" t="n">
        <v>46826.46</v>
      </c>
      <c r="GO24" s="325" t="n">
        <f aca="false">(GP24*$H24+GQ24*$G24)</f>
        <v>44268.4471259883</v>
      </c>
      <c r="GP24" s="328" t="n">
        <f aca="false">GQ24/$F24*GQ$7</f>
        <v>44268.4471259883</v>
      </c>
      <c r="GQ24" s="327" t="n">
        <v>46826.46</v>
      </c>
      <c r="GR24" s="325" t="n">
        <f aca="false">(GS24*$H24+GT24*$G24)</f>
        <v>44248.6907127869</v>
      </c>
      <c r="GS24" s="328" t="n">
        <f aca="false">GT24/$F24*GT$7</f>
        <v>44248.6907127869</v>
      </c>
      <c r="GT24" s="327" t="n">
        <v>46826.46</v>
      </c>
      <c r="GU24" s="325" t="n">
        <f aca="false">(GV24*$H24+GW24*$G24)</f>
        <v>43613.7012788719</v>
      </c>
      <c r="GV24" s="328" t="n">
        <f aca="false">GW24/$F24*GW$7</f>
        <v>43613.7012788719</v>
      </c>
      <c r="GW24" s="327" t="n">
        <v>46826.46</v>
      </c>
      <c r="GX24" s="325" t="n">
        <f aca="false">(GY24*$H24+GZ24*$G24)</f>
        <v>42533.0268283176</v>
      </c>
      <c r="GY24" s="328" t="n">
        <f aca="false">GZ24/$F24*GZ$7</f>
        <v>42533.0268283176</v>
      </c>
      <c r="GZ24" s="327" t="n">
        <v>46826.46</v>
      </c>
      <c r="HA24" s="325" t="n">
        <f aca="false">(HB24*$H24+HC24*$G24)</f>
        <v>41678.4512984693</v>
      </c>
      <c r="HB24" s="328" t="n">
        <f aca="false">HC24/$F24*HC$7</f>
        <v>41678.4512984693</v>
      </c>
      <c r="HC24" s="327" t="n">
        <v>46826.46</v>
      </c>
      <c r="HD24" s="325" t="n">
        <f aca="false">(HE24*$H24+HF24*$G24)</f>
        <v>42295.4683770195</v>
      </c>
      <c r="HE24" s="328" t="n">
        <f aca="false">HF24/$F24*HF$7</f>
        <v>42295.4683770195</v>
      </c>
      <c r="HF24" s="327" t="n">
        <v>46826.46</v>
      </c>
      <c r="HG24" s="325" t="n">
        <f aca="false">(HH24*$H24+HI24*$G24)</f>
        <v>40891.2949087964</v>
      </c>
      <c r="HH24" s="328" t="n">
        <f aca="false">HI24/$F24*HI$7</f>
        <v>40891.2949087964</v>
      </c>
      <c r="HI24" s="327" t="n">
        <v>46826.46</v>
      </c>
      <c r="HJ24" s="325" t="n">
        <f aca="false">(HK24*$H24+HL24*$G24)</f>
        <v>39555.2079129889</v>
      </c>
      <c r="HK24" s="328" t="n">
        <f aca="false">HL24/$F24*HL$7</f>
        <v>39555.2079129889</v>
      </c>
      <c r="HL24" s="327" t="n">
        <v>46826.46</v>
      </c>
      <c r="HP24" s="325" t="n">
        <f aca="false">(HQ24*$H24+HR24*$G24)</f>
        <v>40973.6927012247</v>
      </c>
      <c r="HQ24" s="328" t="n">
        <f aca="false">HR24/$F24*HR$7</f>
        <v>40973.6927012247</v>
      </c>
      <c r="HR24" s="327" t="n">
        <v>46826.46</v>
      </c>
      <c r="HS24" s="325" t="n">
        <f aca="false">(HT24*$H24+HU24*$G24)</f>
        <v>41295.3637353905</v>
      </c>
      <c r="HT24" s="328" t="n">
        <f aca="false">HU24/$F24*HU$7</f>
        <v>41295.3637353905</v>
      </c>
      <c r="HU24" s="327" t="n">
        <v>46826.46</v>
      </c>
      <c r="HV24" s="325" t="n">
        <f aca="false">(HW24*$H24+HX24*$G24)</f>
        <v>46970.8977279148</v>
      </c>
      <c r="HW24" s="328" t="n">
        <f aca="false">HX24/$F24*HX$7</f>
        <v>46970.8977279148</v>
      </c>
      <c r="HX24" s="327" t="n">
        <v>46826.46</v>
      </c>
      <c r="HY24" s="325" t="n">
        <f aca="false">(HZ24*$H24+IA24*$G24)</f>
        <v>45956.7216679897</v>
      </c>
      <c r="HZ24" s="328" t="n">
        <f aca="false">IA24/$F24*IA$7</f>
        <v>45956.7216679897</v>
      </c>
      <c r="IA24" s="327" t="n">
        <v>46826.46</v>
      </c>
      <c r="IB24" s="325" t="n">
        <f aca="false">(IC24*$H24+ID24*$G24)</f>
        <v>44890.341642961</v>
      </c>
      <c r="IC24" s="328" t="n">
        <f aca="false">ID24/$F24*ID$7</f>
        <v>44890.341642961</v>
      </c>
      <c r="ID24" s="327" t="n">
        <v>46826.46</v>
      </c>
      <c r="IE24" s="325" t="n">
        <f aca="false">(IF24*$H24+IG24*$G24)</f>
        <v>45215.2226296736</v>
      </c>
      <c r="IF24" s="328" t="n">
        <f aca="false">IG24/$F24*IG$7</f>
        <v>45215.2226296736</v>
      </c>
      <c r="IG24" s="327" t="n">
        <v>46826.46</v>
      </c>
      <c r="IH24" s="325" t="n">
        <f aca="false">(II24*$H24+IJ24*$G24)</f>
        <v>46630.6427579516</v>
      </c>
      <c r="II24" s="328" t="n">
        <f aca="false">IJ24/$F24*IJ$7</f>
        <v>46630.6427579516</v>
      </c>
      <c r="IJ24" s="327" t="n">
        <v>46826.46</v>
      </c>
      <c r="IK24" s="325" t="n">
        <f aca="false">(IL24*$H24+IM24*$G24)</f>
        <v>46148.9809310573</v>
      </c>
      <c r="IL24" s="328" t="n">
        <f aca="false">IM24/$F24*IM$7</f>
        <v>46148.9809310573</v>
      </c>
      <c r="IM24" s="327" t="n">
        <v>46826.46</v>
      </c>
      <c r="IN24" s="325" t="n">
        <f aca="false">(IO24*$H24+IP24*$G24)</f>
        <v>47646.1703768437</v>
      </c>
      <c r="IO24" s="328" t="n">
        <f aca="false">IP24/$F24*IP$7</f>
        <v>47646.1703768437</v>
      </c>
      <c r="IP24" s="327" t="n">
        <v>46826.46</v>
      </c>
      <c r="IQ24" s="325" t="n">
        <f aca="false">(IR24*$H24+IS24*$G24)</f>
        <v>47930.8424842856</v>
      </c>
      <c r="IR24" s="328" t="n">
        <f aca="false">IS24/$F24*IS$7</f>
        <v>47930.8424842856</v>
      </c>
      <c r="IS24" s="327" t="n">
        <v>46826.46</v>
      </c>
      <c r="IT24" s="325" t="n">
        <f aca="false">(IU24*$H24+IV24*$G24)</f>
        <v>47904.8249741693</v>
      </c>
      <c r="IU24" s="328" t="n">
        <f aca="false">IV24/$F24*IV$7</f>
        <v>47904.8249741693</v>
      </c>
      <c r="IV24" s="327" t="n">
        <v>46826.46</v>
      </c>
      <c r="IW24" s="325" t="n">
        <f aca="false">(IX24*$H24+IY24*$G24)</f>
        <v>47370.6212924296</v>
      </c>
      <c r="IX24" s="328" t="n">
        <f aca="false">IY24/$F24*IY$7</f>
        <v>47370.6212924296</v>
      </c>
      <c r="IY24" s="327" t="n">
        <v>46826.46</v>
      </c>
      <c r="JC24" s="325" t="n">
        <f aca="false">(JD24*$H24+JE24*$G24)</f>
        <v>47648.3666601652</v>
      </c>
      <c r="JD24" s="329" t="n">
        <f aca="false">JE24/$F24*JE$7</f>
        <v>47648.3666601652</v>
      </c>
      <c r="JE24" s="327" t="n">
        <v>46826.46</v>
      </c>
      <c r="JF24" s="325" t="n">
        <f aca="false">(JG24*$H24+JH24*$G24)</f>
        <v>47186.9782177772</v>
      </c>
      <c r="JG24" s="326" t="n">
        <f aca="false">JH24/$F24*JH$7</f>
        <v>47186.9782177772</v>
      </c>
      <c r="JH24" s="327" t="n">
        <v>46826.46</v>
      </c>
      <c r="JI24" s="325" t="n">
        <f aca="false">(JJ24*$H24+JK24*$G24)</f>
        <v>46828.8150915001</v>
      </c>
      <c r="JJ24" s="326" t="n">
        <f aca="false">JK24/$F24*JK$7</f>
        <v>46828.8150915001</v>
      </c>
      <c r="JK24" s="327" t="n">
        <v>46826.46</v>
      </c>
      <c r="JL24" s="325" t="n">
        <f aca="false">(JM24*$H24+JN24*$G24)</f>
        <v>47320.7825555184</v>
      </c>
      <c r="JM24" s="326" t="n">
        <f aca="false">JN24/$F24*JN$7</f>
        <v>47320.7825555184</v>
      </c>
      <c r="JN24" s="327" t="n">
        <v>46826.46</v>
      </c>
      <c r="JO24" s="325" t="n">
        <f aca="false">(JP24*$H24+JQ24*$G24)</f>
        <v>46403.2429617398</v>
      </c>
      <c r="JP24" s="326" t="n">
        <f aca="false">JQ24/$F24*JQ$7</f>
        <v>46403.2429617398</v>
      </c>
      <c r="JQ24" s="327" t="n">
        <v>46826.46</v>
      </c>
      <c r="JR24" s="325" t="n">
        <f aca="false">(JS24*$H24+JT24*$G24)</f>
        <v>45942.0234642226</v>
      </c>
      <c r="JS24" s="328" t="n">
        <f aca="false">JT24/$F24*JT$7</f>
        <v>45942.0234642226</v>
      </c>
      <c r="JT24" s="327" t="n">
        <v>46826.46</v>
      </c>
      <c r="JU24" s="325" t="n">
        <f aca="false">(JV24*$H24+JW24*$G24)</f>
        <v>45987.6385793617</v>
      </c>
      <c r="JV24" s="329" t="n">
        <f aca="false">JW24/$F24*JW$7</f>
        <v>45987.6385793617</v>
      </c>
      <c r="JW24" s="327" t="n">
        <v>46826.46</v>
      </c>
      <c r="JX24" s="325" t="n">
        <f aca="false">(JY24*$H24+JZ24*$G24)</f>
        <v>45016.2055717706</v>
      </c>
      <c r="JY24" s="329" t="n">
        <f aca="false">JZ24/$F24*JZ$7</f>
        <v>45016.2055717706</v>
      </c>
      <c r="JZ24" s="327" t="n">
        <v>46826.46</v>
      </c>
      <c r="KA24" s="325" t="n">
        <f aca="false">(KB24*$H24+KC24*$G24)</f>
        <v>45113.010982788</v>
      </c>
      <c r="KB24" s="329" t="n">
        <f aca="false">KC24/$F24*KC$7</f>
        <v>45113.010982788</v>
      </c>
      <c r="KC24" s="327" t="n">
        <v>46826.46</v>
      </c>
      <c r="KD24" s="325" t="n">
        <f aca="false">(KE24*$H24+KF24*$G24)</f>
        <v>44385.1964790136</v>
      </c>
      <c r="KE24" s="329" t="n">
        <f aca="false">KF24/$F24*KF$7</f>
        <v>44385.1964790136</v>
      </c>
      <c r="KF24" s="327" t="n">
        <v>46826.46</v>
      </c>
      <c r="KG24" s="325" t="n">
        <f aca="false">(KH24*$H24+KI24*$G24)</f>
        <v>45038.6752395984</v>
      </c>
      <c r="KH24" s="329" t="n">
        <f aca="false">KI24/$F24*KI$7</f>
        <v>45038.6752395984</v>
      </c>
      <c r="KI24" s="327" t="n">
        <v>46826.46</v>
      </c>
      <c r="KJ24" s="325" t="n">
        <f aca="false">(KK24*$H24+KL24*$G24)</f>
        <v>46095.9322415993</v>
      </c>
      <c r="KK24" s="329" t="n">
        <f aca="false">KL24/$F24*KL$7</f>
        <v>46095.9322415993</v>
      </c>
      <c r="KL24" s="327" t="n">
        <v>46826.46</v>
      </c>
      <c r="KP24" s="325" t="n">
        <f aca="false">(KQ24*$H24+KR24*$G24)</f>
        <v>47997.4067634145</v>
      </c>
      <c r="KQ24" s="329" t="n">
        <f aca="false">KR24/$F24*KR$7</f>
        <v>47997.4067634145</v>
      </c>
      <c r="KR24" s="327" t="n">
        <v>46826.46</v>
      </c>
      <c r="KS24" s="325" t="n">
        <f aca="false">(KT24*$H24+KU24*$G24)</f>
        <v>48973.2323376486</v>
      </c>
      <c r="KT24" s="329" t="n">
        <f aca="false">KU24/$F24*KU$7</f>
        <v>48973.2323376486</v>
      </c>
      <c r="KU24" s="327" t="n">
        <v>46826.46</v>
      </c>
      <c r="KV24" s="325" t="n">
        <f aca="false">(KW24*$H24+KX24*$G24)</f>
        <v>49424.6530326544</v>
      </c>
      <c r="KW24" s="329" t="n">
        <f aca="false">KX24/$F24*KX$7</f>
        <v>49424.6530326544</v>
      </c>
      <c r="KX24" s="327" t="n">
        <v>46826.46</v>
      </c>
      <c r="KY24" s="325" t="n">
        <f aca="false">(KZ24*$H24+LA24*$G24)</f>
        <v>49424.6530326544</v>
      </c>
      <c r="KZ24" s="329" t="n">
        <f aca="false">LA24/$F24*LA$7</f>
        <v>49424.6530326544</v>
      </c>
      <c r="LA24" s="327" t="n">
        <v>46826.46</v>
      </c>
      <c r="LB24" s="325" t="n">
        <f aca="false">(LC24*$H24+LD24*$G24)</f>
        <v>49424.6530326544</v>
      </c>
      <c r="LC24" s="329" t="n">
        <f aca="false">LD24/$F24*LD$7</f>
        <v>49424.6530326544</v>
      </c>
      <c r="LD24" s="327" t="n">
        <v>46826.46</v>
      </c>
      <c r="LE24" s="325" t="n">
        <f aca="false">(LF24*$H24+LG24*$G24)</f>
        <v>49424.6530326544</v>
      </c>
      <c r="LF24" s="329" t="n">
        <f aca="false">LG24/$F24*LG$7</f>
        <v>49424.6530326544</v>
      </c>
      <c r="LG24" s="327" t="n">
        <v>46826.46</v>
      </c>
      <c r="LH24" s="325" t="n">
        <f aca="false">(LI24*$H24+LJ24*$G24)</f>
        <v>61780.7740546003</v>
      </c>
      <c r="LI24" s="329" t="n">
        <f aca="false">LJ24/$F24*LJ$7</f>
        <v>61780.7740546003</v>
      </c>
      <c r="LJ24" s="327" t="n">
        <v>46826.46</v>
      </c>
      <c r="LM24" s="327" t="n">
        <v>46826.46</v>
      </c>
      <c r="LP24" s="327" t="n">
        <v>46826.46</v>
      </c>
      <c r="LS24" s="327" t="n">
        <v>46826.46</v>
      </c>
      <c r="LV24" s="327" t="n">
        <v>46826.46</v>
      </c>
      <c r="LY24" s="327" t="n">
        <v>46826.46</v>
      </c>
      <c r="ME24" s="327" t="n">
        <v>46826.46</v>
      </c>
      <c r="MH24" s="327" t="n">
        <v>46826.46</v>
      </c>
      <c r="MK24" s="327" t="n">
        <v>46826.46</v>
      </c>
      <c r="MN24" s="327" t="n">
        <v>46826.46</v>
      </c>
      <c r="MQ24" s="327" t="n">
        <v>46826.46</v>
      </c>
      <c r="MT24" s="327" t="n">
        <v>46826.46</v>
      </c>
      <c r="MW24" s="327" t="n">
        <v>46826.46</v>
      </c>
      <c r="MZ24" s="327" t="n">
        <v>46826.46</v>
      </c>
      <c r="NC24" s="327" t="n">
        <v>46826.46</v>
      </c>
      <c r="NF24" s="327" t="n">
        <v>46826.46</v>
      </c>
      <c r="NI24" s="327" t="n">
        <v>46826.46</v>
      </c>
      <c r="NL24" s="327" t="n">
        <v>46826.46</v>
      </c>
      <c r="NR24" s="327" t="n">
        <v>46826.46</v>
      </c>
      <c r="NU24" s="327" t="n">
        <v>46826.46</v>
      </c>
    </row>
    <row r="25" s="329" customFormat="true" ht="15" hidden="false" customHeight="false" outlineLevel="0" collapsed="false">
      <c r="A25" s="283" t="n">
        <v>4.4</v>
      </c>
      <c r="B25" s="319"/>
      <c r="C25" s="320" t="n">
        <v>27260196</v>
      </c>
      <c r="D25" s="319"/>
      <c r="E25" s="321"/>
      <c r="F25" s="331" t="n">
        <v>28.023739</v>
      </c>
      <c r="G25" s="323" t="n">
        <v>0</v>
      </c>
      <c r="H25" s="324" t="n">
        <f aca="false">1-G25</f>
        <v>1</v>
      </c>
      <c r="I25" s="332" t="n">
        <f aca="false">J25/F25*27.185914</f>
        <v>5921425.44103041</v>
      </c>
      <c r="J25" s="319" t="n">
        <v>6103914</v>
      </c>
      <c r="K25" s="325"/>
      <c r="L25" s="326"/>
      <c r="M25" s="327"/>
      <c r="N25" s="325"/>
      <c r="O25" s="326"/>
      <c r="P25" s="327"/>
      <c r="Q25" s="325"/>
      <c r="R25" s="326"/>
      <c r="S25" s="327"/>
      <c r="T25" s="325"/>
      <c r="U25" s="328"/>
      <c r="V25" s="327"/>
      <c r="W25" s="325"/>
      <c r="X25" s="328"/>
      <c r="Y25" s="327"/>
      <c r="AC25" s="325"/>
      <c r="AD25" s="328"/>
      <c r="AE25" s="327"/>
      <c r="AF25" s="325"/>
      <c r="AG25" s="328"/>
      <c r="AH25" s="327"/>
      <c r="AI25" s="325"/>
      <c r="AJ25" s="328"/>
      <c r="AK25" s="327"/>
      <c r="AL25" s="325"/>
      <c r="AM25" s="328"/>
      <c r="AN25" s="327"/>
      <c r="AO25" s="325"/>
      <c r="AP25" s="328"/>
      <c r="AQ25" s="327"/>
      <c r="AR25" s="325"/>
      <c r="AS25" s="328"/>
      <c r="AT25" s="327"/>
      <c r="AU25" s="325"/>
      <c r="AV25" s="328"/>
      <c r="AW25" s="327"/>
      <c r="AX25" s="325"/>
      <c r="AY25" s="328"/>
      <c r="AZ25" s="327"/>
      <c r="BA25" s="325"/>
      <c r="BB25" s="328"/>
      <c r="BC25" s="327"/>
      <c r="BD25" s="325"/>
      <c r="BE25" s="328"/>
      <c r="BF25" s="327"/>
      <c r="BG25" s="325"/>
      <c r="BH25" s="328"/>
      <c r="BI25" s="327"/>
      <c r="BJ25" s="325"/>
      <c r="BK25" s="328"/>
      <c r="BL25" s="327"/>
      <c r="BP25" s="325"/>
      <c r="BQ25" s="328"/>
      <c r="BR25" s="327"/>
      <c r="BS25" s="325"/>
      <c r="BT25" s="328"/>
      <c r="BU25" s="327"/>
      <c r="BV25" s="325"/>
      <c r="BW25" s="328"/>
      <c r="BX25" s="327"/>
      <c r="BY25" s="325"/>
      <c r="BZ25" s="328"/>
      <c r="CA25" s="327"/>
      <c r="CB25" s="325"/>
      <c r="CC25" s="328"/>
      <c r="CD25" s="327"/>
      <c r="CE25" s="325"/>
      <c r="CF25" s="328"/>
      <c r="CG25" s="327"/>
      <c r="CH25" s="325"/>
      <c r="CI25" s="328"/>
      <c r="CJ25" s="327"/>
      <c r="CK25" s="325"/>
      <c r="CL25" s="328"/>
      <c r="CM25" s="327"/>
      <c r="CN25" s="325"/>
      <c r="CO25" s="328"/>
      <c r="CP25" s="327"/>
      <c r="CQ25" s="325"/>
      <c r="CR25" s="328"/>
      <c r="CS25" s="327"/>
      <c r="CT25" s="325"/>
      <c r="CU25" s="328"/>
      <c r="CV25" s="327"/>
      <c r="CW25" s="325"/>
      <c r="CX25" s="328"/>
      <c r="CY25" s="327"/>
      <c r="DC25" s="325"/>
      <c r="DD25" s="328"/>
      <c r="DE25" s="327"/>
      <c r="DF25" s="325"/>
      <c r="DG25" s="328"/>
      <c r="DH25" s="327"/>
      <c r="DI25" s="325"/>
      <c r="DJ25" s="328"/>
      <c r="DK25" s="327"/>
      <c r="DL25" s="325"/>
      <c r="DM25" s="328"/>
      <c r="DN25" s="327"/>
      <c r="DO25" s="325"/>
      <c r="DP25" s="328"/>
      <c r="DQ25" s="327"/>
      <c r="DR25" s="325"/>
      <c r="DS25" s="328"/>
      <c r="DT25" s="327"/>
      <c r="DU25" s="325"/>
      <c r="DV25" s="328"/>
      <c r="DW25" s="327"/>
      <c r="DX25" s="325"/>
      <c r="DY25" s="328"/>
      <c r="DZ25" s="327"/>
      <c r="EA25" s="325"/>
      <c r="EB25" s="328"/>
      <c r="EC25" s="327"/>
      <c r="ED25" s="325"/>
      <c r="EE25" s="328"/>
      <c r="EF25" s="327"/>
      <c r="EG25" s="325"/>
      <c r="EH25" s="328"/>
      <c r="EI25" s="327"/>
      <c r="EJ25" s="325"/>
      <c r="EK25" s="328"/>
      <c r="EL25" s="327"/>
      <c r="EP25" s="325"/>
      <c r="EQ25" s="328"/>
      <c r="ER25" s="327"/>
      <c r="ES25" s="325"/>
      <c r="ET25" s="328"/>
      <c r="EU25" s="327"/>
      <c r="EV25" s="325"/>
      <c r="EW25" s="328"/>
      <c r="EX25" s="327"/>
      <c r="EY25" s="325"/>
      <c r="EZ25" s="328"/>
      <c r="FA25" s="327"/>
      <c r="FB25" s="325"/>
      <c r="FC25" s="328"/>
      <c r="FD25" s="327"/>
      <c r="FE25" s="325"/>
      <c r="FF25" s="328"/>
      <c r="FG25" s="327"/>
      <c r="FH25" s="325"/>
      <c r="FI25" s="328"/>
      <c r="FJ25" s="327"/>
      <c r="FK25" s="325"/>
      <c r="FL25" s="328"/>
      <c r="FM25" s="327"/>
      <c r="FN25" s="325"/>
      <c r="FO25" s="328"/>
      <c r="FP25" s="327"/>
      <c r="FQ25" s="325"/>
      <c r="FR25" s="328"/>
      <c r="FS25" s="327"/>
      <c r="FT25" s="328"/>
      <c r="FU25" s="328"/>
      <c r="FV25" s="327"/>
      <c r="FW25" s="325"/>
      <c r="FX25" s="328"/>
      <c r="FY25" s="327"/>
      <c r="GC25" s="328"/>
      <c r="GD25" s="328"/>
      <c r="GE25" s="327"/>
      <c r="GH25" s="327"/>
      <c r="GI25" s="325" t="n">
        <f aca="false">(GJ25*$H25+GK25*$G25)</f>
        <v>341835.963588988</v>
      </c>
      <c r="GJ25" s="328" t="n">
        <f aca="false">GK25/$F25*GK$7</f>
        <v>341835.963588988</v>
      </c>
      <c r="GK25" s="327" t="n">
        <v>352604.7</v>
      </c>
      <c r="GL25" s="325" t="n">
        <f aca="false">(GM25*$H25+GN25*$G25)</f>
        <v>336897.28764758</v>
      </c>
      <c r="GM25" s="328" t="n">
        <f aca="false">GN25/$F25*GN$7</f>
        <v>336897.28764758</v>
      </c>
      <c r="GN25" s="327" t="n">
        <v>352604.7</v>
      </c>
      <c r="GO25" s="325" t="n">
        <f aca="false">(GP25*$H25+GQ25*$G25)</f>
        <v>329694.190008211</v>
      </c>
      <c r="GP25" s="328" t="n">
        <f aca="false">GQ25/$F25*GQ$7</f>
        <v>329694.190008211</v>
      </c>
      <c r="GQ25" s="327" t="n">
        <v>352604.7</v>
      </c>
      <c r="GR25" s="325" t="n">
        <f aca="false">(GS25*$H25+GT25*$G25)</f>
        <v>329547.051920684</v>
      </c>
      <c r="GS25" s="328" t="n">
        <f aca="false">GT25/$F25*GT$7</f>
        <v>329547.051920684</v>
      </c>
      <c r="GT25" s="327" t="n">
        <v>352604.7</v>
      </c>
      <c r="GU25" s="325" t="n">
        <f aca="false">(GV25*$H25+GW25*$G25)</f>
        <v>324817.89739483</v>
      </c>
      <c r="GV25" s="328" t="n">
        <f aca="false">GW25/$F25*GW$7</f>
        <v>324817.89739483</v>
      </c>
      <c r="GW25" s="327" t="n">
        <v>352604.7</v>
      </c>
      <c r="GX25" s="325" t="n">
        <f aca="false">(GY25*$H25+GZ25*$G25)</f>
        <v>316769.45407302</v>
      </c>
      <c r="GY25" s="328" t="n">
        <f aca="false">GZ25/$F25*GZ$7</f>
        <v>316769.45407302</v>
      </c>
      <c r="GZ25" s="327" t="n">
        <v>352604.7</v>
      </c>
      <c r="HA25" s="325" t="n">
        <f aca="false">(HB25*$H25+HC25*$G25)</f>
        <v>310404.907643091</v>
      </c>
      <c r="HB25" s="328" t="n">
        <f aca="false">HC25/$F25*HC$7</f>
        <v>310404.907643091</v>
      </c>
      <c r="HC25" s="327" t="n">
        <v>352604.7</v>
      </c>
      <c r="HD25" s="325" t="n">
        <f aca="false">(HE25*$H25+HF25*$G25)</f>
        <v>315000.211050842</v>
      </c>
      <c r="HE25" s="328" t="n">
        <f aca="false">HF25/$F25*HF$7</f>
        <v>315000.211050842</v>
      </c>
      <c r="HF25" s="327" t="n">
        <v>352604.7</v>
      </c>
      <c r="HG25" s="325" t="n">
        <f aca="false">(HH25*$H25+HI25*$G25)</f>
        <v>304542.472767877</v>
      </c>
      <c r="HH25" s="328" t="n">
        <f aca="false">HI25/$F25*HI$7</f>
        <v>304542.472767877</v>
      </c>
      <c r="HI25" s="327" t="n">
        <v>352604.7</v>
      </c>
      <c r="HJ25" s="325" t="n">
        <f aca="false">(HK25*$H25+HL25*$G25)</f>
        <v>294591.816070803</v>
      </c>
      <c r="HK25" s="328" t="n">
        <f aca="false">HL25/$F25*HL$7</f>
        <v>294591.816070803</v>
      </c>
      <c r="HL25" s="327" t="n">
        <v>352604.7</v>
      </c>
      <c r="HP25" s="325" t="n">
        <f aca="false">(HQ25*$H25+HR25*$G25)</f>
        <v>305156.139503369</v>
      </c>
      <c r="HQ25" s="328" t="n">
        <f aca="false">HR25/$F25*HR$7</f>
        <v>305156.139503369</v>
      </c>
      <c r="HR25" s="327" t="n">
        <v>352604.7</v>
      </c>
      <c r="HS25" s="325" t="n">
        <f aca="false">(HT25*$H25+HU25*$G25)</f>
        <v>307551.820353808</v>
      </c>
      <c r="HT25" s="328" t="n">
        <f aca="false">HU25/$F25*HU$7</f>
        <v>307551.820353808</v>
      </c>
      <c r="HU25" s="327" t="n">
        <v>352604.7</v>
      </c>
      <c r="HV25" s="325" t="n">
        <f aca="false">(HW25*$H25+HX25*$G25)</f>
        <v>349820.991829463</v>
      </c>
      <c r="HW25" s="328" t="n">
        <f aca="false">HX25/$F25*HX$7</f>
        <v>349820.991829463</v>
      </c>
      <c r="HX25" s="327" t="n">
        <v>352604.7</v>
      </c>
      <c r="HY25" s="325" t="n">
        <f aca="false">(HZ25*$H25+IA25*$G25)</f>
        <v>342267.80267758</v>
      </c>
      <c r="HZ25" s="328" t="n">
        <f aca="false">IA25/$F25*IA$7</f>
        <v>342267.80267758</v>
      </c>
      <c r="IA25" s="327" t="n">
        <v>352604.7</v>
      </c>
      <c r="IB25" s="325" t="n">
        <f aca="false">(IC25*$H25+ID25*$G25)</f>
        <v>334325.818681797</v>
      </c>
      <c r="IC25" s="328" t="n">
        <f aca="false">ID25/$F25*ID$7</f>
        <v>334325.818681797</v>
      </c>
      <c r="ID25" s="327" t="n">
        <v>352604.7</v>
      </c>
      <c r="IE25" s="325" t="n">
        <f aca="false">(IF25*$H25+IG25*$G25)</f>
        <v>336745.406011311</v>
      </c>
      <c r="IF25" s="328" t="n">
        <f aca="false">IG25/$F25*IG$7</f>
        <v>336745.406011311</v>
      </c>
      <c r="IG25" s="327" t="n">
        <v>352604.7</v>
      </c>
      <c r="IH25" s="325" t="n">
        <f aca="false">(II25*$H25+IJ25*$G25)</f>
        <v>347286.905047538</v>
      </c>
      <c r="II25" s="328" t="n">
        <f aca="false">IJ25/$F25*IJ$7</f>
        <v>347286.905047538</v>
      </c>
      <c r="IJ25" s="327" t="n">
        <v>352604.7</v>
      </c>
      <c r="IK25" s="325" t="n">
        <f aca="false">(IL25*$H25+IM25*$G25)</f>
        <v>343699.674950584</v>
      </c>
      <c r="IL25" s="328" t="n">
        <f aca="false">IM25/$F25*IM$7</f>
        <v>343699.674950584</v>
      </c>
      <c r="IM25" s="327" t="n">
        <v>352604.7</v>
      </c>
      <c r="IN25" s="325" t="n">
        <f aca="false">(IO25*$H25+IP25*$G25)</f>
        <v>354850.160085348</v>
      </c>
      <c r="IO25" s="328" t="n">
        <f aca="false">IP25/$F25*IP$7</f>
        <v>354850.160085348</v>
      </c>
      <c r="IP25" s="327" t="n">
        <v>352604.7</v>
      </c>
      <c r="IQ25" s="325" t="n">
        <f aca="false">(IR25*$H25+IS25*$G25)</f>
        <v>356970.287308557</v>
      </c>
      <c r="IR25" s="328" t="n">
        <f aca="false">IS25/$F25*IS$7</f>
        <v>356970.287308557</v>
      </c>
      <c r="IS25" s="327" t="n">
        <v>352604.7</v>
      </c>
      <c r="IT25" s="325" t="n">
        <f aca="false">(IU25*$H25+IV25*$G25)</f>
        <v>356776.519004477</v>
      </c>
      <c r="IU25" s="328" t="n">
        <f aca="false">IV25/$F25*IV$7</f>
        <v>356776.519004477</v>
      </c>
      <c r="IV25" s="327" t="n">
        <v>352604.7</v>
      </c>
      <c r="IW25" s="325" t="n">
        <f aca="false">(IX25*$H25+IY25*$G25)</f>
        <v>268126.450963449</v>
      </c>
      <c r="IX25" s="328" t="n">
        <f aca="false">IY25/$F25*IY$7</f>
        <v>268126.450963449</v>
      </c>
      <c r="IY25" s="327" t="n">
        <v>267979.56</v>
      </c>
      <c r="JC25" s="325" t="n">
        <f aca="false">(JD25*$H25+JE25*$G25)</f>
        <v>269698.540957008</v>
      </c>
      <c r="JD25" s="329" t="n">
        <f aca="false">JE25/$F25*JE$7</f>
        <v>269698.540957008</v>
      </c>
      <c r="JE25" s="327" t="n">
        <v>267979.56</v>
      </c>
      <c r="JF25" s="325" t="n">
        <f aca="false">(JG25*$H25+JH25*$G25)</f>
        <v>267086.997299825</v>
      </c>
      <c r="JG25" s="326" t="n">
        <f aca="false">JH25/$F25*JH$7</f>
        <v>267086.997299825</v>
      </c>
      <c r="JH25" s="327" t="n">
        <v>267979.56</v>
      </c>
      <c r="JI25" s="325" t="n">
        <f aca="false">(JJ25*$H25+JK25*$G25)</f>
        <v>265059.727965066</v>
      </c>
      <c r="JJ25" s="326" t="n">
        <f aca="false">JK25/$F25*JK$7</f>
        <v>265059.727965066</v>
      </c>
      <c r="JK25" s="327" t="n">
        <v>267979.56</v>
      </c>
      <c r="JL25" s="325" t="n">
        <f aca="false">(JM25*$H25+JN25*$G25)</f>
        <v>267844.354522999</v>
      </c>
      <c r="JM25" s="326" t="n">
        <f aca="false">JN25/$F25*JN$7</f>
        <v>267844.354522999</v>
      </c>
      <c r="JN25" s="327" t="n">
        <v>267979.56</v>
      </c>
      <c r="JO25" s="325" t="n">
        <f aca="false">(JP25*$H25+JQ25*$G25)</f>
        <v>262650.911241359</v>
      </c>
      <c r="JP25" s="326" t="n">
        <f aca="false">JQ25/$F25*JQ$7</f>
        <v>262650.911241359</v>
      </c>
      <c r="JQ25" s="327" t="n">
        <v>267979.56</v>
      </c>
      <c r="JR25" s="325" t="n">
        <f aca="false">(JS25*$H25+JT25*$G25)</f>
        <v>260040.323843296</v>
      </c>
      <c r="JS25" s="328" t="n">
        <f aca="false">JT25/$F25*JT$7</f>
        <v>260040.323843296</v>
      </c>
      <c r="JT25" s="327" t="n">
        <v>267979.56</v>
      </c>
      <c r="JU25" s="325" t="n">
        <f aca="false">(JV25*$H25+JW25*$G25)</f>
        <v>184948.934817727</v>
      </c>
      <c r="JV25" s="329" t="n">
        <f aca="false">JW25/$F25*JW$7</f>
        <v>184948.934817727</v>
      </c>
      <c r="JW25" s="327" t="n">
        <v>190406.52</v>
      </c>
      <c r="JX25" s="325" t="n">
        <f aca="false">(JY25*$H25+JZ25*$G25)</f>
        <v>181042.113211945</v>
      </c>
      <c r="JY25" s="329" t="n">
        <f aca="false">JZ25/$F25*JZ$7</f>
        <v>181042.113211945</v>
      </c>
      <c r="JZ25" s="327" t="n">
        <v>190406.52</v>
      </c>
      <c r="KA25" s="325" t="n">
        <f aca="false">(KB25*$H25+KC25*$G25)</f>
        <v>181431.436478052</v>
      </c>
      <c r="KB25" s="329" t="n">
        <f aca="false">KC25/$F25*KC$7</f>
        <v>181431.436478052</v>
      </c>
      <c r="KC25" s="327" t="n">
        <v>190406.52</v>
      </c>
      <c r="KD25" s="325" t="n">
        <f aca="false">(KE25*$H25+KF25*$G25)</f>
        <v>178504.377786276</v>
      </c>
      <c r="KE25" s="329" t="n">
        <f aca="false">KF25/$F25*KF$7</f>
        <v>178504.377786276</v>
      </c>
      <c r="KF25" s="327" t="n">
        <v>190406.52</v>
      </c>
      <c r="KG25" s="325" t="n">
        <f aca="false">(KH25*$H25+KI25*$G25)</f>
        <v>181132.479694305</v>
      </c>
      <c r="KH25" s="329" t="n">
        <f aca="false">KI25/$F25*KI$7</f>
        <v>181132.479694305</v>
      </c>
      <c r="KI25" s="327" t="n">
        <v>190406.52</v>
      </c>
      <c r="KJ25" s="325" t="n">
        <f aca="false">(KK25*$H25+KL25*$G25)</f>
        <v>185384.460495867</v>
      </c>
      <c r="KK25" s="329" t="n">
        <f aca="false">KL25/$F25*KL$7</f>
        <v>185384.460495867</v>
      </c>
      <c r="KL25" s="327" t="n">
        <v>190406.52</v>
      </c>
      <c r="KP25" s="325" t="n">
        <f aca="false">(KQ25*$H25+KR25*$G25)</f>
        <v>193031.639134664</v>
      </c>
      <c r="KQ25" s="329" t="n">
        <f aca="false">KR25/$F25*KR$7</f>
        <v>193031.639134664</v>
      </c>
      <c r="KR25" s="327" t="n">
        <v>190406.52</v>
      </c>
      <c r="KS25" s="325" t="n">
        <f aca="false">(KT25*$H25+KU25*$G25)</f>
        <v>196956.126368576</v>
      </c>
      <c r="KT25" s="329" t="n">
        <f aca="false">KU25/$F25*KU$7</f>
        <v>196956.126368576</v>
      </c>
      <c r="KU25" s="327" t="n">
        <v>190406.52</v>
      </c>
      <c r="KV25" s="325" t="n">
        <f aca="false">(KW25*$H25+KX25*$G25)</f>
        <v>198771.609382602</v>
      </c>
      <c r="KW25" s="329" t="n">
        <f aca="false">KX25/$F25*KX$7</f>
        <v>198771.609382602</v>
      </c>
      <c r="KX25" s="327" t="n">
        <v>190406.52</v>
      </c>
      <c r="KY25" s="325" t="n">
        <f aca="false">(KZ25*$H25+LA25*$G25)</f>
        <v>198771.609382602</v>
      </c>
      <c r="KZ25" s="329" t="n">
        <f aca="false">LA25/$F25*LA$7</f>
        <v>198771.609382602</v>
      </c>
      <c r="LA25" s="327" t="n">
        <v>190406.52</v>
      </c>
      <c r="LB25" s="325" t="n">
        <f aca="false">(LC25*$H25+LD25*$G25)</f>
        <v>198771.609382602</v>
      </c>
      <c r="LC25" s="329" t="n">
        <f aca="false">LD25/$F25*LD$7</f>
        <v>198771.609382602</v>
      </c>
      <c r="LD25" s="327" t="n">
        <v>190406.52</v>
      </c>
      <c r="LE25" s="325" t="n">
        <f aca="false">(LF25*$H25+LG25*$G25)</f>
        <v>198771.609382602</v>
      </c>
      <c r="LF25" s="329" t="n">
        <f aca="false">LG25/$F25*LG$7</f>
        <v>198771.609382602</v>
      </c>
      <c r="LG25" s="327" t="n">
        <v>190406.52</v>
      </c>
      <c r="LH25" s="325" t="n">
        <f aca="false">(LI25*$H25+LJ25*$G25)</f>
        <v>248464.341866444</v>
      </c>
      <c r="LI25" s="329" t="n">
        <f aca="false">LJ25/$F25*LJ$7</f>
        <v>248464.341866444</v>
      </c>
      <c r="LJ25" s="327" t="n">
        <v>190406.52</v>
      </c>
      <c r="LM25" s="327" t="n">
        <v>190406.52</v>
      </c>
      <c r="LP25" s="327" t="n">
        <v>190406.52</v>
      </c>
      <c r="LS25" s="327" t="n">
        <v>190406.52</v>
      </c>
      <c r="LV25" s="327" t="n">
        <v>190406.52</v>
      </c>
      <c r="LY25" s="327" t="n">
        <v>190406.52</v>
      </c>
      <c r="ME25" s="327" t="n">
        <v>190406.52</v>
      </c>
      <c r="MH25" s="327" t="n">
        <v>190406.52</v>
      </c>
      <c r="MK25" s="327" t="n">
        <v>190406.52</v>
      </c>
      <c r="MN25" s="327" t="n">
        <v>190406.52</v>
      </c>
      <c r="MQ25" s="327" t="n">
        <v>190406.52</v>
      </c>
      <c r="MT25" s="327" t="n">
        <v>190406.52</v>
      </c>
      <c r="MW25" s="327" t="n">
        <v>190406.52</v>
      </c>
      <c r="MZ25" s="327" t="n">
        <v>190406.52</v>
      </c>
      <c r="NC25" s="327" t="n">
        <v>190406.52</v>
      </c>
      <c r="NF25" s="327" t="n">
        <v>190406.52</v>
      </c>
      <c r="NI25" s="327" t="n">
        <v>190406.52</v>
      </c>
      <c r="NL25" s="327" t="n">
        <v>190406.52</v>
      </c>
      <c r="NR25" s="327" t="n">
        <v>190406.52</v>
      </c>
      <c r="NU25" s="327" t="n">
        <v>190406.52</v>
      </c>
    </row>
    <row r="26" s="329" customFormat="true" ht="15" hidden="false" customHeight="false" outlineLevel="0" collapsed="false">
      <c r="A26" s="283" t="n">
        <v>4.5</v>
      </c>
      <c r="B26" s="319"/>
      <c r="C26" s="320" t="n">
        <v>2809771.56</v>
      </c>
      <c r="D26" s="319"/>
      <c r="E26" s="321"/>
      <c r="F26" s="331" t="n">
        <v>27.948597</v>
      </c>
      <c r="G26" s="323" t="n">
        <v>0</v>
      </c>
      <c r="H26" s="324" t="n">
        <f aca="false">1-G26</f>
        <v>1</v>
      </c>
      <c r="I26" s="332" t="n">
        <f aca="false">J26/F26*27.185914</f>
        <v>490919.145125097</v>
      </c>
      <c r="J26" s="319" t="n">
        <v>504691.56</v>
      </c>
      <c r="K26" s="325"/>
      <c r="L26" s="326"/>
      <c r="M26" s="327"/>
      <c r="N26" s="325"/>
      <c r="O26" s="326"/>
      <c r="P26" s="327"/>
      <c r="Q26" s="325"/>
      <c r="R26" s="326"/>
      <c r="S26" s="327"/>
      <c r="T26" s="325"/>
      <c r="U26" s="328"/>
      <c r="V26" s="327"/>
      <c r="W26" s="325"/>
      <c r="X26" s="328"/>
      <c r="Y26" s="327"/>
      <c r="AC26" s="325"/>
      <c r="AD26" s="328"/>
      <c r="AE26" s="327"/>
      <c r="AF26" s="325"/>
      <c r="AG26" s="328"/>
      <c r="AH26" s="327"/>
      <c r="AI26" s="325"/>
      <c r="AJ26" s="328"/>
      <c r="AK26" s="327"/>
      <c r="AL26" s="325"/>
      <c r="AM26" s="328"/>
      <c r="AN26" s="327"/>
      <c r="AO26" s="325"/>
      <c r="AP26" s="328"/>
      <c r="AQ26" s="327"/>
      <c r="AR26" s="325"/>
      <c r="AS26" s="328"/>
      <c r="AT26" s="327"/>
      <c r="AU26" s="325"/>
      <c r="AV26" s="328"/>
      <c r="AW26" s="327"/>
      <c r="AX26" s="325"/>
      <c r="AY26" s="328"/>
      <c r="AZ26" s="327"/>
      <c r="BA26" s="325"/>
      <c r="BB26" s="328"/>
      <c r="BC26" s="327"/>
      <c r="BD26" s="325"/>
      <c r="BE26" s="328"/>
      <c r="BF26" s="327"/>
      <c r="BG26" s="325"/>
      <c r="BH26" s="328"/>
      <c r="BI26" s="327"/>
      <c r="BJ26" s="325"/>
      <c r="BK26" s="328"/>
      <c r="BL26" s="327"/>
      <c r="BP26" s="325"/>
      <c r="BQ26" s="328"/>
      <c r="BR26" s="327"/>
      <c r="BS26" s="325"/>
      <c r="BT26" s="328"/>
      <c r="BU26" s="327"/>
      <c r="BV26" s="325"/>
      <c r="BW26" s="328"/>
      <c r="BX26" s="327"/>
      <c r="BY26" s="325"/>
      <c r="BZ26" s="328"/>
      <c r="CA26" s="327"/>
      <c r="CB26" s="325"/>
      <c r="CC26" s="328"/>
      <c r="CD26" s="327"/>
      <c r="CE26" s="325"/>
      <c r="CF26" s="328"/>
      <c r="CG26" s="327"/>
      <c r="CH26" s="325"/>
      <c r="CI26" s="328"/>
      <c r="CJ26" s="327"/>
      <c r="CK26" s="325"/>
      <c r="CL26" s="328"/>
      <c r="CM26" s="327"/>
      <c r="CN26" s="325"/>
      <c r="CO26" s="328"/>
      <c r="CP26" s="327"/>
      <c r="CQ26" s="325"/>
      <c r="CR26" s="328"/>
      <c r="CS26" s="327"/>
      <c r="CT26" s="325"/>
      <c r="CU26" s="328"/>
      <c r="CV26" s="327"/>
      <c r="CW26" s="325"/>
      <c r="CX26" s="328"/>
      <c r="CY26" s="327"/>
      <c r="DC26" s="325"/>
      <c r="DD26" s="328"/>
      <c r="DE26" s="327"/>
      <c r="DF26" s="325"/>
      <c r="DG26" s="328"/>
      <c r="DH26" s="327"/>
      <c r="DI26" s="325"/>
      <c r="DJ26" s="328"/>
      <c r="DK26" s="327"/>
      <c r="DL26" s="325"/>
      <c r="DM26" s="328"/>
      <c r="DN26" s="327"/>
      <c r="DO26" s="325"/>
      <c r="DP26" s="328"/>
      <c r="DQ26" s="327"/>
      <c r="DR26" s="325"/>
      <c r="DS26" s="328"/>
      <c r="DT26" s="327"/>
      <c r="DU26" s="325"/>
      <c r="DV26" s="328"/>
      <c r="DW26" s="327"/>
      <c r="DX26" s="325"/>
      <c r="DY26" s="328"/>
      <c r="DZ26" s="327"/>
      <c r="EA26" s="325"/>
      <c r="EB26" s="328"/>
      <c r="EC26" s="327"/>
      <c r="ED26" s="325"/>
      <c r="EE26" s="328"/>
      <c r="EF26" s="327"/>
      <c r="EG26" s="325"/>
      <c r="EH26" s="328"/>
      <c r="EI26" s="327"/>
      <c r="EJ26" s="325"/>
      <c r="EK26" s="328"/>
      <c r="EL26" s="327"/>
      <c r="EP26" s="325"/>
      <c r="EQ26" s="328"/>
      <c r="ER26" s="327"/>
      <c r="ES26" s="325"/>
      <c r="ET26" s="328"/>
      <c r="EU26" s="327"/>
      <c r="EV26" s="325"/>
      <c r="EW26" s="328"/>
      <c r="EX26" s="327"/>
      <c r="EY26" s="325"/>
      <c r="EZ26" s="328"/>
      <c r="FA26" s="327"/>
      <c r="FB26" s="325"/>
      <c r="FC26" s="328"/>
      <c r="FD26" s="327"/>
      <c r="FE26" s="325"/>
      <c r="FF26" s="328"/>
      <c r="FG26" s="327"/>
      <c r="FH26" s="325"/>
      <c r="FI26" s="328"/>
      <c r="FJ26" s="327"/>
      <c r="FK26" s="325"/>
      <c r="FL26" s="328"/>
      <c r="FM26" s="327"/>
      <c r="FN26" s="325"/>
      <c r="FO26" s="328"/>
      <c r="FP26" s="327"/>
      <c r="FQ26" s="325"/>
      <c r="FR26" s="328"/>
      <c r="FS26" s="327"/>
      <c r="FT26" s="328"/>
      <c r="FU26" s="328"/>
      <c r="FV26" s="327"/>
      <c r="FW26" s="325"/>
      <c r="FX26" s="328"/>
      <c r="FY26" s="327"/>
      <c r="GC26" s="328"/>
      <c r="GD26" s="328"/>
      <c r="GE26" s="327"/>
      <c r="GH26" s="327"/>
      <c r="GI26" s="325" t="n">
        <f aca="false">(GJ26*$H26+GK26*$G26)</f>
        <v>37344.8289880884</v>
      </c>
      <c r="GJ26" s="328" t="n">
        <f aca="false">GK26/$F26*GK$7</f>
        <v>37344.8289880884</v>
      </c>
      <c r="GK26" s="327" t="n">
        <v>38418</v>
      </c>
      <c r="GL26" s="325" t="n">
        <f aca="false">(GM26*$H26+GN26*$G26)</f>
        <v>36805.2894776078</v>
      </c>
      <c r="GM26" s="328" t="n">
        <f aca="false">GN26/$F26*GN$7</f>
        <v>36805.2894776078</v>
      </c>
      <c r="GN26" s="327" t="n">
        <v>38418</v>
      </c>
      <c r="GO26" s="325" t="n">
        <f aca="false">(GP26*$H26+GQ26*$G26)</f>
        <v>36018.3668650702</v>
      </c>
      <c r="GP26" s="328" t="n">
        <f aca="false">GQ26/$F26*GQ$7</f>
        <v>36018.3668650702</v>
      </c>
      <c r="GQ26" s="327" t="n">
        <v>38418</v>
      </c>
      <c r="GR26" s="325" t="n">
        <f aca="false">(GS26*$H26+GT26*$G26)</f>
        <v>36002.2923518486</v>
      </c>
      <c r="GS26" s="328" t="n">
        <f aca="false">GT26/$F26*GT$7</f>
        <v>36002.2923518486</v>
      </c>
      <c r="GT26" s="327" t="n">
        <v>38418</v>
      </c>
      <c r="GU26" s="325" t="n">
        <f aca="false">(GV26*$H26+GW26*$G26)</f>
        <v>35485.6425962992</v>
      </c>
      <c r="GV26" s="328" t="n">
        <f aca="false">GW26/$F26*GW$7</f>
        <v>35485.6425962992</v>
      </c>
      <c r="GW26" s="327" t="n">
        <v>38418</v>
      </c>
      <c r="GX26" s="325" t="n">
        <f aca="false">(GY26*$H26+GZ26*$G26)</f>
        <v>34606.3678227569</v>
      </c>
      <c r="GY26" s="328" t="n">
        <f aca="false">GZ26/$F26*GZ$7</f>
        <v>34606.3678227569</v>
      </c>
      <c r="GZ26" s="327" t="n">
        <v>38418</v>
      </c>
      <c r="HA26" s="325" t="n">
        <f aca="false">(HB26*$H26+HC26*$G26)</f>
        <v>33911.0550899568</v>
      </c>
      <c r="HB26" s="328" t="n">
        <f aca="false">HC26/$F26*HC$7</f>
        <v>33911.0550899568</v>
      </c>
      <c r="HC26" s="327" t="n">
        <v>38418</v>
      </c>
      <c r="HD26" s="325" t="n">
        <f aca="false">(HE26*$H26+HF26*$G26)</f>
        <v>34413.0819045407</v>
      </c>
      <c r="HE26" s="328" t="n">
        <f aca="false">HF26/$F26*HF$7</f>
        <v>34413.0819045407</v>
      </c>
      <c r="HF26" s="327" t="n">
        <v>38418</v>
      </c>
      <c r="HG26" s="325" t="n">
        <f aca="false">(HH26*$H26+HI26*$G26)</f>
        <v>33270.596942809</v>
      </c>
      <c r="HH26" s="328" t="n">
        <f aca="false">HI26/$F26*HI$7</f>
        <v>33270.596942809</v>
      </c>
      <c r="HI26" s="327" t="n">
        <v>38418</v>
      </c>
      <c r="HJ26" s="325" t="n">
        <f aca="false">(HK26*$H26+HL26*$G26)</f>
        <v>32183.5095317307</v>
      </c>
      <c r="HK26" s="328" t="n">
        <f aca="false">HL26/$F26*HL$7</f>
        <v>32183.5095317307</v>
      </c>
      <c r="HL26" s="327" t="n">
        <v>38418</v>
      </c>
      <c r="HO26" s="327"/>
      <c r="HP26" s="325" t="n">
        <f aca="false">(HQ26*$H26+HR26*$G26)</f>
        <v>33337.6386871942</v>
      </c>
      <c r="HQ26" s="328" t="n">
        <f aca="false">HR26/$F26*HR$7</f>
        <v>33337.6386871942</v>
      </c>
      <c r="HR26" s="327" t="n">
        <v>38418</v>
      </c>
      <c r="HS26" s="325" t="n">
        <f aca="false">(HT26*$H26+HU26*$G26)</f>
        <v>33599.3615636592</v>
      </c>
      <c r="HT26" s="328" t="n">
        <f aca="false">HU26/$F26*HU$7</f>
        <v>33599.3615636592</v>
      </c>
      <c r="HU26" s="327" t="n">
        <v>38418</v>
      </c>
      <c r="HV26" s="325" t="n">
        <f aca="false">(HW26*$H26+HX26*$G26)</f>
        <v>38217.175803136</v>
      </c>
      <c r="HW26" s="328" t="n">
        <f aca="false">HX26/$F26*HX$7</f>
        <v>38217.175803136</v>
      </c>
      <c r="HX26" s="327" t="n">
        <v>38418</v>
      </c>
      <c r="HY26" s="325" t="n">
        <f aca="false">(HZ26*$H26+IA26*$G26)</f>
        <v>37392.0064610041</v>
      </c>
      <c r="HZ26" s="328" t="n">
        <f aca="false">IA26/$F26*IA$7</f>
        <v>37392.0064610041</v>
      </c>
      <c r="IA26" s="327" t="n">
        <v>38418</v>
      </c>
      <c r="IB26" s="325" t="n">
        <f aca="false">(IC26*$H26+ID26*$G26)</f>
        <v>36524.3621352442</v>
      </c>
      <c r="IC26" s="328" t="n">
        <f aca="false">ID26/$F26*ID$7</f>
        <v>36524.3621352442</v>
      </c>
      <c r="ID26" s="327" t="n">
        <v>38418</v>
      </c>
      <c r="IE26" s="325" t="n">
        <f aca="false">(IF26*$H26+IG26*$G26)</f>
        <v>36788.6967420941</v>
      </c>
      <c r="IF26" s="328" t="n">
        <f aca="false">IG26/$F26*IG$7</f>
        <v>36788.6967420941</v>
      </c>
      <c r="IG26" s="327" t="n">
        <v>38418</v>
      </c>
      <c r="IH26" s="325" t="n">
        <f aca="false">(II26*$H26+IJ26*$G26)</f>
        <v>37940.3323823375</v>
      </c>
      <c r="II26" s="328" t="n">
        <f aca="false">IJ26/$F26*IJ$7</f>
        <v>37940.3323823375</v>
      </c>
      <c r="IJ26" s="327" t="n">
        <v>38418</v>
      </c>
      <c r="IK26" s="325" t="n">
        <f aca="false">(IL26*$H26+IM26*$G26)</f>
        <v>37548.4353651097</v>
      </c>
      <c r="IL26" s="328" t="n">
        <f aca="false">IM26/$F26*IM$7</f>
        <v>37548.4353651097</v>
      </c>
      <c r="IM26" s="327" t="n">
        <v>38418</v>
      </c>
      <c r="IN26" s="325" t="n">
        <f aca="false">(IO26*$H26+IP26*$G26)</f>
        <v>38766.6014004209</v>
      </c>
      <c r="IO26" s="328" t="n">
        <f aca="false">IP26/$F26*IP$7</f>
        <v>38766.6014004209</v>
      </c>
      <c r="IP26" s="327" t="n">
        <v>38418</v>
      </c>
      <c r="IQ26" s="325" t="n">
        <f aca="false">(IR26*$H26+IS26*$G26)</f>
        <v>38998.2206477126</v>
      </c>
      <c r="IR26" s="328" t="n">
        <f aca="false">IS26/$F26*IS$7</f>
        <v>38998.2206477126</v>
      </c>
      <c r="IS26" s="327" t="n">
        <v>38418</v>
      </c>
      <c r="IT26" s="325" t="n">
        <f aca="false">(IU26*$H26+IV26*$G26)</f>
        <v>38977.0518856456</v>
      </c>
      <c r="IU26" s="328" t="n">
        <f aca="false">IV26/$F26*IV$7</f>
        <v>38977.0518856456</v>
      </c>
      <c r="IV26" s="327" t="n">
        <v>38418</v>
      </c>
      <c r="IW26" s="325" t="n">
        <f aca="false">(IX26*$H26+IY26*$G26)</f>
        <v>38542.404965802</v>
      </c>
      <c r="IX26" s="328" t="n">
        <f aca="false">IY26/$F26*IY$7</f>
        <v>38542.404965802</v>
      </c>
      <c r="IY26" s="327" t="n">
        <v>38418</v>
      </c>
      <c r="JC26" s="325" t="n">
        <f aca="false">(JD26*$H26+JE26*$G26)</f>
        <v>38768.3883738422</v>
      </c>
      <c r="JD26" s="329" t="n">
        <f aca="false">JE26/$F26*JE$7</f>
        <v>38768.3883738422</v>
      </c>
      <c r="JE26" s="327" t="n">
        <v>38418</v>
      </c>
      <c r="JF26" s="325" t="n">
        <f aca="false">(JG26*$H26+JH26*$G26)</f>
        <v>38392.9864958874</v>
      </c>
      <c r="JG26" s="326" t="n">
        <f aca="false">JH26/$F26*JH$7</f>
        <v>38392.9864958874</v>
      </c>
      <c r="JH26" s="327" t="n">
        <v>38418</v>
      </c>
      <c r="JI26" s="325" t="n">
        <f aca="false">(JJ26*$H26+JK26*$G26)</f>
        <v>38101.5723687311</v>
      </c>
      <c r="JJ26" s="326" t="n">
        <f aca="false">JK26/$F26*JK$7</f>
        <v>38101.5723687311</v>
      </c>
      <c r="JK26" s="327" t="n">
        <v>38418</v>
      </c>
      <c r="JL26" s="325" t="n">
        <f aca="false">(JM26*$H26+JN26*$G26)</f>
        <v>38501.8544150892</v>
      </c>
      <c r="JM26" s="326" t="n">
        <f aca="false">JN26/$F26*JN$7</f>
        <v>38501.8544150892</v>
      </c>
      <c r="JN26" s="327" t="n">
        <v>38418</v>
      </c>
      <c r="JO26" s="325" t="n">
        <f aca="false">(JP26*$H26+JQ26*$G26)</f>
        <v>37755.311903492</v>
      </c>
      <c r="JP26" s="326" t="n">
        <f aca="false">JQ26/$F26*JQ$7</f>
        <v>37755.311903492</v>
      </c>
      <c r="JQ26" s="327" t="n">
        <v>38418</v>
      </c>
      <c r="JR26" s="325" t="n">
        <f aca="false">(JS26*$H26+JT26*$G26)</f>
        <v>37380.0474850312</v>
      </c>
      <c r="JS26" s="328" t="n">
        <f aca="false">JT26/$F26*JT$7</f>
        <v>37380.0474850312</v>
      </c>
      <c r="JT26" s="327" t="n">
        <v>38418</v>
      </c>
      <c r="JU26" s="325" t="n">
        <f aca="false">(JV26*$H26+JW26*$G26)</f>
        <v>37417.1615483954</v>
      </c>
      <c r="JV26" s="329" t="n">
        <f aca="false">JW26/$F26*JW$7</f>
        <v>37417.1615483954</v>
      </c>
      <c r="JW26" s="327" t="n">
        <v>38418</v>
      </c>
      <c r="JX26" s="325" t="n">
        <f aca="false">(JY26*$H26+JZ26*$G26)</f>
        <v>36626.7694582308</v>
      </c>
      <c r="JY26" s="329" t="n">
        <f aca="false">JZ26/$F26*JZ$7</f>
        <v>36626.7694582308</v>
      </c>
      <c r="JZ26" s="327" t="n">
        <v>38418</v>
      </c>
      <c r="KA26" s="325" t="n">
        <f aca="false">(KB26*$H26+KC26*$G26)</f>
        <v>36705.5337482593</v>
      </c>
      <c r="KB26" s="329" t="n">
        <f aca="false">KC26/$F26*KC$7</f>
        <v>36705.5337482593</v>
      </c>
      <c r="KC26" s="327" t="n">
        <v>38418</v>
      </c>
      <c r="KD26" s="325" t="n">
        <f aca="false">(KE26*$H26+KF26*$G26)</f>
        <v>36113.3582483586</v>
      </c>
      <c r="KE26" s="329" t="n">
        <f aca="false">KF26/$F26*KF$7</f>
        <v>36113.3582483586</v>
      </c>
      <c r="KF26" s="327" t="n">
        <v>38418</v>
      </c>
      <c r="KG26" s="325" t="n">
        <f aca="false">(KH26*$H26+KI26*$G26)</f>
        <v>36645.051570925</v>
      </c>
      <c r="KH26" s="329" t="n">
        <f aca="false">KI26/$F26*KI$7</f>
        <v>36645.051570925</v>
      </c>
      <c r="KI26" s="327" t="n">
        <v>38418</v>
      </c>
      <c r="KJ26" s="325" t="n">
        <f aca="false">(KK26*$H26+KL26*$G26)</f>
        <v>37505.2730840121</v>
      </c>
      <c r="KK26" s="329" t="n">
        <f aca="false">KL26/$F26*KL$7</f>
        <v>37505.2730840121</v>
      </c>
      <c r="KL26" s="327" t="n">
        <v>38418</v>
      </c>
      <c r="KO26" s="327"/>
      <c r="KP26" s="325" t="n">
        <f aca="false">(KQ26*$H26+KR26*$G26)</f>
        <v>39052.3796883257</v>
      </c>
      <c r="KQ26" s="329" t="n">
        <f aca="false">KR26/$F26*KR$7</f>
        <v>39052.3796883257</v>
      </c>
      <c r="KR26" s="327" t="n">
        <v>38418</v>
      </c>
      <c r="KS26" s="325" t="n">
        <f aca="false">(KT26*$H26+KU26*$G26)</f>
        <v>39846.3457253328</v>
      </c>
      <c r="KT26" s="329" t="n">
        <f aca="false">KU26/$F26*KU$7</f>
        <v>39846.3457253328</v>
      </c>
      <c r="KU26" s="327" t="n">
        <v>38418</v>
      </c>
      <c r="KV26" s="325" t="n">
        <f aca="false">(KW26*$H26+KX26*$G26)</f>
        <v>40213.637493145</v>
      </c>
      <c r="KW26" s="329" t="n">
        <f aca="false">KX26/$F26*KX$7</f>
        <v>40213.637493145</v>
      </c>
      <c r="KX26" s="327" t="n">
        <v>38418</v>
      </c>
      <c r="KY26" s="325" t="n">
        <f aca="false">(KZ26*$H26+LA26*$G26)</f>
        <v>40213.637493145</v>
      </c>
      <c r="KZ26" s="329" t="n">
        <f aca="false">LA26/$F26*LA$7</f>
        <v>40213.637493145</v>
      </c>
      <c r="LA26" s="327" t="n">
        <v>38418</v>
      </c>
      <c r="LB26" s="325" t="n">
        <f aca="false">(LC26*$H26+LD26*$G26)</f>
        <v>40213.637493145</v>
      </c>
      <c r="LC26" s="329" t="n">
        <f aca="false">LD26/$F26*LD$7</f>
        <v>40213.637493145</v>
      </c>
      <c r="LD26" s="327" t="n">
        <v>38418</v>
      </c>
      <c r="LE26" s="325" t="n">
        <f aca="false">(LF26*$H26+LG26*$G26)</f>
        <v>40213.637493145</v>
      </c>
      <c r="LF26" s="329" t="n">
        <f aca="false">LG26/$F26*LG$7</f>
        <v>40213.637493145</v>
      </c>
      <c r="LG26" s="327" t="n">
        <v>38418</v>
      </c>
      <c r="LH26" s="325" t="n">
        <f aca="false">(LI26*$H26+LJ26*$G26)</f>
        <v>50267.0125015578</v>
      </c>
      <c r="LI26" s="329" t="n">
        <f aca="false">LJ26/$F26*LJ$7</f>
        <v>50267.0125015578</v>
      </c>
      <c r="LJ26" s="327" t="n">
        <v>38418</v>
      </c>
      <c r="LM26" s="327" t="n">
        <v>38418</v>
      </c>
      <c r="LP26" s="327" t="n">
        <v>38418</v>
      </c>
      <c r="LS26" s="327" t="n">
        <v>38418</v>
      </c>
      <c r="LV26" s="327" t="n">
        <v>38418</v>
      </c>
      <c r="LY26" s="327" t="n">
        <v>38418</v>
      </c>
      <c r="ME26" s="327" t="n">
        <v>38418</v>
      </c>
      <c r="MH26" s="327" t="n">
        <v>38418</v>
      </c>
      <c r="MK26" s="327" t="n">
        <v>38418</v>
      </c>
      <c r="MN26" s="327" t="n">
        <v>38418</v>
      </c>
      <c r="MQ26" s="327" t="n">
        <v>38418</v>
      </c>
      <c r="MT26" s="327" t="n">
        <v>38418</v>
      </c>
      <c r="MW26" s="327" t="n">
        <v>38418</v>
      </c>
      <c r="MZ26" s="327" t="n">
        <v>38418</v>
      </c>
      <c r="NC26" s="327" t="n">
        <v>38418</v>
      </c>
      <c r="NF26" s="327" t="n">
        <v>38418</v>
      </c>
      <c r="NI26" s="327" t="n">
        <v>38418</v>
      </c>
      <c r="NL26" s="327" t="n">
        <v>38418</v>
      </c>
      <c r="NR26" s="327" t="n">
        <v>38418</v>
      </c>
      <c r="NU26" s="327" t="n">
        <v>38418</v>
      </c>
    </row>
    <row r="27" s="329" customFormat="true" ht="15" hidden="false" customHeight="false" outlineLevel="0" collapsed="false">
      <c r="A27" s="283" t="n">
        <v>4.6</v>
      </c>
      <c r="B27" s="319"/>
      <c r="C27" s="320" t="n">
        <v>4551976.92</v>
      </c>
      <c r="D27" s="319"/>
      <c r="E27" s="321"/>
      <c r="F27" s="331" t="n">
        <v>28.023739</v>
      </c>
      <c r="G27" s="323" t="n">
        <v>0</v>
      </c>
      <c r="H27" s="324" t="n">
        <f aca="false">1-G27</f>
        <v>1</v>
      </c>
      <c r="I27" s="332" t="n">
        <f aca="false">J27/F27*27.185914</f>
        <v>871060.279832641</v>
      </c>
      <c r="J27" s="319" t="n">
        <v>897904.92</v>
      </c>
      <c r="K27" s="325"/>
      <c r="L27" s="326"/>
      <c r="M27" s="327"/>
      <c r="N27" s="325"/>
      <c r="O27" s="326"/>
      <c r="P27" s="327"/>
      <c r="Q27" s="325"/>
      <c r="R27" s="326"/>
      <c r="S27" s="327"/>
      <c r="T27" s="325"/>
      <c r="U27" s="328"/>
      <c r="V27" s="327"/>
      <c r="W27" s="325"/>
      <c r="X27" s="328"/>
      <c r="Y27" s="327"/>
      <c r="AC27" s="325"/>
      <c r="AD27" s="328"/>
      <c r="AE27" s="327"/>
      <c r="AF27" s="325"/>
      <c r="AG27" s="328"/>
      <c r="AH27" s="327"/>
      <c r="AI27" s="325"/>
      <c r="AJ27" s="328"/>
      <c r="AK27" s="327"/>
      <c r="AL27" s="325"/>
      <c r="AM27" s="328"/>
      <c r="AN27" s="327"/>
      <c r="AO27" s="325"/>
      <c r="AP27" s="328"/>
      <c r="AQ27" s="327"/>
      <c r="AR27" s="325"/>
      <c r="AS27" s="328"/>
      <c r="AT27" s="327"/>
      <c r="AU27" s="325"/>
      <c r="AV27" s="328"/>
      <c r="AW27" s="327"/>
      <c r="AX27" s="325"/>
      <c r="AY27" s="328"/>
      <c r="AZ27" s="327"/>
      <c r="BA27" s="325"/>
      <c r="BB27" s="328"/>
      <c r="BC27" s="327"/>
      <c r="BD27" s="325"/>
      <c r="BE27" s="328"/>
      <c r="BF27" s="327"/>
      <c r="BG27" s="325"/>
      <c r="BH27" s="328"/>
      <c r="BI27" s="327"/>
      <c r="BJ27" s="325"/>
      <c r="BK27" s="328"/>
      <c r="BL27" s="327"/>
      <c r="BP27" s="325"/>
      <c r="BQ27" s="328"/>
      <c r="BR27" s="327"/>
      <c r="BS27" s="325"/>
      <c r="BT27" s="328"/>
      <c r="BU27" s="327"/>
      <c r="BV27" s="325"/>
      <c r="BW27" s="328"/>
      <c r="BX27" s="327"/>
      <c r="BY27" s="325"/>
      <c r="BZ27" s="328"/>
      <c r="CA27" s="327"/>
      <c r="CB27" s="325"/>
      <c r="CC27" s="328"/>
      <c r="CD27" s="327"/>
      <c r="CE27" s="325"/>
      <c r="CF27" s="328"/>
      <c r="CG27" s="327"/>
      <c r="CH27" s="325"/>
      <c r="CI27" s="328"/>
      <c r="CJ27" s="327"/>
      <c r="CK27" s="325"/>
      <c r="CL27" s="328"/>
      <c r="CM27" s="327"/>
      <c r="CN27" s="325"/>
      <c r="CO27" s="328"/>
      <c r="CP27" s="327"/>
      <c r="CQ27" s="325"/>
      <c r="CR27" s="328"/>
      <c r="CS27" s="327"/>
      <c r="CT27" s="325"/>
      <c r="CU27" s="328"/>
      <c r="CV27" s="327"/>
      <c r="CW27" s="325"/>
      <c r="CX27" s="328"/>
      <c r="CY27" s="327"/>
      <c r="DC27" s="325"/>
      <c r="DD27" s="328"/>
      <c r="DE27" s="327"/>
      <c r="DF27" s="325"/>
      <c r="DG27" s="328"/>
      <c r="DH27" s="327"/>
      <c r="DI27" s="325"/>
      <c r="DJ27" s="328"/>
      <c r="DK27" s="327"/>
      <c r="DL27" s="325"/>
      <c r="DM27" s="328"/>
      <c r="DN27" s="327"/>
      <c r="DO27" s="325"/>
      <c r="DP27" s="328"/>
      <c r="DQ27" s="327"/>
      <c r="DR27" s="325"/>
      <c r="DS27" s="328"/>
      <c r="DT27" s="327"/>
      <c r="DU27" s="325"/>
      <c r="DV27" s="328"/>
      <c r="DW27" s="327"/>
      <c r="DX27" s="325"/>
      <c r="DY27" s="328"/>
      <c r="DZ27" s="327"/>
      <c r="EA27" s="325"/>
      <c r="EB27" s="328"/>
      <c r="EC27" s="327"/>
      <c r="ED27" s="325"/>
      <c r="EE27" s="328"/>
      <c r="EF27" s="327"/>
      <c r="EG27" s="325"/>
      <c r="EH27" s="328"/>
      <c r="EI27" s="327"/>
      <c r="EJ27" s="325"/>
      <c r="EK27" s="328"/>
      <c r="EL27" s="327"/>
      <c r="EP27" s="325"/>
      <c r="EQ27" s="328"/>
      <c r="ER27" s="327"/>
      <c r="ES27" s="325"/>
      <c r="ET27" s="328"/>
      <c r="EU27" s="327"/>
      <c r="EV27" s="325"/>
      <c r="EW27" s="328"/>
      <c r="EX27" s="327"/>
      <c r="EY27" s="325"/>
      <c r="EZ27" s="328"/>
      <c r="FA27" s="327"/>
      <c r="FB27" s="325"/>
      <c r="FC27" s="328"/>
      <c r="FD27" s="327"/>
      <c r="FE27" s="325"/>
      <c r="FF27" s="328"/>
      <c r="FG27" s="327"/>
      <c r="FH27" s="325"/>
      <c r="FI27" s="328"/>
      <c r="FJ27" s="327"/>
      <c r="FK27" s="325"/>
      <c r="FL27" s="328"/>
      <c r="FM27" s="327"/>
      <c r="FN27" s="325"/>
      <c r="FO27" s="328"/>
      <c r="FP27" s="327"/>
      <c r="FQ27" s="325"/>
      <c r="FR27" s="328"/>
      <c r="FS27" s="327"/>
      <c r="FT27" s="328"/>
      <c r="FU27" s="328"/>
      <c r="FV27" s="327"/>
      <c r="FW27" s="325"/>
      <c r="FX27" s="328"/>
      <c r="FY27" s="327"/>
      <c r="GC27" s="328"/>
      <c r="GD27" s="328"/>
      <c r="GE27" s="327"/>
      <c r="GH27" s="327"/>
      <c r="GI27" s="325" t="n">
        <f aca="false">(GJ27*$H27+GK27*$G27)</f>
        <v>59041.2447302196</v>
      </c>
      <c r="GJ27" s="328" t="n">
        <f aca="false">GK27/$F27*GK$7</f>
        <v>59041.2447302196</v>
      </c>
      <c r="GK27" s="327" t="n">
        <v>60901.2</v>
      </c>
      <c r="GL27" s="325" t="n">
        <f aca="false">(GM27*$H27+GN27*$G27)</f>
        <v>58188.2461988816</v>
      </c>
      <c r="GM27" s="328" t="n">
        <f aca="false">GN27/$F27*GN$7</f>
        <v>58188.2461988816</v>
      </c>
      <c r="GN27" s="327" t="n">
        <v>60901.2</v>
      </c>
      <c r="GO27" s="325" t="n">
        <f aca="false">(GP27*$H27+GQ27*$G27)</f>
        <v>56944.1411431216</v>
      </c>
      <c r="GP27" s="328" t="n">
        <f aca="false">GQ27/$F27*GQ$7</f>
        <v>56944.1411431216</v>
      </c>
      <c r="GQ27" s="327" t="n">
        <v>60901.2</v>
      </c>
      <c r="GR27" s="325" t="n">
        <f aca="false">(GS27*$H27+GT27*$G27)</f>
        <v>56918.7277379796</v>
      </c>
      <c r="GS27" s="328" t="n">
        <f aca="false">GT27/$F27*GT$7</f>
        <v>56918.7277379796</v>
      </c>
      <c r="GT27" s="327" t="n">
        <v>60901.2</v>
      </c>
      <c r="GU27" s="325" t="n">
        <f aca="false">(GV27*$H27+GW27*$G27)</f>
        <v>56101.9173392244</v>
      </c>
      <c r="GV27" s="328" t="n">
        <f aca="false">GW27/$F27*GW$7</f>
        <v>56101.9173392244</v>
      </c>
      <c r="GW27" s="327" t="n">
        <v>60901.2</v>
      </c>
      <c r="GX27" s="325" t="n">
        <f aca="false">(GY27*$H27+GZ27*$G27)</f>
        <v>54711.8058165186</v>
      </c>
      <c r="GY27" s="328" t="n">
        <f aca="false">GZ27/$F27*GZ$7</f>
        <v>54711.8058165186</v>
      </c>
      <c r="GZ27" s="327" t="n">
        <v>60901.2</v>
      </c>
      <c r="HA27" s="325" t="n">
        <f aca="false">(HB27*$H27+HC27*$G27)</f>
        <v>53612.5336995038</v>
      </c>
      <c r="HB27" s="328" t="n">
        <f aca="false">HC27/$F27*HC$7</f>
        <v>53612.5336995038</v>
      </c>
      <c r="HC27" s="327" t="n">
        <v>60901.2</v>
      </c>
      <c r="HD27" s="325" t="n">
        <f aca="false">(HE27*$H27+HF27*$G27)</f>
        <v>54406.2255927091</v>
      </c>
      <c r="HE27" s="328" t="n">
        <f aca="false">HF27/$F27*HF$7</f>
        <v>54406.2255927091</v>
      </c>
      <c r="HF27" s="327" t="n">
        <v>60901.2</v>
      </c>
      <c r="HG27" s="325" t="n">
        <f aca="false">(HH27*$H27+HI27*$G27)</f>
        <v>52599.9853165061</v>
      </c>
      <c r="HH27" s="328" t="n">
        <f aca="false">HI27/$F27*HI$7</f>
        <v>52599.9853165061</v>
      </c>
      <c r="HI27" s="327" t="n">
        <v>60901.2</v>
      </c>
      <c r="HJ27" s="325" t="n">
        <f aca="false">(HK27*$H27+HL27*$G27)</f>
        <v>50881.3271884669</v>
      </c>
      <c r="HK27" s="328" t="n">
        <f aca="false">HL27/$F27*HL$7</f>
        <v>50881.3271884669</v>
      </c>
      <c r="HL27" s="327" t="n">
        <v>60901.2</v>
      </c>
      <c r="HP27" s="325" t="n">
        <f aca="false">(HQ27*$H27+HR27*$G27)</f>
        <v>52705.9766450152</v>
      </c>
      <c r="HQ27" s="328" t="n">
        <f aca="false">HR27/$F27*HR$7</f>
        <v>52705.9766450152</v>
      </c>
      <c r="HR27" s="327" t="n">
        <v>60901.2</v>
      </c>
      <c r="HS27" s="325" t="n">
        <f aca="false">(HT27*$H27+HU27*$G27)</f>
        <v>53119.7539957106</v>
      </c>
      <c r="HT27" s="328" t="n">
        <f aca="false">HU27/$F27*HU$7</f>
        <v>53119.7539957106</v>
      </c>
      <c r="HU27" s="327" t="n">
        <v>60901.2</v>
      </c>
      <c r="HV27" s="325" t="n">
        <f aca="false">(HW27*$H27+HX27*$G27)</f>
        <v>60420.4033230541</v>
      </c>
      <c r="HW27" s="328" t="n">
        <f aca="false">HX27/$F27*HX$7</f>
        <v>60420.4033230541</v>
      </c>
      <c r="HX27" s="327" t="n">
        <v>60901.2</v>
      </c>
      <c r="HY27" s="325" t="n">
        <f aca="false">(HZ27*$H27+IA27*$G27)</f>
        <v>59115.831140163</v>
      </c>
      <c r="HZ27" s="328" t="n">
        <f aca="false">IA27/$F27*IA$7</f>
        <v>59115.831140163</v>
      </c>
      <c r="IA27" s="327" t="n">
        <v>60901.2</v>
      </c>
      <c r="IB27" s="325" t="n">
        <f aca="false">(IC27*$H27+ID27*$G27)</f>
        <v>57744.1070657988</v>
      </c>
      <c r="IC27" s="328" t="n">
        <f aca="false">ID27/$F27*ID$7</f>
        <v>57744.1070657988</v>
      </c>
      <c r="ID27" s="327" t="n">
        <v>60901.2</v>
      </c>
      <c r="IE27" s="325" t="n">
        <f aca="false">(IF27*$H27+IG27*$G27)</f>
        <v>58162.0134971996</v>
      </c>
      <c r="IF27" s="328" t="n">
        <f aca="false">IG27/$F27*IG$7</f>
        <v>58162.0134971996</v>
      </c>
      <c r="IG27" s="327" t="n">
        <v>60901.2</v>
      </c>
      <c r="IH27" s="325" t="n">
        <f aca="false">(II27*$H27+IJ27*$G27)</f>
        <v>59982.7207682744</v>
      </c>
      <c r="II27" s="328" t="n">
        <f aca="false">IJ27/$F27*IJ$7</f>
        <v>59982.7207682744</v>
      </c>
      <c r="IJ27" s="327" t="n">
        <v>60901.2</v>
      </c>
      <c r="IK27" s="325" t="n">
        <f aca="false">(IL27*$H27+IM27*$G27)</f>
        <v>59363.1413424169</v>
      </c>
      <c r="IL27" s="328" t="n">
        <f aca="false">IM27/$F27*IM$7</f>
        <v>59363.1413424169</v>
      </c>
      <c r="IM27" s="327" t="n">
        <v>60901.2</v>
      </c>
      <c r="IN27" s="325" t="n">
        <f aca="false">(IO27*$H27+IP27*$G27)</f>
        <v>61289.0315114625</v>
      </c>
      <c r="IO27" s="328" t="n">
        <f aca="false">IP27/$F27*IP$7</f>
        <v>61289.0315114625</v>
      </c>
      <c r="IP27" s="327" t="n">
        <v>60901.2</v>
      </c>
      <c r="IQ27" s="325" t="n">
        <f aca="false">(IR27*$H27+IS27*$G27)</f>
        <v>61655.2157740265</v>
      </c>
      <c r="IR27" s="328" t="n">
        <f aca="false">IS27/$F27*IS$7</f>
        <v>61655.2157740265</v>
      </c>
      <c r="IS27" s="327" t="n">
        <v>60901.2</v>
      </c>
      <c r="IT27" s="325" t="n">
        <f aca="false">(IU27*$H27+IV27*$G27)</f>
        <v>61621.7484883084</v>
      </c>
      <c r="IU27" s="328" t="n">
        <f aca="false">IV27/$F27*IV$7</f>
        <v>61621.7484883084</v>
      </c>
      <c r="IV27" s="327" t="n">
        <v>60901.2</v>
      </c>
      <c r="IW27" s="325" t="n">
        <f aca="false">(IX27*$H27+IY27*$G27)</f>
        <v>60934.5825309035</v>
      </c>
      <c r="IX27" s="328" t="n">
        <f aca="false">IY27/$F27*IY$7</f>
        <v>60934.5825309035</v>
      </c>
      <c r="IY27" s="327" t="n">
        <v>60901.2</v>
      </c>
      <c r="JC27" s="325" t="n">
        <f aca="false">(JD27*$H27+JE27*$G27)</f>
        <v>61291.8566719452</v>
      </c>
      <c r="JD27" s="329" t="n">
        <f aca="false">JE27/$F27*JE$7</f>
        <v>61291.8566719452</v>
      </c>
      <c r="JE27" s="327" t="n">
        <v>60901.2</v>
      </c>
      <c r="JF27" s="325" t="n">
        <f aca="false">(JG27*$H27+JH27*$G27)</f>
        <v>60698.3556505433</v>
      </c>
      <c r="JG27" s="326" t="n">
        <f aca="false">JH27/$F27*JH$7</f>
        <v>60698.3556505433</v>
      </c>
      <c r="JH27" s="327" t="n">
        <v>60901.2</v>
      </c>
      <c r="JI27" s="325" t="n">
        <f aca="false">(JJ27*$H27+JK27*$G27)</f>
        <v>60237.6371718278</v>
      </c>
      <c r="JJ27" s="326" t="n">
        <f aca="false">JK27/$F27*JK$7</f>
        <v>60237.6371718278</v>
      </c>
      <c r="JK27" s="327" t="n">
        <v>60901.2</v>
      </c>
      <c r="JL27" s="325" t="n">
        <f aca="false">(JM27*$H27+JN27*$G27)</f>
        <v>60870.4731199502</v>
      </c>
      <c r="JM27" s="326" t="n">
        <f aca="false">JN27/$F27*JN$7</f>
        <v>60870.4731199502</v>
      </c>
      <c r="JN27" s="327" t="n">
        <v>60901.2</v>
      </c>
      <c r="JO27" s="325" t="n">
        <f aca="false">(JP27*$H27+JQ27*$G27)</f>
        <v>59690.2079982974</v>
      </c>
      <c r="JP27" s="326" t="n">
        <f aca="false">JQ27/$F27*JQ$7</f>
        <v>59690.2079982974</v>
      </c>
      <c r="JQ27" s="327" t="n">
        <v>60901.2</v>
      </c>
      <c r="JR27" s="325" t="n">
        <f aca="false">(JS27*$H27+JT27*$G27)</f>
        <v>59096.9242969327</v>
      </c>
      <c r="JS27" s="328" t="n">
        <f aca="false">JT27/$F27*JT$7</f>
        <v>59096.9242969327</v>
      </c>
      <c r="JT27" s="327" t="n">
        <v>60901.2</v>
      </c>
      <c r="JU27" s="325" t="n">
        <f aca="false">(JV27*$H27+JW27*$G27)</f>
        <v>59155.6007069578</v>
      </c>
      <c r="JV27" s="329" t="n">
        <f aca="false">JW27/$F27*JW$7</f>
        <v>59155.6007069578</v>
      </c>
      <c r="JW27" s="327" t="n">
        <v>60901.2</v>
      </c>
      <c r="JX27" s="325" t="n">
        <f aca="false">(JY27*$H27+JZ27*$G27)</f>
        <v>57906.0104934606</v>
      </c>
      <c r="JY27" s="329" t="n">
        <f aca="false">JZ27/$F27*JZ$7</f>
        <v>57906.0104934606</v>
      </c>
      <c r="JZ27" s="327" t="n">
        <v>60901.2</v>
      </c>
      <c r="KA27" s="325" t="n">
        <f aca="false">(KB27*$H27+KC27*$G27)</f>
        <v>58030.534874736</v>
      </c>
      <c r="KB27" s="329" t="n">
        <f aca="false">KC27/$F27*KC$7</f>
        <v>58030.534874736</v>
      </c>
      <c r="KC27" s="327" t="n">
        <v>60901.2</v>
      </c>
      <c r="KD27" s="325" t="n">
        <f aca="false">(KE27*$H27+KF27*$G27)</f>
        <v>57094.3201547802</v>
      </c>
      <c r="KE27" s="329" t="n">
        <f aca="false">KF27/$F27*KF$7</f>
        <v>57094.3201547802</v>
      </c>
      <c r="KF27" s="327" t="n">
        <v>60901.2</v>
      </c>
      <c r="KG27" s="325" t="n">
        <f aca="false">(KH27*$H27+KI27*$G27)</f>
        <v>57934.9140583989</v>
      </c>
      <c r="KH27" s="329" t="n">
        <f aca="false">KI27/$F27*KI$7</f>
        <v>57934.9140583989</v>
      </c>
      <c r="KI27" s="327" t="n">
        <v>60901.2</v>
      </c>
      <c r="KJ27" s="325" t="n">
        <f aca="false">(KK27*$H27+KL27*$G27)</f>
        <v>59294.9028507581</v>
      </c>
      <c r="KK27" s="329" t="n">
        <f aca="false">KL27/$F27*KL$7</f>
        <v>59294.9028507581</v>
      </c>
      <c r="KL27" s="327" t="n">
        <v>60901.2</v>
      </c>
      <c r="KP27" s="325" t="n">
        <f aca="false">(KQ27*$H27+KR27*$G27)</f>
        <v>61740.8398686557</v>
      </c>
      <c r="KQ27" s="329" t="n">
        <f aca="false">KR27/$F27*KR$7</f>
        <v>61740.8398686557</v>
      </c>
      <c r="KR27" s="327" t="n">
        <v>60901.2</v>
      </c>
      <c r="KS27" s="325" t="n">
        <f aca="false">(KT27*$H27+KU27*$G27)</f>
        <v>62996.0804031182</v>
      </c>
      <c r="KT27" s="329" t="n">
        <f aca="false">KU27/$F27*KU$7</f>
        <v>62996.0804031182</v>
      </c>
      <c r="KU27" s="327" t="n">
        <v>60901.2</v>
      </c>
      <c r="KV27" s="325" t="n">
        <f aca="false">(KW27*$H27+KX27*$G27)</f>
        <v>63576.7595423295</v>
      </c>
      <c r="KW27" s="329" t="n">
        <f aca="false">KX27/$F27*KX$7</f>
        <v>63576.7595423295</v>
      </c>
      <c r="KX27" s="327" t="n">
        <v>60901.2</v>
      </c>
      <c r="KY27" s="325" t="n">
        <f aca="false">(KZ27*$H27+LA27*$G27)</f>
        <v>63576.7595423295</v>
      </c>
      <c r="KZ27" s="329" t="n">
        <f aca="false">LA27/$F27*LA$7</f>
        <v>63576.7595423295</v>
      </c>
      <c r="LA27" s="327" t="n">
        <v>60901.2</v>
      </c>
      <c r="LB27" s="325" t="n">
        <f aca="false">(LC27*$H27+LD27*$G27)</f>
        <v>63576.7595423295</v>
      </c>
      <c r="LC27" s="329" t="n">
        <f aca="false">LD27/$F27*LD$7</f>
        <v>63576.7595423295</v>
      </c>
      <c r="LD27" s="327" t="n">
        <v>60901.2</v>
      </c>
      <c r="LE27" s="325" t="n">
        <f aca="false">(LF27*$H27+LG27*$G27)</f>
        <v>63576.7595423295</v>
      </c>
      <c r="LF27" s="329" t="n">
        <f aca="false">LG27/$F27*LG$7</f>
        <v>63576.7595423295</v>
      </c>
      <c r="LG27" s="327" t="n">
        <v>60901.2</v>
      </c>
      <c r="LH27" s="325" t="n">
        <f aca="false">(LI27*$H27+LJ27*$G27)</f>
        <v>79470.8950979025</v>
      </c>
      <c r="LI27" s="329" t="n">
        <f aca="false">LJ27/$F27*LJ$7</f>
        <v>79470.8950979025</v>
      </c>
      <c r="LJ27" s="327" t="n">
        <v>60901.2</v>
      </c>
      <c r="LM27" s="327" t="n">
        <v>60901.2</v>
      </c>
      <c r="LP27" s="327" t="n">
        <v>60901.2</v>
      </c>
      <c r="LS27" s="327" t="n">
        <v>60901.2</v>
      </c>
      <c r="LV27" s="327" t="n">
        <v>60901.2</v>
      </c>
      <c r="LY27" s="327" t="n">
        <v>60901.2</v>
      </c>
      <c r="ME27" s="327" t="n">
        <v>60901.2</v>
      </c>
      <c r="MH27" s="327" t="n">
        <v>60901.2</v>
      </c>
      <c r="MK27" s="327" t="n">
        <v>60901.2</v>
      </c>
      <c r="MN27" s="327" t="n">
        <v>60901.2</v>
      </c>
      <c r="MQ27" s="327" t="n">
        <v>60901.2</v>
      </c>
      <c r="MT27" s="327" t="n">
        <v>60901.2</v>
      </c>
      <c r="MW27" s="327" t="n">
        <v>60901.2</v>
      </c>
      <c r="MZ27" s="327" t="n">
        <v>60901.2</v>
      </c>
      <c r="NC27" s="327" t="n">
        <v>60901.2</v>
      </c>
      <c r="NF27" s="327" t="n">
        <v>60901.2</v>
      </c>
      <c r="NI27" s="327" t="n">
        <v>60901.2</v>
      </c>
      <c r="NL27" s="327" t="n">
        <v>60901.2</v>
      </c>
      <c r="NR27" s="327" t="n">
        <v>60901.2</v>
      </c>
      <c r="NU27" s="327" t="n">
        <v>60901.2</v>
      </c>
    </row>
    <row r="28" s="329" customFormat="true" ht="15" hidden="false" customHeight="false" outlineLevel="0" collapsed="false">
      <c r="A28" s="283" t="n">
        <v>4.7</v>
      </c>
      <c r="B28" s="319"/>
      <c r="C28" s="320" t="n">
        <v>1724866.68</v>
      </c>
      <c r="D28" s="319"/>
      <c r="E28" s="321"/>
      <c r="F28" s="331" t="n">
        <v>28.023739</v>
      </c>
      <c r="G28" s="323" t="n">
        <v>0</v>
      </c>
      <c r="H28" s="324" t="n">
        <f aca="false">1-G28</f>
        <v>1</v>
      </c>
      <c r="I28" s="332" t="n">
        <f aca="false">J28/F28*27.185914</f>
        <v>329916.012995294</v>
      </c>
      <c r="J28" s="319" t="n">
        <v>340083.48</v>
      </c>
      <c r="K28" s="325"/>
      <c r="L28" s="326"/>
      <c r="M28" s="327"/>
      <c r="N28" s="325"/>
      <c r="O28" s="326"/>
      <c r="P28" s="327"/>
      <c r="Q28" s="325"/>
      <c r="R28" s="326"/>
      <c r="S28" s="327"/>
      <c r="T28" s="325"/>
      <c r="U28" s="328"/>
      <c r="V28" s="327"/>
      <c r="W28" s="325"/>
      <c r="X28" s="328"/>
      <c r="Y28" s="327"/>
      <c r="AC28" s="325"/>
      <c r="AD28" s="328"/>
      <c r="AE28" s="327"/>
      <c r="AF28" s="325"/>
      <c r="AG28" s="328"/>
      <c r="AH28" s="327"/>
      <c r="AI28" s="325"/>
      <c r="AJ28" s="328"/>
      <c r="AK28" s="327"/>
      <c r="AL28" s="325"/>
      <c r="AM28" s="328"/>
      <c r="AN28" s="327"/>
      <c r="AO28" s="325"/>
      <c r="AP28" s="328"/>
      <c r="AQ28" s="327"/>
      <c r="AR28" s="325"/>
      <c r="AS28" s="328"/>
      <c r="AT28" s="327"/>
      <c r="AU28" s="325"/>
      <c r="AV28" s="328"/>
      <c r="AW28" s="327"/>
      <c r="AX28" s="325"/>
      <c r="AY28" s="328"/>
      <c r="AZ28" s="327"/>
      <c r="BA28" s="325"/>
      <c r="BB28" s="328"/>
      <c r="BC28" s="327"/>
      <c r="BD28" s="325"/>
      <c r="BE28" s="328"/>
      <c r="BF28" s="327"/>
      <c r="BG28" s="325"/>
      <c r="BH28" s="328"/>
      <c r="BI28" s="327"/>
      <c r="BJ28" s="325"/>
      <c r="BK28" s="328"/>
      <c r="BL28" s="327"/>
      <c r="BP28" s="325"/>
      <c r="BQ28" s="328"/>
      <c r="BR28" s="327"/>
      <c r="BS28" s="325"/>
      <c r="BT28" s="328"/>
      <c r="BU28" s="327"/>
      <c r="BV28" s="325"/>
      <c r="BW28" s="328"/>
      <c r="BX28" s="327"/>
      <c r="BY28" s="325"/>
      <c r="BZ28" s="328"/>
      <c r="CA28" s="327"/>
      <c r="CB28" s="325"/>
      <c r="CC28" s="328"/>
      <c r="CD28" s="327"/>
      <c r="CE28" s="325"/>
      <c r="CF28" s="328"/>
      <c r="CG28" s="327"/>
      <c r="CH28" s="325"/>
      <c r="CI28" s="328"/>
      <c r="CJ28" s="327"/>
      <c r="CK28" s="325"/>
      <c r="CL28" s="328"/>
      <c r="CM28" s="327"/>
      <c r="CN28" s="325"/>
      <c r="CO28" s="328"/>
      <c r="CP28" s="327"/>
      <c r="CQ28" s="325"/>
      <c r="CR28" s="328"/>
      <c r="CS28" s="327"/>
      <c r="CT28" s="325"/>
      <c r="CU28" s="328"/>
      <c r="CV28" s="327"/>
      <c r="CW28" s="325"/>
      <c r="CX28" s="328"/>
      <c r="CY28" s="327"/>
      <c r="DC28" s="325"/>
      <c r="DD28" s="328"/>
      <c r="DE28" s="327"/>
      <c r="DF28" s="325"/>
      <c r="DG28" s="328"/>
      <c r="DH28" s="327"/>
      <c r="DI28" s="325"/>
      <c r="DJ28" s="328"/>
      <c r="DK28" s="327"/>
      <c r="DL28" s="325"/>
      <c r="DM28" s="328"/>
      <c r="DN28" s="327"/>
      <c r="DO28" s="325"/>
      <c r="DP28" s="328"/>
      <c r="DQ28" s="327"/>
      <c r="DR28" s="325"/>
      <c r="DS28" s="328"/>
      <c r="DT28" s="327"/>
      <c r="DU28" s="325"/>
      <c r="DV28" s="328"/>
      <c r="DW28" s="327"/>
      <c r="DX28" s="325"/>
      <c r="DY28" s="328"/>
      <c r="DZ28" s="327"/>
      <c r="EA28" s="325"/>
      <c r="EB28" s="328"/>
      <c r="EC28" s="327"/>
      <c r="ED28" s="325"/>
      <c r="EE28" s="328"/>
      <c r="EF28" s="327"/>
      <c r="EG28" s="325"/>
      <c r="EH28" s="328"/>
      <c r="EI28" s="327"/>
      <c r="EJ28" s="325"/>
      <c r="EK28" s="328"/>
      <c r="EL28" s="327"/>
      <c r="EP28" s="325"/>
      <c r="EQ28" s="328"/>
      <c r="ER28" s="327"/>
      <c r="ES28" s="325"/>
      <c r="ET28" s="328"/>
      <c r="EU28" s="327"/>
      <c r="EV28" s="325"/>
      <c r="EW28" s="328"/>
      <c r="EX28" s="327"/>
      <c r="EY28" s="325"/>
      <c r="EZ28" s="328"/>
      <c r="FA28" s="327"/>
      <c r="FB28" s="325"/>
      <c r="FC28" s="328"/>
      <c r="FD28" s="327"/>
      <c r="FE28" s="325"/>
      <c r="FF28" s="328"/>
      <c r="FG28" s="327"/>
      <c r="FH28" s="325"/>
      <c r="FI28" s="328"/>
      <c r="FJ28" s="327"/>
      <c r="FK28" s="325"/>
      <c r="FL28" s="328"/>
      <c r="FM28" s="327"/>
      <c r="FN28" s="325"/>
      <c r="FO28" s="328"/>
      <c r="FP28" s="327"/>
      <c r="FQ28" s="325"/>
      <c r="FR28" s="328"/>
      <c r="FS28" s="327"/>
      <c r="FT28" s="328"/>
      <c r="FU28" s="328"/>
      <c r="FV28" s="327"/>
      <c r="FW28" s="325"/>
      <c r="FX28" s="328"/>
      <c r="FY28" s="327"/>
      <c r="GC28" s="328"/>
      <c r="GD28" s="328"/>
      <c r="GE28" s="327"/>
      <c r="GH28" s="327"/>
      <c r="GI28" s="325" t="n">
        <f aca="false">(GJ28*$H28+GK28*$G28)</f>
        <v>22374.852988528</v>
      </c>
      <c r="GJ28" s="328" t="n">
        <f aca="false">GK28/$F28*GK$7</f>
        <v>22374.852988528</v>
      </c>
      <c r="GK28" s="327" t="n">
        <v>23079.72</v>
      </c>
      <c r="GL28" s="325" t="n">
        <f aca="false">(GM28*$H28+GN28*$G28)</f>
        <v>22051.5922438515</v>
      </c>
      <c r="GM28" s="328" t="n">
        <f aca="false">GN28/$F28*GN$7</f>
        <v>22051.5922438515</v>
      </c>
      <c r="GN28" s="327" t="n">
        <v>23079.72</v>
      </c>
      <c r="GO28" s="325" t="n">
        <f aca="false">(GP28*$H28+GQ28*$G28)</f>
        <v>21580.1139094751</v>
      </c>
      <c r="GP28" s="328" t="n">
        <f aca="false">GQ28/$F28*GQ$7</f>
        <v>21580.1139094751</v>
      </c>
      <c r="GQ28" s="327" t="n">
        <v>23079.72</v>
      </c>
      <c r="GR28" s="325" t="n">
        <f aca="false">(GS28*$H28+GT28*$G28)</f>
        <v>21570.4829945683</v>
      </c>
      <c r="GS28" s="328" t="n">
        <f aca="false">GT28/$F28*GT$7</f>
        <v>21570.4829945683</v>
      </c>
      <c r="GT28" s="327" t="n">
        <v>23079.72</v>
      </c>
      <c r="GU28" s="325" t="n">
        <f aca="false">(GV28*$H28+GW28*$G28)</f>
        <v>21260.9364618833</v>
      </c>
      <c r="GV28" s="328" t="n">
        <f aca="false">GW28/$F28*GW$7</f>
        <v>21260.9364618833</v>
      </c>
      <c r="GW28" s="327" t="n">
        <v>23079.72</v>
      </c>
      <c r="GX28" s="325" t="n">
        <f aca="false">(GY28*$H28+GZ28*$G28)</f>
        <v>20734.1260753421</v>
      </c>
      <c r="GY28" s="328" t="n">
        <f aca="false">GZ28/$F28*GZ$7</f>
        <v>20734.1260753421</v>
      </c>
      <c r="GZ28" s="327" t="n">
        <v>23079.72</v>
      </c>
      <c r="HA28" s="325" t="n">
        <f aca="false">(HB28*$H28+HC28*$G28)</f>
        <v>20317.5350612978</v>
      </c>
      <c r="HB28" s="328" t="n">
        <f aca="false">HC28/$F28*HC$7</f>
        <v>20317.5350612978</v>
      </c>
      <c r="HC28" s="327" t="n">
        <v>23079.72</v>
      </c>
      <c r="HD28" s="325" t="n">
        <f aca="false">(HE28*$H28+HF28*$G28)</f>
        <v>20618.3203768819</v>
      </c>
      <c r="HE28" s="328" t="n">
        <f aca="false">HF28/$F28*HF$7</f>
        <v>20618.3203768819</v>
      </c>
      <c r="HF28" s="327" t="n">
        <v>23079.72</v>
      </c>
      <c r="HG28" s="325" t="n">
        <f aca="false">(HH28*$H28+HI28*$G28)</f>
        <v>19933.8097296781</v>
      </c>
      <c r="HH28" s="328" t="n">
        <f aca="false">HI28/$F28*HI$7</f>
        <v>19933.8097296781</v>
      </c>
      <c r="HI28" s="327" t="n">
        <v>23079.72</v>
      </c>
      <c r="HJ28" s="325" t="n">
        <f aca="false">(HK28*$H28+HL28*$G28)</f>
        <v>19282.4900779985</v>
      </c>
      <c r="HK28" s="328" t="n">
        <f aca="false">HL28/$F28*HL$7</f>
        <v>19282.4900779985</v>
      </c>
      <c r="HL28" s="327" t="n">
        <v>23079.72</v>
      </c>
      <c r="HP28" s="325" t="n">
        <f aca="false">(HQ28*$H28+HR28*$G28)</f>
        <v>19973.9772499309</v>
      </c>
      <c r="HQ28" s="328" t="n">
        <f aca="false">HR28/$F28*HR$7</f>
        <v>19973.9772499309</v>
      </c>
      <c r="HR28" s="327" t="n">
        <v>23079.72</v>
      </c>
      <c r="HS28" s="325" t="n">
        <f aca="false">(HT28*$H28+HU28*$G28)</f>
        <v>20130.7863997734</v>
      </c>
      <c r="HT28" s="328" t="n">
        <f aca="false">HU28/$F28*HU$7</f>
        <v>20130.7863997734</v>
      </c>
      <c r="HU28" s="327" t="n">
        <v>23079.72</v>
      </c>
      <c r="HV28" s="325" t="n">
        <f aca="false">(HW28*$H28+HX28*$G28)</f>
        <v>22897.5125446322</v>
      </c>
      <c r="HW28" s="328" t="n">
        <f aca="false">HX28/$F28*HX$7</f>
        <v>22897.5125446322</v>
      </c>
      <c r="HX28" s="327" t="n">
        <v>23079.72</v>
      </c>
      <c r="HY28" s="325" t="n">
        <f aca="false">(HZ28*$H28+IA28*$G28)</f>
        <v>22403.1189907956</v>
      </c>
      <c r="HZ28" s="328" t="n">
        <f aca="false">IA28/$F28*IA$7</f>
        <v>22403.1189907956</v>
      </c>
      <c r="IA28" s="327" t="n">
        <v>23079.72</v>
      </c>
      <c r="IB28" s="325" t="n">
        <f aca="false">(IC28*$H28+ID28*$G28)</f>
        <v>21883.2768932083</v>
      </c>
      <c r="IC28" s="328" t="n">
        <f aca="false">ID28/$F28*ID$7</f>
        <v>21883.2768932083</v>
      </c>
      <c r="ID28" s="327" t="n">
        <v>23079.72</v>
      </c>
      <c r="IE28" s="325" t="n">
        <f aca="false">(IF28*$H28+IG28*$G28)</f>
        <v>22041.6508402394</v>
      </c>
      <c r="IF28" s="328" t="n">
        <f aca="false">IG28/$F28*IG$7</f>
        <v>22041.6508402394</v>
      </c>
      <c r="IG28" s="327" t="n">
        <v>23079.72</v>
      </c>
      <c r="IH28" s="325" t="n">
        <f aca="false">(II28*$H28+IJ28*$G28)</f>
        <v>22731.6440426454</v>
      </c>
      <c r="II28" s="328" t="n">
        <f aca="false">IJ28/$F28*IJ$7</f>
        <v>22731.6440426454</v>
      </c>
      <c r="IJ28" s="327" t="n">
        <v>23079.72</v>
      </c>
      <c r="IK28" s="325" t="n">
        <f aca="false">(IL28*$H28+IM28*$G28)</f>
        <v>22496.8421066154</v>
      </c>
      <c r="IL28" s="328" t="n">
        <f aca="false">IM28/$F28*IM$7</f>
        <v>22496.8421066154</v>
      </c>
      <c r="IM28" s="327" t="n">
        <v>23079.72</v>
      </c>
      <c r="IN28" s="325" t="n">
        <f aca="false">(IO28*$H28+IP28*$G28)</f>
        <v>23226.6964584562</v>
      </c>
      <c r="IO28" s="328" t="n">
        <f aca="false">IP28/$F28*IP$7</f>
        <v>23226.6964584562</v>
      </c>
      <c r="IP28" s="327" t="n">
        <v>23079.72</v>
      </c>
      <c r="IQ28" s="325" t="n">
        <f aca="false">(IR28*$H28+IS28*$G28)</f>
        <v>23365.469261757</v>
      </c>
      <c r="IR28" s="328" t="n">
        <f aca="false">IS28/$F28*IS$7</f>
        <v>23365.469261757</v>
      </c>
      <c r="IS28" s="327" t="n">
        <v>23079.72</v>
      </c>
      <c r="IT28" s="325" t="n">
        <f aca="false">(IU28*$H28+IV28*$G28)</f>
        <v>23352.786168755</v>
      </c>
      <c r="IU28" s="328" t="n">
        <f aca="false">IV28/$F28*IV$7</f>
        <v>23352.786168755</v>
      </c>
      <c r="IV28" s="327" t="n">
        <v>23079.72</v>
      </c>
      <c r="IW28" s="325" t="n">
        <f aca="false">(IX28*$H28+IY28*$G28)</f>
        <v>23092.3709734807</v>
      </c>
      <c r="IX28" s="328" t="n">
        <f aca="false">IY28/$F28*IY$7</f>
        <v>23092.3709734807</v>
      </c>
      <c r="IY28" s="327" t="n">
        <v>23079.72</v>
      </c>
      <c r="JC28" s="325" t="n">
        <f aca="false">(JD28*$H28+JE28*$G28)</f>
        <v>23227.7671091641</v>
      </c>
      <c r="JD28" s="329" t="n">
        <f aca="false">JE28/$F28*JE$7</f>
        <v>23227.7671091641</v>
      </c>
      <c r="JE28" s="327" t="n">
        <v>23079.72</v>
      </c>
      <c r="JF28" s="325" t="n">
        <f aca="false">(JG28*$H28+JH28*$G28)</f>
        <v>23002.848102746</v>
      </c>
      <c r="JG28" s="326" t="n">
        <f aca="false">JH28/$F28*JH$7</f>
        <v>23002.848102746</v>
      </c>
      <c r="JH28" s="327" t="n">
        <v>23079.72</v>
      </c>
      <c r="JI28" s="325" t="n">
        <f aca="false">(JJ28*$H28+JK28*$G28)</f>
        <v>22828.249679602</v>
      </c>
      <c r="JJ28" s="326" t="n">
        <f aca="false">JK28/$F28*JK$7</f>
        <v>22828.249679602</v>
      </c>
      <c r="JK28" s="327" t="n">
        <v>23079.72</v>
      </c>
      <c r="JL28" s="325" t="n">
        <f aca="false">(JM28*$H28+JN28*$G28)</f>
        <v>23068.0754381847</v>
      </c>
      <c r="JM28" s="326" t="n">
        <f aca="false">JN28/$F28*JN$7</f>
        <v>23068.0754381847</v>
      </c>
      <c r="JN28" s="327" t="n">
        <v>23079.72</v>
      </c>
      <c r="JO28" s="325" t="n">
        <f aca="false">(JP28*$H28+JQ28*$G28)</f>
        <v>22620.7905154983</v>
      </c>
      <c r="JP28" s="326" t="n">
        <f aca="false">JQ28/$F28*JQ$7</f>
        <v>22620.7905154983</v>
      </c>
      <c r="JQ28" s="327" t="n">
        <v>23079.72</v>
      </c>
      <c r="JR28" s="325" t="n">
        <f aca="false">(JS28*$H28+JT28*$G28)</f>
        <v>22395.953866827</v>
      </c>
      <c r="JS28" s="328" t="n">
        <f aca="false">JT28/$F28*JT$7</f>
        <v>22395.953866827</v>
      </c>
      <c r="JT28" s="327" t="n">
        <v>23079.72</v>
      </c>
      <c r="JU28" s="325" t="n">
        <f aca="false">(JV28*$H28+JW28*$G28)</f>
        <v>22418.1904584538</v>
      </c>
      <c r="JV28" s="329" t="n">
        <f aca="false">JW28/$F28*JW$7</f>
        <v>22418.1904584538</v>
      </c>
      <c r="JW28" s="327" t="n">
        <v>23079.72</v>
      </c>
      <c r="JX28" s="325" t="n">
        <f aca="false">(JY28*$H28+JZ28*$G28)</f>
        <v>21944.633414549</v>
      </c>
      <c r="JY28" s="329" t="n">
        <f aca="false">JZ28/$F28*JZ$7</f>
        <v>21944.633414549</v>
      </c>
      <c r="JZ28" s="327" t="n">
        <v>23079.72</v>
      </c>
      <c r="KA28" s="325" t="n">
        <f aca="false">(KB28*$H28+KC28*$G28)</f>
        <v>21991.8244034459</v>
      </c>
      <c r="KB28" s="329" t="n">
        <f aca="false">KC28/$F28*KC$7</f>
        <v>21991.8244034459</v>
      </c>
      <c r="KC28" s="327" t="n">
        <v>23079.72</v>
      </c>
      <c r="KD28" s="325" t="n">
        <f aca="false">(KE28*$H28+KF28*$G28)</f>
        <v>21637.0272303778</v>
      </c>
      <c r="KE28" s="329" t="n">
        <f aca="false">KF28/$F28*KF$7</f>
        <v>21637.0272303778</v>
      </c>
      <c r="KF28" s="327" t="n">
        <v>23079.72</v>
      </c>
      <c r="KG28" s="325" t="n">
        <f aca="false">(KH28*$H28+KI28*$G28)</f>
        <v>21955.5869948689</v>
      </c>
      <c r="KH28" s="329" t="n">
        <f aca="false">KI28/$F28*KI$7</f>
        <v>21955.5869948689</v>
      </c>
      <c r="KI28" s="327" t="n">
        <v>23079.72</v>
      </c>
      <c r="KJ28" s="325" t="n">
        <f aca="false">(KK28*$H28+KL28*$G28)</f>
        <v>22470.9817741309</v>
      </c>
      <c r="KK28" s="329" t="n">
        <f aca="false">KL28/$F28*KL$7</f>
        <v>22470.9817741309</v>
      </c>
      <c r="KL28" s="327" t="n">
        <v>23079.72</v>
      </c>
      <c r="KP28" s="325" t="n">
        <f aca="false">(KQ28*$H28+KR28*$G28)</f>
        <v>23397.9182139828</v>
      </c>
      <c r="KQ28" s="329" t="n">
        <f aca="false">KR28/$F28*KR$7</f>
        <v>23397.9182139828</v>
      </c>
      <c r="KR28" s="327" t="n">
        <v>23079.72</v>
      </c>
      <c r="KS28" s="325" t="n">
        <f aca="false">(KT28*$H28+KU28*$G28)</f>
        <v>23873.6165593035</v>
      </c>
      <c r="KT28" s="329" t="n">
        <f aca="false">KU28/$F28*KU$7</f>
        <v>23873.6165593035</v>
      </c>
      <c r="KU28" s="327" t="n">
        <v>23079.72</v>
      </c>
      <c r="KV28" s="325" t="n">
        <f aca="false">(KW28*$H28+KX28*$G28)</f>
        <v>24093.6764586624</v>
      </c>
      <c r="KW28" s="329" t="n">
        <f aca="false">KX28/$F28*KX$7</f>
        <v>24093.6764586624</v>
      </c>
      <c r="KX28" s="327" t="n">
        <v>23079.72</v>
      </c>
      <c r="KY28" s="325" t="n">
        <f aca="false">(KZ28*$H28+LA28*$G28)</f>
        <v>24093.6764586624</v>
      </c>
      <c r="KZ28" s="329" t="n">
        <f aca="false">LA28/$F28*LA$7</f>
        <v>24093.6764586624</v>
      </c>
      <c r="LA28" s="327" t="n">
        <v>23079.72</v>
      </c>
      <c r="LB28" s="325" t="n">
        <f aca="false">(LC28*$H28+LD28*$G28)</f>
        <v>24093.6764586624</v>
      </c>
      <c r="LC28" s="329" t="n">
        <f aca="false">LD28/$F28*LD$7</f>
        <v>24093.6764586624</v>
      </c>
      <c r="LD28" s="327" t="n">
        <v>23079.72</v>
      </c>
      <c r="LE28" s="325" t="n">
        <f aca="false">(LF28*$H28+LG28*$G28)</f>
        <v>24093.6764586624</v>
      </c>
      <c r="LF28" s="329" t="n">
        <f aca="false">LG28/$F28*LG$7</f>
        <v>24093.6764586624</v>
      </c>
      <c r="LG28" s="327" t="n">
        <v>23079.72</v>
      </c>
      <c r="LH28" s="325" t="n">
        <f aca="false">(LI28*$H28+LJ28*$G28)</f>
        <v>30117.0749838913</v>
      </c>
      <c r="LI28" s="329" t="n">
        <f aca="false">LJ28/$F28*LJ$7</f>
        <v>30117.0749838913</v>
      </c>
      <c r="LJ28" s="327" t="n">
        <v>23079.72</v>
      </c>
      <c r="LM28" s="327" t="n">
        <v>23079.72</v>
      </c>
      <c r="LP28" s="327" t="n">
        <v>23079.72</v>
      </c>
      <c r="LS28" s="327" t="n">
        <v>23079.72</v>
      </c>
      <c r="LV28" s="327" t="n">
        <v>23079.72</v>
      </c>
      <c r="LY28" s="327" t="n">
        <v>23079.72</v>
      </c>
      <c r="ME28" s="327" t="n">
        <v>23079.72</v>
      </c>
      <c r="MH28" s="327" t="n">
        <v>23079.72</v>
      </c>
      <c r="MK28" s="327" t="n">
        <v>23079.72</v>
      </c>
      <c r="MN28" s="327" t="n">
        <v>23079.72</v>
      </c>
      <c r="MQ28" s="327" t="n">
        <v>23079.72</v>
      </c>
      <c r="MT28" s="327" t="n">
        <v>23079.72</v>
      </c>
      <c r="MW28" s="327" t="n">
        <v>23079.72</v>
      </c>
      <c r="MZ28" s="327" t="n">
        <v>23079.72</v>
      </c>
      <c r="NC28" s="327" t="n">
        <v>23079.72</v>
      </c>
      <c r="NF28" s="327" t="n">
        <v>23079.72</v>
      </c>
      <c r="NI28" s="327" t="n">
        <v>23079.72</v>
      </c>
      <c r="NL28" s="327" t="n">
        <v>23079.72</v>
      </c>
      <c r="NR28" s="327" t="n">
        <v>23079.72</v>
      </c>
      <c r="NU28" s="327" t="n">
        <v>23079.72</v>
      </c>
    </row>
    <row r="29" s="329" customFormat="true" ht="15" hidden="false" customHeight="false" outlineLevel="0" collapsed="false">
      <c r="A29" s="283" t="n">
        <v>4.8</v>
      </c>
      <c r="B29" s="333"/>
      <c r="C29" s="320" t="n">
        <v>1939446.54</v>
      </c>
      <c r="D29" s="333"/>
      <c r="E29" s="334"/>
      <c r="F29" s="331" t="n">
        <v>28.023739</v>
      </c>
      <c r="G29" s="323" t="n">
        <v>0</v>
      </c>
      <c r="H29" s="324" t="n">
        <f aca="false">1-G29</f>
        <v>1</v>
      </c>
      <c r="I29" s="332" t="n">
        <f aca="false">J29/F29*27.185914</f>
        <v>396237.940647276</v>
      </c>
      <c r="J29" s="319" t="n">
        <v>408449.34</v>
      </c>
      <c r="K29" s="289"/>
      <c r="M29" s="327"/>
      <c r="N29" s="289"/>
      <c r="P29" s="327"/>
      <c r="Q29" s="289"/>
      <c r="S29" s="327"/>
      <c r="V29" s="327"/>
      <c r="W29" s="289"/>
      <c r="Y29" s="327"/>
      <c r="AC29" s="289"/>
      <c r="AE29" s="327"/>
      <c r="AF29" s="289"/>
      <c r="AH29" s="327"/>
      <c r="AI29" s="289"/>
      <c r="AK29" s="327"/>
      <c r="AL29" s="289"/>
      <c r="AN29" s="327"/>
      <c r="AO29" s="289"/>
      <c r="AQ29" s="327"/>
      <c r="AR29" s="289"/>
      <c r="AT29" s="327"/>
      <c r="AU29" s="289"/>
      <c r="AW29" s="327"/>
      <c r="AX29" s="289"/>
      <c r="AZ29" s="327"/>
      <c r="BA29" s="289"/>
      <c r="BC29" s="327"/>
      <c r="BD29" s="289"/>
      <c r="BF29" s="327"/>
      <c r="BG29" s="289"/>
      <c r="BI29" s="327"/>
      <c r="BJ29" s="289"/>
      <c r="BL29" s="327"/>
      <c r="BP29" s="289"/>
      <c r="BR29" s="327"/>
      <c r="BS29" s="289"/>
      <c r="BU29" s="327"/>
      <c r="BV29" s="289"/>
      <c r="BX29" s="327"/>
      <c r="BY29" s="289"/>
      <c r="CA29" s="327"/>
      <c r="CB29" s="289"/>
      <c r="CD29" s="327"/>
      <c r="CE29" s="289"/>
      <c r="CG29" s="327"/>
      <c r="CH29" s="289"/>
      <c r="CJ29" s="327"/>
      <c r="CK29" s="289"/>
      <c r="CM29" s="327"/>
      <c r="CN29" s="289"/>
      <c r="CP29" s="327"/>
      <c r="CQ29" s="289"/>
      <c r="CS29" s="327"/>
      <c r="CV29" s="327"/>
      <c r="CW29" s="289"/>
      <c r="CY29" s="327"/>
      <c r="DC29" s="335"/>
      <c r="DE29" s="327"/>
      <c r="DH29" s="327"/>
      <c r="DK29" s="327"/>
      <c r="DL29" s="289"/>
      <c r="DN29" s="327"/>
      <c r="DQ29" s="327"/>
      <c r="DT29" s="327"/>
      <c r="ED29" s="289"/>
      <c r="EJ29" s="289"/>
      <c r="FN29" s="289"/>
      <c r="FQ29" s="289"/>
      <c r="FT29" s="289"/>
      <c r="FW29" s="289"/>
      <c r="GC29" s="289"/>
      <c r="GI29" s="325" t="n">
        <f aca="false">(GJ29*$H29+GK29*$G29)</f>
        <v>24737.3287572005</v>
      </c>
      <c r="GJ29" s="328" t="n">
        <f aca="false">GK29/$F29*GK$7</f>
        <v>24737.3287572005</v>
      </c>
      <c r="GK29" s="327" t="n">
        <v>25516.62</v>
      </c>
      <c r="GL29" s="325" t="n">
        <f aca="false">(GM29*$H29+GN29*$G29)</f>
        <v>24379.9361379301</v>
      </c>
      <c r="GM29" s="328" t="n">
        <f aca="false">GN29/$F29*GN$7</f>
        <v>24379.9361379301</v>
      </c>
      <c r="GN29" s="327" t="n">
        <v>25516.62</v>
      </c>
      <c r="GO29" s="325" t="n">
        <f aca="false">(GP29*$H29+GQ29*$G29)</f>
        <v>23858.6761964526</v>
      </c>
      <c r="GP29" s="328" t="n">
        <f aca="false">GQ29/$F29*GQ$7</f>
        <v>23858.6761964526</v>
      </c>
      <c r="GQ29" s="327" t="n">
        <v>25516.62</v>
      </c>
      <c r="GR29" s="325" t="n">
        <f aca="false">(GS29*$H29+GT29*$G29)</f>
        <v>23848.0283898098</v>
      </c>
      <c r="GS29" s="328" t="n">
        <f aca="false">GT29/$F29*GT$7</f>
        <v>23848.0283898098</v>
      </c>
      <c r="GT29" s="327" t="n">
        <v>25516.62</v>
      </c>
      <c r="GU29" s="325" t="n">
        <f aca="false">(GV29*$H29+GW29*$G29)</f>
        <v>23505.7980141015</v>
      </c>
      <c r="GV29" s="328" t="n">
        <f aca="false">GW29/$F29*GW$7</f>
        <v>23505.7980141015</v>
      </c>
      <c r="GW29" s="327" t="n">
        <v>25516.62</v>
      </c>
      <c r="GX29" s="325" t="n">
        <f aca="false">(GY29*$H29+GZ29*$G29)</f>
        <v>22923.3637191697</v>
      </c>
      <c r="GY29" s="328" t="n">
        <f aca="false">GZ29/$F29*GZ$7</f>
        <v>22923.3637191697</v>
      </c>
      <c r="GZ29" s="327" t="n">
        <v>25516.62</v>
      </c>
      <c r="HA29" s="325" t="n">
        <f aca="false">(HB29*$H29+HC29*$G29)</f>
        <v>22462.7864417685</v>
      </c>
      <c r="HB29" s="328" t="n">
        <f aca="false">HC29/$F29*HC$7</f>
        <v>22462.7864417685</v>
      </c>
      <c r="HC29" s="327" t="n">
        <v>25516.62</v>
      </c>
      <c r="HD29" s="325" t="n">
        <f aca="false">(HE29*$H29+HF29*$G29)</f>
        <v>22795.3305367289</v>
      </c>
      <c r="HE29" s="328" t="n">
        <f aca="false">HF29/$F29*HF$7</f>
        <v>22795.3305367289</v>
      </c>
      <c r="HF29" s="327" t="n">
        <v>25516.62</v>
      </c>
      <c r="HG29" s="325" t="n">
        <f aca="false">(HH29*$H29+HI29*$G29)</f>
        <v>22038.5450094065</v>
      </c>
      <c r="HH29" s="328" t="n">
        <f aca="false">HI29/$F29*HI$7</f>
        <v>22038.5450094065</v>
      </c>
      <c r="HI29" s="327" t="n">
        <v>25516.62</v>
      </c>
      <c r="HJ29" s="325" t="n">
        <f aca="false">(HK29*$H29+HL29*$G29)</f>
        <v>21318.4549887979</v>
      </c>
      <c r="HK29" s="328" t="n">
        <f aca="false">HL29/$F29*HL$7</f>
        <v>21318.4549887979</v>
      </c>
      <c r="HL29" s="327" t="n">
        <v>25516.62</v>
      </c>
      <c r="HP29" s="325" t="n">
        <f aca="false">(HQ29*$H29+HR29*$G29)</f>
        <v>22082.9536656047</v>
      </c>
      <c r="HQ29" s="328" t="n">
        <f aca="false">HR29/$F29*HR$7</f>
        <v>22082.9536656047</v>
      </c>
      <c r="HR29" s="327" t="n">
        <v>25516.62</v>
      </c>
      <c r="HS29" s="325" t="n">
        <f aca="false">(HT29*$H29+HU29*$G29)</f>
        <v>22256.3196981673</v>
      </c>
      <c r="HT29" s="328" t="n">
        <f aca="false">HU29/$F29*HU$7</f>
        <v>22256.3196981673</v>
      </c>
      <c r="HU29" s="327" t="n">
        <v>25516.62</v>
      </c>
      <c r="HV29" s="325" t="n">
        <f aca="false">(HW29*$H29+HX29*$G29)</f>
        <v>25315.1739512704</v>
      </c>
      <c r="HW29" s="328" t="n">
        <f aca="false">HX29/$F29*HX$7</f>
        <v>25315.1739512704</v>
      </c>
      <c r="HX29" s="327" t="n">
        <v>25516.62</v>
      </c>
      <c r="HY29" s="325" t="n">
        <f aca="false">(HZ29*$H29+IA29*$G29)</f>
        <v>24768.5792593201</v>
      </c>
      <c r="HZ29" s="328" t="n">
        <f aca="false">IA29/$F29*IA$7</f>
        <v>24768.5792593201</v>
      </c>
      <c r="IA29" s="327" t="n">
        <v>25516.62</v>
      </c>
      <c r="IB29" s="325" t="n">
        <f aca="false">(IC29*$H29+ID29*$G29)</f>
        <v>24193.8490085138</v>
      </c>
      <c r="IC29" s="328" t="n">
        <f aca="false">ID29/$F29*ID$7</f>
        <v>24193.8490085138</v>
      </c>
      <c r="ID29" s="327" t="n">
        <v>25516.62</v>
      </c>
      <c r="IE29" s="325" t="n">
        <f aca="false">(IF29*$H29+IG29*$G29)</f>
        <v>24368.9450592585</v>
      </c>
      <c r="IF29" s="328" t="n">
        <f aca="false">IG29/$F29*IG$7</f>
        <v>24368.9450592585</v>
      </c>
      <c r="IG29" s="327" t="n">
        <v>25516.62</v>
      </c>
      <c r="IH29" s="325" t="n">
        <f aca="false">(II29*$H29+IJ29*$G29)</f>
        <v>25131.7920239694</v>
      </c>
      <c r="II29" s="328" t="n">
        <f aca="false">IJ29/$F29*IJ$7</f>
        <v>25131.7920239694</v>
      </c>
      <c r="IJ29" s="327" t="n">
        <v>25516.62</v>
      </c>
      <c r="IK29" s="325" t="n">
        <f aca="false">(IL29*$H29+IM29*$G29)</f>
        <v>24872.1982430681</v>
      </c>
      <c r="IL29" s="328" t="n">
        <f aca="false">IM29/$F29*IM$7</f>
        <v>24872.1982430681</v>
      </c>
      <c r="IM29" s="327" t="n">
        <v>25516.62</v>
      </c>
      <c r="IN29" s="325" t="n">
        <f aca="false">(IO29*$H29+IP29*$G29)</f>
        <v>25679.1151446279</v>
      </c>
      <c r="IO29" s="328" t="n">
        <f aca="false">IP29/$F29*IP$7</f>
        <v>25679.1151446279</v>
      </c>
      <c r="IP29" s="327" t="n">
        <v>25516.62</v>
      </c>
      <c r="IQ29" s="325" t="n">
        <f aca="false">(IR29*$H29+IS29*$G29)</f>
        <v>25832.5404413023</v>
      </c>
      <c r="IR29" s="328" t="n">
        <f aca="false">IS29/$F29*IS$7</f>
        <v>25832.5404413023</v>
      </c>
      <c r="IS29" s="327" t="n">
        <v>25516.62</v>
      </c>
      <c r="IT29" s="325" t="n">
        <f aca="false">(IU29*$H29+IV29*$G29)</f>
        <v>25818.5181886685</v>
      </c>
      <c r="IU29" s="328" t="n">
        <f aca="false">IV29/$F29*IV$7</f>
        <v>25818.5181886685</v>
      </c>
      <c r="IV29" s="327" t="n">
        <v>25516.62</v>
      </c>
      <c r="IW29" s="325" t="n">
        <f aca="false">(IX29*$H29+IY29*$G29)</f>
        <v>25530.6067417342</v>
      </c>
      <c r="IX29" s="328" t="n">
        <f aca="false">IY29/$F29*IY$7</f>
        <v>25530.6067417342</v>
      </c>
      <c r="IY29" s="327" t="n">
        <v>25516.62</v>
      </c>
      <c r="JC29" s="325" t="n">
        <f aca="false">(JD29*$H29+JE29*$G29)</f>
        <v>25680.2988412788</v>
      </c>
      <c r="JD29" s="329" t="n">
        <f aca="false">JE29/$F29*JE$7</f>
        <v>25680.2988412788</v>
      </c>
      <c r="JE29" s="327" t="n">
        <v>25516.62</v>
      </c>
      <c r="JF29" s="325" t="n">
        <f aca="false">(JG29*$H29+JH29*$G29)</f>
        <v>25431.6314910013</v>
      </c>
      <c r="JG29" s="326" t="n">
        <f aca="false">JH29/$F29*JH$7</f>
        <v>25431.6314910013</v>
      </c>
      <c r="JH29" s="327" t="n">
        <v>25516.62</v>
      </c>
      <c r="JI29" s="325" t="n">
        <f aca="false">(JJ29*$H29+JK29*$G29)</f>
        <v>25238.597883316</v>
      </c>
      <c r="JJ29" s="326" t="n">
        <f aca="false">JK29/$F29*JK$7</f>
        <v>25238.597883316</v>
      </c>
      <c r="JK29" s="327" t="n">
        <v>25516.62</v>
      </c>
      <c r="JL29" s="325" t="n">
        <f aca="false">(JM29*$H29+JN29*$G29)</f>
        <v>25503.7459331176</v>
      </c>
      <c r="JM29" s="326" t="n">
        <f aca="false">JN29/$F29*JN$7</f>
        <v>25503.7459331176</v>
      </c>
      <c r="JN29" s="327" t="n">
        <v>25516.62</v>
      </c>
      <c r="JO29" s="325" t="n">
        <f aca="false">(JP29*$H29+JQ29*$G29)</f>
        <v>25009.233893807</v>
      </c>
      <c r="JP29" s="326" t="n">
        <f aca="false">JQ29/$F29*JQ$7</f>
        <v>25009.233893807</v>
      </c>
      <c r="JQ29" s="327" t="n">
        <v>25516.62</v>
      </c>
      <c r="JR29" s="325" t="n">
        <f aca="false">(JS29*$H29+JT29*$G29)</f>
        <v>24760.6575971179</v>
      </c>
      <c r="JS29" s="328" t="n">
        <f aca="false">JT29/$F29*JT$7</f>
        <v>24760.6575971179</v>
      </c>
      <c r="JT29" s="327" t="n">
        <v>25516.62</v>
      </c>
      <c r="JU29" s="325" t="n">
        <f aca="false">(JV29*$H29+JW29*$G29)</f>
        <v>24785.2420660212</v>
      </c>
      <c r="JV29" s="329" t="n">
        <f aca="false">JW29/$F29*JW$7</f>
        <v>24785.2420660212</v>
      </c>
      <c r="JW29" s="327" t="n">
        <v>25516.62</v>
      </c>
      <c r="JX29" s="325" t="n">
        <f aca="false">(JY29*$H29+JZ29*$G29)</f>
        <v>24261.6839319692</v>
      </c>
      <c r="JY29" s="329" t="n">
        <f aca="false">JZ29/$F29*JZ$7</f>
        <v>24261.6839319692</v>
      </c>
      <c r="JZ29" s="327" t="n">
        <v>25516.62</v>
      </c>
      <c r="KA29" s="325" t="n">
        <f aca="false">(KB29*$H29+KC29*$G29)</f>
        <v>24313.8576381974</v>
      </c>
      <c r="KB29" s="329" t="n">
        <f aca="false">KC29/$F29*KC$7</f>
        <v>24313.8576381974</v>
      </c>
      <c r="KC29" s="327" t="n">
        <v>25516.62</v>
      </c>
      <c r="KD29" s="325" t="n">
        <f aca="false">(KE29*$H29+KF29*$G29)</f>
        <v>23921.5987788068</v>
      </c>
      <c r="KE29" s="329" t="n">
        <f aca="false">KF29/$F29*KF$7</f>
        <v>23921.5987788068</v>
      </c>
      <c r="KF29" s="327" t="n">
        <v>25516.62</v>
      </c>
      <c r="KG29" s="325" t="n">
        <f aca="false">(KH29*$H29+KI29*$G29)</f>
        <v>24273.7940592438</v>
      </c>
      <c r="KH29" s="329" t="n">
        <f aca="false">KI29/$F29*KI$7</f>
        <v>24273.7940592438</v>
      </c>
      <c r="KI29" s="327" t="n">
        <v>25516.62</v>
      </c>
      <c r="KJ29" s="325" t="n">
        <f aca="false">(KK29*$H29+KL29*$G29)</f>
        <v>24843.6074162695</v>
      </c>
      <c r="KK29" s="329" t="n">
        <f aca="false">KL29/$F29*KL$7</f>
        <v>24843.6074162695</v>
      </c>
      <c r="KL29" s="327" t="n">
        <v>25516.62</v>
      </c>
      <c r="KP29" s="325" t="n">
        <f aca="false">(KQ29*$H29+KR29*$G29)</f>
        <v>25868.4155551834</v>
      </c>
      <c r="KQ29" s="329" t="n">
        <f aca="false">KR29/$F29*KR$7</f>
        <v>25868.4155551834</v>
      </c>
      <c r="KR29" s="327" t="n">
        <v>25516.62</v>
      </c>
      <c r="KS29" s="325" t="n">
        <f aca="false">(KT29*$H29+KU29*$G29)</f>
        <v>26394.3410825372</v>
      </c>
      <c r="KT29" s="329" t="n">
        <f aca="false">KU29/$F29*KU$7</f>
        <v>26394.3410825372</v>
      </c>
      <c r="KU29" s="327" t="n">
        <v>25516.62</v>
      </c>
      <c r="KV29" s="325" t="n">
        <f aca="false">(KW29*$H29+KX29*$G29)</f>
        <v>26637.6362710914</v>
      </c>
      <c r="KW29" s="329" t="n">
        <f aca="false">KX29/$F29*KX$7</f>
        <v>26637.6362710914</v>
      </c>
      <c r="KX29" s="327" t="n">
        <v>25516.62</v>
      </c>
      <c r="KY29" s="325" t="n">
        <f aca="false">(KZ29*$H29+LA29*$G29)</f>
        <v>26637.6362710914</v>
      </c>
      <c r="KZ29" s="329" t="n">
        <f aca="false">LA29/$F29*LA$7</f>
        <v>26637.6362710914</v>
      </c>
      <c r="LA29" s="327" t="n">
        <v>25516.62</v>
      </c>
      <c r="LB29" s="325" t="n">
        <f aca="false">(LC29*$H29+LD29*$G29)</f>
        <v>26637.6362710914</v>
      </c>
      <c r="LC29" s="329" t="n">
        <f aca="false">LD29/$F29*LD$7</f>
        <v>26637.6362710914</v>
      </c>
      <c r="LD29" s="327" t="n">
        <v>25516.62</v>
      </c>
      <c r="LE29" s="325" t="n">
        <f aca="false">(LF29*$H29+LG29*$G29)</f>
        <v>26637.6362710914</v>
      </c>
      <c r="LF29" s="329" t="n">
        <f aca="false">LG29/$F29*LG$7</f>
        <v>26637.6362710914</v>
      </c>
      <c r="LG29" s="327" t="n">
        <v>25516.62</v>
      </c>
      <c r="LH29" s="325" t="n">
        <f aca="false">(LI29*$H29+LJ29*$G29)</f>
        <v>33297.0225754672</v>
      </c>
      <c r="LI29" s="329" t="n">
        <f aca="false">LJ29/$F29*LJ$7</f>
        <v>33297.0225754672</v>
      </c>
      <c r="LJ29" s="327" t="n">
        <v>25516.62</v>
      </c>
      <c r="LM29" s="327" t="n">
        <v>25516.62</v>
      </c>
      <c r="LP29" s="327" t="n">
        <v>25516.62</v>
      </c>
      <c r="LS29" s="327" t="n">
        <v>25516.62</v>
      </c>
      <c r="LV29" s="327" t="n">
        <v>25516.62</v>
      </c>
      <c r="LY29" s="327" t="n">
        <v>25516.62</v>
      </c>
      <c r="ME29" s="327" t="n">
        <v>25516.62</v>
      </c>
      <c r="MH29" s="327" t="n">
        <v>25516.62</v>
      </c>
      <c r="MK29" s="327" t="n">
        <v>25516.62</v>
      </c>
      <c r="MN29" s="327" t="n">
        <v>25516.62</v>
      </c>
      <c r="MQ29" s="327" t="n">
        <v>25516.62</v>
      </c>
      <c r="MT29" s="327" t="n">
        <v>25516.62</v>
      </c>
      <c r="MW29" s="327" t="n">
        <v>25516.62</v>
      </c>
      <c r="MZ29" s="327" t="n">
        <v>25516.62</v>
      </c>
      <c r="NC29" s="327" t="n">
        <v>25516.62</v>
      </c>
      <c r="NF29" s="327" t="n">
        <v>25516.62</v>
      </c>
      <c r="NI29" s="327" t="n">
        <v>25516.62</v>
      </c>
      <c r="NL29" s="327" t="n">
        <v>25516.62</v>
      </c>
      <c r="NR29" s="327" t="n">
        <v>25516.62</v>
      </c>
      <c r="NU29" s="327" t="n">
        <v>25516.62</v>
      </c>
    </row>
    <row r="30" s="329" customFormat="true" ht="15" hidden="false" customHeight="false" outlineLevel="0" collapsed="false">
      <c r="A30" s="283" t="n">
        <v>4.9</v>
      </c>
      <c r="B30" s="333"/>
      <c r="C30" s="320" t="n">
        <v>4868425.32</v>
      </c>
      <c r="D30" s="333"/>
      <c r="E30" s="334"/>
      <c r="F30" s="331" t="n">
        <v>27.772064</v>
      </c>
      <c r="G30" s="323" t="n">
        <v>0</v>
      </c>
      <c r="H30" s="324" t="n">
        <f aca="false">1-G30</f>
        <v>1</v>
      </c>
      <c r="I30" s="332" t="n">
        <f aca="false">J30/F30*26.49592</f>
        <v>871951.24112138</v>
      </c>
      <c r="J30" s="319" t="n">
        <v>913947.72</v>
      </c>
      <c r="K30" s="289"/>
      <c r="M30" s="327"/>
      <c r="N30" s="289"/>
      <c r="P30" s="327"/>
      <c r="Q30" s="289"/>
      <c r="S30" s="327"/>
      <c r="V30" s="327"/>
      <c r="W30" s="289"/>
      <c r="Y30" s="327"/>
      <c r="AC30" s="289"/>
      <c r="AE30" s="327"/>
      <c r="AF30" s="289"/>
      <c r="AH30" s="327"/>
      <c r="AI30" s="289"/>
      <c r="AK30" s="327"/>
      <c r="AL30" s="289"/>
      <c r="AN30" s="327"/>
      <c r="AO30" s="289"/>
      <c r="AQ30" s="327"/>
      <c r="AR30" s="289"/>
      <c r="AT30" s="327"/>
      <c r="AU30" s="289"/>
      <c r="AW30" s="327"/>
      <c r="AX30" s="289"/>
      <c r="AZ30" s="327"/>
      <c r="BA30" s="289"/>
      <c r="BC30" s="327"/>
      <c r="BD30" s="289"/>
      <c r="BF30" s="327"/>
      <c r="BG30" s="289"/>
      <c r="BI30" s="327"/>
      <c r="BJ30" s="289"/>
      <c r="BL30" s="327"/>
      <c r="BP30" s="289"/>
      <c r="BR30" s="327"/>
      <c r="BS30" s="289"/>
      <c r="BU30" s="327"/>
      <c r="BV30" s="289"/>
      <c r="BX30" s="327"/>
      <c r="BY30" s="289"/>
      <c r="CA30" s="327"/>
      <c r="CB30" s="289"/>
      <c r="CD30" s="327"/>
      <c r="CE30" s="289"/>
      <c r="CG30" s="327"/>
      <c r="CH30" s="289"/>
      <c r="CJ30" s="327"/>
      <c r="CK30" s="289"/>
      <c r="CM30" s="327"/>
      <c r="CN30" s="289"/>
      <c r="CP30" s="327"/>
      <c r="CQ30" s="289"/>
      <c r="CS30" s="327"/>
      <c r="CV30" s="327"/>
      <c r="CW30" s="289"/>
      <c r="CY30" s="327"/>
      <c r="DC30" s="335"/>
      <c r="DE30" s="327"/>
      <c r="DH30" s="327"/>
      <c r="DK30" s="327"/>
      <c r="DL30" s="289"/>
      <c r="DN30" s="327"/>
      <c r="DQ30" s="327"/>
      <c r="DT30" s="327"/>
      <c r="ED30" s="289"/>
      <c r="EJ30" s="289"/>
      <c r="FN30" s="289"/>
      <c r="FQ30" s="289"/>
      <c r="FT30" s="289"/>
      <c r="FW30" s="289"/>
      <c r="GC30" s="289"/>
      <c r="GK30" s="327"/>
      <c r="GN30" s="327"/>
      <c r="GO30" s="328"/>
      <c r="GP30" s="328"/>
      <c r="GQ30" s="327"/>
      <c r="GR30" s="325" t="n">
        <f aca="false">(GS30*$H30+GT30*$G30)</f>
        <v>62156.2959044009</v>
      </c>
      <c r="GS30" s="328" t="n">
        <f aca="false">GT30/$F30*GT$7</f>
        <v>62156.2959044009</v>
      </c>
      <c r="GT30" s="327" t="n">
        <v>65907.96</v>
      </c>
      <c r="GU30" s="325" t="n">
        <f aca="false">(GV30*$H30+GW30*$G30)</f>
        <v>61264.3239496424</v>
      </c>
      <c r="GV30" s="328" t="n">
        <f aca="false">GW30/$F30*GW$7</f>
        <v>61264.3239496424</v>
      </c>
      <c r="GW30" s="327" t="n">
        <v>65907.96</v>
      </c>
      <c r="GX30" s="325" t="n">
        <f aca="false">(GY30*$H30+GZ30*$G30)</f>
        <v>59746.2966398407</v>
      </c>
      <c r="GY30" s="328" t="n">
        <f aca="false">GZ30/$F30*GZ$7</f>
        <v>59746.2966398407</v>
      </c>
      <c r="GZ30" s="327" t="n">
        <v>65907.96</v>
      </c>
      <c r="HA30" s="325" t="n">
        <f aca="false">(HB30*$H30+HC30*$G30)</f>
        <v>58545.871301819</v>
      </c>
      <c r="HB30" s="328" t="n">
        <f aca="false">HC30/$F30*HC$7</f>
        <v>58545.871301819</v>
      </c>
      <c r="HC30" s="327" t="n">
        <v>65907.96</v>
      </c>
      <c r="HD30" s="325" t="n">
        <f aca="false">(HE30*$H30+HF30*$G30)</f>
        <v>59412.5974239855</v>
      </c>
      <c r="HE30" s="328" t="n">
        <f aca="false">HF30/$F30*HF$7</f>
        <v>59412.5974239855</v>
      </c>
      <c r="HF30" s="327" t="n">
        <v>65907.96</v>
      </c>
      <c r="HG30" s="325" t="n">
        <f aca="false">(HH30*$H30+HI30*$G30)</f>
        <v>57440.1498738761</v>
      </c>
      <c r="HH30" s="328" t="n">
        <f aca="false">HI30/$F30*HI$7</f>
        <v>57440.1498738761</v>
      </c>
      <c r="HI30" s="327" t="n">
        <v>65907.96</v>
      </c>
      <c r="HJ30" s="325" t="n">
        <f aca="false">(HK30*$H30+HL30*$G30)</f>
        <v>55563.3436378571</v>
      </c>
      <c r="HK30" s="328" t="n">
        <f aca="false">HL30/$F30*HL$7</f>
        <v>55563.3436378571</v>
      </c>
      <c r="HL30" s="327" t="n">
        <v>65907.96</v>
      </c>
      <c r="HP30" s="325" t="n">
        <f aca="false">(HQ30*$H30+HR30*$G30)</f>
        <v>57555.8943509564</v>
      </c>
      <c r="HQ30" s="328" t="n">
        <f aca="false">HR30/$F30*HR$7</f>
        <v>57555.8943509564</v>
      </c>
      <c r="HR30" s="327" t="n">
        <v>65907.96</v>
      </c>
      <c r="HS30" s="325" t="n">
        <f aca="false">(HT30*$H30+HU30*$G30)</f>
        <v>58007.7468162251</v>
      </c>
      <c r="HT30" s="328" t="n">
        <f aca="false">HU30/$F30*HU$7</f>
        <v>58007.7468162251</v>
      </c>
      <c r="HU30" s="327" t="n">
        <v>65907.96</v>
      </c>
      <c r="HV30" s="325" t="n">
        <f aca="false">(HW30*$H30+HX30*$G30)</f>
        <v>65980.189945551</v>
      </c>
      <c r="HW30" s="328" t="n">
        <f aca="false">HX30/$F30*HX$7</f>
        <v>65980.189945551</v>
      </c>
      <c r="HX30" s="327" t="n">
        <v>65907.96</v>
      </c>
      <c r="HY30" s="325" t="n">
        <f aca="false">(HZ30*$H30+IA30*$G30)</f>
        <v>64555.5731656099</v>
      </c>
      <c r="HZ30" s="328" t="n">
        <f aca="false">IA30/$F30*IA$7</f>
        <v>64555.5731656099</v>
      </c>
      <c r="IA30" s="327" t="n">
        <v>65907.96</v>
      </c>
      <c r="IB30" s="325" t="n">
        <f aca="false">(IC30*$H30+ID30*$G30)</f>
        <v>63057.6252870511</v>
      </c>
      <c r="IC30" s="328" t="n">
        <f aca="false">ID30/$F30*ID$7</f>
        <v>63057.6252870511</v>
      </c>
      <c r="ID30" s="327" t="n">
        <v>65907.96</v>
      </c>
      <c r="IE30" s="325" t="n">
        <f aca="false">(IF30*$H30+IG30*$G30)</f>
        <v>63513.9867842736</v>
      </c>
      <c r="IF30" s="328" t="n">
        <f aca="false">IG30/$F30*IG$7</f>
        <v>63513.9867842736</v>
      </c>
      <c r="IG30" s="327" t="n">
        <v>65907.96</v>
      </c>
      <c r="IH30" s="325" t="n">
        <f aca="false">(II30*$H30+IJ30*$G30)</f>
        <v>65502.2325584443</v>
      </c>
      <c r="II30" s="328" t="n">
        <f aca="false">IJ30/$F30*IJ$7</f>
        <v>65502.2325584443</v>
      </c>
      <c r="IJ30" s="327" t="n">
        <v>65907.96</v>
      </c>
      <c r="IK30" s="325" t="n">
        <f aca="false">(IL30*$H30+IM30*$G30)</f>
        <v>64825.6404478976</v>
      </c>
      <c r="IL30" s="328" t="n">
        <f aca="false">IM30/$F30*IM$7</f>
        <v>64825.6404478976</v>
      </c>
      <c r="IM30" s="327" t="n">
        <v>65907.96</v>
      </c>
      <c r="IN30" s="325" t="n">
        <f aca="false">(IO30*$H30+IP30*$G30)</f>
        <v>66928.7478781556</v>
      </c>
      <c r="IO30" s="328" t="n">
        <f aca="false">IP30/$F30*IP$7</f>
        <v>66928.7478781556</v>
      </c>
      <c r="IP30" s="327" t="n">
        <v>65907.96</v>
      </c>
      <c r="IQ30" s="325" t="n">
        <f aca="false">(IR30*$H30+IS30*$G30)</f>
        <v>67328.6278172195</v>
      </c>
      <c r="IR30" s="328" t="n">
        <f aca="false">IS30/$F30*IS$7</f>
        <v>67328.6278172195</v>
      </c>
      <c r="IS30" s="327" t="n">
        <v>65907.96</v>
      </c>
      <c r="IT30" s="325" t="n">
        <f aca="false">(IU30*$H30+IV30*$G30)</f>
        <v>67292.0809266463</v>
      </c>
      <c r="IU30" s="328" t="n">
        <f aca="false">IV30/$F30*IV$7</f>
        <v>67292.0809266463</v>
      </c>
      <c r="IV30" s="327" t="n">
        <v>65907.96</v>
      </c>
      <c r="IW30" s="325" t="n">
        <f aca="false">(IX30*$H30+IY30*$G30)</f>
        <v>66541.6830825394</v>
      </c>
      <c r="IX30" s="328" t="n">
        <f aca="false">IY30/$F30*IY$7</f>
        <v>66541.6830825394</v>
      </c>
      <c r="IY30" s="327" t="n">
        <v>65907.96</v>
      </c>
      <c r="JC30" s="325" t="n">
        <f aca="false">(JD30*$H30+JE30*$G30)</f>
        <v>66931.8330052819</v>
      </c>
      <c r="JD30" s="329" t="n">
        <f aca="false">JE30/$F30*JE$7</f>
        <v>66931.8330052819</v>
      </c>
      <c r="JE30" s="327" t="n">
        <v>65907.96</v>
      </c>
      <c r="JF30" s="325" t="n">
        <f aca="false">(JG30*$H30+JH30*$G30)</f>
        <v>66283.7189912856</v>
      </c>
      <c r="JG30" s="326" t="n">
        <f aca="false">JH30/$F30*JH$7</f>
        <v>66283.7189912856</v>
      </c>
      <c r="JH30" s="327" t="n">
        <v>65907.96</v>
      </c>
      <c r="JI30" s="325" t="n">
        <f aca="false">(JJ30*$H30+JK30*$G30)</f>
        <v>65780.6059522259</v>
      </c>
      <c r="JJ30" s="326" t="n">
        <f aca="false">JK30/$F30*JK$7</f>
        <v>65780.6059522259</v>
      </c>
      <c r="JK30" s="327" t="n">
        <v>65907.96</v>
      </c>
      <c r="JL30" s="325" t="n">
        <f aca="false">(JM30*$H30+JN30*$G30)</f>
        <v>66471.6744285192</v>
      </c>
      <c r="JM30" s="326" t="n">
        <f aca="false">JN30/$F30*JN$7</f>
        <v>66471.6744285192</v>
      </c>
      <c r="JN30" s="327" t="n">
        <v>65907.96</v>
      </c>
      <c r="JO30" s="325" t="n">
        <f aca="false">(JP30*$H30+JQ30*$G30)</f>
        <v>65182.8032421357</v>
      </c>
      <c r="JP30" s="326" t="n">
        <f aca="false">JQ30/$F30*JQ$7</f>
        <v>65182.8032421357</v>
      </c>
      <c r="JQ30" s="327" t="n">
        <v>65907.96</v>
      </c>
      <c r="JR30" s="325" t="n">
        <f aca="false">(JS30*$H30+JT30*$G30)</f>
        <v>64534.9265456107</v>
      </c>
      <c r="JS30" s="328" t="n">
        <f aca="false">JT30/$F30*JT$7</f>
        <v>64534.9265456107</v>
      </c>
      <c r="JT30" s="327" t="n">
        <v>65907.96</v>
      </c>
      <c r="JU30" s="325" t="n">
        <f aca="false">(JV30*$H30+JW30*$G30)</f>
        <v>64599.0022628495</v>
      </c>
      <c r="JV30" s="329" t="n">
        <f aca="false">JW30/$F30*JW$7</f>
        <v>64599.0022628495</v>
      </c>
      <c r="JW30" s="327" t="n">
        <v>65907.96</v>
      </c>
      <c r="JX30" s="325" t="n">
        <f aca="false">(JY30*$H30+JZ30*$G30)</f>
        <v>63234.4268031357</v>
      </c>
      <c r="JY30" s="329" t="n">
        <f aca="false">JZ30/$F30*JZ$7</f>
        <v>63234.4268031357</v>
      </c>
      <c r="JZ30" s="327" t="n">
        <v>65907.96</v>
      </c>
      <c r="KA30" s="325" t="n">
        <f aca="false">(KB30*$H30+KC30*$G30)</f>
        <v>63370.4097141646</v>
      </c>
      <c r="KB30" s="329" t="n">
        <f aca="false">KC30/$F30*KC$7</f>
        <v>63370.4097141646</v>
      </c>
      <c r="KC30" s="327" t="n">
        <v>65907.96</v>
      </c>
      <c r="KD30" s="325" t="n">
        <f aca="false">(KE30*$H30+KF30*$G30)</f>
        <v>62348.0460479999</v>
      </c>
      <c r="KE30" s="329" t="n">
        <f aca="false">KF30/$F30*KF$7</f>
        <v>62348.0460479999</v>
      </c>
      <c r="KF30" s="327" t="n">
        <v>65907.96</v>
      </c>
      <c r="KG30" s="325" t="n">
        <f aca="false">(KH30*$H30+KI30*$G30)</f>
        <v>63265.9900268126</v>
      </c>
      <c r="KH30" s="329" t="n">
        <f aca="false">KI30/$F30*KI$7</f>
        <v>63265.9900268126</v>
      </c>
      <c r="KI30" s="327" t="n">
        <v>65907.96</v>
      </c>
      <c r="KJ30" s="325" t="n">
        <f aca="false">(KK30*$H30+KL30*$G30)</f>
        <v>64751.1227619236</v>
      </c>
      <c r="KK30" s="329" t="n">
        <f aca="false">KL30/$F30*KL$7</f>
        <v>64751.1227619236</v>
      </c>
      <c r="KL30" s="327" t="n">
        <v>65907.96</v>
      </c>
      <c r="KP30" s="325" t="n">
        <f aca="false">(KQ30*$H30+KR30*$G30)</f>
        <v>67422.1309008938</v>
      </c>
      <c r="KQ30" s="329" t="n">
        <f aca="false">KR30/$F30*KR$7</f>
        <v>67422.1309008938</v>
      </c>
      <c r="KR30" s="327" t="n">
        <v>65907.96</v>
      </c>
      <c r="KS30" s="325" t="n">
        <f aca="false">(KT30*$H30+KU30*$G30)</f>
        <v>68792.8766148602</v>
      </c>
      <c r="KT30" s="329" t="n">
        <f aca="false">KU30/$F30*KU$7</f>
        <v>68792.8766148602</v>
      </c>
      <c r="KU30" s="327" t="n">
        <v>65907.96</v>
      </c>
      <c r="KV30" s="325" t="n">
        <f aca="false">(KW30*$H30+KX30*$G30)</f>
        <v>69426.9888980524</v>
      </c>
      <c r="KW30" s="329" t="n">
        <f aca="false">KX30/$F30*KX$7</f>
        <v>69426.9888980524</v>
      </c>
      <c r="KX30" s="327" t="n">
        <v>65907.96</v>
      </c>
      <c r="KY30" s="325" t="n">
        <f aca="false">(KZ30*$H30+LA30*$G30)</f>
        <v>69426.9888980524</v>
      </c>
      <c r="KZ30" s="329" t="n">
        <f aca="false">LA30/$F30*LA$7</f>
        <v>69426.9888980524</v>
      </c>
      <c r="LA30" s="327" t="n">
        <v>65907.96</v>
      </c>
      <c r="LB30" s="325" t="n">
        <f aca="false">(LC30*$H30+LD30*$G30)</f>
        <v>69426.9888980524</v>
      </c>
      <c r="LC30" s="329" t="n">
        <f aca="false">LD30/$F30*LD$7</f>
        <v>69426.9888980524</v>
      </c>
      <c r="LD30" s="327" t="n">
        <v>65907.96</v>
      </c>
      <c r="LE30" s="325" t="n">
        <f aca="false">(LF30*$H30+LG30*$G30)</f>
        <v>69426.9888980524</v>
      </c>
      <c r="LF30" s="329" t="n">
        <f aca="false">LG30/$F30*LG$7</f>
        <v>69426.9888980524</v>
      </c>
      <c r="LG30" s="327" t="n">
        <v>65907.96</v>
      </c>
      <c r="LH30" s="325" t="n">
        <f aca="false">(LI30*$H30+LJ30*$G30)</f>
        <v>86783.6767931977</v>
      </c>
      <c r="LI30" s="329" t="n">
        <f aca="false">LJ30/$F30*LJ$7</f>
        <v>86783.6767931977</v>
      </c>
      <c r="LJ30" s="327" t="n">
        <v>65907.96</v>
      </c>
      <c r="LM30" s="327" t="n">
        <v>65907.96</v>
      </c>
      <c r="LP30" s="327" t="n">
        <v>65907.96</v>
      </c>
      <c r="LS30" s="327" t="n">
        <v>65907.96</v>
      </c>
      <c r="LV30" s="327" t="n">
        <v>65907.96</v>
      </c>
      <c r="LY30" s="327" t="n">
        <v>65907.96</v>
      </c>
      <c r="ME30" s="327" t="n">
        <v>65907.96</v>
      </c>
      <c r="MH30" s="327" t="n">
        <v>65907.96</v>
      </c>
      <c r="MK30" s="327" t="n">
        <v>65907.96</v>
      </c>
      <c r="MN30" s="327" t="n">
        <v>65907.96</v>
      </c>
      <c r="MQ30" s="327" t="n">
        <v>65907.96</v>
      </c>
      <c r="MT30" s="327" t="n">
        <v>65907.96</v>
      </c>
      <c r="MW30" s="327" t="n">
        <v>65907.96</v>
      </c>
      <c r="MZ30" s="327" t="n">
        <v>65907.96</v>
      </c>
      <c r="NC30" s="327" t="n">
        <v>65907.96</v>
      </c>
      <c r="NF30" s="327" t="n">
        <v>65907.96</v>
      </c>
      <c r="NI30" s="327" t="n">
        <v>65907.96</v>
      </c>
      <c r="NL30" s="327" t="n">
        <v>65907.96</v>
      </c>
      <c r="NR30" s="327" t="n">
        <v>65907.96</v>
      </c>
      <c r="NU30" s="327" t="n">
        <v>65907.96</v>
      </c>
      <c r="NX30" s="327" t="n">
        <v>65907.96</v>
      </c>
      <c r="OA30" s="327" t="n">
        <v>65907.96</v>
      </c>
      <c r="OD30" s="327" t="n">
        <v>65907.96</v>
      </c>
    </row>
    <row r="31" s="329" customFormat="true" ht="15" hidden="false" customHeight="false" outlineLevel="0" collapsed="false">
      <c r="A31" s="336" t="s">
        <v>1016</v>
      </c>
      <c r="B31" s="333"/>
      <c r="C31" s="320" t="n">
        <v>1468424.8</v>
      </c>
      <c r="D31" s="333"/>
      <c r="E31" s="334"/>
      <c r="F31" s="337" t="n">
        <v>27.256311</v>
      </c>
      <c r="G31" s="323" t="n">
        <v>0</v>
      </c>
      <c r="H31" s="324" t="n">
        <f aca="false">1-G31</f>
        <v>1</v>
      </c>
      <c r="I31" s="332" t="n">
        <f aca="false">J31/F31*25.252582</f>
        <v>246925.112113521</v>
      </c>
      <c r="J31" s="319" t="n">
        <v>266518</v>
      </c>
      <c r="K31" s="289"/>
      <c r="M31" s="327"/>
      <c r="N31" s="289"/>
      <c r="P31" s="327"/>
      <c r="Q31" s="289"/>
      <c r="S31" s="327"/>
      <c r="V31" s="327"/>
      <c r="W31" s="289"/>
      <c r="Y31" s="327"/>
      <c r="AC31" s="289"/>
      <c r="AE31" s="327"/>
      <c r="AF31" s="289"/>
      <c r="AH31" s="327"/>
      <c r="AI31" s="289"/>
      <c r="AK31" s="327"/>
      <c r="AL31" s="289"/>
      <c r="AN31" s="327"/>
      <c r="AO31" s="289"/>
      <c r="AQ31" s="327"/>
      <c r="AR31" s="289"/>
      <c r="AT31" s="327"/>
      <c r="AU31" s="289"/>
      <c r="AW31" s="327"/>
      <c r="AX31" s="289"/>
      <c r="AZ31" s="327"/>
      <c r="BA31" s="289"/>
      <c r="BC31" s="327"/>
      <c r="BD31" s="289"/>
      <c r="BF31" s="327"/>
      <c r="BG31" s="289"/>
      <c r="BI31" s="327"/>
      <c r="BJ31" s="289"/>
      <c r="BL31" s="327"/>
      <c r="BP31" s="289"/>
      <c r="BR31" s="327"/>
      <c r="BS31" s="289"/>
      <c r="BU31" s="327"/>
      <c r="BV31" s="289"/>
      <c r="BX31" s="327"/>
      <c r="BY31" s="289"/>
      <c r="CA31" s="327"/>
      <c r="CB31" s="289"/>
      <c r="CD31" s="327"/>
      <c r="CE31" s="289"/>
      <c r="CG31" s="327"/>
      <c r="CH31" s="289"/>
      <c r="CJ31" s="327"/>
      <c r="CK31" s="289"/>
      <c r="CM31" s="327"/>
      <c r="CN31" s="289"/>
      <c r="CP31" s="327"/>
      <c r="CQ31" s="289"/>
      <c r="CS31" s="327"/>
      <c r="CV31" s="327"/>
      <c r="CW31" s="289"/>
      <c r="CY31" s="327"/>
      <c r="DC31" s="335"/>
      <c r="DE31" s="327"/>
      <c r="DH31" s="327"/>
      <c r="DK31" s="327"/>
      <c r="DL31" s="289"/>
      <c r="DN31" s="327"/>
      <c r="DQ31" s="327"/>
      <c r="DT31" s="327"/>
      <c r="ED31" s="289"/>
      <c r="EJ31" s="289"/>
      <c r="FN31" s="289"/>
      <c r="FQ31" s="289"/>
      <c r="FT31" s="289"/>
      <c r="FW31" s="289"/>
      <c r="GC31" s="289"/>
      <c r="GK31" s="327"/>
      <c r="GN31" s="327"/>
      <c r="GO31" s="328"/>
      <c r="GP31" s="328"/>
      <c r="GQ31" s="327"/>
      <c r="GR31" s="328" t="n">
        <v>0</v>
      </c>
      <c r="GS31" s="328"/>
      <c r="GT31" s="327"/>
      <c r="GU31" s="328"/>
      <c r="GV31" s="328"/>
      <c r="GW31" s="327"/>
      <c r="GX31" s="325" t="n">
        <f aca="false">(GY31*$H31+GZ31*$G31)</f>
        <v>18502.6419473097</v>
      </c>
      <c r="GY31" s="328" t="n">
        <f aca="false">GZ31/$F31*GZ$7</f>
        <v>18502.6419473097</v>
      </c>
      <c r="GZ31" s="327" t="n">
        <v>20031.78</v>
      </c>
      <c r="HA31" s="325" t="n">
        <f aca="false">(HB31*$H31+HC31*$G31)</f>
        <v>18130.8860149248</v>
      </c>
      <c r="HB31" s="328" t="n">
        <f aca="false">HC31/$F31*HC$7</f>
        <v>18130.8860149248</v>
      </c>
      <c r="HC31" s="327" t="n">
        <v>20031.78</v>
      </c>
      <c r="HD31" s="325" t="n">
        <f aca="false">(HE31*$H31+HF31*$G31)</f>
        <v>18399.2996908635</v>
      </c>
      <c r="HE31" s="328" t="n">
        <f aca="false">HF31/$F31*HF$7</f>
        <v>18399.2996908635</v>
      </c>
      <c r="HF31" s="327" t="n">
        <v>20031.78</v>
      </c>
      <c r="HG31" s="325" t="n">
        <f aca="false">(HH31*$H31+HI31*$G31)</f>
        <v>17788.4586374084</v>
      </c>
      <c r="HH31" s="328" t="n">
        <f aca="false">HI31/$F31*HI$7</f>
        <v>17788.4586374084</v>
      </c>
      <c r="HI31" s="327" t="n">
        <v>20031.78</v>
      </c>
      <c r="HJ31" s="325" t="n">
        <f aca="false">(HK31*$H31+HL31*$G31)</f>
        <v>17207.2364405102</v>
      </c>
      <c r="HK31" s="328" t="n">
        <f aca="false">HL31/$F31*HL$7</f>
        <v>17207.2364405102</v>
      </c>
      <c r="HL31" s="327" t="n">
        <v>20031.78</v>
      </c>
      <c r="HP31" s="325" t="n">
        <f aca="false">(HQ31*$H31+HR31*$G31)</f>
        <v>17824.3031790326</v>
      </c>
      <c r="HQ31" s="328" t="n">
        <f aca="false">HR31/$F31*HR$7</f>
        <v>17824.3031790326</v>
      </c>
      <c r="HR31" s="327" t="n">
        <v>20031.78</v>
      </c>
      <c r="HS31" s="325" t="n">
        <f aca="false">(HT31*$H31+HU31*$G31)</f>
        <v>17964.2359422007</v>
      </c>
      <c r="HT31" s="328" t="n">
        <f aca="false">HU31/$F31*HU$7</f>
        <v>17964.2359422007</v>
      </c>
      <c r="HU31" s="327" t="n">
        <v>20031.78</v>
      </c>
      <c r="HV31" s="325" t="n">
        <f aca="false">(HW31*$H31+HX31*$G31)</f>
        <v>20433.1966805779</v>
      </c>
      <c r="HW31" s="328" t="n">
        <f aca="false">HX31/$F31*HX$7</f>
        <v>20433.1966805779</v>
      </c>
      <c r="HX31" s="327" t="n">
        <v>20031.78</v>
      </c>
      <c r="HY31" s="325" t="n">
        <f aca="false">(HZ31*$H31+IA31*$G31)</f>
        <v>19992.0116084675</v>
      </c>
      <c r="HZ31" s="328" t="n">
        <f aca="false">IA31/$F31*IA$7</f>
        <v>19992.0116084675</v>
      </c>
      <c r="IA31" s="327" t="n">
        <v>20031.78</v>
      </c>
      <c r="IB31" s="325" t="n">
        <f aca="false">(IC31*$H31+ID31*$G31)</f>
        <v>19528.1168599815</v>
      </c>
      <c r="IC31" s="328" t="n">
        <f aca="false">ID31/$F31*ID$7</f>
        <v>19528.1168599815</v>
      </c>
      <c r="ID31" s="327" t="n">
        <v>20031.78</v>
      </c>
      <c r="IE31" s="325" t="n">
        <f aca="false">(IF31*$H31+IG31*$G31)</f>
        <v>19669.4460110174</v>
      </c>
      <c r="IF31" s="328" t="n">
        <f aca="false">IG31/$F31*IG$7</f>
        <v>19669.4460110174</v>
      </c>
      <c r="IG31" s="327" t="n">
        <v>20031.78</v>
      </c>
      <c r="IH31" s="325" t="n">
        <f aca="false">(II31*$H31+IJ31*$G31)</f>
        <v>20285.1795665965</v>
      </c>
      <c r="II31" s="328" t="n">
        <f aca="false">IJ31/$F31*IJ$7</f>
        <v>20285.1795665965</v>
      </c>
      <c r="IJ31" s="327" t="n">
        <v>20031.78</v>
      </c>
      <c r="IK31" s="325" t="n">
        <f aca="false">(IL31*$H31+IM31*$G31)</f>
        <v>20075.6478923358</v>
      </c>
      <c r="IL31" s="328" t="n">
        <f aca="false">IM31/$F31*IM$7</f>
        <v>20075.6478923358</v>
      </c>
      <c r="IM31" s="327" t="n">
        <v>20031.78</v>
      </c>
      <c r="IN31" s="325" t="n">
        <f aca="false">(IO31*$H31+IP31*$G31)</f>
        <v>20726.9525914934</v>
      </c>
      <c r="IO31" s="328" t="n">
        <f aca="false">IP31/$F31*IP$7</f>
        <v>20726.9525914934</v>
      </c>
      <c r="IP31" s="327" t="n">
        <v>20031.78</v>
      </c>
      <c r="IQ31" s="325" t="n">
        <f aca="false">(IR31*$H31+IS31*$G31)</f>
        <v>20850.7901471333</v>
      </c>
      <c r="IR31" s="328" t="n">
        <f aca="false">IS31/$F31*IS$7</f>
        <v>20850.7901471333</v>
      </c>
      <c r="IS31" s="327" t="n">
        <v>20031.78</v>
      </c>
      <c r="IT31" s="325" t="n">
        <f aca="false">(IU31*$H31+IV31*$G31)</f>
        <v>20839.4720559947</v>
      </c>
      <c r="IU31" s="328" t="n">
        <f aca="false">IV31/$F31*IV$7</f>
        <v>20839.4720559947</v>
      </c>
      <c r="IV31" s="327" t="n">
        <v>20031.78</v>
      </c>
      <c r="IW31" s="325" t="n">
        <f aca="false">(IX31*$H31+IY31*$G31)</f>
        <v>20607.0837171619</v>
      </c>
      <c r="IX31" s="328" t="n">
        <f aca="false">IY31/$F31*IY$7</f>
        <v>20607.0837171619</v>
      </c>
      <c r="IY31" s="327" t="n">
        <v>20031.78</v>
      </c>
      <c r="JB31" s="327"/>
      <c r="JC31" s="325" t="n">
        <f aca="false">(JD31*$H31+JE31*$G31)</f>
        <v>20727.9080147713</v>
      </c>
      <c r="JD31" s="329" t="n">
        <f aca="false">JE31/$F31*JE$7</f>
        <v>20727.9080147713</v>
      </c>
      <c r="JE31" s="327" t="n">
        <v>20031.78</v>
      </c>
      <c r="JF31" s="325" t="n">
        <f aca="false">(JG31*$H31+JH31*$G31)</f>
        <v>20527.195632307</v>
      </c>
      <c r="JG31" s="326" t="n">
        <f aca="false">JH31/$F31*JH$7</f>
        <v>20527.195632307</v>
      </c>
      <c r="JH31" s="327" t="n">
        <v>20031.78</v>
      </c>
      <c r="JI31" s="325" t="n">
        <f aca="false">(JJ31*$H31+JK31*$G31)</f>
        <v>20371.3881439055</v>
      </c>
      <c r="JJ31" s="326" t="n">
        <f aca="false">JK31/$F31*JK$7</f>
        <v>20371.3881439055</v>
      </c>
      <c r="JK31" s="327" t="n">
        <v>20031.78</v>
      </c>
      <c r="JL31" s="325" t="n">
        <f aca="false">(JM31*$H31+JN31*$G31)</f>
        <v>20585.4029581626</v>
      </c>
      <c r="JM31" s="326" t="n">
        <f aca="false">JN31/$F31*JN$7</f>
        <v>20585.4029581626</v>
      </c>
      <c r="JN31" s="327" t="n">
        <v>20031.78</v>
      </c>
      <c r="JO31" s="325" t="n">
        <f aca="false">(JP31*$H31+JQ31*$G31)</f>
        <v>20186.2565102812</v>
      </c>
      <c r="JP31" s="326" t="n">
        <f aca="false">JQ31/$F31*JQ$7</f>
        <v>20186.2565102812</v>
      </c>
      <c r="JQ31" s="327" t="n">
        <v>20031.78</v>
      </c>
      <c r="JR31" s="325" t="n">
        <f aca="false">(JS31*$H31+JT31*$G31)</f>
        <v>19985.6176219152</v>
      </c>
      <c r="JS31" s="328" t="n">
        <f aca="false">JT31/$F31*JT$7</f>
        <v>19985.6176219152</v>
      </c>
      <c r="JT31" s="327" t="n">
        <v>20031.78</v>
      </c>
      <c r="JU31" s="325" t="n">
        <f aca="false">(JV31*$H31+JW31*$G31)</f>
        <v>20005.4610284569</v>
      </c>
      <c r="JV31" s="329" t="n">
        <f aca="false">JW31/$F31*JW$7</f>
        <v>20005.4610284569</v>
      </c>
      <c r="JW31" s="327" t="n">
        <v>20031.78</v>
      </c>
      <c r="JX31" s="325" t="n">
        <f aca="false">(JY31*$H31+JZ31*$G31)</f>
        <v>19582.869963217</v>
      </c>
      <c r="JY31" s="329" t="n">
        <f aca="false">JZ31/$F31*JZ$7</f>
        <v>19582.869963217</v>
      </c>
      <c r="JZ31" s="327" t="n">
        <v>20031.78</v>
      </c>
      <c r="KA31" s="325" t="n">
        <f aca="false">(KB31*$H31+KC31*$G31)</f>
        <v>19624.9820815443</v>
      </c>
      <c r="KB31" s="329" t="n">
        <f aca="false">KC31/$F31*KC$7</f>
        <v>19624.9820815443</v>
      </c>
      <c r="KC31" s="327" t="n">
        <v>20031.78</v>
      </c>
      <c r="KD31" s="325" t="n">
        <f aca="false">(KE31*$H31+KF31*$G31)</f>
        <v>19308.3695060568</v>
      </c>
      <c r="KE31" s="329" t="n">
        <f aca="false">KF31/$F31*KF$7</f>
        <v>19308.3695060568</v>
      </c>
      <c r="KF31" s="327" t="n">
        <v>20031.78</v>
      </c>
      <c r="KG31" s="325" t="n">
        <f aca="false">(KH31*$H31+KI31*$G31)</f>
        <v>19592.6446782912</v>
      </c>
      <c r="KH31" s="329" t="n">
        <f aca="false">KI31/$F31*KI$7</f>
        <v>19592.6446782912</v>
      </c>
      <c r="KI31" s="327" t="n">
        <v>20031.78</v>
      </c>
      <c r="KJ31" s="325" t="n">
        <f aca="false">(KK31*$H31+KL31*$G31)</f>
        <v>20052.5707454688</v>
      </c>
      <c r="KK31" s="329" t="n">
        <f aca="false">KL31/$F31*KL$7</f>
        <v>20052.5707454688</v>
      </c>
      <c r="KL31" s="327" t="n">
        <v>20031.78</v>
      </c>
      <c r="KP31" s="325" t="n">
        <f aca="false">(KQ31*$H31+KR31*$G31)</f>
        <v>20879.7468218645</v>
      </c>
      <c r="KQ31" s="329" t="n">
        <f aca="false">KR31/$F31*KR$7</f>
        <v>20879.7468218645</v>
      </c>
      <c r="KR31" s="327" t="n">
        <v>20031.78</v>
      </c>
      <c r="KS31" s="325" t="n">
        <f aca="false">(KT31*$H31+KU31*$G31)</f>
        <v>21304.2487336602</v>
      </c>
      <c r="KT31" s="329" t="n">
        <f aca="false">KU31/$F31*KU$7</f>
        <v>21304.2487336602</v>
      </c>
      <c r="KU31" s="327" t="n">
        <v>20031.78</v>
      </c>
      <c r="KV31" s="325" t="n">
        <f aca="false">(KW31*$H31+KX31*$G31)</f>
        <v>21500.6249643248</v>
      </c>
      <c r="KW31" s="329" t="n">
        <f aca="false">KX31/$F31*KX$7</f>
        <v>21500.6249643248</v>
      </c>
      <c r="KX31" s="327" t="n">
        <v>20031.78</v>
      </c>
      <c r="KY31" s="325" t="n">
        <f aca="false">(KZ31*$H31+LA31*$G31)</f>
        <v>21500.6249643248</v>
      </c>
      <c r="KZ31" s="329" t="n">
        <f aca="false">LA31/$F31*LA$7</f>
        <v>21500.6249643248</v>
      </c>
      <c r="LA31" s="327" t="n">
        <v>20031.78</v>
      </c>
      <c r="LB31" s="325" t="n">
        <f aca="false">(LC31*$H31+LD31*$G31)</f>
        <v>21500.6249643248</v>
      </c>
      <c r="LC31" s="329" t="n">
        <f aca="false">LD31/$F31*LD$7</f>
        <v>21500.6249643248</v>
      </c>
      <c r="LD31" s="327" t="n">
        <v>20031.78</v>
      </c>
      <c r="LE31" s="325" t="n">
        <f aca="false">(LF31*$H31+LG31*$G31)</f>
        <v>21500.6249643248</v>
      </c>
      <c r="LF31" s="329" t="n">
        <f aca="false">LG31/$F31*LG$7</f>
        <v>21500.6249643248</v>
      </c>
      <c r="LG31" s="327" t="n">
        <v>20031.78</v>
      </c>
      <c r="LH31" s="325" t="n">
        <f aca="false">(LI31*$H31+LJ31*$G31)</f>
        <v>26875.7628318814</v>
      </c>
      <c r="LI31" s="329" t="n">
        <f aca="false">LJ31/$F31*LJ$7</f>
        <v>26875.7628318814</v>
      </c>
      <c r="LJ31" s="327" t="n">
        <v>20031.78</v>
      </c>
      <c r="LM31" s="327" t="n">
        <v>20031.78</v>
      </c>
      <c r="LP31" s="327" t="n">
        <v>20031.78</v>
      </c>
      <c r="LS31" s="327" t="n">
        <v>20031.78</v>
      </c>
      <c r="LV31" s="327" t="n">
        <v>20031.78</v>
      </c>
      <c r="LY31" s="327" t="n">
        <v>20031.78</v>
      </c>
      <c r="MB31" s="327"/>
      <c r="ME31" s="327" t="n">
        <v>20031.78</v>
      </c>
      <c r="MH31" s="327" t="n">
        <v>20031.78</v>
      </c>
      <c r="MK31" s="327" t="n">
        <v>20031.78</v>
      </c>
      <c r="MN31" s="327" t="n">
        <v>20031.78</v>
      </c>
      <c r="MQ31" s="327" t="n">
        <v>20031.78</v>
      </c>
      <c r="MT31" s="327" t="n">
        <v>20031.78</v>
      </c>
      <c r="MW31" s="327" t="n">
        <v>20031.78</v>
      </c>
      <c r="MZ31" s="327" t="n">
        <v>20031.78</v>
      </c>
      <c r="NC31" s="327" t="n">
        <v>20031.78</v>
      </c>
      <c r="NF31" s="327" t="n">
        <v>20031.78</v>
      </c>
      <c r="NI31" s="327" t="n">
        <v>20031.78</v>
      </c>
      <c r="NL31" s="327" t="n">
        <v>20031.78</v>
      </c>
      <c r="NR31" s="327" t="n">
        <v>20031.78</v>
      </c>
      <c r="NU31" s="327" t="n">
        <v>20031.78</v>
      </c>
      <c r="NX31" s="327" t="n">
        <v>20031.78</v>
      </c>
      <c r="OA31" s="327" t="n">
        <v>20031.78</v>
      </c>
      <c r="OD31" s="327" t="n">
        <v>20031.78</v>
      </c>
      <c r="OG31" s="327" t="n">
        <v>20031.78</v>
      </c>
      <c r="OJ31" s="327" t="n">
        <v>20031.78</v>
      </c>
    </row>
    <row r="32" s="329" customFormat="true" ht="15" hidden="false" customHeight="false" outlineLevel="0" collapsed="false">
      <c r="A32" s="336" t="n">
        <v>4.11</v>
      </c>
      <c r="B32" s="333"/>
      <c r="C32" s="320" t="n">
        <v>3612658.5</v>
      </c>
      <c r="D32" s="333"/>
      <c r="E32" s="334"/>
      <c r="F32" s="337" t="n">
        <v>26.687575</v>
      </c>
      <c r="G32" s="323" t="n">
        <v>0</v>
      </c>
      <c r="H32" s="324" t="n">
        <f aca="false">1-G32</f>
        <v>1</v>
      </c>
      <c r="I32" s="332" t="n">
        <f aca="false">J32/F32*26.375022</f>
        <v>704296.348230778</v>
      </c>
      <c r="J32" s="319" t="n">
        <v>712642.5</v>
      </c>
      <c r="K32" s="289"/>
      <c r="M32" s="327"/>
      <c r="N32" s="289"/>
      <c r="P32" s="327"/>
      <c r="Q32" s="289"/>
      <c r="S32" s="327"/>
      <c r="V32" s="327"/>
      <c r="W32" s="289"/>
      <c r="Y32" s="327"/>
      <c r="AC32" s="289"/>
      <c r="AE32" s="327"/>
      <c r="AF32" s="289"/>
      <c r="AH32" s="327"/>
      <c r="AI32" s="289"/>
      <c r="AK32" s="327"/>
      <c r="AL32" s="289"/>
      <c r="AN32" s="327"/>
      <c r="AO32" s="289"/>
      <c r="AQ32" s="327"/>
      <c r="AR32" s="289"/>
      <c r="AT32" s="327"/>
      <c r="AU32" s="289"/>
      <c r="AW32" s="327"/>
      <c r="AX32" s="289"/>
      <c r="AZ32" s="327"/>
      <c r="BA32" s="289"/>
      <c r="BC32" s="327"/>
      <c r="BD32" s="289"/>
      <c r="BF32" s="327"/>
      <c r="BG32" s="289"/>
      <c r="BI32" s="327"/>
      <c r="BJ32" s="289"/>
      <c r="BL32" s="327"/>
      <c r="BP32" s="289"/>
      <c r="BR32" s="327"/>
      <c r="BS32" s="289"/>
      <c r="BU32" s="327"/>
      <c r="BV32" s="289"/>
      <c r="BX32" s="327"/>
      <c r="BY32" s="289"/>
      <c r="CA32" s="327"/>
      <c r="CB32" s="289"/>
      <c r="CD32" s="327"/>
      <c r="CE32" s="289"/>
      <c r="CG32" s="327"/>
      <c r="CH32" s="289"/>
      <c r="CJ32" s="327"/>
      <c r="CK32" s="289"/>
      <c r="CM32" s="327"/>
      <c r="CN32" s="289"/>
      <c r="CP32" s="327"/>
      <c r="CQ32" s="289"/>
      <c r="CS32" s="327"/>
      <c r="CV32" s="327"/>
      <c r="CW32" s="289"/>
      <c r="CY32" s="327"/>
      <c r="DC32" s="335"/>
      <c r="DE32" s="327"/>
      <c r="DH32" s="327"/>
      <c r="DK32" s="327"/>
      <c r="DL32" s="289"/>
      <c r="DN32" s="327"/>
      <c r="DQ32" s="327"/>
      <c r="DT32" s="327"/>
      <c r="ED32" s="289"/>
      <c r="EJ32" s="289"/>
      <c r="FN32" s="289"/>
      <c r="FQ32" s="289"/>
      <c r="FT32" s="289"/>
      <c r="FW32" s="289"/>
      <c r="GC32" s="289"/>
      <c r="GK32" s="327"/>
      <c r="GN32" s="327"/>
      <c r="GO32" s="328"/>
      <c r="GP32" s="328"/>
      <c r="GQ32" s="327"/>
      <c r="GR32" s="328" t="n">
        <v>0</v>
      </c>
      <c r="GS32" s="328"/>
      <c r="GT32" s="327"/>
      <c r="GU32" s="325" t="n">
        <f aca="false">(GV32*$H32+GW32*$G32)</f>
        <v>46753.9129760572</v>
      </c>
      <c r="GV32" s="328" t="n">
        <f aca="false">GW32/$F32*GW$7</f>
        <v>46753.9129760572</v>
      </c>
      <c r="GW32" s="327" t="n">
        <v>48333.6</v>
      </c>
      <c r="GX32" s="325" t="n">
        <f aca="false">(GY32*$H32+GZ32*$G32)</f>
        <v>45595.4293405227</v>
      </c>
      <c r="GY32" s="328" t="n">
        <f aca="false">GZ32/$F32*GZ$7</f>
        <v>45595.4293405227</v>
      </c>
      <c r="GZ32" s="327" t="n">
        <v>48333.6</v>
      </c>
      <c r="HA32" s="325" t="n">
        <f aca="false">(HB32*$H32+HC32*$G32)</f>
        <v>44679.3238786514</v>
      </c>
      <c r="HB32" s="328" t="n">
        <f aca="false">HC32/$F32*HC$7</f>
        <v>44679.3238786514</v>
      </c>
      <c r="HC32" s="327" t="n">
        <v>48333.6</v>
      </c>
      <c r="HD32" s="325" t="n">
        <f aca="false">(HE32*$H32+HF32*$G32)</f>
        <v>45340.766543442</v>
      </c>
      <c r="HE32" s="328" t="n">
        <f aca="false">HF32/$F32*HF$7</f>
        <v>45340.766543442</v>
      </c>
      <c r="HF32" s="327" t="n">
        <v>48333.6</v>
      </c>
      <c r="HG32" s="325" t="n">
        <f aca="false">(HH32*$H32+HI32*$G32)</f>
        <v>43835.4917740109</v>
      </c>
      <c r="HH32" s="328" t="n">
        <f aca="false">HI32/$F32*HI$7</f>
        <v>43835.4917740109</v>
      </c>
      <c r="HI32" s="327" t="n">
        <v>48333.6</v>
      </c>
      <c r="HJ32" s="325" t="n">
        <f aca="false">(HK32*$H32+HL32*$G32)</f>
        <v>42403.2057423576</v>
      </c>
      <c r="HK32" s="328" t="n">
        <f aca="false">HL32/$F32*HL$7</f>
        <v>42403.2057423576</v>
      </c>
      <c r="HL32" s="327" t="n">
        <v>48333.6</v>
      </c>
      <c r="HP32" s="325" t="n">
        <f aca="false">(HQ32*$H32+HR32*$G32)</f>
        <v>43923.8222551131</v>
      </c>
      <c r="HQ32" s="328" t="n">
        <f aca="false">HR32/$F32*HR$7</f>
        <v>43923.8222551131</v>
      </c>
      <c r="HR32" s="327" t="n">
        <v>48333.6</v>
      </c>
      <c r="HS32" s="325" t="n">
        <f aca="false">(HT32*$H32+HU32*$G32)</f>
        <v>44268.6537896381</v>
      </c>
      <c r="HT32" s="328" t="n">
        <f aca="false">HU32/$F32*HU$7</f>
        <v>44268.6537896381</v>
      </c>
      <c r="HU32" s="327" t="n">
        <v>48333.6</v>
      </c>
      <c r="HV32" s="325" t="n">
        <f aca="false">(HW32*$H32+HX32*$G32)</f>
        <v>50352.8295096126</v>
      </c>
      <c r="HW32" s="328" t="n">
        <f aca="false">HX32/$F32*HX$7</f>
        <v>50352.8295096126</v>
      </c>
      <c r="HX32" s="327" t="n">
        <v>48333.6</v>
      </c>
      <c r="HY32" s="325" t="n">
        <f aca="false">(HZ32*$H32+IA32*$G32)</f>
        <v>49265.6321872632</v>
      </c>
      <c r="HZ32" s="328" t="n">
        <f aca="false">IA32/$F32*IA$7</f>
        <v>49265.6321872632</v>
      </c>
      <c r="IA32" s="327" t="n">
        <v>48333.6</v>
      </c>
      <c r="IB32" s="325" t="n">
        <f aca="false">(IC32*$H32+ID32*$G32)</f>
        <v>48122.4721841531</v>
      </c>
      <c r="IC32" s="328" t="n">
        <f aca="false">ID32/$F32*ID$7</f>
        <v>48122.4721841531</v>
      </c>
      <c r="ID32" s="327" t="n">
        <v>48333.6</v>
      </c>
      <c r="IE32" s="325" t="n">
        <f aca="false">(IF32*$H32+IG32*$G32)</f>
        <v>48470.7447896634</v>
      </c>
      <c r="IF32" s="328" t="n">
        <f aca="false">IG32/$F32*IG$7</f>
        <v>48470.7447896634</v>
      </c>
      <c r="IG32" s="327" t="n">
        <v>48333.6</v>
      </c>
      <c r="IH32" s="325" t="n">
        <f aca="false">(II32*$H32+IJ32*$G32)</f>
        <v>49988.0759851729</v>
      </c>
      <c r="II32" s="328" t="n">
        <f aca="false">IJ32/$F32*IJ$7</f>
        <v>49988.0759851729</v>
      </c>
      <c r="IJ32" s="327" t="n">
        <v>48333.6</v>
      </c>
      <c r="IK32" s="325" t="n">
        <f aca="false">(IL32*$H32+IM32*$G32)</f>
        <v>49471.7342283816</v>
      </c>
      <c r="IL32" s="328" t="n">
        <f aca="false">IM32/$F32*IM$7</f>
        <v>49471.7342283816</v>
      </c>
      <c r="IM32" s="327" t="n">
        <v>48333.6</v>
      </c>
      <c r="IN32" s="325" t="n">
        <f aca="false">(IO32*$H32+IP32*$G32)</f>
        <v>51076.7221795161</v>
      </c>
      <c r="IO32" s="328" t="n">
        <f aca="false">IP32/$F32*IP$7</f>
        <v>51076.7221795161</v>
      </c>
      <c r="IP32" s="327" t="n">
        <v>48333.6</v>
      </c>
      <c r="IQ32" s="325" t="n">
        <f aca="false">(IR32*$H32+IS32*$G32)</f>
        <v>51381.8908432108</v>
      </c>
      <c r="IR32" s="328" t="n">
        <f aca="false">IS32/$F32*IS$7</f>
        <v>51381.8908432108</v>
      </c>
      <c r="IS32" s="327" t="n">
        <v>48333.6</v>
      </c>
      <c r="IT32" s="325" t="n">
        <f aca="false">(IU32*$H32+IV32*$G32)</f>
        <v>51354.0000573301</v>
      </c>
      <c r="IU32" s="328" t="n">
        <f aca="false">IV32/$F32*IV$7</f>
        <v>51354.0000573301</v>
      </c>
      <c r="IV32" s="327" t="n">
        <v>48333.6</v>
      </c>
      <c r="IW32" s="325" t="n">
        <f aca="false">(IX32*$H32+IY32*$G32)</f>
        <v>50781.3334017797</v>
      </c>
      <c r="IX32" s="328" t="n">
        <f aca="false">IY32/$F32*IY$7</f>
        <v>50781.3334017797</v>
      </c>
      <c r="IY32" s="327" t="n">
        <v>48333.6</v>
      </c>
      <c r="JB32" s="327"/>
      <c r="JC32" s="325" t="n">
        <f aca="false">(JD32*$H32+JE32*$G32)</f>
        <v>51079.0765965061</v>
      </c>
      <c r="JD32" s="329" t="n">
        <f aca="false">JE32/$F32*JE$7</f>
        <v>51079.0765965061</v>
      </c>
      <c r="JE32" s="327" t="n">
        <v>48333.6</v>
      </c>
      <c r="JF32" s="325" t="n">
        <f aca="false">(JG32*$H32+JH32*$G32)</f>
        <v>50584.4679196218</v>
      </c>
      <c r="JG32" s="326" t="n">
        <f aca="false">JH32/$F32*JH$7</f>
        <v>50584.4679196218</v>
      </c>
      <c r="JH32" s="327" t="n">
        <v>48333.6</v>
      </c>
      <c r="JI32" s="325" t="n">
        <f aca="false">(JJ32*$H32+JK32*$G32)</f>
        <v>50200.5168412641</v>
      </c>
      <c r="JJ32" s="326" t="n">
        <f aca="false">JK32/$F32*JK$7</f>
        <v>50200.5168412641</v>
      </c>
      <c r="JK32" s="327" t="n">
        <v>48333.6</v>
      </c>
      <c r="JL32" s="325" t="n">
        <f aca="false">(JM32*$H32+JN32*$G32)</f>
        <v>50727.9062470082</v>
      </c>
      <c r="JM32" s="326" t="n">
        <f aca="false">JN32/$F32*JN$7</f>
        <v>50727.9062470082</v>
      </c>
      <c r="JN32" s="327" t="n">
        <v>48333.6</v>
      </c>
      <c r="JO32" s="325" t="n">
        <f aca="false">(JP32*$H32+JQ32*$G32)</f>
        <v>49744.3032722156</v>
      </c>
      <c r="JP32" s="326" t="n">
        <f aca="false">JQ32/$F32*JQ$7</f>
        <v>49744.3032722156</v>
      </c>
      <c r="JQ32" s="327" t="n">
        <v>48333.6</v>
      </c>
      <c r="JR32" s="325" t="n">
        <f aca="false">(JS32*$H32+JT32*$G32)</f>
        <v>49249.8757043306</v>
      </c>
      <c r="JS32" s="328" t="n">
        <f aca="false">JT32/$F32*JT$7</f>
        <v>49249.8757043306</v>
      </c>
      <c r="JT32" s="327" t="n">
        <v>48333.6</v>
      </c>
      <c r="JU32" s="325" t="n">
        <f aca="false">(JV32*$H32+JW32*$G32)</f>
        <v>49298.7751341214</v>
      </c>
      <c r="JV32" s="329" t="n">
        <f aca="false">JW32/$F32*JW$7</f>
        <v>49298.7751341214</v>
      </c>
      <c r="JW32" s="327" t="n">
        <v>48333.6</v>
      </c>
      <c r="JX32" s="325" t="n">
        <f aca="false">(JY32*$H32+JZ32*$G32)</f>
        <v>48257.398388576</v>
      </c>
      <c r="JY32" s="329" t="n">
        <f aca="false">JZ32/$F32*JZ$7</f>
        <v>48257.398388576</v>
      </c>
      <c r="JZ32" s="327" t="n">
        <v>48333.6</v>
      </c>
      <c r="KA32" s="325" t="n">
        <f aca="false">(KB32*$H32+KC32*$G32)</f>
        <v>48361.1738451321</v>
      </c>
      <c r="KB32" s="329" t="n">
        <f aca="false">KC32/$F32*KC$7</f>
        <v>48361.1738451321</v>
      </c>
      <c r="KC32" s="327" t="n">
        <v>48333.6</v>
      </c>
      <c r="KD32" s="325" t="n">
        <f aca="false">(KE32*$H32+KF32*$G32)</f>
        <v>47580.9562764695</v>
      </c>
      <c r="KE32" s="329" t="n">
        <f aca="false">KF32/$F32*KF$7</f>
        <v>47580.9562764695</v>
      </c>
      <c r="KF32" s="327" t="n">
        <v>48333.6</v>
      </c>
      <c r="KG32" s="325" t="n">
        <f aca="false">(KH32*$H32+KI32*$G32)</f>
        <v>48281.4858854729</v>
      </c>
      <c r="KH32" s="329" t="n">
        <f aca="false">KI32/$F32*KI$7</f>
        <v>48281.4858854729</v>
      </c>
      <c r="KI32" s="327" t="n">
        <v>48333.6</v>
      </c>
      <c r="KJ32" s="325" t="n">
        <f aca="false">(KK32*$H32+KL32*$G32)</f>
        <v>49414.8660026248</v>
      </c>
      <c r="KK32" s="329" t="n">
        <f aca="false">KL32/$F32*KL$7</f>
        <v>49414.8660026248</v>
      </c>
      <c r="KL32" s="327" t="n">
        <v>48333.6</v>
      </c>
      <c r="KO32" s="327"/>
      <c r="KP32" s="325" t="n">
        <f aca="false">(KQ32*$H32+KR32*$G32)</f>
        <v>51453.2477889055</v>
      </c>
      <c r="KQ32" s="329" t="n">
        <f aca="false">KR32/$F32*KR$7</f>
        <v>51453.2477889055</v>
      </c>
      <c r="KR32" s="327" t="n">
        <v>48333.6</v>
      </c>
      <c r="KS32" s="325" t="n">
        <f aca="false">(KT32*$H32+KU32*$G32)</f>
        <v>52499.3333684308</v>
      </c>
      <c r="KT32" s="329" t="n">
        <f aca="false">KU32/$F32*KU$7</f>
        <v>52499.3333684308</v>
      </c>
      <c r="KU32" s="327" t="n">
        <v>48333.6</v>
      </c>
      <c r="KV32" s="325" t="n">
        <f aca="false">(KW32*$H32+KX32*$G32)</f>
        <v>52983.2566143608</v>
      </c>
      <c r="KW32" s="329" t="n">
        <f aca="false">KX32/$F32*KX$7</f>
        <v>52983.2566143608</v>
      </c>
      <c r="KX32" s="327" t="n">
        <v>48333.6</v>
      </c>
      <c r="KY32" s="325" t="n">
        <f aca="false">(KZ32*$H32+LA32*$G32)</f>
        <v>52983.2566143608</v>
      </c>
      <c r="KZ32" s="329" t="n">
        <f aca="false">LA32/$F32*LA$7</f>
        <v>52983.2566143608</v>
      </c>
      <c r="LA32" s="327" t="n">
        <v>48333.6</v>
      </c>
      <c r="LB32" s="325" t="n">
        <f aca="false">(LC32*$H32+LD32*$G32)</f>
        <v>52983.2566143608</v>
      </c>
      <c r="LC32" s="329" t="n">
        <f aca="false">LD32/$F32*LD$7</f>
        <v>52983.2566143608</v>
      </c>
      <c r="LD32" s="327" t="n">
        <v>48333.6</v>
      </c>
      <c r="LE32" s="325" t="n">
        <f aca="false">(LF32*$H32+LG32*$G32)</f>
        <v>52983.2566143608</v>
      </c>
      <c r="LF32" s="329" t="n">
        <f aca="false">LG32/$F32*LG$7</f>
        <v>52983.2566143608</v>
      </c>
      <c r="LG32" s="327" t="n">
        <v>48333.6</v>
      </c>
      <c r="LH32" s="325" t="n">
        <f aca="false">(LI32*$H32+LJ32*$G32)</f>
        <v>66229.0254907012</v>
      </c>
      <c r="LI32" s="329" t="n">
        <f aca="false">LJ32/$F32*LJ$7</f>
        <v>66229.0254907012</v>
      </c>
      <c r="LJ32" s="327" t="n">
        <v>48333.6</v>
      </c>
      <c r="LM32" s="327" t="n">
        <v>48333.6</v>
      </c>
      <c r="LP32" s="327" t="n">
        <v>48333.6</v>
      </c>
      <c r="LS32" s="327" t="n">
        <v>48333.6</v>
      </c>
      <c r="LV32" s="327" t="n">
        <v>48333.6</v>
      </c>
      <c r="LY32" s="327" t="n">
        <v>48333.6</v>
      </c>
      <c r="MB32" s="327"/>
      <c r="ME32" s="327" t="n">
        <v>48333.6</v>
      </c>
      <c r="MH32" s="327" t="n">
        <v>48333.6</v>
      </c>
      <c r="MK32" s="327" t="n">
        <v>48333.6</v>
      </c>
      <c r="MN32" s="327" t="n">
        <v>48333.6</v>
      </c>
      <c r="MQ32" s="327" t="n">
        <v>48333.6</v>
      </c>
      <c r="MT32" s="327" t="n">
        <v>48333.6</v>
      </c>
      <c r="MW32" s="327" t="n">
        <v>48333.6</v>
      </c>
      <c r="MZ32" s="327" t="n">
        <v>48333.6</v>
      </c>
      <c r="NC32" s="327" t="n">
        <v>48333.6</v>
      </c>
      <c r="NF32" s="327" t="n">
        <v>48333.6</v>
      </c>
      <c r="NI32" s="327" t="n">
        <v>48333.6</v>
      </c>
      <c r="NL32" s="327" t="n">
        <v>48333.6</v>
      </c>
      <c r="NR32" s="327" t="n">
        <v>48333.6</v>
      </c>
      <c r="NU32" s="327" t="n">
        <v>48333.6</v>
      </c>
      <c r="NX32" s="327" t="n">
        <v>48333.6</v>
      </c>
      <c r="OA32" s="327" t="n">
        <v>48333.6</v>
      </c>
      <c r="OD32" s="327" t="n">
        <v>48333.6</v>
      </c>
      <c r="OG32" s="327" t="n">
        <v>48333.6</v>
      </c>
    </row>
    <row r="33" s="329" customFormat="true" ht="15" hidden="false" customHeight="false" outlineLevel="0" collapsed="false">
      <c r="A33" s="283" t="n">
        <v>4.13</v>
      </c>
      <c r="B33" s="333"/>
      <c r="C33" s="320" t="n">
        <v>2392519.74</v>
      </c>
      <c r="D33" s="333"/>
      <c r="E33" s="334"/>
      <c r="F33" s="337" t="n">
        <v>27.159961</v>
      </c>
      <c r="G33" s="323" t="n">
        <v>0</v>
      </c>
      <c r="H33" s="324" t="n">
        <f aca="false">1-G33</f>
        <v>1</v>
      </c>
      <c r="I33" s="332" t="n">
        <f aca="false">J33/F33*25.862057</f>
        <v>427127.282044609</v>
      </c>
      <c r="J33" s="319" t="n">
        <v>448562.94</v>
      </c>
      <c r="K33" s="289"/>
      <c r="M33" s="327"/>
      <c r="N33" s="289"/>
      <c r="P33" s="327"/>
      <c r="Q33" s="289"/>
      <c r="S33" s="327"/>
      <c r="V33" s="327"/>
      <c r="W33" s="289"/>
      <c r="Y33" s="327"/>
      <c r="AC33" s="289"/>
      <c r="AE33" s="327"/>
      <c r="AF33" s="289"/>
      <c r="AH33" s="327"/>
      <c r="AI33" s="289"/>
      <c r="AK33" s="327"/>
      <c r="AL33" s="289"/>
      <c r="AN33" s="327"/>
      <c r="AO33" s="289"/>
      <c r="AQ33" s="327"/>
      <c r="AR33" s="289"/>
      <c r="AT33" s="327"/>
      <c r="AU33" s="289"/>
      <c r="AW33" s="327"/>
      <c r="AX33" s="289"/>
      <c r="AZ33" s="327"/>
      <c r="BA33" s="289"/>
      <c r="BC33" s="327"/>
      <c r="BD33" s="289"/>
      <c r="BF33" s="327"/>
      <c r="BG33" s="289"/>
      <c r="BI33" s="327"/>
      <c r="BJ33" s="289"/>
      <c r="BL33" s="327"/>
      <c r="BP33" s="289"/>
      <c r="BR33" s="327"/>
      <c r="BS33" s="289"/>
      <c r="BU33" s="327"/>
      <c r="BV33" s="289"/>
      <c r="BX33" s="327"/>
      <c r="BY33" s="289"/>
      <c r="CA33" s="327"/>
      <c r="CB33" s="289"/>
      <c r="CD33" s="327"/>
      <c r="CE33" s="289"/>
      <c r="CG33" s="327"/>
      <c r="CH33" s="289"/>
      <c r="CJ33" s="327"/>
      <c r="CK33" s="289"/>
      <c r="CM33" s="327"/>
      <c r="CN33" s="289"/>
      <c r="CP33" s="327"/>
      <c r="CQ33" s="289"/>
      <c r="CS33" s="327"/>
      <c r="CV33" s="327"/>
      <c r="CW33" s="289"/>
      <c r="CY33" s="327"/>
      <c r="DC33" s="335"/>
      <c r="DE33" s="327"/>
      <c r="DH33" s="327"/>
      <c r="DK33" s="327"/>
      <c r="DL33" s="289"/>
      <c r="DN33" s="327"/>
      <c r="DQ33" s="327"/>
      <c r="DT33" s="327"/>
      <c r="ED33" s="289"/>
      <c r="EJ33" s="289"/>
      <c r="FN33" s="289"/>
      <c r="FQ33" s="289"/>
      <c r="FT33" s="289"/>
      <c r="FW33" s="289"/>
      <c r="GC33" s="289"/>
      <c r="GK33" s="327"/>
      <c r="GN33" s="327"/>
      <c r="GO33" s="328"/>
      <c r="GP33" s="328"/>
      <c r="GQ33" s="327"/>
      <c r="GR33" s="328" t="n">
        <f aca="false">(GS33*$H33+GT33*$G33)</f>
        <v>0</v>
      </c>
      <c r="GS33" s="328" t="n">
        <f aca="false">GT33/$F33*GT$7</f>
        <v>0</v>
      </c>
      <c r="GT33" s="327"/>
      <c r="GU33" s="328"/>
      <c r="GV33" s="328" t="n">
        <f aca="false">GW33/$F33*GW$7</f>
        <v>0</v>
      </c>
      <c r="GW33" s="327"/>
      <c r="GX33" s="325" t="n">
        <f aca="false">(GY33*$H33+GZ33*$G33)</f>
        <v>30032.2240929403</v>
      </c>
      <c r="GY33" s="328" t="n">
        <f aca="false">GZ33/$F33*GZ$7</f>
        <v>30032.2240929403</v>
      </c>
      <c r="GZ33" s="327" t="n">
        <v>32399.28</v>
      </c>
      <c r="HA33" s="325" t="n">
        <f aca="false">(HB33*$H33+HC33*$G33)</f>
        <v>29428.8152661869</v>
      </c>
      <c r="HB33" s="328" t="n">
        <f aca="false">HC33/$F33*HC$7</f>
        <v>29428.8152661869</v>
      </c>
      <c r="HC33" s="327" t="n">
        <v>32399.28</v>
      </c>
      <c r="HD33" s="325" t="n">
        <f aca="false">(HE33*$H33+HF33*$G33)</f>
        <v>29864.4860038231</v>
      </c>
      <c r="HE33" s="328" t="n">
        <f aca="false">HF33/$F33*HF$7</f>
        <v>29864.4860038231</v>
      </c>
      <c r="HF33" s="327" t="n">
        <v>32399.28</v>
      </c>
      <c r="HG33" s="325" t="n">
        <f aca="false">(HH33*$H33+HI33*$G33)</f>
        <v>28873.0105456278</v>
      </c>
      <c r="HH33" s="328" t="n">
        <f aca="false">HI33/$F33*HI$7</f>
        <v>28873.0105456278</v>
      </c>
      <c r="HI33" s="327" t="n">
        <v>32399.28</v>
      </c>
      <c r="HJ33" s="325" t="n">
        <f aca="false">(HK33*$H33+HL33*$G33)</f>
        <v>27929.6103914906</v>
      </c>
      <c r="HK33" s="328" t="n">
        <f aca="false">HL33/$F33*HL$7</f>
        <v>27929.6103914906</v>
      </c>
      <c r="HL33" s="327" t="n">
        <v>32399.28</v>
      </c>
      <c r="HP33" s="325" t="n">
        <f aca="false">(HQ33*$H33+HR33*$G33)</f>
        <v>28931.1909562757</v>
      </c>
      <c r="HQ33" s="328" t="n">
        <f aca="false">HR33/$F33*HR$7</f>
        <v>28931.1909562757</v>
      </c>
      <c r="HR33" s="327" t="n">
        <v>32399.28</v>
      </c>
      <c r="HS33" s="325" t="n">
        <f aca="false">(HT33*$H33+HU33*$G33)</f>
        <v>29158.3202556145</v>
      </c>
      <c r="HT33" s="328" t="n">
        <f aca="false">HU33/$F33*HU$7</f>
        <v>29158.3202556145</v>
      </c>
      <c r="HU33" s="327" t="n">
        <v>32399.28</v>
      </c>
      <c r="HV33" s="325" t="n">
        <f aca="false">(HW33*$H33+HX33*$G33)</f>
        <v>33165.7686180035</v>
      </c>
      <c r="HW33" s="328" t="n">
        <f aca="false">HX33/$F33*HX$7</f>
        <v>33165.7686180035</v>
      </c>
      <c r="HX33" s="327" t="n">
        <v>32399.28</v>
      </c>
      <c r="HY33" s="325" t="n">
        <f aca="false">(HZ33*$H33+IA33*$G33)</f>
        <v>32449.6671558549</v>
      </c>
      <c r="HZ33" s="328" t="n">
        <f aca="false">IA33/$F33*IA$7</f>
        <v>32449.6671558549</v>
      </c>
      <c r="IA33" s="327" t="n">
        <v>32399.28</v>
      </c>
      <c r="IB33" s="325" t="n">
        <f aca="false">(IC33*$H33+ID33*$G33)</f>
        <v>31696.7048988031</v>
      </c>
      <c r="IC33" s="328" t="n">
        <f aca="false">ID33/$F33*ID$7</f>
        <v>31696.7048988031</v>
      </c>
      <c r="ID33" s="327" t="n">
        <v>32399.28</v>
      </c>
      <c r="IE33" s="325" t="n">
        <f aca="false">(IF33*$H33+IG33*$G33)</f>
        <v>31926.1007195113</v>
      </c>
      <c r="IF33" s="328" t="n">
        <f aca="false">IG33/$F33*IG$7</f>
        <v>31926.1007195113</v>
      </c>
      <c r="IG33" s="327" t="n">
        <v>32399.28</v>
      </c>
      <c r="IH33" s="325" t="n">
        <f aca="false">(II33*$H33+IJ33*$G33)</f>
        <v>32925.5173528416</v>
      </c>
      <c r="II33" s="328" t="n">
        <f aca="false">IJ33/$F33*IJ$7</f>
        <v>32925.5173528416</v>
      </c>
      <c r="IJ33" s="327" t="n">
        <v>32399.28</v>
      </c>
      <c r="IK33" s="325" t="n">
        <f aca="false">(IL33*$H33+IM33*$G33)</f>
        <v>32585.4198568253</v>
      </c>
      <c r="IL33" s="328" t="n">
        <f aca="false">IM33/$F33*IM$7</f>
        <v>32585.4198568253</v>
      </c>
      <c r="IM33" s="327" t="n">
        <v>32399.28</v>
      </c>
      <c r="IN33" s="325" t="n">
        <f aca="false">(IO33*$H33+IP33*$G33)</f>
        <v>33642.5731397773</v>
      </c>
      <c r="IO33" s="328" t="n">
        <f aca="false">IP33/$F33*IP$7</f>
        <v>33642.5731397773</v>
      </c>
      <c r="IP33" s="327" t="n">
        <v>32399.28</v>
      </c>
      <c r="IQ33" s="325" t="n">
        <f aca="false">(IR33*$H33+IS33*$G33)</f>
        <v>33843.5777980683</v>
      </c>
      <c r="IR33" s="328" t="n">
        <f aca="false">IS33/$F33*IS$7</f>
        <v>33843.5777980683</v>
      </c>
      <c r="IS33" s="327" t="n">
        <v>32399.28</v>
      </c>
      <c r="IT33" s="325" t="n">
        <f aca="false">(IU33*$H33+IV33*$G33)</f>
        <v>33825.2070459159</v>
      </c>
      <c r="IU33" s="328" t="n">
        <f aca="false">IV33/$F33*IV$7</f>
        <v>33825.2070459159</v>
      </c>
      <c r="IV33" s="327" t="n">
        <v>32399.28</v>
      </c>
      <c r="IW33" s="325" t="n">
        <f aca="false">(IX33*$H33+IY33*$G33)</f>
        <v>33448.0101737996</v>
      </c>
      <c r="IX33" s="328" t="n">
        <f aca="false">IY33/$F33*IY$7</f>
        <v>33448.0101737996</v>
      </c>
      <c r="IY33" s="327" t="n">
        <v>32399.28</v>
      </c>
      <c r="JC33" s="325" t="n">
        <f aca="false">(JD33*$H33+JE33*$G33)</f>
        <v>33644.1239175564</v>
      </c>
      <c r="JD33" s="329" t="n">
        <f aca="false">JE33/$F33*JE$7</f>
        <v>33644.1239175564</v>
      </c>
      <c r="JE33" s="327" t="n">
        <v>32399.28</v>
      </c>
      <c r="JF33" s="325" t="n">
        <f aca="false">(JG33*$H33+JH33*$G33)</f>
        <v>33318.3412933472</v>
      </c>
      <c r="JG33" s="326" t="n">
        <f aca="false">JH33/$F33*JH$7</f>
        <v>33318.3412933472</v>
      </c>
      <c r="JH33" s="327" t="n">
        <v>32399.28</v>
      </c>
      <c r="JI33" s="325" t="n">
        <f aca="false">(JJ33*$H33+JK33*$G33)</f>
        <v>33065.4452247557</v>
      </c>
      <c r="JJ33" s="326" t="n">
        <f aca="false">JK33/$F33*JK$7</f>
        <v>33065.4452247557</v>
      </c>
      <c r="JK33" s="327" t="n">
        <v>32399.28</v>
      </c>
      <c r="JL33" s="325" t="n">
        <f aca="false">(JM33*$H33+JN33*$G33)</f>
        <v>33412.8194472739</v>
      </c>
      <c r="JM33" s="326" t="n">
        <f aca="false">JN33/$F33*JN$7</f>
        <v>33412.8194472739</v>
      </c>
      <c r="JN33" s="327" t="n">
        <v>32399.28</v>
      </c>
      <c r="JO33" s="325" t="n">
        <f aca="false">(JP33*$H33+JQ33*$G33)</f>
        <v>32764.9522074056</v>
      </c>
      <c r="JP33" s="326" t="n">
        <f aca="false">JQ33/$F33*JQ$7</f>
        <v>32764.9522074056</v>
      </c>
      <c r="JQ33" s="327" t="n">
        <v>32399.28</v>
      </c>
      <c r="JR33" s="325" t="n">
        <f aca="false">(JS33*$H33+JT33*$G33)</f>
        <v>32439.2888737948</v>
      </c>
      <c r="JS33" s="328" t="n">
        <f aca="false">JT33/$F33*JT$7</f>
        <v>32439.2888737948</v>
      </c>
      <c r="JT33" s="327" t="n">
        <v>32399.28</v>
      </c>
      <c r="JU33" s="325" t="n">
        <f aca="false">(JV33*$H33+JW33*$G33)</f>
        <v>32471.4973353607</v>
      </c>
      <c r="JV33" s="329" t="n">
        <f aca="false">JW33/$F33*JW$7</f>
        <v>32471.4973353607</v>
      </c>
      <c r="JW33" s="327" t="n">
        <v>32399.28</v>
      </c>
      <c r="JX33" s="325" t="n">
        <f aca="false">(JY33*$H33+JZ33*$G33)</f>
        <v>31785.5763946053</v>
      </c>
      <c r="JY33" s="329" t="n">
        <f aca="false">JZ33/$F33*JZ$7</f>
        <v>31785.5763946053</v>
      </c>
      <c r="JZ33" s="327" t="n">
        <v>32399.28</v>
      </c>
      <c r="KA33" s="325" t="n">
        <f aca="false">(KB33*$H33+KC33*$G33)</f>
        <v>31853.929907484</v>
      </c>
      <c r="KB33" s="329" t="n">
        <f aca="false">KC33/$F33*KC$7</f>
        <v>31853.929907484</v>
      </c>
      <c r="KC33" s="327" t="n">
        <v>32399.28</v>
      </c>
      <c r="KD33" s="328"/>
      <c r="KF33" s="327"/>
      <c r="KG33" s="328"/>
      <c r="KI33" s="327"/>
      <c r="KJ33" s="326"/>
      <c r="KL33" s="327"/>
      <c r="KO33" s="327"/>
      <c r="KP33" s="328"/>
      <c r="KR33" s="327"/>
      <c r="KS33" s="328"/>
      <c r="KU33" s="327"/>
      <c r="KV33" s="328"/>
      <c r="KX33" s="327"/>
      <c r="KY33" s="328"/>
      <c r="LA33" s="327"/>
      <c r="LB33" s="328"/>
      <c r="LD33" s="327"/>
      <c r="LE33" s="328"/>
      <c r="LG33" s="327"/>
      <c r="LJ33" s="327"/>
      <c r="LM33" s="327"/>
      <c r="LP33" s="327"/>
      <c r="LS33" s="327"/>
      <c r="LV33" s="327"/>
      <c r="LY33" s="327"/>
      <c r="ME33" s="327"/>
      <c r="MH33" s="327"/>
      <c r="MK33" s="327"/>
      <c r="MN33" s="327"/>
      <c r="MQ33" s="327"/>
      <c r="MT33" s="327"/>
      <c r="MW33" s="327"/>
      <c r="MZ33" s="327"/>
      <c r="NC33" s="327"/>
      <c r="NF33" s="327"/>
      <c r="NI33" s="327"/>
      <c r="NL33" s="327"/>
      <c r="NR33" s="327"/>
      <c r="NU33" s="327"/>
      <c r="NX33" s="327"/>
      <c r="OA33" s="327"/>
      <c r="OD33" s="327"/>
      <c r="OG33" s="327"/>
      <c r="OJ33" s="327"/>
    </row>
    <row r="34" s="329" customFormat="true" ht="15" hidden="false" customHeight="false" outlineLevel="0" collapsed="false">
      <c r="A34" s="283" t="n">
        <v>4.14</v>
      </c>
      <c r="B34" s="333"/>
      <c r="C34" s="320" t="n">
        <v>4104177.6</v>
      </c>
      <c r="D34" s="333"/>
      <c r="E34" s="334"/>
      <c r="F34" s="337" t="n">
        <v>27.74096</v>
      </c>
      <c r="G34" s="323" t="n">
        <v>0</v>
      </c>
      <c r="H34" s="324" t="n">
        <f aca="false">1-G34</f>
        <v>1</v>
      </c>
      <c r="I34" s="332" t="n">
        <f aca="false">J34/F34*26.166382</f>
        <v>715970.064577001</v>
      </c>
      <c r="J34" s="319" t="n">
        <v>759054</v>
      </c>
      <c r="K34" s="289"/>
      <c r="M34" s="327"/>
      <c r="N34" s="289"/>
      <c r="P34" s="327"/>
      <c r="Q34" s="289"/>
      <c r="S34" s="327"/>
      <c r="V34" s="327"/>
      <c r="W34" s="289"/>
      <c r="Y34" s="327"/>
      <c r="AC34" s="289"/>
      <c r="AE34" s="327"/>
      <c r="AF34" s="289"/>
      <c r="AH34" s="327"/>
      <c r="AI34" s="289"/>
      <c r="AK34" s="327"/>
      <c r="AL34" s="289"/>
      <c r="AN34" s="327"/>
      <c r="AO34" s="289"/>
      <c r="AQ34" s="327"/>
      <c r="AR34" s="289"/>
      <c r="AT34" s="327"/>
      <c r="AU34" s="289"/>
      <c r="AW34" s="327"/>
      <c r="AX34" s="289"/>
      <c r="AZ34" s="327"/>
      <c r="BA34" s="289"/>
      <c r="BC34" s="327"/>
      <c r="BD34" s="289"/>
      <c r="BF34" s="327"/>
      <c r="BG34" s="289"/>
      <c r="BI34" s="327"/>
      <c r="BJ34" s="289"/>
      <c r="BL34" s="327"/>
      <c r="BP34" s="289"/>
      <c r="BR34" s="327"/>
      <c r="BS34" s="289"/>
      <c r="BU34" s="327"/>
      <c r="BV34" s="289"/>
      <c r="BX34" s="327"/>
      <c r="BY34" s="289"/>
      <c r="CA34" s="327"/>
      <c r="CB34" s="289"/>
      <c r="CD34" s="327"/>
      <c r="CE34" s="289"/>
      <c r="CG34" s="327"/>
      <c r="CH34" s="289"/>
      <c r="CJ34" s="327"/>
      <c r="CK34" s="289"/>
      <c r="CM34" s="327"/>
      <c r="CN34" s="289"/>
      <c r="CP34" s="327"/>
      <c r="CQ34" s="289"/>
      <c r="CS34" s="327"/>
      <c r="CV34" s="327"/>
      <c r="CW34" s="289"/>
      <c r="CY34" s="327"/>
      <c r="DC34" s="335"/>
      <c r="DE34" s="327"/>
      <c r="DH34" s="327"/>
      <c r="DK34" s="327"/>
      <c r="DL34" s="289"/>
      <c r="DN34" s="327"/>
      <c r="DQ34" s="327"/>
      <c r="DT34" s="327"/>
      <c r="ED34" s="289"/>
      <c r="EJ34" s="289"/>
      <c r="FN34" s="289"/>
      <c r="FQ34" s="289"/>
      <c r="FT34" s="289"/>
      <c r="FW34" s="289"/>
      <c r="GC34" s="289"/>
      <c r="GK34" s="327"/>
      <c r="GN34" s="327"/>
      <c r="GO34" s="328"/>
      <c r="GP34" s="328"/>
      <c r="GQ34" s="327"/>
      <c r="GR34" s="328" t="n">
        <v>0</v>
      </c>
      <c r="GS34" s="328" t="n">
        <f aca="false">GT34/$F34*GT$7</f>
        <v>52637.4505288952</v>
      </c>
      <c r="GT34" s="327" t="n">
        <v>55752.06</v>
      </c>
      <c r="GU34" s="325" t="n">
        <f aca="false">(GV34*$H34+GW34*$G34)</f>
        <v>51882.0784630633</v>
      </c>
      <c r="GV34" s="328" t="n">
        <f aca="false">GW34/$F34*GW$7</f>
        <v>51882.0784630633</v>
      </c>
      <c r="GW34" s="327" t="n">
        <v>55752.06</v>
      </c>
      <c r="GX34" s="325" t="n">
        <f aca="false">(GY34*$H34+GZ34*$G34)</f>
        <v>50596.527478106</v>
      </c>
      <c r="GY34" s="328" t="n">
        <f aca="false">GZ34/$F34*GZ$7</f>
        <v>50596.527478106</v>
      </c>
      <c r="GZ34" s="327" t="n">
        <v>55752.06</v>
      </c>
      <c r="HA34" s="325" t="n">
        <f aca="false">(HB34*$H34+HC34*$G34)</f>
        <v>49579.9397226044</v>
      </c>
      <c r="HB34" s="328" t="n">
        <f aca="false">HC34/$F34*HC$7</f>
        <v>49579.9397226044</v>
      </c>
      <c r="HC34" s="327" t="n">
        <v>55752.06</v>
      </c>
      <c r="HD34" s="325" t="n">
        <f aca="false">(HE34*$H34+HF34*$G34)</f>
        <v>50313.9321961554</v>
      </c>
      <c r="HE34" s="328" t="n">
        <f aca="false">HF34/$F34*HF$7</f>
        <v>50313.9321961554</v>
      </c>
      <c r="HF34" s="327" t="n">
        <v>55752.06</v>
      </c>
      <c r="HG34" s="325" t="n">
        <f aca="false">(HH34*$H34+HI34*$G34)</f>
        <v>48643.5525696184</v>
      </c>
      <c r="HH34" s="328" t="n">
        <f aca="false">HI34/$F34*HI$7</f>
        <v>48643.5525696184</v>
      </c>
      <c r="HI34" s="327" t="n">
        <v>55752.06</v>
      </c>
      <c r="HJ34" s="325" t="n">
        <f aca="false">(HK34*$H34+HL34*$G34)</f>
        <v>47054.1673920859</v>
      </c>
      <c r="HK34" s="328" t="n">
        <f aca="false">HL34/$F34*HL$7</f>
        <v>47054.1673920859</v>
      </c>
      <c r="HL34" s="327" t="n">
        <v>55752.06</v>
      </c>
      <c r="HP34" s="325" t="n">
        <f aca="false">(HQ34*$H34+HR34*$G34)</f>
        <v>48741.5715087726</v>
      </c>
      <c r="HQ34" s="328" t="n">
        <f aca="false">HR34/$F34*HR$7</f>
        <v>48741.5715087726</v>
      </c>
      <c r="HR34" s="327" t="n">
        <v>55752.06</v>
      </c>
      <c r="HS34" s="325" t="n">
        <f aca="false">(HT34*$H34+HU34*$G34)</f>
        <v>49124.2256138937</v>
      </c>
      <c r="HT34" s="328" t="n">
        <f aca="false">HU34/$F34*HU$7</f>
        <v>49124.2256138937</v>
      </c>
      <c r="HU34" s="327" t="n">
        <v>55752.06</v>
      </c>
      <c r="HV34" s="325" t="n">
        <f aca="false">(HW34*$H34+HX34*$G34)</f>
        <v>55875.7392732624</v>
      </c>
      <c r="HW34" s="328" t="n">
        <f aca="false">HX34/$F34*HX$7</f>
        <v>55875.7392732624</v>
      </c>
      <c r="HX34" s="327" t="n">
        <v>55752.06</v>
      </c>
      <c r="HY34" s="325" t="n">
        <f aca="false">(HZ34*$H34+IA34*$G34)</f>
        <v>54669.2935836395</v>
      </c>
      <c r="HZ34" s="328" t="n">
        <f aca="false">IA34/$F34*IA$7</f>
        <v>54669.2935836395</v>
      </c>
      <c r="IA34" s="327" t="n">
        <v>55752.06</v>
      </c>
      <c r="IB34" s="325" t="n">
        <f aca="false">(IC34*$H34+ID34*$G34)</f>
        <v>53400.7469914524</v>
      </c>
      <c r="IC34" s="328" t="n">
        <f aca="false">ID34/$F34*ID$7</f>
        <v>53400.7469914524</v>
      </c>
      <c r="ID34" s="327" t="n">
        <v>55752.06</v>
      </c>
      <c r="IE34" s="325" t="n">
        <f aca="false">(IF34*$H34+IG34*$G34)</f>
        <v>53787.2195986729</v>
      </c>
      <c r="IF34" s="328" t="n">
        <f aca="false">IG34/$F34*IG$7</f>
        <v>53787.2195986729</v>
      </c>
      <c r="IG34" s="327" t="n">
        <v>55752.06</v>
      </c>
      <c r="IH34" s="325" t="n">
        <f aca="false">(II34*$H34+IJ34*$G34)</f>
        <v>55470.9780507235</v>
      </c>
      <c r="II34" s="328" t="n">
        <f aca="false">IJ34/$F34*IJ$7</f>
        <v>55470.9780507235</v>
      </c>
      <c r="IJ34" s="327" t="n">
        <v>55752.06</v>
      </c>
      <c r="IK34" s="325" t="n">
        <f aca="false">(IL34*$H34+IM34*$G34)</f>
        <v>54898.0017620154</v>
      </c>
      <c r="IL34" s="328" t="n">
        <f aca="false">IM34/$F34*IM$7</f>
        <v>54898.0017620154</v>
      </c>
      <c r="IM34" s="327" t="n">
        <v>55752.06</v>
      </c>
      <c r="IN34" s="325" t="n">
        <f aca="false">(IO34*$H34+IP34*$G34)</f>
        <v>56679.0315307041</v>
      </c>
      <c r="IO34" s="328" t="n">
        <f aca="false">IP34/$F34*IP$7</f>
        <v>56679.0315307041</v>
      </c>
      <c r="IP34" s="327" t="n">
        <v>55752.06</v>
      </c>
      <c r="IQ34" s="325" t="n">
        <f aca="false">(IR34*$H34+IS34*$G34)</f>
        <v>57017.6723747844</v>
      </c>
      <c r="IR34" s="328" t="n">
        <f aca="false">IS34/$F34*IS$7</f>
        <v>57017.6723747844</v>
      </c>
      <c r="IS34" s="327" t="n">
        <v>55752.06</v>
      </c>
      <c r="IT34" s="325" t="n">
        <f aca="false">(IU34*$H34+IV34*$G34)</f>
        <v>56986.7224103996</v>
      </c>
      <c r="IU34" s="328" t="n">
        <f aca="false">IV34/$F34*IV$7</f>
        <v>56986.7224103996</v>
      </c>
      <c r="IV34" s="327" t="n">
        <v>55752.06</v>
      </c>
      <c r="IW34" s="325" t="n">
        <f aca="false">(IX34*$H34+IY34*$G34)</f>
        <v>56351.2432715378</v>
      </c>
      <c r="IX34" s="328" t="n">
        <f aca="false">IY34/$F34*IY$7</f>
        <v>56351.2432715378</v>
      </c>
      <c r="IY34" s="327" t="n">
        <v>55752.06</v>
      </c>
      <c r="JC34" s="325" t="n">
        <f aca="false">(JD34*$H34+JE34*$G34)</f>
        <v>56681.6441900352</v>
      </c>
      <c r="JD34" s="329" t="n">
        <f aca="false">JE34/$F34*JE$7</f>
        <v>56681.6441900352</v>
      </c>
      <c r="JE34" s="327" t="n">
        <v>55752.06</v>
      </c>
      <c r="JF34" s="325" t="n">
        <f aca="false">(JG34*$H34+JH34*$G34)</f>
        <v>56132.7847566919</v>
      </c>
      <c r="JG34" s="326" t="n">
        <f aca="false">JH34/$F34*JH$7</f>
        <v>56132.7847566919</v>
      </c>
      <c r="JH34" s="327" t="n">
        <v>55752.06</v>
      </c>
      <c r="JI34" s="325" t="n">
        <f aca="false">(JJ34*$H34+JK34*$G34)</f>
        <v>55706.7203119142</v>
      </c>
      <c r="JJ34" s="326" t="n">
        <f aca="false">JK34/$F34*JK$7</f>
        <v>55706.7203119142</v>
      </c>
      <c r="JK34" s="327" t="n">
        <v>55752.06</v>
      </c>
      <c r="JL34" s="325" t="n">
        <f aca="false">(JM34*$H34+JN34*$G34)</f>
        <v>56291.9560020994</v>
      </c>
      <c r="JM34" s="326" t="n">
        <f aca="false">JN34/$F34*JN$7</f>
        <v>56291.9560020994</v>
      </c>
      <c r="JN34" s="327" t="n">
        <v>55752.06</v>
      </c>
      <c r="JO34" s="325" t="n">
        <f aca="false">(JP34*$H34+JQ34*$G34)</f>
        <v>55200.4673230487</v>
      </c>
      <c r="JP34" s="326" t="n">
        <f aca="false">JQ34/$F34*JQ$7</f>
        <v>55200.4673230487</v>
      </c>
      <c r="JQ34" s="327" t="n">
        <v>55752.06</v>
      </c>
      <c r="JR34" s="325" t="n">
        <f aca="false">(JS34*$H34+JT34*$G34)</f>
        <v>54651.8088635</v>
      </c>
      <c r="JS34" s="328" t="n">
        <f aca="false">JT34/$F34*JT$7</f>
        <v>54651.8088635</v>
      </c>
      <c r="JT34" s="327" t="n">
        <v>55752.06</v>
      </c>
      <c r="JU34" s="325" t="n">
        <f aca="false">(JV34*$H34+JW34*$G34)</f>
        <v>54706.0717880708</v>
      </c>
      <c r="JV34" s="329" t="n">
        <f aca="false">JW34/$F34*JW$7</f>
        <v>54706.0717880708</v>
      </c>
      <c r="JW34" s="327" t="n">
        <v>55752.06</v>
      </c>
      <c r="JX34" s="325" t="n">
        <f aca="false">(JY34*$H34+JZ34*$G34)</f>
        <v>53550.4724685087</v>
      </c>
      <c r="JY34" s="329" t="n">
        <f aca="false">JZ34/$F34*JZ$7</f>
        <v>53550.4724685087</v>
      </c>
      <c r="JZ34" s="327" t="n">
        <v>55752.06</v>
      </c>
      <c r="KA34" s="325" t="n">
        <f aca="false">(KB34*$H34+KC34*$G34)</f>
        <v>53665.6304528755</v>
      </c>
      <c r="KB34" s="329" t="n">
        <f aca="false">KC34/$F34*KC$7</f>
        <v>53665.6304528755</v>
      </c>
      <c r="KC34" s="327" t="n">
        <v>55752.06</v>
      </c>
      <c r="KD34" s="325" t="n">
        <f aca="false">(KE34*$H34+KF34*$G34)</f>
        <v>52799.83534528</v>
      </c>
      <c r="KE34" s="329" t="n">
        <f aca="false">KF34/$F34*KF$7</f>
        <v>52799.83534528</v>
      </c>
      <c r="KF34" s="327" t="n">
        <v>55752.06</v>
      </c>
      <c r="KG34" s="325" t="n">
        <f aca="false">(KH34*$H34+KI34*$G34)</f>
        <v>53577.2019832046</v>
      </c>
      <c r="KH34" s="329" t="n">
        <f aca="false">KI34/$F34*KI$7</f>
        <v>53577.2019832046</v>
      </c>
      <c r="KI34" s="327" t="n">
        <v>55752.06</v>
      </c>
      <c r="KJ34" s="325" t="n">
        <f aca="false">(KK34*$H34+KL34*$G34)</f>
        <v>54834.8959904776</v>
      </c>
      <c r="KK34" s="329" t="n">
        <f aca="false">KL34/$F34*KL$7</f>
        <v>54834.8959904776</v>
      </c>
      <c r="KL34" s="327" t="n">
        <v>55752.06</v>
      </c>
      <c r="KP34" s="325" t="n">
        <f aca="false">(KQ34*$H34+KR34*$G34)</f>
        <v>57096.8560498988</v>
      </c>
      <c r="KQ34" s="329" t="n">
        <f aca="false">KR34/$F34*KR$7</f>
        <v>57096.8560498988</v>
      </c>
      <c r="KR34" s="327" t="n">
        <v>55752.06</v>
      </c>
      <c r="KS34" s="325" t="n">
        <f aca="false">(KT34*$H34+KU34*$G34)</f>
        <v>58257.6806881233</v>
      </c>
      <c r="KT34" s="329" t="n">
        <f aca="false">KU34/$F34*KU$7</f>
        <v>58257.6806881233</v>
      </c>
      <c r="KU34" s="327" t="n">
        <v>55752.06</v>
      </c>
      <c r="KV34" s="325" t="n">
        <f aca="false">(KW34*$H34+KX34*$G34)</f>
        <v>58794.6826675789</v>
      </c>
      <c r="KW34" s="329" t="n">
        <f aca="false">KX34/$F34*KX$7</f>
        <v>58794.6826675789</v>
      </c>
      <c r="KX34" s="327" t="n">
        <v>55752.06</v>
      </c>
      <c r="KY34" s="325" t="n">
        <f aca="false">(KZ34*$H34+LA34*$G34)</f>
        <v>58794.6826675789</v>
      </c>
      <c r="KZ34" s="329" t="n">
        <f aca="false">LA34/$F34*LA$7</f>
        <v>58794.6826675789</v>
      </c>
      <c r="LA34" s="327" t="n">
        <v>55752.06</v>
      </c>
      <c r="LB34" s="325" t="n">
        <f aca="false">(LC34*$H34+LD34*$G34)</f>
        <v>58794.6826675789</v>
      </c>
      <c r="LC34" s="329" t="n">
        <f aca="false">LD34/$F34*LD$7</f>
        <v>58794.6826675789</v>
      </c>
      <c r="LD34" s="327" t="n">
        <v>55752.06</v>
      </c>
      <c r="LE34" s="325" t="n">
        <f aca="false">(LF34*$H34+LG34*$G34)</f>
        <v>58794.6826675789</v>
      </c>
      <c r="LF34" s="329" t="n">
        <f aca="false">LG34/$F34*LG$7</f>
        <v>58794.6826675789</v>
      </c>
      <c r="LG34" s="327" t="n">
        <v>55752.06</v>
      </c>
      <c r="LH34" s="325" t="n">
        <f aca="false">(LI34*$H34+LJ34*$G34)</f>
        <v>73493.303091025</v>
      </c>
      <c r="LI34" s="329" t="n">
        <f aca="false">LJ34/$F34*LJ$7</f>
        <v>73493.303091025</v>
      </c>
      <c r="LJ34" s="327" t="n">
        <v>55752.06</v>
      </c>
      <c r="LM34" s="327" t="n">
        <v>55752.06</v>
      </c>
      <c r="LP34" s="327" t="n">
        <v>55752.06</v>
      </c>
      <c r="LS34" s="327" t="n">
        <v>55752.06</v>
      </c>
      <c r="LV34" s="327" t="n">
        <v>55752.06</v>
      </c>
      <c r="LY34" s="327" t="n">
        <v>55752.06</v>
      </c>
      <c r="ME34" s="327" t="n">
        <v>55752.06</v>
      </c>
      <c r="MH34" s="327" t="n">
        <v>55752.06</v>
      </c>
      <c r="MK34" s="327" t="n">
        <v>55752.06</v>
      </c>
      <c r="MN34" s="327" t="n">
        <v>55752.06</v>
      </c>
      <c r="MQ34" s="327" t="n">
        <v>55752.06</v>
      </c>
      <c r="MT34" s="327" t="n">
        <v>55752.06</v>
      </c>
      <c r="MW34" s="327" t="n">
        <v>55752.06</v>
      </c>
      <c r="MZ34" s="327" t="n">
        <v>55752.06</v>
      </c>
      <c r="NC34" s="327" t="n">
        <v>55752.06</v>
      </c>
      <c r="NF34" s="327" t="n">
        <v>55752.06</v>
      </c>
      <c r="NI34" s="327" t="n">
        <v>55752.06</v>
      </c>
      <c r="NL34" s="327" t="n">
        <v>55752.06</v>
      </c>
      <c r="NR34" s="327" t="n">
        <v>55752.06</v>
      </c>
      <c r="NU34" s="327" t="n">
        <v>55752.06</v>
      </c>
      <c r="NX34" s="327" t="n">
        <v>55752.06</v>
      </c>
      <c r="OA34" s="327" t="n">
        <v>55752.06</v>
      </c>
      <c r="OD34" s="327" t="n">
        <v>55752.06</v>
      </c>
    </row>
    <row r="35" s="329" customFormat="true" ht="15" hidden="false" customHeight="false" outlineLevel="0" collapsed="false">
      <c r="A35" s="283" t="n">
        <v>4.15</v>
      </c>
      <c r="B35" s="333"/>
      <c r="C35" s="320" t="n">
        <v>1164741.6</v>
      </c>
      <c r="D35" s="333"/>
      <c r="E35" s="334"/>
      <c r="F35" s="337" t="n">
        <v>27.772064</v>
      </c>
      <c r="G35" s="323" t="n">
        <v>0</v>
      </c>
      <c r="H35" s="324" t="n">
        <f aca="false">1-G35</f>
        <v>1</v>
      </c>
      <c r="I35" s="332" t="n">
        <f aca="false">J35/F35*25.602161</f>
        <v>198394.350059153</v>
      </c>
      <c r="J35" s="319" t="n">
        <v>215209.2</v>
      </c>
      <c r="K35" s="289"/>
      <c r="M35" s="327"/>
      <c r="N35" s="289"/>
      <c r="P35" s="327"/>
      <c r="Q35" s="289"/>
      <c r="S35" s="327"/>
      <c r="V35" s="327"/>
      <c r="W35" s="289"/>
      <c r="Y35" s="327"/>
      <c r="AC35" s="289"/>
      <c r="AE35" s="327"/>
      <c r="AF35" s="289"/>
      <c r="AH35" s="327"/>
      <c r="AI35" s="289"/>
      <c r="AK35" s="327"/>
      <c r="AL35" s="289"/>
      <c r="AN35" s="327"/>
      <c r="AO35" s="289"/>
      <c r="AQ35" s="327"/>
      <c r="AR35" s="289"/>
      <c r="AT35" s="327"/>
      <c r="AU35" s="289"/>
      <c r="AW35" s="327"/>
      <c r="AX35" s="289"/>
      <c r="AZ35" s="327"/>
      <c r="BA35" s="289"/>
      <c r="BC35" s="327"/>
      <c r="BD35" s="289"/>
      <c r="BF35" s="327"/>
      <c r="BG35" s="289"/>
      <c r="BI35" s="327"/>
      <c r="BJ35" s="289"/>
      <c r="BL35" s="327"/>
      <c r="BP35" s="289"/>
      <c r="BR35" s="327"/>
      <c r="BS35" s="289"/>
      <c r="BU35" s="327"/>
      <c r="BV35" s="289"/>
      <c r="BX35" s="327"/>
      <c r="BY35" s="289"/>
      <c r="CA35" s="327"/>
      <c r="CB35" s="289"/>
      <c r="CD35" s="327"/>
      <c r="CE35" s="289"/>
      <c r="CG35" s="327"/>
      <c r="CH35" s="289"/>
      <c r="CJ35" s="327"/>
      <c r="CK35" s="289"/>
      <c r="CM35" s="327"/>
      <c r="CN35" s="289"/>
      <c r="CP35" s="327"/>
      <c r="CQ35" s="289"/>
      <c r="CS35" s="327"/>
      <c r="CV35" s="327"/>
      <c r="CW35" s="289"/>
      <c r="CY35" s="327"/>
      <c r="DC35" s="335"/>
      <c r="DE35" s="327"/>
      <c r="DH35" s="327"/>
      <c r="DK35" s="327"/>
      <c r="DL35" s="289"/>
      <c r="DN35" s="327"/>
      <c r="DQ35" s="327"/>
      <c r="DT35" s="327"/>
      <c r="ED35" s="289"/>
      <c r="EJ35" s="289"/>
      <c r="FN35" s="289"/>
      <c r="FQ35" s="289"/>
      <c r="FT35" s="289"/>
      <c r="FW35" s="289"/>
      <c r="GC35" s="289"/>
      <c r="GK35" s="327"/>
      <c r="GN35" s="327"/>
      <c r="GO35" s="328"/>
      <c r="GP35" s="328"/>
      <c r="GQ35" s="327"/>
      <c r="GR35" s="328" t="n">
        <f aca="false">(GS35*$H35+GT35*$G35)</f>
        <v>0</v>
      </c>
      <c r="GS35" s="328" t="n">
        <f aca="false">GT35/$F35*GT$7</f>
        <v>0</v>
      </c>
      <c r="GT35" s="327"/>
      <c r="GU35" s="328"/>
      <c r="GV35" s="328" t="n">
        <f aca="false">GW35/$F35*GW$7</f>
        <v>0</v>
      </c>
      <c r="GW35" s="327"/>
      <c r="GX35" s="325" t="n">
        <f aca="false">(GY35*$H35+GZ35*$G35)</f>
        <v>14346.0275105718</v>
      </c>
      <c r="GY35" s="328" t="n">
        <f aca="false">GZ35/$F35*GZ$7</f>
        <v>14346.0275105718</v>
      </c>
      <c r="GZ35" s="327" t="n">
        <v>15825.54</v>
      </c>
      <c r="HA35" s="325" t="n">
        <f aca="false">(HB35*$H35+HC35*$G35)</f>
        <v>14057.7864664873</v>
      </c>
      <c r="HB35" s="328" t="n">
        <f aca="false">HC35/$F35*HC$7</f>
        <v>14057.7864664873</v>
      </c>
      <c r="HC35" s="327" t="n">
        <v>15825.54</v>
      </c>
      <c r="HD35" s="325" t="n">
        <f aca="false">(HE35*$H35+HF35*$G35)</f>
        <v>14265.9010692666</v>
      </c>
      <c r="HE35" s="328" t="n">
        <f aca="false">HF35/$F35*HF$7</f>
        <v>14265.9010692666</v>
      </c>
      <c r="HF35" s="327" t="n">
        <v>15825.54</v>
      </c>
      <c r="HG35" s="325" t="n">
        <f aca="false">(HH35*$H35+HI35*$G35)</f>
        <v>13792.2853238823</v>
      </c>
      <c r="HH35" s="328" t="n">
        <f aca="false">HI35/$F35*HI$7</f>
        <v>13792.2853238823</v>
      </c>
      <c r="HI35" s="327" t="n">
        <v>15825.54</v>
      </c>
      <c r="HJ35" s="325" t="n">
        <f aca="false">(HK35*$H35+HL35*$G35)</f>
        <v>13341.6345654554</v>
      </c>
      <c r="HK35" s="328" t="n">
        <f aca="false">HL35/$F35*HL$7</f>
        <v>13341.6345654554</v>
      </c>
      <c r="HL35" s="327" t="n">
        <v>15825.54</v>
      </c>
      <c r="HP35" s="325" t="n">
        <f aca="false">(HQ35*$H35+HR35*$G35)</f>
        <v>13820.0773971283</v>
      </c>
      <c r="HQ35" s="328" t="n">
        <f aca="false">HR35/$F35*HR$7</f>
        <v>13820.0773971283</v>
      </c>
      <c r="HR35" s="327" t="n">
        <v>15825.54</v>
      </c>
      <c r="HS35" s="325" t="n">
        <f aca="false">(HT35*$H35+HU35*$G35)</f>
        <v>13928.5742958824</v>
      </c>
      <c r="HT35" s="328" t="n">
        <f aca="false">HU35/$F35*HU$7</f>
        <v>13928.5742958824</v>
      </c>
      <c r="HU35" s="327" t="n">
        <v>15825.54</v>
      </c>
      <c r="HV35" s="325" t="n">
        <f aca="false">(HW35*$H35+HX35*$G35)</f>
        <v>15842.8835483744</v>
      </c>
      <c r="HW35" s="328" t="n">
        <f aca="false">HX35/$F35*HX$7</f>
        <v>15842.8835483744</v>
      </c>
      <c r="HX35" s="327" t="n">
        <v>15825.54</v>
      </c>
      <c r="HY35" s="325" t="n">
        <f aca="false">(HZ35*$H35+IA35*$G35)</f>
        <v>15500.8106055063</v>
      </c>
      <c r="HZ35" s="328" t="n">
        <f aca="false">IA35/$F35*IA$7</f>
        <v>15500.8106055063</v>
      </c>
      <c r="IA35" s="327" t="n">
        <v>15825.54</v>
      </c>
      <c r="IB35" s="325" t="n">
        <f aca="false">(IC35*$H35+ID35*$G35)</f>
        <v>15141.1297100568</v>
      </c>
      <c r="IC35" s="328" t="n">
        <f aca="false">ID35/$F35*ID$7</f>
        <v>15141.1297100568</v>
      </c>
      <c r="ID35" s="327" t="n">
        <v>15825.54</v>
      </c>
      <c r="IE35" s="325" t="n">
        <f aca="false">(IF35*$H35+IG35*$G35)</f>
        <v>15250.7092984519</v>
      </c>
      <c r="IF35" s="328" t="n">
        <f aca="false">IG35/$F35*IG$7</f>
        <v>15250.7092984519</v>
      </c>
      <c r="IG35" s="327" t="n">
        <v>15825.54</v>
      </c>
      <c r="IH35" s="325" t="n">
        <f aca="false">(II35*$H35+IJ35*$G35)</f>
        <v>15728.118446436</v>
      </c>
      <c r="II35" s="328" t="n">
        <f aca="false">IJ35/$F35*IJ$7</f>
        <v>15728.118446436</v>
      </c>
      <c r="IJ35" s="327" t="n">
        <v>15825.54</v>
      </c>
      <c r="IK35" s="325" t="n">
        <f aca="false">(IL35*$H35+IM35*$G35)</f>
        <v>15565.6580166314</v>
      </c>
      <c r="IL35" s="328" t="n">
        <f aca="false">IM35/$F35*IM$7</f>
        <v>15565.6580166314</v>
      </c>
      <c r="IM35" s="327" t="n">
        <v>15825.54</v>
      </c>
      <c r="IN35" s="325" t="n">
        <f aca="false">(IO35*$H35+IP35*$G35)</f>
        <v>16070.6472586265</v>
      </c>
      <c r="IO35" s="328" t="n">
        <f aca="false">IP35/$F35*IP$7</f>
        <v>16070.6472586265</v>
      </c>
      <c r="IP35" s="327" t="n">
        <v>15825.54</v>
      </c>
      <c r="IQ35" s="325" t="n">
        <f aca="false">(IR35*$H35+IS35*$G35)</f>
        <v>16166.6647346773</v>
      </c>
      <c r="IR35" s="328" t="n">
        <f aca="false">IS35/$F35*IS$7</f>
        <v>16166.6647346773</v>
      </c>
      <c r="IS35" s="327" t="n">
        <v>15825.54</v>
      </c>
      <c r="IT35" s="325" t="n">
        <f aca="false">(IU35*$H35+IV35*$G35)</f>
        <v>16157.8892502192</v>
      </c>
      <c r="IU35" s="328" t="n">
        <f aca="false">IV35/$F35*IV$7</f>
        <v>16157.8892502192</v>
      </c>
      <c r="IV35" s="327" t="n">
        <v>15825.54</v>
      </c>
      <c r="IW35" s="325" t="n">
        <f aca="false">(IX35*$H35+IY35*$G35)</f>
        <v>15977.7069005026</v>
      </c>
      <c r="IX35" s="328" t="n">
        <f aca="false">IY35/$F35*IY$7</f>
        <v>15977.7069005026</v>
      </c>
      <c r="IY35" s="327" t="n">
        <v>15825.54</v>
      </c>
      <c r="JC35" s="325" t="n">
        <f aca="false">(JD35*$H35+JE35*$G35)</f>
        <v>16071.3880462756</v>
      </c>
      <c r="JD35" s="329" t="n">
        <f aca="false">JE35/$F35*JE$7</f>
        <v>16071.3880462756</v>
      </c>
      <c r="JE35" s="327" t="n">
        <v>15825.54</v>
      </c>
      <c r="JF35" s="325" t="n">
        <f aca="false">(JG35*$H35+JH35*$G35)</f>
        <v>15915.7656563084</v>
      </c>
      <c r="JG35" s="326" t="n">
        <f aca="false">JH35/$F35*JH$7</f>
        <v>15915.7656563084</v>
      </c>
      <c r="JH35" s="327" t="n">
        <v>15825.54</v>
      </c>
      <c r="JI35" s="325" t="n">
        <f aca="false">(JJ35*$H35+JK35*$G35)</f>
        <v>15794.960285847</v>
      </c>
      <c r="JJ35" s="326" t="n">
        <f aca="false">JK35/$F35*JK$7</f>
        <v>15794.960285847</v>
      </c>
      <c r="JK35" s="327" t="n">
        <v>15825.54</v>
      </c>
      <c r="JL35" s="325" t="n">
        <f aca="false">(JM35*$H35+JN35*$G35)</f>
        <v>15960.8967192356</v>
      </c>
      <c r="JM35" s="326" t="n">
        <f aca="false">JN35/$F35*JN$7</f>
        <v>15960.8967192356</v>
      </c>
      <c r="JN35" s="327" t="n">
        <v>15825.54</v>
      </c>
      <c r="JO35" s="325" t="n">
        <f aca="false">(JP35*$H35+JQ35*$G35)</f>
        <v>15651.418432926</v>
      </c>
      <c r="JP35" s="326" t="n">
        <f aca="false">JQ35/$F35*JQ$7</f>
        <v>15651.418432926</v>
      </c>
      <c r="JQ35" s="327" t="n">
        <v>15825.54</v>
      </c>
      <c r="JR35" s="325" t="n">
        <f aca="false">(JS35*$H35+JT35*$G35)</f>
        <v>15495.8530266242</v>
      </c>
      <c r="JS35" s="328" t="n">
        <f aca="false">JT35/$F35*JT$7</f>
        <v>15495.8530266242</v>
      </c>
      <c r="JT35" s="327" t="n">
        <v>15825.54</v>
      </c>
      <c r="JU35" s="325" t="n">
        <f aca="false">(JV35*$H35+JW35*$G35)</f>
        <v>15511.2386162584</v>
      </c>
      <c r="JV35" s="329" t="n">
        <f aca="false">JW35/$F35*JW$7</f>
        <v>15511.2386162584</v>
      </c>
      <c r="JW35" s="327" t="n">
        <v>15825.54</v>
      </c>
      <c r="JX35" s="325" t="n">
        <f aca="false">(JY35*$H35+JZ35*$G35)</f>
        <v>15183.5825407143</v>
      </c>
      <c r="JY35" s="329" t="n">
        <f aca="false">JZ35/$F35*JZ$7</f>
        <v>15183.5825407143</v>
      </c>
      <c r="JZ35" s="327" t="n">
        <v>15825.54</v>
      </c>
      <c r="KA35" s="325" t="n">
        <f aca="false">(KB35*$H35+KC35*$G35)</f>
        <v>15216.2341809381</v>
      </c>
      <c r="KB35" s="329" t="n">
        <f aca="false">KC35/$F35*KC$7</f>
        <v>15216.2341809381</v>
      </c>
      <c r="KC35" s="327" t="n">
        <v>15825.54</v>
      </c>
      <c r="KD35" s="325" t="n">
        <f aca="false">(KE35*$H35+KF35*$G35)</f>
        <v>14970.7485507739</v>
      </c>
      <c r="KE35" s="329" t="n">
        <f aca="false">KF35/$F35*KF$7</f>
        <v>14970.7485507739</v>
      </c>
      <c r="KF35" s="327" t="n">
        <v>15825.54</v>
      </c>
      <c r="KG35" s="325" t="n">
        <f aca="false">(KH35*$H35+KI35*$G35)</f>
        <v>15191.1613682008</v>
      </c>
      <c r="KH35" s="329" t="n">
        <f aca="false">KI35/$F35*KI$7</f>
        <v>15191.1613682008</v>
      </c>
      <c r="KI35" s="327" t="n">
        <v>15825.54</v>
      </c>
      <c r="KJ35" s="325" t="n">
        <f aca="false">(KK35*$H35+KL35*$G35)</f>
        <v>15547.7651457234</v>
      </c>
      <c r="KK35" s="329" t="n">
        <f aca="false">KL35/$F35*KL$7</f>
        <v>15547.7651457234</v>
      </c>
      <c r="KL35" s="327" t="n">
        <v>15825.54</v>
      </c>
      <c r="KP35" s="325" t="n">
        <f aca="false">(KQ35*$H35+KR35*$G35)</f>
        <v>16189.1162988102</v>
      </c>
      <c r="KQ35" s="329" t="n">
        <f aca="false">KR35/$F35*KR$7</f>
        <v>16189.1162988102</v>
      </c>
      <c r="KR35" s="327" t="n">
        <v>15825.54</v>
      </c>
      <c r="KS35" s="325" t="n">
        <f aca="false">(KT35*$H35+KU35*$G35)</f>
        <v>16518.2539496524</v>
      </c>
      <c r="KT35" s="329" t="n">
        <f aca="false">KU35/$F35*KU$7</f>
        <v>16518.2539496524</v>
      </c>
      <c r="KU35" s="327" t="n">
        <v>15825.54</v>
      </c>
      <c r="KV35" s="325" t="n">
        <f aca="false">(KW35*$H35+KX35*$G35)</f>
        <v>16670.5143033661</v>
      </c>
      <c r="KW35" s="329" t="n">
        <f aca="false">KX35/$F35*KX$7</f>
        <v>16670.5143033661</v>
      </c>
      <c r="KX35" s="327" t="n">
        <v>15825.54</v>
      </c>
      <c r="KY35" s="325" t="n">
        <f aca="false">(KZ35*$H35+LA35*$G35)</f>
        <v>16670.5143033661</v>
      </c>
      <c r="KZ35" s="329" t="n">
        <f aca="false">LA35/$F35*LA$7</f>
        <v>16670.5143033661</v>
      </c>
      <c r="LA35" s="327" t="n">
        <v>15825.54</v>
      </c>
      <c r="LB35" s="325" t="n">
        <f aca="false">(LC35*$H35+LD35*$G35)</f>
        <v>16670.5143033661</v>
      </c>
      <c r="LC35" s="329" t="n">
        <f aca="false">LD35/$F35*LD$7</f>
        <v>16670.5143033661</v>
      </c>
      <c r="LD35" s="327" t="n">
        <v>15825.54</v>
      </c>
      <c r="LE35" s="325" t="n">
        <f aca="false">(LF35*$H35+LG35*$G35)</f>
        <v>16670.5143033661</v>
      </c>
      <c r="LF35" s="329" t="n">
        <f aca="false">LG35/$F35*LG$7</f>
        <v>16670.5143033661</v>
      </c>
      <c r="LG35" s="327" t="n">
        <v>15825.54</v>
      </c>
      <c r="LH35" s="325" t="n">
        <f aca="false">(LI35*$H35+LJ35*$G35)</f>
        <v>20838.1286332914</v>
      </c>
      <c r="LI35" s="329" t="n">
        <f aca="false">LJ35/$F35*LJ$7</f>
        <v>20838.1286332914</v>
      </c>
      <c r="LJ35" s="327" t="n">
        <v>15825.54</v>
      </c>
      <c r="LM35" s="327" t="n">
        <v>15825.54</v>
      </c>
      <c r="LP35" s="327" t="n">
        <v>15825.54</v>
      </c>
      <c r="LS35" s="327" t="n">
        <v>15825.54</v>
      </c>
      <c r="LV35" s="327" t="n">
        <v>15825.54</v>
      </c>
      <c r="LY35" s="327" t="n">
        <v>15825.54</v>
      </c>
      <c r="ME35" s="327" t="n">
        <v>15825.54</v>
      </c>
      <c r="MH35" s="327" t="n">
        <v>15825.54</v>
      </c>
      <c r="MK35" s="327" t="n">
        <v>15825.54</v>
      </c>
      <c r="MN35" s="327" t="n">
        <v>15825.54</v>
      </c>
      <c r="MQ35" s="327" t="n">
        <v>15825.54</v>
      </c>
      <c r="MT35" s="327" t="n">
        <v>15825.54</v>
      </c>
      <c r="MW35" s="327" t="n">
        <v>15825.54</v>
      </c>
      <c r="MZ35" s="327" t="n">
        <v>15825.54</v>
      </c>
      <c r="NC35" s="327" t="n">
        <v>15825.54</v>
      </c>
      <c r="NF35" s="327" t="n">
        <v>15825.54</v>
      </c>
      <c r="NI35" s="327" t="n">
        <v>15825.54</v>
      </c>
      <c r="NL35" s="327" t="n">
        <v>15825.54</v>
      </c>
      <c r="NR35" s="327" t="n">
        <v>15825.54</v>
      </c>
      <c r="NU35" s="327" t="n">
        <v>15825.54</v>
      </c>
      <c r="NX35" s="327" t="n">
        <v>15825.54</v>
      </c>
      <c r="OA35" s="327" t="n">
        <v>15825.54</v>
      </c>
      <c r="OD35" s="327" t="n">
        <v>15825.54</v>
      </c>
      <c r="OG35" s="327" t="n">
        <v>15825.54</v>
      </c>
      <c r="OJ35" s="327" t="n">
        <v>15825.54</v>
      </c>
    </row>
    <row r="36" s="329" customFormat="true" ht="15" hidden="false" customHeight="false" outlineLevel="0" collapsed="false">
      <c r="A36" s="283" t="n">
        <v>4.16</v>
      </c>
      <c r="B36" s="333"/>
      <c r="C36" s="320" t="n">
        <v>7051794.54</v>
      </c>
      <c r="D36" s="333"/>
      <c r="E36" s="334"/>
      <c r="F36" s="337" t="n">
        <v>27.790097</v>
      </c>
      <c r="G36" s="323" t="n">
        <v>0</v>
      </c>
      <c r="H36" s="324" t="n">
        <f aca="false">1-G36</f>
        <v>1</v>
      </c>
      <c r="I36" s="332" t="n">
        <f aca="false">J36/F36*26.304698</f>
        <v>1405768.26483322</v>
      </c>
      <c r="J36" s="319" t="n">
        <v>1485150.54</v>
      </c>
      <c r="K36" s="289"/>
      <c r="M36" s="327"/>
      <c r="N36" s="289"/>
      <c r="P36" s="327"/>
      <c r="Q36" s="289"/>
      <c r="S36" s="327"/>
      <c r="V36" s="327"/>
      <c r="W36" s="289"/>
      <c r="Y36" s="327"/>
      <c r="AC36" s="289"/>
      <c r="AE36" s="327"/>
      <c r="AF36" s="289"/>
      <c r="AH36" s="327"/>
      <c r="AI36" s="289"/>
      <c r="AK36" s="327"/>
      <c r="AL36" s="289"/>
      <c r="AN36" s="327"/>
      <c r="AO36" s="289"/>
      <c r="AQ36" s="327"/>
      <c r="AR36" s="289"/>
      <c r="AT36" s="327"/>
      <c r="AU36" s="289"/>
      <c r="AW36" s="327"/>
      <c r="AX36" s="289"/>
      <c r="AZ36" s="327"/>
      <c r="BA36" s="289"/>
      <c r="BC36" s="327"/>
      <c r="BD36" s="289"/>
      <c r="BF36" s="327"/>
      <c r="BG36" s="289"/>
      <c r="BI36" s="327"/>
      <c r="BJ36" s="289"/>
      <c r="BL36" s="327"/>
      <c r="BP36" s="289"/>
      <c r="BR36" s="327"/>
      <c r="BS36" s="289"/>
      <c r="BU36" s="327"/>
      <c r="BV36" s="289"/>
      <c r="BX36" s="327"/>
      <c r="BY36" s="289"/>
      <c r="CA36" s="327"/>
      <c r="CB36" s="289"/>
      <c r="CD36" s="327"/>
      <c r="CE36" s="289"/>
      <c r="CG36" s="327"/>
      <c r="CH36" s="289"/>
      <c r="CJ36" s="327"/>
      <c r="CK36" s="289"/>
      <c r="CM36" s="327"/>
      <c r="CN36" s="289"/>
      <c r="CP36" s="327"/>
      <c r="CQ36" s="289"/>
      <c r="CS36" s="327"/>
      <c r="CV36" s="327"/>
      <c r="CW36" s="289"/>
      <c r="CY36" s="327"/>
      <c r="DC36" s="335"/>
      <c r="DE36" s="327"/>
      <c r="DH36" s="327"/>
      <c r="DK36" s="327"/>
      <c r="DL36" s="289"/>
      <c r="DN36" s="327"/>
      <c r="DQ36" s="327"/>
      <c r="DT36" s="327"/>
      <c r="ED36" s="289"/>
      <c r="EJ36" s="289"/>
      <c r="FN36" s="289"/>
      <c r="FQ36" s="289"/>
      <c r="FT36" s="289"/>
      <c r="FW36" s="289"/>
      <c r="GC36" s="289"/>
      <c r="GK36" s="327"/>
      <c r="GN36" s="327"/>
      <c r="GO36" s="328"/>
      <c r="GP36" s="328"/>
      <c r="GQ36" s="327"/>
      <c r="GR36" s="325" t="n">
        <f aca="false">(GS36*$H36+GT36*$G36)</f>
        <v>87439.4764313849</v>
      </c>
      <c r="GS36" s="328" t="n">
        <f aca="false">GT36/$F36*GT$7</f>
        <v>87439.4764313849</v>
      </c>
      <c r="GT36" s="327" t="n">
        <v>92777.4</v>
      </c>
      <c r="GU36" s="325" t="n">
        <f aca="false">(GV36*$H36+GW36*$G36)</f>
        <v>86184.6789956509</v>
      </c>
      <c r="GV36" s="328" t="n">
        <f aca="false">GW36/$F36*GW$7</f>
        <v>86184.6789956509</v>
      </c>
      <c r="GW36" s="327" t="n">
        <v>92777.4</v>
      </c>
      <c r="GX36" s="325" t="n">
        <f aca="false">(GY36*$H36+GZ36*$G36)</f>
        <v>84049.1670375098</v>
      </c>
      <c r="GY36" s="328" t="n">
        <f aca="false">GZ36/$F36*GZ$7</f>
        <v>84049.1670375098</v>
      </c>
      <c r="GZ36" s="327" t="n">
        <v>92777.4</v>
      </c>
      <c r="HA36" s="325" t="n">
        <f aca="false">(HB36*$H36+HC36*$G36)</f>
        <v>82360.4473105006</v>
      </c>
      <c r="HB36" s="328" t="n">
        <f aca="false">HC36/$F36*HC$7</f>
        <v>82360.4473105006</v>
      </c>
      <c r="HC36" s="327" t="n">
        <v>92777.4</v>
      </c>
      <c r="HD36" s="325" t="n">
        <f aca="false">(HE36*$H36+HF36*$G36)</f>
        <v>83579.7297215407</v>
      </c>
      <c r="HE36" s="328" t="n">
        <f aca="false">HF36/$F36*HF$7</f>
        <v>83579.7297215407</v>
      </c>
      <c r="HF36" s="327" t="n">
        <v>92777.4</v>
      </c>
      <c r="HG36" s="325" t="n">
        <f aca="false">(HH36*$H36+HI36*$G36)</f>
        <v>80804.9539959217</v>
      </c>
      <c r="HH36" s="328" t="n">
        <f aca="false">HI36/$F36*HI$7</f>
        <v>80804.9539959217</v>
      </c>
      <c r="HI36" s="327" t="n">
        <v>92777.4</v>
      </c>
      <c r="HJ36" s="325" t="n">
        <f aca="false">(HK36*$H36+HL36*$G36)</f>
        <v>78164.7233925236</v>
      </c>
      <c r="HK36" s="328" t="n">
        <f aca="false">HL36/$F36*HL$7</f>
        <v>78164.7233925236</v>
      </c>
      <c r="HL36" s="327" t="n">
        <v>92777.4</v>
      </c>
      <c r="HP36" s="325" t="n">
        <f aca="false">(HQ36*$H36+HR36*$G36)</f>
        <v>80967.7796007693</v>
      </c>
      <c r="HQ36" s="328" t="n">
        <f aca="false">HR36/$F36*HR$7</f>
        <v>80967.7796007693</v>
      </c>
      <c r="HR36" s="327" t="n">
        <v>92777.4</v>
      </c>
      <c r="HS36" s="325" t="n">
        <f aca="false">(HT36*$H36+HU36*$G36)</f>
        <v>81603.4311049724</v>
      </c>
      <c r="HT36" s="328" t="n">
        <f aca="false">HU36/$F36*HU$7</f>
        <v>81603.4311049724</v>
      </c>
      <c r="HU36" s="327" t="n">
        <v>92777.4</v>
      </c>
      <c r="HV36" s="325" t="n">
        <f aca="false">(HW36*$H36+HX36*$G36)</f>
        <v>92818.8074874298</v>
      </c>
      <c r="HW36" s="328" t="n">
        <f aca="false">HX36/$F36*HX$7</f>
        <v>92818.8074874298</v>
      </c>
      <c r="HX36" s="327" t="n">
        <v>92777.4</v>
      </c>
      <c r="HY36" s="325" t="n">
        <f aca="false">(HZ36*$H36+IA36*$G36)</f>
        <v>90814.7024560584</v>
      </c>
      <c r="HZ36" s="328" t="n">
        <f aca="false">IA36/$F36*IA$7</f>
        <v>90814.7024560584</v>
      </c>
      <c r="IA36" s="327" t="n">
        <v>92777.4</v>
      </c>
      <c r="IB36" s="325" t="n">
        <f aca="false">(IC36*$H36+ID36*$G36)</f>
        <v>88707.4375954859</v>
      </c>
      <c r="IC36" s="328" t="n">
        <f aca="false">ID36/$F36*ID$7</f>
        <v>88707.4375954859</v>
      </c>
      <c r="ID36" s="327" t="n">
        <v>92777.4</v>
      </c>
      <c r="IE36" s="325" t="n">
        <f aca="false">(IF36*$H36+IG36*$G36)</f>
        <v>89349.4322607078</v>
      </c>
      <c r="IF36" s="328" t="n">
        <f aca="false">IG36/$F36*IG$7</f>
        <v>89349.4322607078</v>
      </c>
      <c r="IG36" s="327" t="n">
        <v>92777.4</v>
      </c>
      <c r="IH36" s="325" t="n">
        <f aca="false">(II36*$H36+IJ36*$G36)</f>
        <v>92146.4324194334</v>
      </c>
      <c r="II36" s="328" t="n">
        <f aca="false">IJ36/$F36*IJ$7</f>
        <v>92146.4324194334</v>
      </c>
      <c r="IJ36" s="327" t="n">
        <v>92777.4</v>
      </c>
      <c r="IK36" s="325" t="n">
        <f aca="false">(IL36*$H36+IM36*$G36)</f>
        <v>91194.6244160285</v>
      </c>
      <c r="IL36" s="328" t="n">
        <f aca="false">IM36/$F36*IM$7</f>
        <v>91194.6244160285</v>
      </c>
      <c r="IM36" s="327" t="n">
        <v>92777.4</v>
      </c>
      <c r="IN36" s="325" t="n">
        <f aca="false">(IO36*$H36+IP36*$G36)</f>
        <v>94153.2082554444</v>
      </c>
      <c r="IO36" s="328" t="n">
        <f aca="false">IP36/$F36*IP$7</f>
        <v>94153.2082554444</v>
      </c>
      <c r="IP36" s="327" t="n">
        <v>92777.4</v>
      </c>
      <c r="IQ36" s="325" t="n">
        <f aca="false">(IR36*$H36+IS36*$G36)</f>
        <v>94715.7464826409</v>
      </c>
      <c r="IR36" s="328" t="n">
        <f aca="false">IS36/$F36*IS$7</f>
        <v>94715.7464826409</v>
      </c>
      <c r="IS36" s="327" t="n">
        <v>92777.4</v>
      </c>
      <c r="IT36" s="325" t="n">
        <f aca="false">(IU36*$H36+IV36*$G36)</f>
        <v>94664.3334933304</v>
      </c>
      <c r="IU36" s="328" t="n">
        <f aca="false">IV36/$F36*IV$7</f>
        <v>94664.3334933304</v>
      </c>
      <c r="IV36" s="327" t="n">
        <v>92777.4</v>
      </c>
      <c r="IW36" s="325" t="n">
        <f aca="false">(IX36*$H36+IY36*$G36)</f>
        <v>93608.6979595645</v>
      </c>
      <c r="IX36" s="328" t="n">
        <f aca="false">IY36/$F36*IY$7</f>
        <v>93608.6979595645</v>
      </c>
      <c r="IY36" s="327" t="n">
        <v>92777.4</v>
      </c>
      <c r="JC36" s="325" t="n">
        <f aca="false">(JD36*$H36+JE36*$G36)</f>
        <v>94157.5483129836</v>
      </c>
      <c r="JD36" s="329" t="n">
        <f aca="false">JE36/$F36*JE$7</f>
        <v>94157.5483129836</v>
      </c>
      <c r="JE36" s="327" t="n">
        <v>92777.4</v>
      </c>
      <c r="JF36" s="325" t="n">
        <f aca="false">(JG36*$H36+JH36*$G36)</f>
        <v>93245.8023791713</v>
      </c>
      <c r="JG36" s="326" t="n">
        <f aca="false">JH36/$F36*JH$7</f>
        <v>93245.8023791713</v>
      </c>
      <c r="JH36" s="327" t="n">
        <v>92777.4</v>
      </c>
      <c r="JI36" s="325" t="n">
        <f aca="false">(JJ36*$H36+JK36*$G36)</f>
        <v>92538.0391497014</v>
      </c>
      <c r="JJ36" s="326" t="n">
        <f aca="false">JK36/$F36*JK$7</f>
        <v>92538.0391497014</v>
      </c>
      <c r="JK36" s="327" t="n">
        <v>92777.4</v>
      </c>
      <c r="JL36" s="325" t="n">
        <f aca="false">(JM36*$H36+JN36*$G36)</f>
        <v>93510.2120384826</v>
      </c>
      <c r="JM36" s="326" t="n">
        <f aca="false">JN36/$F36*JN$7</f>
        <v>93510.2120384826</v>
      </c>
      <c r="JN36" s="327" t="n">
        <v>92777.4</v>
      </c>
      <c r="JO36" s="325" t="n">
        <f aca="false">(JP36*$H36+JQ36*$G36)</f>
        <v>91697.0695388361</v>
      </c>
      <c r="JP36" s="326" t="n">
        <f aca="false">JQ36/$F36*JQ$7</f>
        <v>91697.0695388361</v>
      </c>
      <c r="JQ36" s="327" t="n">
        <v>92777.4</v>
      </c>
      <c r="JR36" s="325" t="n">
        <f aca="false">(JS36*$H36+JT36*$G36)</f>
        <v>90785.6574556037</v>
      </c>
      <c r="JS36" s="328" t="n">
        <f aca="false">JT36/$F36*JT$7</f>
        <v>90785.6574556037</v>
      </c>
      <c r="JT36" s="327" t="n">
        <v>92777.4</v>
      </c>
      <c r="JU36" s="325" t="n">
        <f aca="false">(JV36*$H36+JW36*$G36)</f>
        <v>90875.7971121871</v>
      </c>
      <c r="JV36" s="329" t="n">
        <f aca="false">JW36/$F36*JW$7</f>
        <v>90875.7971121871</v>
      </c>
      <c r="JW36" s="327" t="n">
        <v>92777.4</v>
      </c>
      <c r="JX36" s="325" t="n">
        <f aca="false">(JY36*$H36+JZ36*$G36)</f>
        <v>88956.1562775402</v>
      </c>
      <c r="JY36" s="329" t="n">
        <f aca="false">JZ36/$F36*JZ$7</f>
        <v>88956.1562775402</v>
      </c>
      <c r="JZ36" s="327" t="n">
        <v>92777.4</v>
      </c>
      <c r="KA36" s="325" t="n">
        <f aca="false">(KB36*$H36+KC36*$G36)</f>
        <v>89147.452659845</v>
      </c>
      <c r="KB36" s="329" t="n">
        <f aca="false">KC36/$F36*KC$7</f>
        <v>89147.452659845</v>
      </c>
      <c r="KC36" s="327" t="n">
        <v>92777.4</v>
      </c>
      <c r="KD36" s="325" t="n">
        <f aca="false">(KE36*$H36+KF36*$G36)</f>
        <v>87709.2243614695</v>
      </c>
      <c r="KE36" s="329" t="n">
        <f aca="false">KF36/$F36*KF$7</f>
        <v>87709.2243614695</v>
      </c>
      <c r="KF36" s="327" t="n">
        <v>92777.4</v>
      </c>
      <c r="KG36" s="325" t="n">
        <f aca="false">(KH36*$H36+KI36*$G36)</f>
        <v>89000.558404672</v>
      </c>
      <c r="KH36" s="329" t="n">
        <f aca="false">KI36/$F36*KI$7</f>
        <v>89000.558404672</v>
      </c>
      <c r="KI36" s="327" t="n">
        <v>92777.4</v>
      </c>
      <c r="KJ36" s="325" t="n">
        <f aca="false">(KK36*$H36+KL36*$G36)</f>
        <v>91089.7953339278</v>
      </c>
      <c r="KK36" s="329" t="n">
        <f aca="false">KL36/$F36*KL$7</f>
        <v>91089.7953339278</v>
      </c>
      <c r="KL36" s="327" t="n">
        <v>92777.4</v>
      </c>
      <c r="KO36" s="327"/>
      <c r="KP36" s="325" t="n">
        <f aca="false">(KQ36*$H36+KR36*$G36)</f>
        <v>94847.2836111367</v>
      </c>
      <c r="KQ36" s="329" t="n">
        <f aca="false">KR36/$F36*KR$7</f>
        <v>94847.2836111367</v>
      </c>
      <c r="KR36" s="327" t="n">
        <v>92777.4</v>
      </c>
      <c r="KS36" s="325" t="n">
        <f aca="false">(KT36*$H36+KU36*$G36)</f>
        <v>96775.6045608621</v>
      </c>
      <c r="KT36" s="329" t="n">
        <f aca="false">KU36/$F36*KU$7</f>
        <v>96775.6045608621</v>
      </c>
      <c r="KU36" s="327" t="n">
        <v>92777.4</v>
      </c>
      <c r="KV36" s="325" t="n">
        <f aca="false">(KW36*$H36+KX36*$G36)</f>
        <v>97667.653310458</v>
      </c>
      <c r="KW36" s="329" t="n">
        <f aca="false">KX36/$F36*KX$7</f>
        <v>97667.653310458</v>
      </c>
      <c r="KX36" s="327" t="n">
        <v>92777.4</v>
      </c>
      <c r="KY36" s="325" t="n">
        <f aca="false">(KZ36*$H36+LA36*$G36)</f>
        <v>97667.653310458</v>
      </c>
      <c r="KZ36" s="329" t="n">
        <f aca="false">LA36/$F36*LA$7</f>
        <v>97667.653310458</v>
      </c>
      <c r="LA36" s="327" t="n">
        <v>92777.4</v>
      </c>
      <c r="LB36" s="325" t="n">
        <f aca="false">(LC36*$H36+LD36*$G36)</f>
        <v>97667.653310458</v>
      </c>
      <c r="LC36" s="329" t="n">
        <f aca="false">LD36/$F36*LD$7</f>
        <v>97667.653310458</v>
      </c>
      <c r="LD36" s="327" t="n">
        <v>92777.4</v>
      </c>
      <c r="LE36" s="325" t="n">
        <f aca="false">(LF36*$H36+LG36*$G36)</f>
        <v>97667.653310458</v>
      </c>
      <c r="LF36" s="329" t="n">
        <f aca="false">LG36/$F36*LG$7</f>
        <v>97667.653310458</v>
      </c>
      <c r="LG36" s="327" t="n">
        <v>92777.4</v>
      </c>
      <c r="LH36" s="325" t="n">
        <f aca="false">(LI36*$H36+LJ36*$G36)</f>
        <v>122084.483175428</v>
      </c>
      <c r="LI36" s="329" t="n">
        <f aca="false">LJ36/$F36*LJ$7</f>
        <v>122084.483175428</v>
      </c>
      <c r="LJ36" s="327" t="n">
        <v>92777.4</v>
      </c>
      <c r="LM36" s="327" t="n">
        <v>92777.4</v>
      </c>
      <c r="LP36" s="327" t="n">
        <v>92777.4</v>
      </c>
      <c r="LS36" s="327" t="n">
        <v>92777.4</v>
      </c>
      <c r="LV36" s="327" t="n">
        <v>92777.4</v>
      </c>
      <c r="LY36" s="327" t="n">
        <v>92777.4</v>
      </c>
      <c r="ME36" s="327" t="n">
        <v>92777.4</v>
      </c>
      <c r="MH36" s="327" t="n">
        <v>92777.4</v>
      </c>
      <c r="MK36" s="327" t="n">
        <v>92777.4</v>
      </c>
      <c r="MN36" s="327" t="n">
        <v>92777.4</v>
      </c>
      <c r="MQ36" s="327" t="n">
        <v>92777.4</v>
      </c>
      <c r="MT36" s="327" t="n">
        <v>92777.4</v>
      </c>
      <c r="MW36" s="327" t="n">
        <v>92777.4</v>
      </c>
      <c r="MZ36" s="327" t="n">
        <v>92777.4</v>
      </c>
      <c r="NC36" s="327" t="n">
        <v>92777.4</v>
      </c>
      <c r="NF36" s="327" t="n">
        <v>92777.4</v>
      </c>
      <c r="NI36" s="327" t="n">
        <v>92777.4</v>
      </c>
      <c r="NL36" s="327" t="n">
        <v>92777.4</v>
      </c>
      <c r="NR36" s="327" t="n">
        <v>92777.4</v>
      </c>
      <c r="NU36" s="327" t="n">
        <v>92777.4</v>
      </c>
      <c r="NX36" s="327" t="n">
        <v>92777.4</v>
      </c>
      <c r="OA36" s="327" t="n">
        <v>92777.4</v>
      </c>
      <c r="OD36" s="327" t="n">
        <v>92777.4</v>
      </c>
      <c r="OG36" s="327"/>
      <c r="OJ36" s="327"/>
    </row>
    <row r="37" s="329" customFormat="true" ht="15" hidden="false" customHeight="false" outlineLevel="0" collapsed="false">
      <c r="A37" s="283" t="n">
        <v>4.17</v>
      </c>
      <c r="B37" s="333"/>
      <c r="C37" s="320" t="n">
        <v>641072.88</v>
      </c>
      <c r="D37" s="333"/>
      <c r="E37" s="334"/>
      <c r="F37" s="337" t="n">
        <v>27.790097</v>
      </c>
      <c r="G37" s="323" t="n">
        <v>0</v>
      </c>
      <c r="H37" s="324" t="n">
        <f aca="false">1-G37</f>
        <v>1</v>
      </c>
      <c r="I37" s="332" t="n">
        <f aca="false">J37/F37*25.74092</f>
        <v>125058.085827682</v>
      </c>
      <c r="J37" s="319" t="n">
        <v>135013.68</v>
      </c>
      <c r="K37" s="289"/>
      <c r="M37" s="327"/>
      <c r="N37" s="289"/>
      <c r="P37" s="327"/>
      <c r="Q37" s="289"/>
      <c r="S37" s="327"/>
      <c r="V37" s="327"/>
      <c r="W37" s="289"/>
      <c r="Y37" s="327"/>
      <c r="AC37" s="289"/>
      <c r="AE37" s="327"/>
      <c r="AF37" s="289"/>
      <c r="AH37" s="327"/>
      <c r="AI37" s="289"/>
      <c r="AK37" s="327"/>
      <c r="AL37" s="289"/>
      <c r="AN37" s="327"/>
      <c r="AO37" s="289"/>
      <c r="AQ37" s="327"/>
      <c r="AR37" s="289"/>
      <c r="AT37" s="327"/>
      <c r="AU37" s="289"/>
      <c r="AW37" s="327"/>
      <c r="AX37" s="289"/>
      <c r="AZ37" s="327"/>
      <c r="BA37" s="289"/>
      <c r="BC37" s="327"/>
      <c r="BD37" s="289"/>
      <c r="BF37" s="327"/>
      <c r="BG37" s="289"/>
      <c r="BI37" s="327"/>
      <c r="BJ37" s="289"/>
      <c r="BL37" s="327"/>
      <c r="BP37" s="289"/>
      <c r="BR37" s="327"/>
      <c r="BS37" s="289"/>
      <c r="BU37" s="327"/>
      <c r="BV37" s="289"/>
      <c r="BX37" s="327"/>
      <c r="BY37" s="289"/>
      <c r="CA37" s="327"/>
      <c r="CB37" s="289"/>
      <c r="CD37" s="327"/>
      <c r="CE37" s="289"/>
      <c r="CG37" s="327"/>
      <c r="CH37" s="289"/>
      <c r="CJ37" s="327"/>
      <c r="CK37" s="289"/>
      <c r="CM37" s="327"/>
      <c r="CN37" s="289"/>
      <c r="CP37" s="327"/>
      <c r="CQ37" s="289"/>
      <c r="CS37" s="327"/>
      <c r="CV37" s="327"/>
      <c r="CW37" s="289"/>
      <c r="CY37" s="327"/>
      <c r="DC37" s="335"/>
      <c r="DE37" s="327"/>
      <c r="DH37" s="327"/>
      <c r="DK37" s="327"/>
      <c r="DL37" s="289"/>
      <c r="DN37" s="327"/>
      <c r="DQ37" s="327"/>
      <c r="DT37" s="327"/>
      <c r="ED37" s="289"/>
      <c r="EJ37" s="289"/>
      <c r="FN37" s="289"/>
      <c r="FQ37" s="289"/>
      <c r="FT37" s="289"/>
      <c r="FW37" s="289"/>
      <c r="GC37" s="289"/>
      <c r="GK37" s="327"/>
      <c r="GN37" s="327"/>
      <c r="GO37" s="328"/>
      <c r="GP37" s="328"/>
      <c r="GQ37" s="327"/>
      <c r="GR37" s="328" t="n">
        <f aca="false">(GS37*$H37+GT37*$G37)</f>
        <v>0</v>
      </c>
      <c r="GS37" s="328" t="n">
        <f aca="false">GT37/$F37*GT$7</f>
        <v>0</v>
      </c>
      <c r="GT37" s="327"/>
      <c r="GU37" s="328"/>
      <c r="GV37" s="328" t="n">
        <f aca="false">GW37/$F37*GW$7</f>
        <v>0</v>
      </c>
      <c r="GW37" s="327"/>
      <c r="GX37" s="325" t="n">
        <f aca="false">(GY37*$H37+GZ37*$G37)</f>
        <v>7640.84324984112</v>
      </c>
      <c r="GY37" s="328" t="n">
        <f aca="false">GZ37/$F37*GZ$7</f>
        <v>7640.84324984112</v>
      </c>
      <c r="GZ37" s="338" t="n">
        <v>8434.32</v>
      </c>
      <c r="HA37" s="325" t="n">
        <f aca="false">(HB37*$H37+HC37*$G37)</f>
        <v>7487.3230760929</v>
      </c>
      <c r="HB37" s="328" t="n">
        <f aca="false">HC37/$F37*HC$7</f>
        <v>7487.3230760929</v>
      </c>
      <c r="HC37" s="338" t="n">
        <v>8434.32</v>
      </c>
      <c r="HD37" s="325" t="n">
        <f aca="false">(HE37*$H37+HF37*$G37)</f>
        <v>7598.16707500949</v>
      </c>
      <c r="HE37" s="328" t="n">
        <f aca="false">HF37/$F37*HF$7</f>
        <v>7598.16707500949</v>
      </c>
      <c r="HF37" s="338" t="n">
        <v>8434.32</v>
      </c>
      <c r="HG37" s="325" t="n">
        <f aca="false">(HH37*$H37+HI37*$G37)</f>
        <v>7345.91441004902</v>
      </c>
      <c r="HH37" s="328" t="n">
        <f aca="false">HI37/$F37*HI$7</f>
        <v>7345.91441004902</v>
      </c>
      <c r="HI37" s="338" t="n">
        <v>8434.32</v>
      </c>
      <c r="HJ37" s="325" t="n">
        <f aca="false">(HK37*$H37+HL37*$G37)</f>
        <v>7105.8931356562</v>
      </c>
      <c r="HK37" s="328" t="n">
        <f aca="false">HL37/$F37*HL$7</f>
        <v>7105.8931356562</v>
      </c>
      <c r="HL37" s="338" t="n">
        <v>8434.32</v>
      </c>
      <c r="HP37" s="325" t="n">
        <f aca="false">(HQ37*$H37+HR37*$G37)</f>
        <v>7360.71675690805</v>
      </c>
      <c r="HQ37" s="328" t="n">
        <f aca="false">HR37/$F37*HR$7</f>
        <v>7360.71675690805</v>
      </c>
      <c r="HR37" s="338" t="n">
        <v>8434.32</v>
      </c>
      <c r="HS37" s="325" t="n">
        <f aca="false">(HT37*$H37+HU37*$G37)</f>
        <v>7418.50333203227</v>
      </c>
      <c r="HT37" s="328" t="n">
        <f aca="false">HU37/$F37*HU$7</f>
        <v>7418.50333203227</v>
      </c>
      <c r="HU37" s="338" t="n">
        <v>8434.32</v>
      </c>
      <c r="HV37" s="325" t="n">
        <f aca="false">(HW37*$H37+HX37*$G37)</f>
        <v>8438.08432190791</v>
      </c>
      <c r="HW37" s="328" t="n">
        <f aca="false">HX37/$F37*HX$7</f>
        <v>8438.08432190791</v>
      </c>
      <c r="HX37" s="338" t="n">
        <v>8434.32</v>
      </c>
      <c r="HY37" s="325" t="n">
        <f aca="false">(HZ37*$H37+IA37*$G37)</f>
        <v>8255.89271976992</v>
      </c>
      <c r="HZ37" s="328" t="n">
        <f aca="false">IA37/$F37*IA$7</f>
        <v>8255.89271976992</v>
      </c>
      <c r="IA37" s="338" t="n">
        <v>8434.32</v>
      </c>
      <c r="IB37" s="325" t="n">
        <f aca="false">(IC37*$H37+ID37*$G37)</f>
        <v>8064.32293921104</v>
      </c>
      <c r="IC37" s="328" t="n">
        <f aca="false">ID37/$F37*ID$7</f>
        <v>8064.32293921104</v>
      </c>
      <c r="ID37" s="338" t="n">
        <v>8434.32</v>
      </c>
      <c r="IE37" s="325" t="n">
        <f aca="false">(IF37*$H37+IG37*$G37)</f>
        <v>8122.68616608283</v>
      </c>
      <c r="IF37" s="328" t="n">
        <f aca="false">IG37/$F37*IG$7</f>
        <v>8122.68616608283</v>
      </c>
      <c r="IG37" s="338" t="n">
        <v>8434.32</v>
      </c>
      <c r="IH37" s="325" t="n">
        <f aca="false">(II37*$H37+IJ37*$G37)</f>
        <v>8376.95923666621</v>
      </c>
      <c r="II37" s="328" t="n">
        <f aca="false">IJ37/$F37*IJ$7</f>
        <v>8376.95923666621</v>
      </c>
      <c r="IJ37" s="338" t="n">
        <v>8434.32</v>
      </c>
      <c r="IK37" s="325" t="n">
        <f aca="false">(IL37*$H37+IM37*$G37)</f>
        <v>8290.43112443976</v>
      </c>
      <c r="IL37" s="328" t="n">
        <f aca="false">IM37/$F37*IM$7</f>
        <v>8290.43112443976</v>
      </c>
      <c r="IM37" s="338" t="n">
        <v>8434.32</v>
      </c>
      <c r="IN37" s="325" t="n">
        <f aca="false">(IO37*$H37+IP37*$G37)</f>
        <v>8559.39363954001</v>
      </c>
      <c r="IO37" s="328" t="n">
        <f aca="false">IP37/$F37*IP$7</f>
        <v>8559.39363954001</v>
      </c>
      <c r="IP37" s="338" t="n">
        <v>8434.32</v>
      </c>
      <c r="IQ37" s="325" t="n">
        <f aca="false">(IR37*$H37+IS37*$G37)</f>
        <v>8610.53354452127</v>
      </c>
      <c r="IR37" s="328" t="n">
        <f aca="false">IS37/$F37*IS$7</f>
        <v>8610.53354452127</v>
      </c>
      <c r="IS37" s="338" t="n">
        <v>8434.32</v>
      </c>
      <c r="IT37" s="325" t="n">
        <f aca="false">(IU37*$H37+IV37*$G37)</f>
        <v>8605.85963035681</v>
      </c>
      <c r="IU37" s="328" t="n">
        <f aca="false">IV37/$F37*IV$7</f>
        <v>8605.85963035681</v>
      </c>
      <c r="IV37" s="338" t="n">
        <v>8434.32</v>
      </c>
      <c r="IW37" s="325" t="n">
        <f aca="false">(IX37*$H37+IY37*$G37)</f>
        <v>8509.89263952551</v>
      </c>
      <c r="IX37" s="328" t="n">
        <f aca="false">IY37/$F37*IY$7</f>
        <v>8509.89263952551</v>
      </c>
      <c r="IY37" s="338" t="n">
        <v>8434.32</v>
      </c>
      <c r="JC37" s="325" t="n">
        <f aca="false">(JD37*$H37+JE37*$G37)</f>
        <v>8559.78819073571</v>
      </c>
      <c r="JD37" s="329" t="n">
        <f aca="false">JE37/$F37*JE$7</f>
        <v>8559.78819073571</v>
      </c>
      <c r="JE37" s="338" t="n">
        <v>8434.32</v>
      </c>
      <c r="JF37" s="325" t="n">
        <f aca="false">(JG37*$H37+JH37*$G37)</f>
        <v>8476.9020895465</v>
      </c>
      <c r="JG37" s="326" t="n">
        <f aca="false">JH37/$F37*JH$7</f>
        <v>8476.9020895465</v>
      </c>
      <c r="JH37" s="338" t="n">
        <v>8434.32</v>
      </c>
      <c r="JI37" s="325" t="n">
        <f aca="false">(JJ37*$H37+JK37*$G37)</f>
        <v>8412.55989455524</v>
      </c>
      <c r="JJ37" s="326" t="n">
        <f aca="false">JK37/$F37*JK$7</f>
        <v>8412.55989455524</v>
      </c>
      <c r="JK37" s="338" t="n">
        <v>8434.32</v>
      </c>
      <c r="JL37" s="325" t="n">
        <f aca="false">(JM37*$H37+JN37*$G37)</f>
        <v>8500.93936239229</v>
      </c>
      <c r="JM37" s="326" t="n">
        <f aca="false">JN37/$F37*JN$7</f>
        <v>8500.93936239229</v>
      </c>
      <c r="JN37" s="338" t="n">
        <v>8434.32</v>
      </c>
      <c r="JO37" s="325" t="n">
        <f aca="false">(JP37*$H37+JQ37*$G37)</f>
        <v>8336.10801286516</v>
      </c>
      <c r="JP37" s="326" t="n">
        <f aca="false">JQ37/$F37*JQ$7</f>
        <v>8336.10801286516</v>
      </c>
      <c r="JQ37" s="338" t="n">
        <v>8434.32</v>
      </c>
      <c r="JR37" s="325" t="n">
        <f aca="false">(JS37*$H37+JT37*$G37)</f>
        <v>8253.25226176792</v>
      </c>
      <c r="JS37" s="328" t="n">
        <f aca="false">JT37/$F37*JT$7</f>
        <v>8253.25226176792</v>
      </c>
      <c r="JT37" s="338" t="n">
        <v>8434.32</v>
      </c>
      <c r="JU37" s="325" t="n">
        <f aca="false">(JV37*$H37+JW37*$G37)</f>
        <v>8261.44678660172</v>
      </c>
      <c r="JV37" s="329" t="n">
        <f aca="false">JW37/$F37*JW$7</f>
        <v>8261.44678660172</v>
      </c>
      <c r="JW37" s="338" t="n">
        <v>8434.32</v>
      </c>
      <c r="JX37" s="325" t="n">
        <f aca="false">(JY37*$H37+JZ37*$G37)</f>
        <v>8086.93375773391</v>
      </c>
      <c r="JY37" s="329" t="n">
        <f aca="false">JZ37/$F37*JZ$7</f>
        <v>8086.93375773391</v>
      </c>
      <c r="JZ37" s="338" t="n">
        <v>8434.32</v>
      </c>
      <c r="KA37" s="325" t="n">
        <f aca="false">(KB37*$H37+KC37*$G37)</f>
        <v>8104.32436043674</v>
      </c>
      <c r="KB37" s="329" t="n">
        <f aca="false">KC37/$F37*KC$7</f>
        <v>8104.32436043674</v>
      </c>
      <c r="KC37" s="338" t="n">
        <v>8434.32</v>
      </c>
      <c r="KD37" s="325" t="n">
        <f aca="false">(KE37*$H37+KF37*$G37)</f>
        <v>7973.57616419979</v>
      </c>
      <c r="KE37" s="329" t="n">
        <f aca="false">KF37/$F37*KF$7</f>
        <v>7973.57616419979</v>
      </c>
      <c r="KF37" s="338" t="n">
        <v>8434.32</v>
      </c>
      <c r="KG37" s="325" t="n">
        <f aca="false">(KH37*$H37+KI37*$G37)</f>
        <v>8090.97031996686</v>
      </c>
      <c r="KH37" s="329" t="n">
        <f aca="false">KI37/$F37*KI$7</f>
        <v>8090.97031996686</v>
      </c>
      <c r="KI37" s="338" t="n">
        <v>8434.32</v>
      </c>
      <c r="KJ37" s="325" t="n">
        <f aca="false">(KK37*$H37+KL37*$G37)</f>
        <v>8280.90119555898</v>
      </c>
      <c r="KK37" s="329" t="n">
        <f aca="false">KL37/$F37*KL$7</f>
        <v>8280.90119555898</v>
      </c>
      <c r="KL37" s="338" t="n">
        <v>8434.32</v>
      </c>
      <c r="KO37" s="338"/>
      <c r="KP37" s="325" t="n">
        <f aca="false">(KQ37*$H37+KR37*$G37)</f>
        <v>8622.49148076021</v>
      </c>
      <c r="KQ37" s="329" t="n">
        <f aca="false">KR37/$F37*KR$7</f>
        <v>8622.49148076021</v>
      </c>
      <c r="KR37" s="338" t="n">
        <v>8434.32</v>
      </c>
      <c r="KS37" s="325" t="n">
        <f aca="false">(KT37*$H37+KU37*$G37)</f>
        <v>8797.79361201942</v>
      </c>
      <c r="KT37" s="329" t="n">
        <f aca="false">KU37/$F37*KU$7</f>
        <v>8797.79361201942</v>
      </c>
      <c r="KU37" s="338" t="n">
        <v>8434.32</v>
      </c>
      <c r="KV37" s="325" t="n">
        <f aca="false">(KW37*$H37+KX37*$G37)</f>
        <v>8878.88905778199</v>
      </c>
      <c r="KW37" s="329" t="n">
        <f aca="false">KX37/$F37*KX$7</f>
        <v>8878.88905778199</v>
      </c>
      <c r="KX37" s="338" t="n">
        <v>8434.32</v>
      </c>
      <c r="KY37" s="325" t="n">
        <f aca="false">(KZ37*$H37+LA37*$G37)</f>
        <v>8878.88905778199</v>
      </c>
      <c r="KZ37" s="329" t="n">
        <f aca="false">LA37/$F37*LA$7</f>
        <v>8878.88905778199</v>
      </c>
      <c r="LA37" s="338" t="n">
        <v>8434.32</v>
      </c>
      <c r="LB37" s="325" t="n">
        <f aca="false">(LC37*$H37+LD37*$G37)</f>
        <v>8878.88905778199</v>
      </c>
      <c r="LC37" s="329" t="n">
        <f aca="false">LD37/$F37*LD$7</f>
        <v>8878.88905778199</v>
      </c>
      <c r="LD37" s="338" t="n">
        <v>8434.32</v>
      </c>
      <c r="LE37" s="325" t="n">
        <f aca="false">(LF37*$H37+LG37*$G37)</f>
        <v>8878.88905778199</v>
      </c>
      <c r="LF37" s="329" t="n">
        <f aca="false">LG37/$F37*LG$7</f>
        <v>8878.88905778199</v>
      </c>
      <c r="LG37" s="338" t="n">
        <v>8434.32</v>
      </c>
      <c r="LH37" s="325" t="n">
        <f aca="false">(LI37*$H37+LJ37*$G37)</f>
        <v>11098.6037347045</v>
      </c>
      <c r="LI37" s="329" t="n">
        <f aca="false">LJ37/$F37*LJ$7</f>
        <v>11098.6037347045</v>
      </c>
      <c r="LJ37" s="338" t="n">
        <v>8434.32</v>
      </c>
      <c r="LM37" s="338" t="n">
        <v>8434.32</v>
      </c>
      <c r="LP37" s="338" t="n">
        <v>8434.32</v>
      </c>
      <c r="LS37" s="338" t="n">
        <v>8434.32</v>
      </c>
      <c r="LV37" s="338" t="n">
        <v>8434.32</v>
      </c>
      <c r="LY37" s="338" t="n">
        <v>8434.32</v>
      </c>
      <c r="ME37" s="338" t="n">
        <v>8434.32</v>
      </c>
      <c r="MH37" s="338" t="n">
        <v>8434.32</v>
      </c>
      <c r="MK37" s="338" t="n">
        <v>8434.32</v>
      </c>
      <c r="MN37" s="338" t="n">
        <v>8434.32</v>
      </c>
      <c r="MQ37" s="338" t="n">
        <v>8434.32</v>
      </c>
      <c r="MT37" s="338" t="n">
        <v>8434.32</v>
      </c>
      <c r="MW37" s="338" t="n">
        <v>8434.32</v>
      </c>
      <c r="MZ37" s="338" t="n">
        <v>8434.32</v>
      </c>
      <c r="NC37" s="338" t="n">
        <v>8434.32</v>
      </c>
      <c r="NF37" s="338" t="n">
        <v>8434.32</v>
      </c>
      <c r="NI37" s="338" t="n">
        <v>8434.32</v>
      </c>
      <c r="NL37" s="338" t="n">
        <v>8434.32</v>
      </c>
      <c r="NR37" s="338" t="n">
        <v>8434.32</v>
      </c>
      <c r="NU37" s="338" t="n">
        <v>8434.32</v>
      </c>
      <c r="NX37" s="338" t="n">
        <v>8434.32</v>
      </c>
      <c r="OA37" s="338" t="n">
        <v>8434.32</v>
      </c>
      <c r="OD37" s="338" t="n">
        <v>8434.32</v>
      </c>
      <c r="OG37" s="338" t="n">
        <v>8434.32</v>
      </c>
      <c r="OJ37" s="338" t="n">
        <v>8434.32</v>
      </c>
    </row>
    <row r="38" s="329" customFormat="true" ht="15" hidden="false" customHeight="false" outlineLevel="0" collapsed="false">
      <c r="A38" s="283" t="n">
        <v>4.18</v>
      </c>
      <c r="B38" s="333"/>
      <c r="C38" s="320" t="n">
        <v>3335968.56</v>
      </c>
      <c r="D38" s="333"/>
      <c r="E38" s="334"/>
      <c r="F38" s="337" t="n">
        <v>27.790097</v>
      </c>
      <c r="G38" s="323" t="n">
        <v>0</v>
      </c>
      <c r="H38" s="324" t="n">
        <f aca="false">1-G38</f>
        <v>1</v>
      </c>
      <c r="I38" s="332" t="n">
        <f aca="false">J38/F38*26.304698</f>
        <v>685294.301893501</v>
      </c>
      <c r="J38" s="319" t="n">
        <v>723992.16</v>
      </c>
      <c r="K38" s="289"/>
      <c r="M38" s="327"/>
      <c r="N38" s="289"/>
      <c r="P38" s="327"/>
      <c r="Q38" s="289"/>
      <c r="S38" s="327"/>
      <c r="V38" s="327"/>
      <c r="W38" s="289"/>
      <c r="Y38" s="327"/>
      <c r="AC38" s="289"/>
      <c r="AE38" s="327"/>
      <c r="AF38" s="289"/>
      <c r="AH38" s="327"/>
      <c r="AI38" s="289"/>
      <c r="AK38" s="327"/>
      <c r="AL38" s="289"/>
      <c r="AN38" s="327"/>
      <c r="AO38" s="289"/>
      <c r="AQ38" s="327"/>
      <c r="AR38" s="289"/>
      <c r="AT38" s="327"/>
      <c r="AU38" s="289"/>
      <c r="AW38" s="327"/>
      <c r="AX38" s="289"/>
      <c r="AZ38" s="327"/>
      <c r="BA38" s="289"/>
      <c r="BC38" s="327"/>
      <c r="BD38" s="289"/>
      <c r="BF38" s="327"/>
      <c r="BG38" s="289"/>
      <c r="BI38" s="327"/>
      <c r="BJ38" s="289"/>
      <c r="BL38" s="327"/>
      <c r="BP38" s="289"/>
      <c r="BR38" s="327"/>
      <c r="BS38" s="289"/>
      <c r="BU38" s="327"/>
      <c r="BV38" s="289"/>
      <c r="BX38" s="327"/>
      <c r="BY38" s="289"/>
      <c r="CA38" s="327"/>
      <c r="CB38" s="289"/>
      <c r="CD38" s="327"/>
      <c r="CE38" s="289"/>
      <c r="CG38" s="327"/>
      <c r="CH38" s="289"/>
      <c r="CJ38" s="327"/>
      <c r="CK38" s="289"/>
      <c r="CM38" s="327"/>
      <c r="CN38" s="289"/>
      <c r="CP38" s="327"/>
      <c r="CQ38" s="289"/>
      <c r="CS38" s="327"/>
      <c r="CV38" s="327"/>
      <c r="CW38" s="289"/>
      <c r="CY38" s="327"/>
      <c r="DC38" s="335"/>
      <c r="DE38" s="327"/>
      <c r="DH38" s="327"/>
      <c r="DK38" s="327"/>
      <c r="DL38" s="289"/>
      <c r="DN38" s="327"/>
      <c r="DQ38" s="327"/>
      <c r="DT38" s="327"/>
      <c r="ED38" s="289"/>
      <c r="EJ38" s="289"/>
      <c r="FN38" s="289"/>
      <c r="FQ38" s="289"/>
      <c r="FT38" s="289"/>
      <c r="FW38" s="289"/>
      <c r="GC38" s="289"/>
      <c r="GK38" s="327"/>
      <c r="GN38" s="327"/>
      <c r="GO38" s="328"/>
      <c r="GP38" s="328"/>
      <c r="GQ38" s="327"/>
      <c r="GR38" s="325" t="n">
        <f aca="false">(GS38*$H38+GT38*$G38)</f>
        <v>41028.2836242328</v>
      </c>
      <c r="GS38" s="328" t="n">
        <f aca="false">GT38/$F38*GT$7</f>
        <v>41028.2836242328</v>
      </c>
      <c r="GT38" s="338" t="n">
        <v>43532.94</v>
      </c>
      <c r="GU38" s="325" t="n">
        <f aca="false">(GV38*$H38+GW38*$G38)</f>
        <v>40439.5085401933</v>
      </c>
      <c r="GV38" s="328" t="n">
        <f aca="false">GW38/$F38*GW$7</f>
        <v>40439.5085401933</v>
      </c>
      <c r="GW38" s="338" t="n">
        <v>43532.94</v>
      </c>
      <c r="GX38" s="325" t="n">
        <f aca="false">(GY38*$H38+GZ38*$G38)</f>
        <v>39437.4852678981</v>
      </c>
      <c r="GY38" s="328" t="n">
        <f aca="false">GZ38/$F38*GZ$7</f>
        <v>39437.4852678981</v>
      </c>
      <c r="GZ38" s="338" t="n">
        <v>43532.94</v>
      </c>
      <c r="HA38" s="325" t="n">
        <f aca="false">(HB38*$H38+HC38*$G38)</f>
        <v>38645.1055013525</v>
      </c>
      <c r="HB38" s="328" t="n">
        <f aca="false">HC38/$F38*HC$7</f>
        <v>38645.1055013525</v>
      </c>
      <c r="HC38" s="338" t="n">
        <v>43532.94</v>
      </c>
      <c r="HD38" s="325" t="n">
        <f aca="false">(HE38*$H38+HF38*$G38)</f>
        <v>39217.2162529242</v>
      </c>
      <c r="HE38" s="328" t="n">
        <f aca="false">HF38/$F38*HF$7</f>
        <v>39217.2162529242</v>
      </c>
      <c r="HF38" s="338" t="n">
        <v>43532.94</v>
      </c>
      <c r="HG38" s="325" t="n">
        <f aca="false">(HH38*$H38+HI38*$G38)</f>
        <v>37915.2381291911</v>
      </c>
      <c r="HH38" s="328" t="n">
        <f aca="false">HI38/$F38*HI$7</f>
        <v>37915.2381291911</v>
      </c>
      <c r="HI38" s="338" t="n">
        <v>43532.94</v>
      </c>
      <c r="HJ38" s="325" t="n">
        <f aca="false">(HK38*$H38+HL38*$G38)</f>
        <v>36676.3911638322</v>
      </c>
      <c r="HK38" s="328" t="n">
        <f aca="false">HL38/$F38*HL$7</f>
        <v>36676.3911638322</v>
      </c>
      <c r="HL38" s="338" t="n">
        <v>43532.94</v>
      </c>
      <c r="HP38" s="325" t="n">
        <f aca="false">(HQ38*$H38+HR38*$G38)</f>
        <v>37991.6390337896</v>
      </c>
      <c r="HQ38" s="328" t="n">
        <f aca="false">HR38/$F38*HR$7</f>
        <v>37991.6390337896</v>
      </c>
      <c r="HR38" s="338" t="n">
        <v>43532.94</v>
      </c>
      <c r="HS38" s="325" t="n">
        <f aca="false">(HT38*$H38+HU38*$G38)</f>
        <v>38289.8989418425</v>
      </c>
      <c r="HT38" s="328" t="n">
        <f aca="false">HU38/$F38*HU$7</f>
        <v>38289.8989418425</v>
      </c>
      <c r="HU38" s="338" t="n">
        <v>43532.94</v>
      </c>
      <c r="HV38" s="325" t="n">
        <f aca="false">(HW38*$H38+HX38*$G38)</f>
        <v>43552.3691892835</v>
      </c>
      <c r="HW38" s="328" t="n">
        <f aca="false">HX38/$F38*HX$7</f>
        <v>43552.3691892835</v>
      </c>
      <c r="HX38" s="338" t="n">
        <v>43532.94</v>
      </c>
      <c r="HY38" s="325" t="n">
        <f aca="false">(HZ38*$H38+IA38*$G38)</f>
        <v>42612.0045737156</v>
      </c>
      <c r="HZ38" s="328" t="n">
        <f aca="false">IA38/$F38*IA$7</f>
        <v>42612.0045737156</v>
      </c>
      <c r="IA38" s="338" t="n">
        <v>43532.94</v>
      </c>
      <c r="IB38" s="325" t="n">
        <f aca="false">(IC38*$H38+ID38*$G38)</f>
        <v>41623.2353827337</v>
      </c>
      <c r="IC38" s="328" t="n">
        <f aca="false">ID38/$F38*ID$7</f>
        <v>41623.2353827337</v>
      </c>
      <c r="ID38" s="338" t="n">
        <v>43532.94</v>
      </c>
      <c r="IE38" s="325" t="n">
        <f aca="false">(IF38*$H38+IG38*$G38)</f>
        <v>41924.4716239026</v>
      </c>
      <c r="IF38" s="328" t="n">
        <f aca="false">IG38/$F38*IG$7</f>
        <v>41924.4716239026</v>
      </c>
      <c r="IG38" s="338" t="n">
        <v>43532.94</v>
      </c>
      <c r="IH38" s="325" t="n">
        <f aca="false">(II38*$H38+IJ38*$G38)</f>
        <v>43236.8778789797</v>
      </c>
      <c r="II38" s="328" t="n">
        <f aca="false">IJ38/$F38*IJ$7</f>
        <v>43236.8778789797</v>
      </c>
      <c r="IJ38" s="338" t="n">
        <v>43532.94</v>
      </c>
      <c r="IK38" s="325" t="n">
        <f aca="false">(IL38*$H38+IM38*$G38)</f>
        <v>42790.2712624573</v>
      </c>
      <c r="IL38" s="328" t="n">
        <f aca="false">IM38/$F38*IM$7</f>
        <v>42790.2712624573</v>
      </c>
      <c r="IM38" s="338" t="n">
        <v>43532.94</v>
      </c>
      <c r="IN38" s="325" t="n">
        <f aca="false">(IO38*$H38+IP38*$G38)</f>
        <v>44178.4956874386</v>
      </c>
      <c r="IO38" s="328" t="n">
        <f aca="false">IP38/$F38*IP$7</f>
        <v>44178.4956874386</v>
      </c>
      <c r="IP38" s="338" t="n">
        <v>43532.94</v>
      </c>
      <c r="IQ38" s="325" t="n">
        <f aca="false">(IR38*$H38+IS38*$G38)</f>
        <v>44442.4494401009</v>
      </c>
      <c r="IR38" s="328" t="n">
        <f aca="false">IS38/$F38*IS$7</f>
        <v>44442.4494401009</v>
      </c>
      <c r="IS38" s="338" t="n">
        <v>43532.94</v>
      </c>
      <c r="IT38" s="325" t="n">
        <f aca="false">(IU38*$H38+IV38*$G38)</f>
        <v>44418.3254769496</v>
      </c>
      <c r="IU38" s="328" t="n">
        <f aca="false">IV38/$F38*IV$7</f>
        <v>44418.3254769496</v>
      </c>
      <c r="IV38" s="338" t="n">
        <v>43532.94</v>
      </c>
      <c r="IW38" s="325" t="n">
        <f aca="false">(IX38*$H38+IY38*$G38)</f>
        <v>43923.0009867904</v>
      </c>
      <c r="IX38" s="328" t="n">
        <f aca="false">IY38/$F38*IY$7</f>
        <v>43923.0009867904</v>
      </c>
      <c r="IY38" s="338" t="n">
        <v>43532.94</v>
      </c>
      <c r="JC38" s="325" t="n">
        <f aca="false">(JD38*$H38+JE38*$G38)</f>
        <v>44180.5321258864</v>
      </c>
      <c r="JD38" s="329" t="n">
        <f aca="false">JE38/$F38*JE$7</f>
        <v>44180.5321258864</v>
      </c>
      <c r="JE38" s="338" t="n">
        <v>43532.94</v>
      </c>
      <c r="JF38" s="325" t="n">
        <f aca="false">(JG38*$H38+JH38*$G38)</f>
        <v>43752.7234027287</v>
      </c>
      <c r="JG38" s="326" t="n">
        <f aca="false">JH38/$F38*JH$7</f>
        <v>43752.7234027287</v>
      </c>
      <c r="JH38" s="338" t="n">
        <v>43532.94</v>
      </c>
      <c r="JI38" s="325" t="n">
        <f aca="false">(JJ38*$H38+JK38*$G38)</f>
        <v>43420.6272866194</v>
      </c>
      <c r="JJ38" s="326" t="n">
        <f aca="false">JK38/$F38*JK$7</f>
        <v>43420.6272866194</v>
      </c>
      <c r="JK38" s="338" t="n">
        <v>43532.94</v>
      </c>
      <c r="JL38" s="325" t="n">
        <f aca="false">(JM38*$H38+JN38*$G38)</f>
        <v>43876.7894989355</v>
      </c>
      <c r="JM38" s="326" t="n">
        <f aca="false">JN38/$F38*JN$7</f>
        <v>43876.7894989355</v>
      </c>
      <c r="JN38" s="338" t="n">
        <v>43532.94</v>
      </c>
      <c r="JO38" s="325" t="n">
        <f aca="false">(JP38*$H38+JQ38*$G38)</f>
        <v>43026.0281750726</v>
      </c>
      <c r="JP38" s="326" t="n">
        <f aca="false">JQ38/$F38*JQ$7</f>
        <v>43026.0281750726</v>
      </c>
      <c r="JQ38" s="338" t="n">
        <v>43532.94</v>
      </c>
      <c r="JR38" s="325" t="n">
        <f aca="false">(JS38*$H38+JT38*$G38)</f>
        <v>42598.3761010262</v>
      </c>
      <c r="JS38" s="328" t="n">
        <f aca="false">JT38/$F38*JT$7</f>
        <v>42598.3761010262</v>
      </c>
      <c r="JT38" s="338" t="n">
        <v>43532.94</v>
      </c>
      <c r="JU38" s="325" t="n">
        <f aca="false">(JV38*$H38+JW38*$G38)</f>
        <v>42640.6713610967</v>
      </c>
      <c r="JV38" s="329" t="n">
        <f aca="false">JW38/$F38*JW$7</f>
        <v>42640.6713610967</v>
      </c>
      <c r="JW38" s="338" t="n">
        <v>43532.94</v>
      </c>
      <c r="JX38" s="325" t="n">
        <f aca="false">(JY38*$H38+JZ38*$G38)</f>
        <v>41739.938970706</v>
      </c>
      <c r="JY38" s="329" t="n">
        <f aca="false">JZ38/$F38*JZ$7</f>
        <v>41739.938970706</v>
      </c>
      <c r="JZ38" s="338" t="n">
        <v>43532.94</v>
      </c>
      <c r="KA38" s="325" t="n">
        <f aca="false">(KB38*$H38+KC38*$G38)</f>
        <v>41829.6989115223</v>
      </c>
      <c r="KB38" s="329" t="n">
        <f aca="false">KC38/$F38*KC$7</f>
        <v>41829.6989115223</v>
      </c>
      <c r="KC38" s="338" t="n">
        <v>43532.94</v>
      </c>
      <c r="KD38" s="325" t="n">
        <f aca="false">(KE38*$H38+KF38*$G38)</f>
        <v>41154.8545397305</v>
      </c>
      <c r="KE38" s="329" t="n">
        <f aca="false">KF38/$F38*KF$7</f>
        <v>41154.8545397305</v>
      </c>
      <c r="KF38" s="338" t="n">
        <v>43532.94</v>
      </c>
      <c r="KG38" s="325" t="n">
        <f aca="false">(KH38*$H38+KI38*$G38)</f>
        <v>41760.7733025185</v>
      </c>
      <c r="KH38" s="329" t="n">
        <f aca="false">KI38/$F38*KI$7</f>
        <v>41760.7733025185</v>
      </c>
      <c r="KI38" s="338" t="n">
        <v>43532.94</v>
      </c>
      <c r="KJ38" s="325" t="n">
        <f aca="false">(KK38*$H38+KL38*$G38)</f>
        <v>42741.0834414864</v>
      </c>
      <c r="KK38" s="329" t="n">
        <f aca="false">KL38/$F38*KL$7</f>
        <v>42741.0834414864</v>
      </c>
      <c r="KL38" s="338" t="n">
        <v>43532.94</v>
      </c>
      <c r="KO38" s="338"/>
      <c r="KP38" s="325" t="n">
        <f aca="false">(KQ38*$H38+KR38*$G38)</f>
        <v>44504.1691899816</v>
      </c>
      <c r="KQ38" s="329" t="n">
        <f aca="false">KR38/$F38*KR$7</f>
        <v>44504.1691899816</v>
      </c>
      <c r="KR38" s="338" t="n">
        <v>43532.94</v>
      </c>
      <c r="KS38" s="325" t="n">
        <f aca="false">(KT38*$H38+KU38*$G38)</f>
        <v>45408.974457268</v>
      </c>
      <c r="KT38" s="329" t="n">
        <f aca="false">KU38/$F38*KU$7</f>
        <v>45408.974457268</v>
      </c>
      <c r="KU38" s="338" t="n">
        <v>43532.94</v>
      </c>
      <c r="KV38" s="325" t="n">
        <f aca="false">(KW38*$H38+KX38*$G38)</f>
        <v>45827.5408828548</v>
      </c>
      <c r="KW38" s="329" t="n">
        <f aca="false">KX38/$F38*KX$7</f>
        <v>45827.5408828548</v>
      </c>
      <c r="KX38" s="338" t="n">
        <v>43532.94</v>
      </c>
      <c r="KY38" s="325" t="n">
        <f aca="false">(KZ38*$H38+LA38*$G38)</f>
        <v>45827.5408828548</v>
      </c>
      <c r="KZ38" s="329" t="n">
        <f aca="false">LA38/$F38*LA$7</f>
        <v>45827.5408828548</v>
      </c>
      <c r="LA38" s="338" t="n">
        <v>43532.94</v>
      </c>
      <c r="LB38" s="325" t="n">
        <f aca="false">(LC38*$H38+LD38*$G38)</f>
        <v>45827.5408828548</v>
      </c>
      <c r="LC38" s="329" t="n">
        <f aca="false">LD38/$F38*LD$7</f>
        <v>45827.5408828548</v>
      </c>
      <c r="LD38" s="338" t="n">
        <v>43532.94</v>
      </c>
      <c r="LE38" s="325" t="n">
        <f aca="false">(LF38*$H38+LG38*$G38)</f>
        <v>45827.5408828548</v>
      </c>
      <c r="LF38" s="329" t="n">
        <f aca="false">LG38/$F38*LG$7</f>
        <v>45827.5408828548</v>
      </c>
      <c r="LG38" s="338" t="n">
        <v>43532.94</v>
      </c>
      <c r="LH38" s="325" t="n">
        <f aca="false">(LI38*$H38+LJ38*$G38)</f>
        <v>57284.3869412906</v>
      </c>
      <c r="LI38" s="329" t="n">
        <f aca="false">LJ38/$F38*LJ$7</f>
        <v>57284.3869412906</v>
      </c>
      <c r="LJ38" s="338" t="n">
        <v>43532.94</v>
      </c>
      <c r="LM38" s="338" t="n">
        <v>43532.94</v>
      </c>
      <c r="LP38" s="338" t="n">
        <v>43532.94</v>
      </c>
      <c r="LS38" s="338" t="n">
        <v>43532.94</v>
      </c>
      <c r="LV38" s="338" t="n">
        <v>43532.94</v>
      </c>
      <c r="LY38" s="338" t="n">
        <v>43532.94</v>
      </c>
      <c r="ME38" s="338" t="n">
        <v>43532.94</v>
      </c>
      <c r="MH38" s="338" t="n">
        <v>43532.94</v>
      </c>
      <c r="MK38" s="338" t="n">
        <v>43532.94</v>
      </c>
      <c r="MN38" s="338" t="n">
        <v>43532.94</v>
      </c>
      <c r="MQ38" s="338" t="n">
        <v>43532.94</v>
      </c>
      <c r="MT38" s="338" t="n">
        <v>43532.94</v>
      </c>
      <c r="MW38" s="338" t="n">
        <v>43532.94</v>
      </c>
      <c r="MZ38" s="338" t="n">
        <v>43532.94</v>
      </c>
      <c r="NC38" s="338" t="n">
        <v>43532.94</v>
      </c>
      <c r="NF38" s="338" t="n">
        <v>43532.94</v>
      </c>
      <c r="NI38" s="338" t="n">
        <v>43532.94</v>
      </c>
      <c r="NL38" s="338" t="n">
        <v>43532.94</v>
      </c>
      <c r="NR38" s="338" t="n">
        <v>43532.94</v>
      </c>
      <c r="NU38" s="338" t="n">
        <v>43532.94</v>
      </c>
      <c r="NX38" s="338" t="n">
        <v>43532.94</v>
      </c>
      <c r="OA38" s="338" t="n">
        <v>43532.94</v>
      </c>
      <c r="OD38" s="338" t="n">
        <v>43532.94</v>
      </c>
      <c r="OG38" s="338"/>
      <c r="OJ38" s="338"/>
    </row>
    <row r="39" s="329" customFormat="true" ht="15" hidden="false" customHeight="false" outlineLevel="0" collapsed="false">
      <c r="A39" s="283" t="n">
        <v>4.19</v>
      </c>
      <c r="B39" s="333"/>
      <c r="C39" s="320" t="n">
        <v>3009595.68</v>
      </c>
      <c r="D39" s="333"/>
      <c r="E39" s="334"/>
      <c r="F39" s="337" t="n">
        <v>27.790097</v>
      </c>
      <c r="G39" s="323" t="n">
        <v>0</v>
      </c>
      <c r="H39" s="324" t="n">
        <f aca="false">1-G39</f>
        <v>1</v>
      </c>
      <c r="I39" s="332" t="n">
        <f aca="false">J39/F39*26.775371</f>
        <v>572289.21323014</v>
      </c>
      <c r="J39" s="319" t="n">
        <v>593977.68</v>
      </c>
      <c r="K39" s="289"/>
      <c r="M39" s="327"/>
      <c r="N39" s="289"/>
      <c r="P39" s="327"/>
      <c r="Q39" s="289"/>
      <c r="S39" s="327"/>
      <c r="V39" s="327"/>
      <c r="W39" s="289"/>
      <c r="Y39" s="327"/>
      <c r="AC39" s="289"/>
      <c r="AE39" s="327"/>
      <c r="AF39" s="289"/>
      <c r="AH39" s="327"/>
      <c r="AI39" s="289"/>
      <c r="AK39" s="327"/>
      <c r="AL39" s="289"/>
      <c r="AN39" s="327"/>
      <c r="AO39" s="289"/>
      <c r="AQ39" s="327"/>
      <c r="AR39" s="289"/>
      <c r="AT39" s="327"/>
      <c r="AU39" s="289"/>
      <c r="AW39" s="327"/>
      <c r="AX39" s="289"/>
      <c r="AZ39" s="327"/>
      <c r="BA39" s="289"/>
      <c r="BC39" s="327"/>
      <c r="BD39" s="289"/>
      <c r="BF39" s="327"/>
      <c r="BG39" s="289"/>
      <c r="BI39" s="327"/>
      <c r="BJ39" s="289"/>
      <c r="BL39" s="327"/>
      <c r="BP39" s="289"/>
      <c r="BR39" s="327"/>
      <c r="BS39" s="289"/>
      <c r="BU39" s="327"/>
      <c r="BV39" s="289"/>
      <c r="BX39" s="327"/>
      <c r="BY39" s="289"/>
      <c r="CA39" s="327"/>
      <c r="CB39" s="289"/>
      <c r="CD39" s="327"/>
      <c r="CE39" s="289"/>
      <c r="CG39" s="327"/>
      <c r="CH39" s="289"/>
      <c r="CJ39" s="327"/>
      <c r="CK39" s="289"/>
      <c r="CM39" s="327"/>
      <c r="CN39" s="289"/>
      <c r="CP39" s="327"/>
      <c r="CQ39" s="289"/>
      <c r="CS39" s="327"/>
      <c r="CV39" s="327"/>
      <c r="CW39" s="289"/>
      <c r="CY39" s="327"/>
      <c r="DC39" s="335"/>
      <c r="DE39" s="327"/>
      <c r="DH39" s="327"/>
      <c r="DK39" s="327"/>
      <c r="DL39" s="289"/>
      <c r="DN39" s="327"/>
      <c r="DQ39" s="327"/>
      <c r="DT39" s="327"/>
      <c r="ED39" s="289"/>
      <c r="EJ39" s="289"/>
      <c r="FN39" s="289"/>
      <c r="FQ39" s="289"/>
      <c r="FT39" s="289"/>
      <c r="FW39" s="289"/>
      <c r="GC39" s="289"/>
      <c r="GK39" s="327"/>
      <c r="GN39" s="327"/>
      <c r="GO39" s="325" t="n">
        <f aca="false">(GP39*$H39+GQ39*$G39)</f>
        <v>37960.8755438493</v>
      </c>
      <c r="GP39" s="328" t="n">
        <f aca="false">GQ39/$F39*GQ$7</f>
        <v>37960.8755438493</v>
      </c>
      <c r="GQ39" s="338" t="n">
        <v>40260.3</v>
      </c>
      <c r="GR39" s="325" t="n">
        <f aca="false">(GS39*$H39+GT39*$G39)</f>
        <v>37943.9341151022</v>
      </c>
      <c r="GS39" s="328" t="n">
        <f aca="false">GT39/$F39*GT$7</f>
        <v>37943.9341151022</v>
      </c>
      <c r="GT39" s="338" t="n">
        <v>40260.3</v>
      </c>
      <c r="GU39" s="325" t="n">
        <f aca="false">(GV39*$H39+GW39*$G39)</f>
        <v>37399.4208909562</v>
      </c>
      <c r="GV39" s="328" t="n">
        <f aca="false">GW39/$F39*GW$7</f>
        <v>37399.4208909562</v>
      </c>
      <c r="GW39" s="338" t="n">
        <v>40260.3</v>
      </c>
      <c r="GX39" s="325" t="n">
        <f aca="false">(GY39*$H39+GZ39*$G39)</f>
        <v>36472.7258974735</v>
      </c>
      <c r="GY39" s="328" t="n">
        <f aca="false">GZ39/$F39*GZ$7</f>
        <v>36472.7258974735</v>
      </c>
      <c r="GZ39" s="338" t="n">
        <v>40260.3</v>
      </c>
      <c r="HA39" s="325" t="n">
        <f aca="false">(HB39*$H39+HC39*$G39)</f>
        <v>35739.9142124585</v>
      </c>
      <c r="HB39" s="328" t="n">
        <f aca="false">HC39/$F39*HC$7</f>
        <v>35739.9142124585</v>
      </c>
      <c r="HC39" s="338" t="n">
        <v>40260.3</v>
      </c>
      <c r="HD39" s="325" t="n">
        <f aca="false">(HE39*$H39+HF39*$G39)</f>
        <v>36269.0158649428</v>
      </c>
      <c r="HE39" s="328" t="n">
        <f aca="false">HF39/$F39*HF$7</f>
        <v>36269.0158649428</v>
      </c>
      <c r="HF39" s="338" t="n">
        <v>40260.3</v>
      </c>
      <c r="HG39" s="325" t="n">
        <f aca="false">(HH39*$H39+HI39*$G39)</f>
        <v>35064.9154790068</v>
      </c>
      <c r="HH39" s="328" t="n">
        <f aca="false">HI39/$F39*HI$7</f>
        <v>35064.9154790068</v>
      </c>
      <c r="HI39" s="338" t="n">
        <v>40260.3</v>
      </c>
      <c r="HJ39" s="325" t="n">
        <f aca="false">(HK39*$H39+HL39*$G39)</f>
        <v>33919.2002923128</v>
      </c>
      <c r="HK39" s="328" t="n">
        <f aca="false">HL39/$F39*HL$7</f>
        <v>33919.2002923128</v>
      </c>
      <c r="HL39" s="338" t="n">
        <v>40260.3</v>
      </c>
      <c r="HP39" s="325" t="n">
        <f aca="false">(HQ39*$H39+HR39*$G39)</f>
        <v>35135.5728556831</v>
      </c>
      <c r="HQ39" s="328" t="n">
        <f aca="false">HR39/$F39*HR$7</f>
        <v>35135.5728556831</v>
      </c>
      <c r="HR39" s="338" t="n">
        <v>40260.3</v>
      </c>
      <c r="HS39" s="325" t="n">
        <f aca="false">(HT39*$H39+HU39*$G39)</f>
        <v>35411.4107241151</v>
      </c>
      <c r="HT39" s="328" t="n">
        <f aca="false">HU39/$F39*HU$7</f>
        <v>35411.4107241151</v>
      </c>
      <c r="HU39" s="338" t="n">
        <v>40260.3</v>
      </c>
      <c r="HV39" s="325" t="n">
        <f aca="false">(HW39*$H39+HX39*$G39)</f>
        <v>40278.2685771122</v>
      </c>
      <c r="HW39" s="328" t="n">
        <f aca="false">HX39/$F39*HX$7</f>
        <v>40278.2685771122</v>
      </c>
      <c r="HX39" s="338" t="n">
        <v>40260.3</v>
      </c>
      <c r="HY39" s="325" t="n">
        <f aca="false">(HZ39*$H39+IA39*$G39)</f>
        <v>39408.5969782689</v>
      </c>
      <c r="HZ39" s="328" t="n">
        <f aca="false">IA39/$F39*IA$7</f>
        <v>39408.5969782689</v>
      </c>
      <c r="IA39" s="338" t="n">
        <v>40260.3</v>
      </c>
      <c r="IB39" s="325" t="n">
        <f aca="false">(IC39*$H39+ID39*$G39)</f>
        <v>38494.1596749374</v>
      </c>
      <c r="IC39" s="328" t="n">
        <f aca="false">ID39/$F39*ID$7</f>
        <v>38494.1596749374</v>
      </c>
      <c r="ID39" s="338" t="n">
        <v>40260.3</v>
      </c>
      <c r="IE39" s="325" t="n">
        <f aca="false">(IF39*$H39+IG39*$G39)</f>
        <v>38772.7501271406</v>
      </c>
      <c r="IF39" s="328" t="n">
        <f aca="false">IG39/$F39*IG$7</f>
        <v>38772.7501271406</v>
      </c>
      <c r="IG39" s="338" t="n">
        <v>40260.3</v>
      </c>
      <c r="IH39" s="325" t="n">
        <f aca="false">(II39*$H39+IJ39*$G39)</f>
        <v>39986.4946973737</v>
      </c>
      <c r="II39" s="328" t="n">
        <f aca="false">IJ39/$F39*IJ$7</f>
        <v>39986.4946973737</v>
      </c>
      <c r="IJ39" s="338" t="n">
        <v>40260.3</v>
      </c>
      <c r="IK39" s="325" t="n">
        <f aca="false">(IL39*$H39+IM39*$G39)</f>
        <v>39573.4622588759</v>
      </c>
      <c r="IL39" s="328" t="n">
        <f aca="false">IM39/$F39*IM$7</f>
        <v>39573.4622588759</v>
      </c>
      <c r="IM39" s="338" t="n">
        <v>40260.3</v>
      </c>
      <c r="IN39" s="325" t="n">
        <f aca="false">(IO39*$H39+IP39*$G39)</f>
        <v>40857.3252788574</v>
      </c>
      <c r="IO39" s="328" t="n">
        <f aca="false">IP39/$F39*IP$7</f>
        <v>40857.3252788574</v>
      </c>
      <c r="IP39" s="338" t="n">
        <v>40260.3</v>
      </c>
      <c r="IQ39" s="325" t="n">
        <f aca="false">(IR39*$H39+IS39*$G39)</f>
        <v>41101.4359975066</v>
      </c>
      <c r="IR39" s="328" t="n">
        <f aca="false">IS39/$F39*IS$7</f>
        <v>41101.4359975066</v>
      </c>
      <c r="IS39" s="338" t="n">
        <v>40260.3</v>
      </c>
      <c r="IT39" s="325" t="n">
        <f aca="false">(IU39*$H39+IV39*$G39)</f>
        <v>41079.1255816775</v>
      </c>
      <c r="IU39" s="328" t="n">
        <f aca="false">IV39/$F39*IV$7</f>
        <v>41079.1255816775</v>
      </c>
      <c r="IV39" s="338" t="n">
        <v>40260.3</v>
      </c>
      <c r="IW39" s="325" t="n">
        <f aca="false">(IX39*$H39+IY39*$G39)</f>
        <v>40621.0376930315</v>
      </c>
      <c r="IX39" s="328" t="n">
        <f aca="false">IY39/$F39*IY$7</f>
        <v>40621.0376930315</v>
      </c>
      <c r="IY39" s="338" t="n">
        <v>40260.3</v>
      </c>
      <c r="JC39" s="325" t="n">
        <f aca="false">(JD39*$H39+JE39*$G39)</f>
        <v>40859.2086256482</v>
      </c>
      <c r="JD39" s="329" t="n">
        <f aca="false">JE39/$F39*JE$7</f>
        <v>40859.2086256482</v>
      </c>
      <c r="JE39" s="338" t="n">
        <v>40260.3</v>
      </c>
      <c r="JF39" s="325" t="n">
        <f aca="false">(JG39*$H39+JH39*$G39)</f>
        <v>40463.5609267575</v>
      </c>
      <c r="JG39" s="326" t="n">
        <f aca="false">JH39/$F39*JH$7</f>
        <v>40463.5609267575</v>
      </c>
      <c r="JH39" s="338" t="n">
        <v>40260.3</v>
      </c>
      <c r="JI39" s="325" t="n">
        <f aca="false">(JJ39*$H39+JK39*$G39)</f>
        <v>40156.4305270327</v>
      </c>
      <c r="JJ39" s="326" t="n">
        <f aca="false">JK39/$F39*JK$7</f>
        <v>40156.4305270327</v>
      </c>
      <c r="JK39" s="338" t="n">
        <v>40260.3</v>
      </c>
      <c r="JL39" s="325" t="n">
        <f aca="false">(JM39*$H39+JN39*$G39)</f>
        <v>40578.3002081641</v>
      </c>
      <c r="JM39" s="326" t="n">
        <f aca="false">JN39/$F39*JN$7</f>
        <v>40578.3002081641</v>
      </c>
      <c r="JN39" s="338" t="n">
        <v>40260.3</v>
      </c>
      <c r="JO39" s="325" t="n">
        <f aca="false">(JP39*$H39+JQ39*$G39)</f>
        <v>39791.4958681145</v>
      </c>
      <c r="JP39" s="326" t="n">
        <f aca="false">JQ39/$F39*JQ$7</f>
        <v>39791.4958681145</v>
      </c>
      <c r="JQ39" s="338" t="n">
        <v>40260.3</v>
      </c>
      <c r="JR39" s="325" t="n">
        <f aca="false">(JS39*$H39+JT39*$G39)</f>
        <v>39395.9930420538</v>
      </c>
      <c r="JS39" s="328" t="n">
        <f aca="false">JT39/$F39*JT$7</f>
        <v>39395.9930420538</v>
      </c>
      <c r="JT39" s="338" t="n">
        <v>40260.3</v>
      </c>
      <c r="JU39" s="325" t="n">
        <f aca="false">(JV39*$H39+JW39*$G39)</f>
        <v>39435.1087061697</v>
      </c>
      <c r="JV39" s="329" t="n">
        <f aca="false">JW39/$F39*JW$7</f>
        <v>39435.1087061697</v>
      </c>
      <c r="JW39" s="338" t="n">
        <v>40260.3</v>
      </c>
      <c r="JX39" s="325" t="n">
        <f aca="false">(JY39*$H39+JZ39*$G39)</f>
        <v>38602.0899333313</v>
      </c>
      <c r="JY39" s="329" t="n">
        <f aca="false">JZ39/$F39*JZ$7</f>
        <v>38602.0899333313</v>
      </c>
      <c r="JZ39" s="338" t="n">
        <v>40260.3</v>
      </c>
      <c r="KA39" s="325" t="n">
        <f aca="false">(KB39*$H39+KC39*$G39)</f>
        <v>38685.102064955</v>
      </c>
      <c r="KB39" s="329" t="n">
        <f aca="false">KC39/$F39*KC$7</f>
        <v>38685.102064955</v>
      </c>
      <c r="KC39" s="338" t="n">
        <v>40260.3</v>
      </c>
      <c r="KD39" s="325" t="n">
        <f aca="false">(KE39*$H39+KF39*$G39)</f>
        <v>38060.9899130615</v>
      </c>
      <c r="KE39" s="329" t="n">
        <f aca="false">KF39/$F39*KF$7</f>
        <v>38060.9899130615</v>
      </c>
      <c r="KF39" s="338" t="n">
        <v>40260.3</v>
      </c>
      <c r="KG39" s="325" t="n">
        <f aca="false">(KH39*$H39+KI39*$G39)</f>
        <v>38621.3580197291</v>
      </c>
      <c r="KH39" s="329" t="n">
        <f aca="false">KI39/$F39*KI$7</f>
        <v>38621.3580197291</v>
      </c>
      <c r="KI39" s="338" t="n">
        <v>40260.3</v>
      </c>
      <c r="KJ39" s="325" t="n">
        <f aca="false">(KK39*$H39+KL39*$G39)</f>
        <v>39527.9721902374</v>
      </c>
      <c r="KK39" s="329" t="n">
        <f aca="false">KL39/$F39*KL$7</f>
        <v>39527.9721902374</v>
      </c>
      <c r="KL39" s="338" t="n">
        <v>40260.3</v>
      </c>
      <c r="KO39" s="338"/>
      <c r="KP39" s="325" t="n">
        <f aca="false">(KQ39*$H39+KR39*$G39)</f>
        <v>41158.5158925498</v>
      </c>
      <c r="KQ39" s="329" t="n">
        <f aca="false">KR39/$F39*KR$7</f>
        <v>41158.5158925498</v>
      </c>
      <c r="KR39" s="338" t="n">
        <v>40260.3</v>
      </c>
      <c r="KS39" s="325" t="n">
        <f aca="false">(KT39*$H39+KU39*$G39)</f>
        <v>41995.3013589697</v>
      </c>
      <c r="KT39" s="329" t="n">
        <f aca="false">KU39/$F39*KU$7</f>
        <v>41995.3013589697</v>
      </c>
      <c r="KU39" s="338" t="n">
        <v>40260.3</v>
      </c>
      <c r="KV39" s="325" t="n">
        <f aca="false">(KW39*$H39+KX39*$G39)</f>
        <v>42382.401560887</v>
      </c>
      <c r="KW39" s="329" t="n">
        <f aca="false">KX39/$F39*KX$7</f>
        <v>42382.401560887</v>
      </c>
      <c r="KX39" s="338" t="n">
        <v>40260.3</v>
      </c>
      <c r="KY39" s="325" t="n">
        <f aca="false">(KZ39*$H39+LA39*$G39)</f>
        <v>42382.401560887</v>
      </c>
      <c r="KZ39" s="329" t="n">
        <f aca="false">LA39/$F39*LA$7</f>
        <v>42382.401560887</v>
      </c>
      <c r="LA39" s="338" t="n">
        <v>40260.3</v>
      </c>
      <c r="LB39" s="325" t="n">
        <f aca="false">(LC39*$H39+LD39*$G39)</f>
        <v>42382.401560887</v>
      </c>
      <c r="LC39" s="329" t="n">
        <f aca="false">LD39/$F39*LD$7</f>
        <v>42382.401560887</v>
      </c>
      <c r="LD39" s="338" t="n">
        <v>40260.3</v>
      </c>
      <c r="LE39" s="325" t="n">
        <f aca="false">(LF39*$H39+LG39*$G39)</f>
        <v>42382.401560887</v>
      </c>
      <c r="LF39" s="329" t="n">
        <f aca="false">LG39/$F39*LG$7</f>
        <v>42382.401560887</v>
      </c>
      <c r="LG39" s="338" t="n">
        <v>40260.3</v>
      </c>
      <c r="LH39" s="325" t="n">
        <f aca="false">(LI39*$H39+LJ39*$G39)</f>
        <v>52977.9657329012</v>
      </c>
      <c r="LI39" s="329" t="n">
        <f aca="false">LJ39/$F39*LJ$7</f>
        <v>52977.9657329012</v>
      </c>
      <c r="LJ39" s="338" t="n">
        <v>40260.3</v>
      </c>
      <c r="LM39" s="338" t="n">
        <v>40260.3</v>
      </c>
      <c r="LP39" s="338" t="n">
        <v>40260.3</v>
      </c>
      <c r="LS39" s="338" t="n">
        <v>40260.3</v>
      </c>
      <c r="LV39" s="338" t="n">
        <v>40260.3</v>
      </c>
      <c r="LY39" s="338" t="n">
        <v>40260.3</v>
      </c>
      <c r="MB39" s="338"/>
      <c r="ME39" s="338" t="n">
        <v>40260.3</v>
      </c>
      <c r="MH39" s="338" t="n">
        <v>40260.3</v>
      </c>
      <c r="MK39" s="338" t="n">
        <v>40260.3</v>
      </c>
      <c r="MN39" s="338" t="n">
        <v>40260.3</v>
      </c>
      <c r="MQ39" s="338" t="n">
        <v>40260.3</v>
      </c>
      <c r="MT39" s="338" t="n">
        <v>40260.3</v>
      </c>
      <c r="MW39" s="338" t="n">
        <v>40260.3</v>
      </c>
      <c r="MZ39" s="338" t="n">
        <v>40260.3</v>
      </c>
      <c r="NC39" s="338" t="n">
        <v>40260.3</v>
      </c>
      <c r="NF39" s="338" t="n">
        <v>40260.3</v>
      </c>
      <c r="NI39" s="338" t="n">
        <v>40260.3</v>
      </c>
      <c r="NL39" s="338" t="n">
        <v>40260.3</v>
      </c>
      <c r="NR39" s="338" t="n">
        <v>40260.3</v>
      </c>
      <c r="NU39" s="338" t="n">
        <v>40260.3</v>
      </c>
      <c r="NW39" s="338"/>
      <c r="NX39" s="338" t="n">
        <v>40260.3</v>
      </c>
      <c r="OA39" s="338" t="n">
        <v>40260.3</v>
      </c>
      <c r="OD39" s="338"/>
      <c r="OG39" s="338"/>
      <c r="OJ39" s="327"/>
    </row>
    <row r="40" s="329" customFormat="true" ht="15" hidden="false" customHeight="false" outlineLevel="0" collapsed="false">
      <c r="A40" s="283" t="n">
        <v>4.21</v>
      </c>
      <c r="B40" s="333"/>
      <c r="C40" s="320" t="n">
        <v>17301000.12</v>
      </c>
      <c r="D40" s="333"/>
      <c r="E40" s="334"/>
      <c r="F40" s="337" t="n">
        <v>27.790097</v>
      </c>
      <c r="G40" s="323" t="n">
        <v>0</v>
      </c>
      <c r="H40" s="324" t="n">
        <f aca="false">1-G40</f>
        <v>1</v>
      </c>
      <c r="I40" s="332" t="n">
        <f aca="false">J40/F40*26.644138</f>
        <v>3714165.41483058</v>
      </c>
      <c r="J40" s="319" t="n">
        <v>3873910.92</v>
      </c>
      <c r="K40" s="289"/>
      <c r="M40" s="327"/>
      <c r="N40" s="289"/>
      <c r="P40" s="327"/>
      <c r="Q40" s="289"/>
      <c r="S40" s="327"/>
      <c r="V40" s="327"/>
      <c r="W40" s="289"/>
      <c r="Y40" s="327"/>
      <c r="AC40" s="289"/>
      <c r="AE40" s="327"/>
      <c r="AF40" s="289"/>
      <c r="AH40" s="327"/>
      <c r="AI40" s="289"/>
      <c r="AK40" s="327"/>
      <c r="AL40" s="289"/>
      <c r="AN40" s="327"/>
      <c r="AO40" s="289"/>
      <c r="AQ40" s="327"/>
      <c r="AR40" s="289"/>
      <c r="AT40" s="327"/>
      <c r="AU40" s="289"/>
      <c r="AW40" s="327"/>
      <c r="AX40" s="289"/>
      <c r="AZ40" s="327"/>
      <c r="BA40" s="289"/>
      <c r="BC40" s="327"/>
      <c r="BD40" s="289"/>
      <c r="BF40" s="327"/>
      <c r="BG40" s="289"/>
      <c r="BI40" s="327"/>
      <c r="BJ40" s="289"/>
      <c r="BL40" s="327"/>
      <c r="BP40" s="289"/>
      <c r="BR40" s="327"/>
      <c r="BS40" s="289"/>
      <c r="BU40" s="327"/>
      <c r="BV40" s="289"/>
      <c r="BX40" s="327"/>
      <c r="BY40" s="289"/>
      <c r="CA40" s="327"/>
      <c r="CB40" s="289"/>
      <c r="CD40" s="327"/>
      <c r="CE40" s="289"/>
      <c r="CG40" s="327"/>
      <c r="CH40" s="289"/>
      <c r="CJ40" s="327"/>
      <c r="CK40" s="289"/>
      <c r="CM40" s="327"/>
      <c r="CN40" s="289"/>
      <c r="CP40" s="327"/>
      <c r="CQ40" s="289"/>
      <c r="CS40" s="327"/>
      <c r="CV40" s="327"/>
      <c r="CW40" s="289"/>
      <c r="CY40" s="327"/>
      <c r="DC40" s="335"/>
      <c r="DE40" s="327"/>
      <c r="DH40" s="327"/>
      <c r="DK40" s="327"/>
      <c r="DL40" s="289"/>
      <c r="DN40" s="327"/>
      <c r="DQ40" s="327"/>
      <c r="DT40" s="327"/>
      <c r="ED40" s="289"/>
      <c r="EJ40" s="289"/>
      <c r="FN40" s="289"/>
      <c r="FQ40" s="289"/>
      <c r="FT40" s="289"/>
      <c r="FW40" s="289"/>
      <c r="GC40" s="289"/>
      <c r="GK40" s="327"/>
      <c r="GN40" s="327"/>
      <c r="GO40" s="325" t="n">
        <f aca="false">(GP40*$H40+GQ40*$G40)</f>
        <v>211003.586675279</v>
      </c>
      <c r="GP40" s="328" t="n">
        <f aca="false">GQ40/$F40*GQ$7</f>
        <v>211003.586675279</v>
      </c>
      <c r="GQ40" s="338" t="n">
        <v>223784.82</v>
      </c>
      <c r="GR40" s="325" t="n">
        <f aca="false">(GS40*$H40+GT40*$G40)</f>
        <v>210909.4186094</v>
      </c>
      <c r="GS40" s="328" t="n">
        <f aca="false">GT40/$F40*GT$7</f>
        <v>210909.4186094</v>
      </c>
      <c r="GT40" s="338" t="n">
        <v>223784.82</v>
      </c>
      <c r="GU40" s="325" t="n">
        <f aca="false">(GV40*$H40+GW40*$G40)</f>
        <v>207882.769680973</v>
      </c>
      <c r="GV40" s="328" t="n">
        <f aca="false">GW40/$F40*GW$7</f>
        <v>207882.769680973</v>
      </c>
      <c r="GW40" s="338" t="n">
        <v>223784.82</v>
      </c>
      <c r="GX40" s="325" t="n">
        <f aca="false">(GY40*$H40+GZ40*$G40)</f>
        <v>202731.782919537</v>
      </c>
      <c r="GY40" s="328" t="n">
        <f aca="false">GZ40/$F40*GZ$7</f>
        <v>202731.782919537</v>
      </c>
      <c r="GZ40" s="338" t="n">
        <v>223784.82</v>
      </c>
      <c r="HA40" s="325" t="n">
        <f aca="false">(HB40*$H40+HC40*$G40)</f>
        <v>198658.486619585</v>
      </c>
      <c r="HB40" s="328" t="n">
        <f aca="false">HC40/$F40*HC$7</f>
        <v>198658.486619585</v>
      </c>
      <c r="HC40" s="338" t="n">
        <v>223784.82</v>
      </c>
      <c r="HD40" s="325" t="n">
        <f aca="false">(HE40*$H40+HF40*$G40)</f>
        <v>201599.471114556</v>
      </c>
      <c r="HE40" s="328" t="n">
        <f aca="false">HF40/$F40*HF$7</f>
        <v>201599.471114556</v>
      </c>
      <c r="HF40" s="338" t="n">
        <v>223784.82</v>
      </c>
      <c r="HG40" s="325" t="n">
        <f aca="false">(HH40*$H40+HI40*$G40)</f>
        <v>194906.540656298</v>
      </c>
      <c r="HH40" s="328" t="n">
        <f aca="false">HI40/$F40*HI$7</f>
        <v>194906.540656298</v>
      </c>
      <c r="HI40" s="338" t="n">
        <v>223784.82</v>
      </c>
      <c r="HJ40" s="325" t="n">
        <f aca="false">(HK40*$H40+HL40*$G40)</f>
        <v>188538.141344182</v>
      </c>
      <c r="HK40" s="328" t="n">
        <f aca="false">HL40/$F40*HL$7</f>
        <v>188538.141344182</v>
      </c>
      <c r="HL40" s="338" t="n">
        <v>223784.82</v>
      </c>
      <c r="HP40" s="325" t="n">
        <f aca="false">(HQ40*$H40+HR40*$G40)</f>
        <v>195299.286073525</v>
      </c>
      <c r="HQ40" s="328" t="n">
        <f aca="false">HR40/$F40*HR$7</f>
        <v>195299.286073525</v>
      </c>
      <c r="HR40" s="338" t="n">
        <v>223784.82</v>
      </c>
      <c r="HS40" s="325" t="n">
        <f aca="false">(HT40*$H40+HU40*$G40)</f>
        <v>196832.516768185</v>
      </c>
      <c r="HT40" s="328" t="n">
        <f aca="false">HU40/$F40*HU$7</f>
        <v>196832.516768185</v>
      </c>
      <c r="HU40" s="338" t="n">
        <v>223784.82</v>
      </c>
      <c r="HV40" s="325" t="n">
        <f aca="false">(HW40*$H40+HX40*$G40)</f>
        <v>223884.697417573</v>
      </c>
      <c r="HW40" s="328" t="n">
        <f aca="false">HX40/$F40*HX$7</f>
        <v>223884.697417573</v>
      </c>
      <c r="HX40" s="338" t="n">
        <v>223784.82</v>
      </c>
      <c r="HY40" s="325" t="n">
        <f aca="false">(HZ40*$H40+IA40*$G40)</f>
        <v>219050.672280993</v>
      </c>
      <c r="HZ40" s="328" t="n">
        <f aca="false">IA40/$F40*IA$7</f>
        <v>219050.672280993</v>
      </c>
      <c r="IA40" s="338" t="n">
        <v>223784.82</v>
      </c>
      <c r="IB40" s="325" t="n">
        <f aca="false">(IC40*$H40+ID40*$G40)</f>
        <v>213967.819263819</v>
      </c>
      <c r="IC40" s="328" t="n">
        <f aca="false">ID40/$F40*ID$7</f>
        <v>213967.819263819</v>
      </c>
      <c r="ID40" s="338" t="n">
        <v>223784.82</v>
      </c>
      <c r="IE40" s="325" t="n">
        <f aca="false">(IF40*$H40+IG40*$G40)</f>
        <v>215516.350054698</v>
      </c>
      <c r="IF40" s="328" t="n">
        <f aca="false">IG40/$F40*IG$7</f>
        <v>215516.350054698</v>
      </c>
      <c r="IG40" s="338" t="n">
        <v>223784.82</v>
      </c>
      <c r="IH40" s="325" t="n">
        <f aca="false">(II40*$H40+IJ40*$G40)</f>
        <v>222262.887218494</v>
      </c>
      <c r="II40" s="328" t="n">
        <f aca="false">IJ40/$F40*IJ$7</f>
        <v>222262.887218494</v>
      </c>
      <c r="IJ40" s="338" t="n">
        <v>223784.82</v>
      </c>
      <c r="IK40" s="325" t="n">
        <f aca="false">(IL40*$H40+IM40*$G40)</f>
        <v>219967.067517612</v>
      </c>
      <c r="IL40" s="328" t="n">
        <f aca="false">IM40/$F40*IM$7</f>
        <v>219967.067517612</v>
      </c>
      <c r="IM40" s="338" t="n">
        <v>223784.82</v>
      </c>
      <c r="IN40" s="325" t="n">
        <f aca="false">(IO40*$H40+IP40*$G40)</f>
        <v>227103.35450085</v>
      </c>
      <c r="IO40" s="328" t="n">
        <f aca="false">IP40/$F40*IP$7</f>
        <v>227103.35450085</v>
      </c>
      <c r="IP40" s="338" t="n">
        <v>223784.82</v>
      </c>
      <c r="IQ40" s="325" t="n">
        <f aca="false">(IR40*$H40+IS40*$G40)</f>
        <v>228460.231454896</v>
      </c>
      <c r="IR40" s="328" t="n">
        <f aca="false">IS40/$F40*IS$7</f>
        <v>228460.231454896</v>
      </c>
      <c r="IS40" s="338" t="n">
        <v>223784.82</v>
      </c>
      <c r="IT40" s="325" t="n">
        <f aca="false">(IU40*$H40+IV40*$G40)</f>
        <v>228336.22014871</v>
      </c>
      <c r="IU40" s="328" t="n">
        <f aca="false">IV40/$F40*IV$7</f>
        <v>228336.22014871</v>
      </c>
      <c r="IV40" s="338" t="n">
        <v>223784.82</v>
      </c>
      <c r="IW40" s="325" t="n">
        <f aca="false">(IX40*$H40+IY40*$G40)</f>
        <v>225789.962030791</v>
      </c>
      <c r="IX40" s="328" t="n">
        <f aca="false">IY40/$F40*IY$7</f>
        <v>225789.962030791</v>
      </c>
      <c r="IY40" s="338" t="n">
        <v>223784.82</v>
      </c>
      <c r="JC40" s="325" t="n">
        <f aca="false">(JD40*$H40+JE40*$G40)</f>
        <v>227113.822987736</v>
      </c>
      <c r="JD40" s="329" t="n">
        <f aca="false">JE40/$F40*JE$7</f>
        <v>227113.822987736</v>
      </c>
      <c r="JE40" s="338" t="n">
        <v>223784.82</v>
      </c>
      <c r="JF40" s="325" t="n">
        <f aca="false">(JG40*$H40+JH40*$G40)</f>
        <v>224914.635473493</v>
      </c>
      <c r="JG40" s="326" t="n">
        <f aca="false">JH40/$F40*JH$7</f>
        <v>224914.635473493</v>
      </c>
      <c r="JH40" s="338" t="n">
        <v>223784.82</v>
      </c>
      <c r="JI40" s="325" t="n">
        <f aca="false">(JJ40*$H40+JK40*$G40)</f>
        <v>223207.466842883</v>
      </c>
      <c r="JJ40" s="326" t="n">
        <f aca="false">JK40/$F40*JK$7</f>
        <v>223207.466842883</v>
      </c>
      <c r="JK40" s="338" t="n">
        <v>223784.82</v>
      </c>
      <c r="JL40" s="325" t="n">
        <f aca="false">(JM40*$H40+JN40*$G40)</f>
        <v>225552.407905305</v>
      </c>
      <c r="JM40" s="326" t="n">
        <f aca="false">JN40/$F40*JN$7</f>
        <v>225552.407905305</v>
      </c>
      <c r="JN40" s="338" t="n">
        <v>223784.82</v>
      </c>
      <c r="JO40" s="325" t="n">
        <f aca="false">(JP40*$H40+JQ40*$G40)</f>
        <v>221178.996191701</v>
      </c>
      <c r="JP40" s="326" t="n">
        <f aca="false">JQ40/$F40*JQ$7</f>
        <v>221178.996191701</v>
      </c>
      <c r="JQ40" s="338" t="n">
        <v>223784.82</v>
      </c>
      <c r="JR40" s="325" t="n">
        <f aca="false">(JS40*$H40+JT40*$G40)</f>
        <v>218980.61394568</v>
      </c>
      <c r="JS40" s="328" t="n">
        <f aca="false">JT40/$F40*JT$7</f>
        <v>218980.61394568</v>
      </c>
      <c r="JT40" s="338" t="n">
        <v>223784.82</v>
      </c>
      <c r="JU40" s="325" t="n">
        <f aca="false">(JV40*$H40+JW40*$G40)</f>
        <v>184948.341346919</v>
      </c>
      <c r="JV40" s="329" t="n">
        <f aca="false">JW40/$F40*JW$7</f>
        <v>184948.341346919</v>
      </c>
      <c r="JW40" s="338" t="n">
        <v>188818.44</v>
      </c>
      <c r="JX40" s="325" t="n">
        <f aca="false">(JY40*$H40+JZ40*$G40)</f>
        <v>181041.532277487</v>
      </c>
      <c r="JY40" s="329" t="n">
        <f aca="false">JZ40/$F40*JZ$7</f>
        <v>181041.532277487</v>
      </c>
      <c r="JZ40" s="338" t="n">
        <v>188818.44</v>
      </c>
      <c r="KA40" s="325" t="n">
        <f aca="false">(KB40*$H40+KC40*$G40)</f>
        <v>181430.854294319</v>
      </c>
      <c r="KB40" s="329" t="n">
        <f aca="false">KC40/$F40*KC$7</f>
        <v>181430.854294319</v>
      </c>
      <c r="KC40" s="338" t="n">
        <v>188818.44</v>
      </c>
      <c r="KD40" s="325" t="n">
        <f aca="false">(KE40*$H40+KF40*$G40)</f>
        <v>178503.804994995</v>
      </c>
      <c r="KE40" s="329" t="n">
        <f aca="false">KF40/$F40*KF$7</f>
        <v>178503.804994995</v>
      </c>
      <c r="KF40" s="338" t="n">
        <v>188818.44</v>
      </c>
      <c r="KG40" s="325" t="n">
        <f aca="false">(KH40*$H40+KI40*$G40)</f>
        <v>181131.898469876</v>
      </c>
      <c r="KH40" s="329" t="n">
        <f aca="false">KI40/$F40*KI$7</f>
        <v>181131.898469876</v>
      </c>
      <c r="KI40" s="338" t="n">
        <v>188818.44</v>
      </c>
      <c r="KJ40" s="325" t="n">
        <f aca="false">(KK40*$H40+KL40*$G40)</f>
        <v>185383.865627529</v>
      </c>
      <c r="KK40" s="329" t="n">
        <f aca="false">KL40/$F40*KL$7</f>
        <v>185383.865627529</v>
      </c>
      <c r="KL40" s="338" t="n">
        <v>188818.44</v>
      </c>
      <c r="KP40" s="325" t="n">
        <f aca="false">(KQ40*$H40+KR40*$G40)</f>
        <v>193031.019727783</v>
      </c>
      <c r="KQ40" s="329" t="n">
        <f aca="false">KR40/$F40*KR$7</f>
        <v>193031.019727783</v>
      </c>
      <c r="KR40" s="338" t="n">
        <v>188818.44</v>
      </c>
      <c r="KS40" s="325" t="n">
        <f aca="false">(KT40*$H40+KU40*$G40)</f>
        <v>196955.494368659</v>
      </c>
      <c r="KT40" s="329" t="n">
        <f aca="false">KU40/$F40*KU$7</f>
        <v>196955.494368659</v>
      </c>
      <c r="KU40" s="338" t="n">
        <v>188818.44</v>
      </c>
      <c r="KV40" s="325" t="n">
        <f aca="false">(KW40*$H40+KX40*$G40)</f>
        <v>198770.971557098</v>
      </c>
      <c r="KW40" s="329" t="n">
        <f aca="false">KX40/$F40*KX$7</f>
        <v>198770.971557098</v>
      </c>
      <c r="KX40" s="338" t="n">
        <v>188818.44</v>
      </c>
      <c r="KY40" s="325" t="n">
        <f aca="false">(KZ40*$H40+LA40*$G40)</f>
        <v>198770.971557098</v>
      </c>
      <c r="KZ40" s="329" t="n">
        <f aca="false">LA40/$F40*LA$7</f>
        <v>198770.971557098</v>
      </c>
      <c r="LA40" s="338" t="n">
        <v>188818.44</v>
      </c>
      <c r="LB40" s="325" t="n">
        <f aca="false">(LC40*$H40+LD40*$G40)</f>
        <v>198770.971557098</v>
      </c>
      <c r="LC40" s="329" t="n">
        <f aca="false">LD40/$F40*LD$7</f>
        <v>198770.971557098</v>
      </c>
      <c r="LD40" s="338" t="n">
        <v>188818.44</v>
      </c>
      <c r="LE40" s="325" t="n">
        <f aca="false">(LF40*$H40+LG40*$G40)</f>
        <v>198770.971557098</v>
      </c>
      <c r="LF40" s="329" t="n">
        <f aca="false">LG40/$F40*LG$7</f>
        <v>198770.971557098</v>
      </c>
      <c r="LG40" s="338" t="n">
        <v>188818.44</v>
      </c>
      <c r="LH40" s="325" t="n">
        <f aca="false">(LI40*$H40+LJ40*$G40)</f>
        <v>248463.544585109</v>
      </c>
      <c r="LI40" s="329" t="n">
        <f aca="false">LJ40/$F40*LJ$7</f>
        <v>248463.544585109</v>
      </c>
      <c r="LJ40" s="338" t="n">
        <v>188818.44</v>
      </c>
      <c r="LM40" s="338" t="n">
        <v>188818.44</v>
      </c>
      <c r="LP40" s="338" t="n">
        <v>188818.44</v>
      </c>
      <c r="LS40" s="338" t="n">
        <v>188818.44</v>
      </c>
      <c r="LV40" s="338" t="n">
        <v>188818.44</v>
      </c>
      <c r="LY40" s="338" t="n">
        <v>188818.44</v>
      </c>
      <c r="ME40" s="338" t="n">
        <v>188818.44</v>
      </c>
      <c r="MH40" s="338" t="n">
        <v>188818.44</v>
      </c>
      <c r="MK40" s="338" t="n">
        <v>188818.44</v>
      </c>
      <c r="MN40" s="338" t="n">
        <v>188818.44</v>
      </c>
      <c r="MQ40" s="338" t="n">
        <v>188818.44</v>
      </c>
      <c r="MT40" s="338" t="n">
        <v>188818.44</v>
      </c>
      <c r="MW40" s="338" t="n">
        <v>188818.44</v>
      </c>
      <c r="MZ40" s="338" t="n">
        <v>188818.44</v>
      </c>
      <c r="NC40" s="338" t="n">
        <v>188818.44</v>
      </c>
      <c r="NF40" s="338" t="n">
        <v>188818.44</v>
      </c>
      <c r="NI40" s="338" t="n">
        <v>188818.44</v>
      </c>
      <c r="NL40" s="338" t="n">
        <v>188818.44</v>
      </c>
      <c r="NR40" s="338" t="n">
        <v>188818.44</v>
      </c>
      <c r="NU40" s="338" t="n">
        <v>188818.44</v>
      </c>
      <c r="NX40" s="338" t="n">
        <v>188818.44</v>
      </c>
      <c r="OA40" s="338" t="n">
        <v>188818.44</v>
      </c>
      <c r="OD40" s="338"/>
      <c r="OE40" s="2"/>
      <c r="OF40" s="2"/>
      <c r="OG40" s="338"/>
      <c r="OJ40" s="338"/>
      <c r="OM40" s="338" t="n">
        <v>223784.82</v>
      </c>
      <c r="OP40" s="338" t="n">
        <v>223784.82</v>
      </c>
      <c r="OS40" s="338" t="n">
        <v>223784.82</v>
      </c>
      <c r="OV40" s="338" t="n">
        <v>223784.82</v>
      </c>
      <c r="OY40" s="338" t="n">
        <v>223784.82</v>
      </c>
    </row>
    <row r="41" s="329" customFormat="true" ht="15" hidden="false" customHeight="false" outlineLevel="0" collapsed="false">
      <c r="A41" s="283" t="n">
        <v>4.22</v>
      </c>
      <c r="B41" s="333"/>
      <c r="C41" s="320" t="n">
        <v>10272467.76</v>
      </c>
      <c r="D41" s="333"/>
      <c r="E41" s="334"/>
      <c r="F41" s="337" t="n">
        <v>27.790097</v>
      </c>
      <c r="G41" s="323" t="n">
        <v>0</v>
      </c>
      <c r="H41" s="324" t="n">
        <f aca="false">1-G41</f>
        <v>1</v>
      </c>
      <c r="I41" s="332" t="n">
        <f aca="false">J41/F41*26.113216</f>
        <v>2161342.24340221</v>
      </c>
      <c r="J41" s="339" t="n">
        <v>2300134.56</v>
      </c>
      <c r="K41" s="289"/>
      <c r="M41" s="327"/>
      <c r="N41" s="289"/>
      <c r="P41" s="327"/>
      <c r="Q41" s="289"/>
      <c r="S41" s="327"/>
      <c r="V41" s="327"/>
      <c r="W41" s="289"/>
      <c r="Y41" s="327"/>
      <c r="AC41" s="289"/>
      <c r="AE41" s="327"/>
      <c r="AF41" s="289"/>
      <c r="AH41" s="327"/>
      <c r="AI41" s="289"/>
      <c r="AK41" s="327"/>
      <c r="AL41" s="289"/>
      <c r="AN41" s="327"/>
      <c r="AO41" s="289"/>
      <c r="AQ41" s="327"/>
      <c r="AR41" s="289"/>
      <c r="AT41" s="327"/>
      <c r="AU41" s="289"/>
      <c r="AW41" s="327"/>
      <c r="AX41" s="289"/>
      <c r="AZ41" s="327"/>
      <c r="BA41" s="289"/>
      <c r="BC41" s="327"/>
      <c r="BD41" s="289"/>
      <c r="BF41" s="327"/>
      <c r="BG41" s="289"/>
      <c r="BI41" s="327"/>
      <c r="BJ41" s="289"/>
      <c r="BL41" s="327"/>
      <c r="BP41" s="289"/>
      <c r="BR41" s="327"/>
      <c r="BS41" s="289"/>
      <c r="BU41" s="327"/>
      <c r="BV41" s="289"/>
      <c r="BX41" s="327"/>
      <c r="BY41" s="289"/>
      <c r="CA41" s="327"/>
      <c r="CB41" s="289"/>
      <c r="CD41" s="327"/>
      <c r="CE41" s="289"/>
      <c r="CG41" s="327"/>
      <c r="CH41" s="289"/>
      <c r="CJ41" s="327"/>
      <c r="CK41" s="289"/>
      <c r="CM41" s="327"/>
      <c r="CN41" s="289"/>
      <c r="CP41" s="327"/>
      <c r="CQ41" s="289"/>
      <c r="CS41" s="327"/>
      <c r="CV41" s="327"/>
      <c r="CW41" s="289"/>
      <c r="CY41" s="327"/>
      <c r="DC41" s="335"/>
      <c r="DE41" s="327"/>
      <c r="DH41" s="327"/>
      <c r="DK41" s="327"/>
      <c r="DL41" s="289"/>
      <c r="DN41" s="327"/>
      <c r="DQ41" s="327"/>
      <c r="DT41" s="327"/>
      <c r="ED41" s="289"/>
      <c r="EJ41" s="289"/>
      <c r="FN41" s="289"/>
      <c r="FQ41" s="289"/>
      <c r="FT41" s="289"/>
      <c r="FW41" s="289"/>
      <c r="GC41" s="289"/>
      <c r="GK41" s="327"/>
      <c r="GN41" s="327"/>
      <c r="GQ41" s="338"/>
      <c r="GR41" s="325" t="n">
        <f aca="false">(GS41*$H41+GT41*$G41)</f>
        <v>125227.45139523</v>
      </c>
      <c r="GS41" s="328" t="n">
        <f aca="false">GT41/$F41*GT$7</f>
        <v>125227.45139523</v>
      </c>
      <c r="GT41" s="338" t="n">
        <v>132872.22</v>
      </c>
      <c r="GU41" s="325" t="n">
        <f aca="false">(GV41*$H41+GW41*$G41)</f>
        <v>123430.378822208</v>
      </c>
      <c r="GV41" s="328" t="n">
        <f aca="false">GW41/$F41*GW$7</f>
        <v>123430.378822208</v>
      </c>
      <c r="GW41" s="338" t="n">
        <v>132872.22</v>
      </c>
      <c r="GX41" s="325" t="n">
        <f aca="false">(GY41*$H41+GZ41*$G41)</f>
        <v>120371.980821027</v>
      </c>
      <c r="GY41" s="328" t="n">
        <f aca="false">GZ41/$F41*GZ$7</f>
        <v>120371.980821027</v>
      </c>
      <c r="GZ41" s="338" t="n">
        <v>132872.22</v>
      </c>
      <c r="HA41" s="325" t="n">
        <f aca="false">(HB41*$H41+HC41*$G41)</f>
        <v>117953.461450086</v>
      </c>
      <c r="HB41" s="328" t="n">
        <f aca="false">HC41/$F41*HC$7</f>
        <v>117953.461450086</v>
      </c>
      <c r="HC41" s="338" t="n">
        <v>132872.22</v>
      </c>
      <c r="HD41" s="325" t="n">
        <f aca="false">(HE41*$H41+HF41*$G41)</f>
        <v>119699.670772204</v>
      </c>
      <c r="HE41" s="328" t="n">
        <f aca="false">HF41/$F41*HF$7</f>
        <v>119699.670772204</v>
      </c>
      <c r="HF41" s="338" t="n">
        <v>132872.22</v>
      </c>
      <c r="HG41" s="325" t="n">
        <f aca="false">(HH41*$H41+HI41*$G41)</f>
        <v>115725.743817309</v>
      </c>
      <c r="HH41" s="328" t="n">
        <f aca="false">HI41/$F41*HI$7</f>
        <v>115725.743817309</v>
      </c>
      <c r="HI41" s="338" t="n">
        <v>132872.22</v>
      </c>
      <c r="HJ41" s="325" t="n">
        <f aca="false">(HK41*$H41+HL41*$G41)</f>
        <v>111944.507205963</v>
      </c>
      <c r="HK41" s="328" t="n">
        <f aca="false">HL41/$F41*HL$7</f>
        <v>111944.507205963</v>
      </c>
      <c r="HL41" s="338" t="n">
        <v>132872.22</v>
      </c>
      <c r="HP41" s="325" t="n">
        <f aca="false">(HQ41*$H41+HR41*$G41)</f>
        <v>115958.936379171</v>
      </c>
      <c r="HQ41" s="328" t="n">
        <f aca="false">HR41/$F41*HR$7</f>
        <v>115958.936379171</v>
      </c>
      <c r="HR41" s="338" t="n">
        <v>132872.22</v>
      </c>
      <c r="HS41" s="325" t="n">
        <f aca="false">(HT41*$H41+HU41*$G41)</f>
        <v>116869.291988509</v>
      </c>
      <c r="HT41" s="328" t="n">
        <f aca="false">HU41/$F41*HU$7</f>
        <v>116869.291988509</v>
      </c>
      <c r="HU41" s="338" t="n">
        <v>132872.22</v>
      </c>
      <c r="HV41" s="325" t="n">
        <f aca="false">(HW41*$H41+HX41*$G41)</f>
        <v>132931.522209152</v>
      </c>
      <c r="HW41" s="328" t="n">
        <f aca="false">HX41/$F41*HX$7</f>
        <v>132931.522209152</v>
      </c>
      <c r="HX41" s="338" t="n">
        <v>132872.22</v>
      </c>
      <c r="HY41" s="325" t="n">
        <f aca="false">(HZ41*$H41+IA41*$G41)</f>
        <v>130061.320148829</v>
      </c>
      <c r="HZ41" s="328" t="n">
        <f aca="false">IA41/$F41*IA$7</f>
        <v>130061.320148829</v>
      </c>
      <c r="IA41" s="338" t="n">
        <v>132872.22</v>
      </c>
      <c r="IB41" s="325" t="n">
        <f aca="false">(IC41*$H41+ID41*$G41)</f>
        <v>127043.376553166</v>
      </c>
      <c r="IC41" s="328" t="n">
        <f aca="false">ID41/$F41*ID$7</f>
        <v>127043.376553166</v>
      </c>
      <c r="ID41" s="338" t="n">
        <v>132872.22</v>
      </c>
      <c r="IE41" s="325" t="n">
        <f aca="false">(IF41*$H41+IG41*$G41)</f>
        <v>127962.816593479</v>
      </c>
      <c r="IF41" s="328" t="n">
        <f aca="false">IG41/$F41*IG$7</f>
        <v>127962.816593479</v>
      </c>
      <c r="IG41" s="338" t="n">
        <v>132872.22</v>
      </c>
      <c r="IH41" s="325" t="n">
        <f aca="false">(II41*$H41+IJ41*$G41)</f>
        <v>131968.572525745</v>
      </c>
      <c r="II41" s="328" t="n">
        <f aca="false">IJ41/$F41*IJ$7</f>
        <v>131968.572525745</v>
      </c>
      <c r="IJ41" s="338" t="n">
        <v>132872.22</v>
      </c>
      <c r="IK41" s="325" t="n">
        <f aca="false">(IL41*$H41+IM41*$G41)</f>
        <v>130605.429751469</v>
      </c>
      <c r="IL41" s="328" t="n">
        <f aca="false">IM41/$F41*IM$7</f>
        <v>130605.429751469</v>
      </c>
      <c r="IM41" s="338" t="n">
        <v>132872.22</v>
      </c>
      <c r="IN41" s="325" t="n">
        <f aca="false">(IO41*$H41+IP41*$G41)</f>
        <v>134842.599609638</v>
      </c>
      <c r="IO41" s="328" t="n">
        <f aca="false">IP41/$F41*IP$7</f>
        <v>134842.599609638</v>
      </c>
      <c r="IP41" s="338" t="n">
        <v>132872.22</v>
      </c>
      <c r="IQ41" s="325" t="n">
        <f aca="false">(IR41*$H41+IS41*$G41)</f>
        <v>135648.245198784</v>
      </c>
      <c r="IR41" s="328" t="n">
        <f aca="false">IS41/$F41*IS$7</f>
        <v>135648.245198784</v>
      </c>
      <c r="IS41" s="338" t="n">
        <v>132872.22</v>
      </c>
      <c r="IT41" s="325" t="n">
        <f aca="false">(IU41*$H41+IV41*$G41)</f>
        <v>135574.613495088</v>
      </c>
      <c r="IU41" s="328" t="n">
        <f aca="false">IV41/$F41*IV$7</f>
        <v>135574.613495088</v>
      </c>
      <c r="IV41" s="338" t="n">
        <v>132872.22</v>
      </c>
      <c r="IW41" s="325" t="n">
        <f aca="false">(IX41*$H41+IY41*$G41)</f>
        <v>134062.77292958</v>
      </c>
      <c r="IX41" s="328" t="n">
        <f aca="false">IY41/$F41*IY$7</f>
        <v>134062.77292958</v>
      </c>
      <c r="IY41" s="338" t="n">
        <v>132872.22</v>
      </c>
      <c r="JC41" s="325" t="n">
        <f aca="false">(JD41*$H41+JE41*$G41)</f>
        <v>134848.815272937</v>
      </c>
      <c r="JD41" s="329" t="n">
        <f aca="false">JE41/$F41*JE$7</f>
        <v>134848.815272937</v>
      </c>
      <c r="JE41" s="338" t="n">
        <v>132872.22</v>
      </c>
      <c r="JF41" s="325" t="n">
        <f aca="false">(JG41*$H41+JH41*$G41)</f>
        <v>133543.04785219</v>
      </c>
      <c r="JG41" s="326" t="n">
        <f aca="false">JH41/$F41*JH$7</f>
        <v>133543.04785219</v>
      </c>
      <c r="JH41" s="338" t="n">
        <v>132872.22</v>
      </c>
      <c r="JI41" s="325" t="n">
        <f aca="false">(JJ41*$H41+JK41*$G41)</f>
        <v>132529.416606498</v>
      </c>
      <c r="JJ41" s="326" t="n">
        <f aca="false">JK41/$F41*JK$7</f>
        <v>132529.416606498</v>
      </c>
      <c r="JK41" s="338" t="n">
        <v>132872.22</v>
      </c>
      <c r="JL41" s="325" t="n">
        <f aca="false">(JM41*$H41+JN41*$G41)</f>
        <v>133921.725185486</v>
      </c>
      <c r="JM41" s="326" t="n">
        <f aca="false">JN41/$F41*JN$7</f>
        <v>133921.725185486</v>
      </c>
      <c r="JN41" s="338" t="n">
        <v>132872.22</v>
      </c>
      <c r="JO41" s="325" t="n">
        <f aca="false">(JP41*$H41+JQ41*$G41)</f>
        <v>131325.01231032</v>
      </c>
      <c r="JP41" s="326" t="n">
        <f aca="false">JQ41/$F41*JQ$7</f>
        <v>131325.01231032</v>
      </c>
      <c r="JQ41" s="338" t="n">
        <v>132872.22</v>
      </c>
      <c r="JR41" s="325" t="n">
        <f aca="false">(JS41*$H41+JT41*$G41)</f>
        <v>130019.72301752</v>
      </c>
      <c r="JS41" s="328" t="n">
        <f aca="false">JT41/$F41*JT$7</f>
        <v>130019.72301752</v>
      </c>
      <c r="JT41" s="338" t="n">
        <v>132872.22</v>
      </c>
      <c r="JU41" s="325" t="n">
        <f aca="false">(JV41*$H41+JW41*$G41)</f>
        <v>130148.817562961</v>
      </c>
      <c r="JV41" s="329" t="n">
        <f aca="false">JW41/$F41*JW$7</f>
        <v>130148.817562961</v>
      </c>
      <c r="JW41" s="338" t="n">
        <v>132872.22</v>
      </c>
      <c r="JX41" s="325" t="n">
        <f aca="false">(JY41*$H41+JZ41*$G41)</f>
        <v>127399.581872996</v>
      </c>
      <c r="JY41" s="329" t="n">
        <f aca="false">JZ41/$F41*JZ$7</f>
        <v>127399.581872996</v>
      </c>
      <c r="JZ41" s="338" t="n">
        <v>132872.22</v>
      </c>
      <c r="KA41" s="325" t="n">
        <f aca="false">(KB41*$H41+KC41*$G41)</f>
        <v>127673.5491861</v>
      </c>
      <c r="KB41" s="329" t="n">
        <f aca="false">KC41/$F41*KC$7</f>
        <v>127673.5491861</v>
      </c>
      <c r="KC41" s="338" t="n">
        <v>132872.22</v>
      </c>
      <c r="KD41" s="325" t="n">
        <f aca="false">(KE41*$H41+KF41*$G41)</f>
        <v>125613.773994384</v>
      </c>
      <c r="KE41" s="329" t="n">
        <f aca="false">KF41/$F41*KF$7</f>
        <v>125613.773994384</v>
      </c>
      <c r="KF41" s="338" t="n">
        <v>132872.22</v>
      </c>
      <c r="KG41" s="325" t="n">
        <f aca="false">(KH41*$H41+KI41*$G41)</f>
        <v>127463.172889825</v>
      </c>
      <c r="KH41" s="329" t="n">
        <f aca="false">KI41/$F41*KI$7</f>
        <v>127463.172889825</v>
      </c>
      <c r="KI41" s="338" t="n">
        <v>132872.22</v>
      </c>
      <c r="KJ41" s="325" t="n">
        <f aca="false">(KK41*$H41+KL41*$G41)</f>
        <v>130455.297576399</v>
      </c>
      <c r="KK41" s="329" t="n">
        <f aca="false">KL41/$F41*KL$7</f>
        <v>130455.297576399</v>
      </c>
      <c r="KL41" s="338" t="n">
        <v>132872.22</v>
      </c>
      <c r="KP41" s="325" t="n">
        <f aca="false">(KQ41*$H41+KR41*$G41)</f>
        <v>135836.62760954</v>
      </c>
      <c r="KQ41" s="329" t="n">
        <f aca="false">KR41/$F41*KR$7</f>
        <v>135836.62760954</v>
      </c>
      <c r="KR41" s="338" t="n">
        <v>132872.22</v>
      </c>
      <c r="KS41" s="325" t="n">
        <f aca="false">(KT41*$H41+KU41*$G41)</f>
        <v>138598.294626104</v>
      </c>
      <c r="KT41" s="329" t="n">
        <f aca="false">KU41/$F41*KU$7</f>
        <v>138598.294626104</v>
      </c>
      <c r="KU41" s="338" t="n">
        <v>132872.22</v>
      </c>
      <c r="KV41" s="325" t="n">
        <f aca="false">(KW41*$H41+KX41*$G41)</f>
        <v>139875.852498032</v>
      </c>
      <c r="KW41" s="329" t="n">
        <f aca="false">KX41/$F41*KX$7</f>
        <v>139875.852498032</v>
      </c>
      <c r="KX41" s="338" t="n">
        <v>132872.22</v>
      </c>
      <c r="KY41" s="325" t="n">
        <f aca="false">(KZ41*$H41+LA41*$G41)</f>
        <v>139875.852498032</v>
      </c>
      <c r="KZ41" s="329" t="n">
        <f aca="false">LA41/$F41*LA$7</f>
        <v>139875.852498032</v>
      </c>
      <c r="LA41" s="338" t="n">
        <v>132872.22</v>
      </c>
      <c r="LB41" s="325" t="n">
        <f aca="false">(LC41*$H41+LD41*$G41)</f>
        <v>139875.852498032</v>
      </c>
      <c r="LC41" s="329" t="n">
        <f aca="false">LD41/$F41*LD$7</f>
        <v>139875.852498032</v>
      </c>
      <c r="LD41" s="338" t="n">
        <v>132872.22</v>
      </c>
      <c r="LE41" s="325" t="n">
        <f aca="false">(LF41*$H41+LG41*$G41)</f>
        <v>139875.852498032</v>
      </c>
      <c r="LF41" s="329" t="n">
        <f aca="false">LG41/$F41*LG$7</f>
        <v>139875.852498032</v>
      </c>
      <c r="LG41" s="338" t="n">
        <v>132872.22</v>
      </c>
      <c r="LH41" s="325" t="n">
        <f aca="false">(LI41*$H41+LJ41*$G41)</f>
        <v>174844.696090553</v>
      </c>
      <c r="LI41" s="329" t="n">
        <f aca="false">LJ41/$F41*LJ$7</f>
        <v>174844.696090553</v>
      </c>
      <c r="LJ41" s="338" t="n">
        <v>132872.22</v>
      </c>
      <c r="LM41" s="338" t="n">
        <v>132872.22</v>
      </c>
      <c r="LP41" s="338" t="n">
        <v>132872.22</v>
      </c>
      <c r="LS41" s="338" t="n">
        <v>132872.22</v>
      </c>
      <c r="LV41" s="338" t="n">
        <v>132872.22</v>
      </c>
      <c r="LY41" s="338" t="n">
        <v>132872.22</v>
      </c>
      <c r="ME41" s="338" t="n">
        <v>132872.22</v>
      </c>
      <c r="MH41" s="338" t="n">
        <v>132872.22</v>
      </c>
      <c r="MK41" s="338" t="n">
        <v>132872.22</v>
      </c>
      <c r="MN41" s="338" t="n">
        <v>132872.22</v>
      </c>
      <c r="MQ41" s="338" t="n">
        <v>132872.22</v>
      </c>
      <c r="MT41" s="338" t="n">
        <v>132872.22</v>
      </c>
      <c r="MW41" s="338" t="n">
        <v>132872.22</v>
      </c>
      <c r="MZ41" s="338" t="n">
        <v>132872.22</v>
      </c>
      <c r="NC41" s="338" t="n">
        <v>132872.22</v>
      </c>
      <c r="NF41" s="338" t="n">
        <v>132872.22</v>
      </c>
      <c r="NI41" s="338" t="n">
        <v>132872.22</v>
      </c>
      <c r="NL41" s="338" t="n">
        <v>132872.22</v>
      </c>
      <c r="NR41" s="338" t="n">
        <v>132872.22</v>
      </c>
      <c r="NU41" s="338" t="n">
        <v>132872.22</v>
      </c>
      <c r="NX41" s="338" t="n">
        <v>132872.22</v>
      </c>
      <c r="OA41" s="338" t="n">
        <v>132872.22</v>
      </c>
      <c r="OD41" s="338" t="n">
        <v>132872.22</v>
      </c>
      <c r="OE41" s="2"/>
      <c r="OF41" s="2"/>
      <c r="OG41" s="338"/>
      <c r="OJ41" s="338"/>
      <c r="OM41" s="338" t="n">
        <v>132872.22</v>
      </c>
      <c r="OP41" s="338" t="n">
        <v>132872.22</v>
      </c>
      <c r="OS41" s="338" t="n">
        <v>132872.22</v>
      </c>
      <c r="OV41" s="338" t="n">
        <v>132872.22</v>
      </c>
      <c r="OY41" s="338" t="n">
        <v>132872.22</v>
      </c>
    </row>
    <row r="42" s="329" customFormat="true" ht="15" hidden="false" customHeight="false" outlineLevel="0" collapsed="false">
      <c r="A42" s="283" t="n">
        <v>4.23</v>
      </c>
      <c r="B42" s="333"/>
      <c r="C42" s="320" t="n">
        <v>15138372.78</v>
      </c>
      <c r="D42" s="333"/>
      <c r="E42" s="334"/>
      <c r="F42" s="337" t="n">
        <v>27.790097</v>
      </c>
      <c r="G42" s="323" t="n">
        <v>0</v>
      </c>
      <c r="H42" s="324" t="n">
        <f aca="false">1-G42</f>
        <v>1</v>
      </c>
      <c r="I42" s="332" t="n">
        <f aca="false">J42/F42*26.191201</f>
        <v>3194648.08461259</v>
      </c>
      <c r="J42" s="319" t="n">
        <v>3389671.98</v>
      </c>
      <c r="K42" s="289"/>
      <c r="M42" s="327"/>
      <c r="N42" s="289"/>
      <c r="P42" s="327"/>
      <c r="Q42" s="289"/>
      <c r="S42" s="327"/>
      <c r="V42" s="327"/>
      <c r="W42" s="289"/>
      <c r="Y42" s="327"/>
      <c r="AC42" s="289"/>
      <c r="AE42" s="327"/>
      <c r="AF42" s="289"/>
      <c r="AH42" s="327"/>
      <c r="AI42" s="289"/>
      <c r="AK42" s="327"/>
      <c r="AL42" s="289"/>
      <c r="AN42" s="327"/>
      <c r="AO42" s="289"/>
      <c r="AQ42" s="327"/>
      <c r="AR42" s="289"/>
      <c r="AT42" s="327"/>
      <c r="AU42" s="289"/>
      <c r="AW42" s="327"/>
      <c r="AX42" s="289"/>
      <c r="AZ42" s="327"/>
      <c r="BA42" s="289"/>
      <c r="BC42" s="327"/>
      <c r="BD42" s="289"/>
      <c r="BF42" s="327"/>
      <c r="BG42" s="289"/>
      <c r="BI42" s="327"/>
      <c r="BJ42" s="289"/>
      <c r="BL42" s="327"/>
      <c r="BP42" s="289"/>
      <c r="BR42" s="327"/>
      <c r="BS42" s="289"/>
      <c r="BU42" s="327"/>
      <c r="BV42" s="289"/>
      <c r="BX42" s="327"/>
      <c r="BY42" s="289"/>
      <c r="CA42" s="327"/>
      <c r="CB42" s="289"/>
      <c r="CD42" s="327"/>
      <c r="CE42" s="289"/>
      <c r="CG42" s="327"/>
      <c r="CH42" s="289"/>
      <c r="CJ42" s="327"/>
      <c r="CK42" s="289"/>
      <c r="CM42" s="327"/>
      <c r="CN42" s="289"/>
      <c r="CP42" s="327"/>
      <c r="CQ42" s="289"/>
      <c r="CS42" s="327"/>
      <c r="CV42" s="327"/>
      <c r="CW42" s="289"/>
      <c r="CY42" s="327"/>
      <c r="DC42" s="335"/>
      <c r="DE42" s="327"/>
      <c r="DH42" s="327"/>
      <c r="DK42" s="327"/>
      <c r="DL42" s="289"/>
      <c r="DN42" s="327"/>
      <c r="DQ42" s="327"/>
      <c r="DT42" s="327"/>
      <c r="ED42" s="289"/>
      <c r="EJ42" s="289"/>
      <c r="FN42" s="289"/>
      <c r="FQ42" s="289"/>
      <c r="FT42" s="289"/>
      <c r="FW42" s="289"/>
      <c r="GC42" s="289"/>
      <c r="GK42" s="327"/>
      <c r="GN42" s="327"/>
      <c r="GQ42" s="338"/>
      <c r="GR42" s="289"/>
      <c r="GT42" s="338"/>
      <c r="GU42" s="325" t="n">
        <f aca="false">(GV42*$H42+GW42*$G42)</f>
        <v>181897.388635585</v>
      </c>
      <c r="GV42" s="328" t="n">
        <f aca="false">GW42/$F42*GW$7</f>
        <v>181897.388635585</v>
      </c>
      <c r="GW42" s="338" t="n">
        <v>195811.68</v>
      </c>
      <c r="GX42" s="325" t="n">
        <f aca="false">(GY42*$H42+GZ42*$G42)</f>
        <v>177390.276082488</v>
      </c>
      <c r="GY42" s="328" t="n">
        <f aca="false">GZ42/$F42*GZ$7</f>
        <v>177390.276082488</v>
      </c>
      <c r="GZ42" s="338" t="n">
        <v>195811.68</v>
      </c>
      <c r="HA42" s="325" t="n">
        <f aca="false">(HB42*$H42+HC42*$G42)</f>
        <v>173826.142502599</v>
      </c>
      <c r="HB42" s="328" t="n">
        <f aca="false">HC42/$F42*HC$7</f>
        <v>173826.142502599</v>
      </c>
      <c r="HC42" s="338" t="n">
        <v>195811.68</v>
      </c>
      <c r="HD42" s="325" t="n">
        <f aca="false">(HE42*$H42+HF42*$G42)</f>
        <v>176399.503442873</v>
      </c>
      <c r="HE42" s="328" t="n">
        <f aca="false">HF42/$F42*HF$7</f>
        <v>176399.503442873</v>
      </c>
      <c r="HF42" s="338" t="n">
        <v>195811.68</v>
      </c>
      <c r="HG42" s="325" t="n">
        <f aca="false">(HH42*$H42+HI42*$G42)</f>
        <v>170543.190413443</v>
      </c>
      <c r="HH42" s="328" t="n">
        <f aca="false">HI42/$F42*HI$7</f>
        <v>170543.190413443</v>
      </c>
      <c r="HI42" s="338" t="n">
        <v>195811.68</v>
      </c>
      <c r="HJ42" s="325" t="n">
        <f aca="false">(HK42*$H42+HL42*$G42)</f>
        <v>164970.842082504</v>
      </c>
      <c r="HK42" s="328" t="n">
        <f aca="false">HL42/$F42*HL$7</f>
        <v>164970.842082504</v>
      </c>
      <c r="HL42" s="338" t="n">
        <v>195811.68</v>
      </c>
      <c r="HP42" s="325" t="n">
        <f aca="false">(HQ42*$H42+HR42*$G42)</f>
        <v>170886.842587703</v>
      </c>
      <c r="HQ42" s="328" t="n">
        <f aca="false">HR42/$F42*HR$7</f>
        <v>170886.842587703</v>
      </c>
      <c r="HR42" s="338" t="n">
        <v>195811.68</v>
      </c>
      <c r="HS42" s="325" t="n">
        <f aca="false">(HT42*$H42+HU42*$G42)</f>
        <v>172228.419188605</v>
      </c>
      <c r="HT42" s="328" t="n">
        <f aca="false">HU42/$F42*HU$7</f>
        <v>172228.419188605</v>
      </c>
      <c r="HU42" s="338" t="n">
        <v>195811.68</v>
      </c>
      <c r="HV42" s="325" t="n">
        <f aca="false">(HW42*$H42+HX42*$G42)</f>
        <v>195899.07272364</v>
      </c>
      <c r="HW42" s="328" t="n">
        <f aca="false">HX42/$F42*HX$7</f>
        <v>195899.07272364</v>
      </c>
      <c r="HX42" s="338" t="n">
        <v>195811.68</v>
      </c>
      <c r="HY42" s="325" t="n">
        <f aca="false">(HZ42*$H42+IA42*$G42)</f>
        <v>191669.301539178</v>
      </c>
      <c r="HZ42" s="328" t="n">
        <f aca="false">IA42/$F42*IA$7</f>
        <v>191669.301539178</v>
      </c>
      <c r="IA42" s="338" t="n">
        <v>195811.68</v>
      </c>
      <c r="IB42" s="325" t="n">
        <f aca="false">(IC42*$H42+ID42*$G42)</f>
        <v>187221.806000893</v>
      </c>
      <c r="IC42" s="328" t="n">
        <f aca="false">ID42/$F42*ID$7</f>
        <v>187221.806000893</v>
      </c>
      <c r="ID42" s="338" t="n">
        <v>195811.68</v>
      </c>
      <c r="IE42" s="325" t="n">
        <f aca="false">(IF42*$H42+IG42*$G42)</f>
        <v>188576.770183422</v>
      </c>
      <c r="IF42" s="328" t="n">
        <f aca="false">IG42/$F42*IG$7</f>
        <v>188576.770183422</v>
      </c>
      <c r="IG42" s="338" t="n">
        <v>195811.68</v>
      </c>
      <c r="IH42" s="325" t="n">
        <f aca="false">(II42*$H42+IJ42*$G42)</f>
        <v>194479.989071215</v>
      </c>
      <c r="II42" s="328" t="n">
        <f aca="false">IJ42/$F42*IJ$7</f>
        <v>194479.989071215</v>
      </c>
      <c r="IJ42" s="338" t="n">
        <v>195811.68</v>
      </c>
      <c r="IK42" s="325" t="n">
        <f aca="false">(IL42*$H42+IM42*$G42)</f>
        <v>192471.147217658</v>
      </c>
      <c r="IL42" s="328" t="n">
        <f aca="false">IM42/$F42*IM$7</f>
        <v>192471.147217658</v>
      </c>
      <c r="IM42" s="338" t="n">
        <v>195811.68</v>
      </c>
      <c r="IN42" s="325" t="n">
        <f aca="false">(IO42*$H42+IP42*$G42)</f>
        <v>198715.397132151</v>
      </c>
      <c r="IO42" s="328" t="n">
        <f aca="false">IP42/$F42*IP$7</f>
        <v>198715.397132151</v>
      </c>
      <c r="IP42" s="338" t="n">
        <v>195811.68</v>
      </c>
      <c r="IQ42" s="325" t="n">
        <f aca="false">(IR42*$H42+IS42*$G42)</f>
        <v>199902.664239567</v>
      </c>
      <c r="IR42" s="328" t="n">
        <f aca="false">IS42/$F42*IS$7</f>
        <v>199902.664239567</v>
      </c>
      <c r="IS42" s="338" t="n">
        <v>195811.68</v>
      </c>
      <c r="IT42" s="325" t="n">
        <f aca="false">(IU42*$H42+IV42*$G42)</f>
        <v>199794.154367435</v>
      </c>
      <c r="IU42" s="328" t="n">
        <f aca="false">IV42/$F42*IV$7</f>
        <v>199794.154367435</v>
      </c>
      <c r="IV42" s="338" t="n">
        <v>195811.68</v>
      </c>
      <c r="IW42" s="325" t="n">
        <f aca="false">(IX42*$H42+IY42*$G42)</f>
        <v>197566.178940937</v>
      </c>
      <c r="IX42" s="328" t="n">
        <f aca="false">IY42/$F42*IY$7</f>
        <v>197566.178940937</v>
      </c>
      <c r="IY42" s="338" t="n">
        <v>195811.68</v>
      </c>
      <c r="JC42" s="325" t="n">
        <f aca="false">(JD42*$H42+JE42*$G42)</f>
        <v>198724.557056422</v>
      </c>
      <c r="JD42" s="329" t="n">
        <f aca="false">JE42/$F42*JE$7</f>
        <v>198724.557056422</v>
      </c>
      <c r="JE42" s="338" t="n">
        <v>195811.68</v>
      </c>
      <c r="JF42" s="325" t="n">
        <f aca="false">(JG42*$H42+JH42*$G42)</f>
        <v>196800.268349981</v>
      </c>
      <c r="JG42" s="326" t="n">
        <f aca="false">JH42/$F42*JH$7</f>
        <v>196800.268349981</v>
      </c>
      <c r="JH42" s="338" t="n">
        <v>195811.68</v>
      </c>
      <c r="JI42" s="325" t="n">
        <f aca="false">(JJ42*$H42+JK42*$G42)</f>
        <v>195306.496084271</v>
      </c>
      <c r="JJ42" s="326" t="n">
        <f aca="false">JK42/$F42*JK$7</f>
        <v>195306.496084271</v>
      </c>
      <c r="JK42" s="338" t="n">
        <v>195811.68</v>
      </c>
      <c r="JL42" s="325" t="n">
        <f aca="false">(JM42*$H42+JN42*$G42)</f>
        <v>197358.319120944</v>
      </c>
      <c r="JM42" s="326" t="n">
        <f aca="false">JN42/$F42*JN$7</f>
        <v>197358.319120944</v>
      </c>
      <c r="JN42" s="338" t="n">
        <v>195811.68</v>
      </c>
      <c r="JO42" s="325" t="n">
        <f aca="false">(JP42*$H42+JQ42*$G42)</f>
        <v>193531.584604401</v>
      </c>
      <c r="JP42" s="326" t="n">
        <f aca="false">JQ42/$F42*JQ$7</f>
        <v>193531.584604401</v>
      </c>
      <c r="JQ42" s="338" t="n">
        <v>195811.68</v>
      </c>
      <c r="JR42" s="325" t="n">
        <f aca="false">(JS42*$H42+JT42*$G42)</f>
        <v>191608.000507519</v>
      </c>
      <c r="JS42" s="328" t="n">
        <f aca="false">JT42/$F42*JT$7</f>
        <v>191608.000507519</v>
      </c>
      <c r="JT42" s="338" t="n">
        <v>195811.68</v>
      </c>
      <c r="JU42" s="325" t="n">
        <f aca="false">(JV42*$H42+JW42*$G42)</f>
        <v>191798.245088529</v>
      </c>
      <c r="JV42" s="329" t="n">
        <f aca="false">JW42/$F42*JW$7</f>
        <v>191798.245088529</v>
      </c>
      <c r="JW42" s="338" t="n">
        <v>195811.68</v>
      </c>
      <c r="JX42" s="325" t="n">
        <f aca="false">(JY42*$H42+JZ42*$G42)</f>
        <v>187746.74012257</v>
      </c>
      <c r="JY42" s="329" t="n">
        <f aca="false">JZ42/$F42*JZ$7</f>
        <v>187746.74012257</v>
      </c>
      <c r="JZ42" s="338" t="n">
        <v>195811.68</v>
      </c>
      <c r="KA42" s="325" t="n">
        <f aca="false">(KB42*$H42+KC42*$G42)</f>
        <v>188150.481400047</v>
      </c>
      <c r="KB42" s="329" t="n">
        <f aca="false">KC42/$F42*KC$7</f>
        <v>188150.481400047</v>
      </c>
      <c r="KC42" s="338" t="n">
        <v>195811.68</v>
      </c>
      <c r="KD42" s="325" t="n">
        <f aca="false">(KE42*$H42+KF42*$G42)</f>
        <v>185115.023418594</v>
      </c>
      <c r="KE42" s="329" t="n">
        <f aca="false">KF42/$F42*KF$7</f>
        <v>185115.023418594</v>
      </c>
      <c r="KF42" s="338" t="n">
        <v>195811.68</v>
      </c>
      <c r="KG42" s="325" t="n">
        <f aca="false">(KH42*$H42+KI42*$G42)</f>
        <v>187840.453193956</v>
      </c>
      <c r="KH42" s="329" t="n">
        <f aca="false">KI42/$F42*KI$7</f>
        <v>187840.453193956</v>
      </c>
      <c r="KI42" s="338" t="n">
        <v>195811.68</v>
      </c>
      <c r="KJ42" s="325" t="n">
        <f aca="false">(KK42*$H42+KL42*$G42)</f>
        <v>192249.899816039</v>
      </c>
      <c r="KK42" s="329" t="n">
        <f aca="false">KL42/$F42*KL$7</f>
        <v>192249.899816039</v>
      </c>
      <c r="KL42" s="338" t="n">
        <v>195811.68</v>
      </c>
      <c r="KP42" s="325" t="n">
        <f aca="false">(KQ42*$H42+KR42*$G42)</f>
        <v>200180.28040593</v>
      </c>
      <c r="KQ42" s="329" t="n">
        <f aca="false">KR42/$F42*KR$7</f>
        <v>200180.28040593</v>
      </c>
      <c r="KR42" s="338" t="n">
        <v>195811.68</v>
      </c>
      <c r="KS42" s="325" t="n">
        <f aca="false">(KT42*$H42+KU42*$G42)</f>
        <v>204250.105220432</v>
      </c>
      <c r="KT42" s="329" t="n">
        <f aca="false">KU42/$F42*KU$7</f>
        <v>204250.105220432</v>
      </c>
      <c r="KU42" s="338" t="n">
        <v>195811.68</v>
      </c>
      <c r="KV42" s="325" t="n">
        <f aca="false">(KW42*$H42+KX42*$G42)</f>
        <v>206132.821962874</v>
      </c>
      <c r="KW42" s="329" t="n">
        <f aca="false">KX42/$F42*KX$7</f>
        <v>206132.821962874</v>
      </c>
      <c r="KX42" s="338" t="n">
        <v>195811.68</v>
      </c>
      <c r="KY42" s="325" t="n">
        <f aca="false">(KZ42*$H42+LA42*$G42)</f>
        <v>206132.821962874</v>
      </c>
      <c r="KZ42" s="329" t="n">
        <f aca="false">LA42/$F42*LA$7</f>
        <v>206132.821962874</v>
      </c>
      <c r="LA42" s="338" t="n">
        <v>195811.68</v>
      </c>
      <c r="LB42" s="325" t="n">
        <f aca="false">(LC42*$H42+LD42*$G42)</f>
        <v>206132.821962874</v>
      </c>
      <c r="LC42" s="329" t="n">
        <f aca="false">LD42/$F42*LD$7</f>
        <v>206132.821962874</v>
      </c>
      <c r="LD42" s="338" t="n">
        <v>195811.68</v>
      </c>
      <c r="LE42" s="325" t="n">
        <f aca="false">(LF42*$H42+LG42*$G42)</f>
        <v>206132.821962874</v>
      </c>
      <c r="LF42" s="329" t="n">
        <f aca="false">LG42/$F42*LG$7</f>
        <v>206132.821962874</v>
      </c>
      <c r="LG42" s="338" t="n">
        <v>195811.68</v>
      </c>
      <c r="LH42" s="325" t="n">
        <f aca="false">(LI42*$H42+LJ42*$G42)</f>
        <v>257665.851301203</v>
      </c>
      <c r="LI42" s="329" t="n">
        <f aca="false">LJ42/$F42*LJ$7</f>
        <v>257665.851301203</v>
      </c>
      <c r="LJ42" s="338" t="n">
        <v>195811.68</v>
      </c>
      <c r="LM42" s="338" t="n">
        <v>195811.68</v>
      </c>
      <c r="LP42" s="338" t="n">
        <v>195811.68</v>
      </c>
      <c r="LS42" s="338" t="n">
        <v>195811.68</v>
      </c>
      <c r="LV42" s="338" t="n">
        <v>195811.68</v>
      </c>
      <c r="LY42" s="338" t="n">
        <v>195811.68</v>
      </c>
      <c r="ME42" s="338" t="n">
        <v>195811.68</v>
      </c>
      <c r="MH42" s="338" t="n">
        <v>195811.68</v>
      </c>
      <c r="MK42" s="338" t="n">
        <v>195811.68</v>
      </c>
      <c r="MN42" s="338" t="n">
        <v>195811.68</v>
      </c>
      <c r="MQ42" s="338" t="n">
        <v>195811.68</v>
      </c>
      <c r="MT42" s="338" t="n">
        <v>195811.68</v>
      </c>
      <c r="MW42" s="338" t="n">
        <v>195811.68</v>
      </c>
      <c r="MZ42" s="338" t="n">
        <v>195811.68</v>
      </c>
      <c r="NC42" s="338" t="n">
        <v>195811.68</v>
      </c>
      <c r="NF42" s="338" t="n">
        <v>195811.68</v>
      </c>
      <c r="NI42" s="338" t="n">
        <v>195811.68</v>
      </c>
      <c r="NL42" s="338" t="n">
        <v>195811.68</v>
      </c>
      <c r="NR42" s="338" t="n">
        <v>195811.68</v>
      </c>
      <c r="NU42" s="338" t="n">
        <v>195811.68</v>
      </c>
      <c r="NX42" s="338" t="n">
        <v>195811.68</v>
      </c>
      <c r="OA42" s="338" t="n">
        <v>195811.68</v>
      </c>
      <c r="OD42" s="338" t="n">
        <v>195811.68</v>
      </c>
      <c r="OG42" s="338" t="n">
        <v>195811.68</v>
      </c>
      <c r="OJ42" s="338"/>
      <c r="OM42" s="338" t="n">
        <v>195811.68</v>
      </c>
      <c r="OP42" s="338" t="n">
        <v>195811.68</v>
      </c>
      <c r="OS42" s="338" t="n">
        <v>195811.68</v>
      </c>
      <c r="OV42" s="338" t="n">
        <v>195811.68</v>
      </c>
      <c r="OY42" s="338" t="n">
        <v>195811.68</v>
      </c>
    </row>
    <row r="43" s="329" customFormat="true" ht="15" hidden="false" customHeight="false" outlineLevel="0" collapsed="false">
      <c r="A43" s="283" t="n">
        <v>4.24</v>
      </c>
      <c r="B43" s="333"/>
      <c r="C43" s="320" t="n">
        <v>1094808.96</v>
      </c>
      <c r="D43" s="333"/>
      <c r="E43" s="334"/>
      <c r="F43" s="337" t="n">
        <v>27.74096</v>
      </c>
      <c r="G43" s="323" t="n">
        <v>0</v>
      </c>
      <c r="H43" s="324" t="n">
        <f aca="false">1-G43</f>
        <v>1</v>
      </c>
      <c r="I43" s="332" t="n">
        <f aca="false">J43/F43*25.602161</f>
        <v>188663.640244395</v>
      </c>
      <c r="J43" s="319" t="n">
        <v>204424.56</v>
      </c>
      <c r="K43" s="289"/>
      <c r="M43" s="327"/>
      <c r="N43" s="289"/>
      <c r="P43" s="327"/>
      <c r="Q43" s="289"/>
      <c r="S43" s="327"/>
      <c r="V43" s="327"/>
      <c r="W43" s="289"/>
      <c r="Y43" s="327"/>
      <c r="AC43" s="289"/>
      <c r="AE43" s="327"/>
      <c r="AF43" s="289"/>
      <c r="AH43" s="327"/>
      <c r="AI43" s="289"/>
      <c r="AK43" s="327"/>
      <c r="AL43" s="289"/>
      <c r="AN43" s="327"/>
      <c r="AO43" s="289"/>
      <c r="AQ43" s="327"/>
      <c r="AR43" s="289"/>
      <c r="AT43" s="327"/>
      <c r="AU43" s="289"/>
      <c r="AW43" s="327"/>
      <c r="AX43" s="289"/>
      <c r="AZ43" s="327"/>
      <c r="BA43" s="289"/>
      <c r="BC43" s="327"/>
      <c r="BD43" s="289"/>
      <c r="BF43" s="327"/>
      <c r="BG43" s="289"/>
      <c r="BI43" s="327"/>
      <c r="BJ43" s="289"/>
      <c r="BL43" s="327"/>
      <c r="BP43" s="289"/>
      <c r="BR43" s="327"/>
      <c r="BS43" s="289"/>
      <c r="BU43" s="327"/>
      <c r="BV43" s="289"/>
      <c r="BX43" s="327"/>
      <c r="BY43" s="289"/>
      <c r="CA43" s="327"/>
      <c r="CB43" s="289"/>
      <c r="CD43" s="327"/>
      <c r="CE43" s="289"/>
      <c r="CG43" s="327"/>
      <c r="CH43" s="289"/>
      <c r="CJ43" s="327"/>
      <c r="CK43" s="289"/>
      <c r="CM43" s="327"/>
      <c r="CN43" s="289"/>
      <c r="CP43" s="327"/>
      <c r="CQ43" s="289"/>
      <c r="CS43" s="327"/>
      <c r="CV43" s="327"/>
      <c r="CW43" s="289"/>
      <c r="CY43" s="327"/>
      <c r="DC43" s="335"/>
      <c r="DE43" s="327"/>
      <c r="DH43" s="327"/>
      <c r="DK43" s="327"/>
      <c r="DL43" s="289"/>
      <c r="DN43" s="327"/>
      <c r="DQ43" s="327"/>
      <c r="DT43" s="327"/>
      <c r="ED43" s="289"/>
      <c r="EJ43" s="289"/>
      <c r="FN43" s="289"/>
      <c r="FQ43" s="289"/>
      <c r="FT43" s="289"/>
      <c r="FW43" s="289"/>
      <c r="GC43" s="289"/>
      <c r="GK43" s="327"/>
      <c r="GN43" s="327"/>
      <c r="GQ43" s="327"/>
      <c r="GT43" s="327"/>
      <c r="GU43" s="289"/>
      <c r="GW43" s="327"/>
      <c r="GX43" s="325" t="n">
        <f aca="false">(GY43*$H43+GZ43*$G43)</f>
        <v>13467.4721019806</v>
      </c>
      <c r="GY43" s="328" t="n">
        <f aca="false">GZ43/$F43*GZ$7</f>
        <v>13467.4721019806</v>
      </c>
      <c r="GZ43" s="327" t="n">
        <v>14839.74</v>
      </c>
      <c r="HA43" s="325" t="n">
        <f aca="false">(HB43*$H43+HC43*$G43)</f>
        <v>13196.8830335439</v>
      </c>
      <c r="HB43" s="328" t="n">
        <f aca="false">HC43/$F43*HC$7</f>
        <v>13196.8830335439</v>
      </c>
      <c r="HC43" s="327" t="n">
        <v>14839.74</v>
      </c>
      <c r="HD43" s="325" t="n">
        <f aca="false">(HE43*$H43+HF43*$G43)</f>
        <v>13392.2526301015</v>
      </c>
      <c r="HE43" s="328" t="n">
        <f aca="false">HF43/$F43*HF$7</f>
        <v>13392.2526301015</v>
      </c>
      <c r="HF43" s="327" t="n">
        <v>14839.74</v>
      </c>
      <c r="HG43" s="325" t="n">
        <f aca="false">(HH43*$H43+HI43*$G43)</f>
        <v>12947.6412675956</v>
      </c>
      <c r="HH43" s="328" t="n">
        <f aca="false">HI43/$F43*HI$7</f>
        <v>12947.6412675956</v>
      </c>
      <c r="HI43" s="327" t="n">
        <v>14839.74</v>
      </c>
      <c r="HJ43" s="325" t="n">
        <f aca="false">(HK43*$H43+HL43*$G43)</f>
        <v>12524.5885087481</v>
      </c>
      <c r="HK43" s="328" t="n">
        <f aca="false">HL43/$F43*HL$7</f>
        <v>12524.5885087481</v>
      </c>
      <c r="HL43" s="327" t="n">
        <v>14839.74</v>
      </c>
      <c r="HP43" s="325" t="n">
        <f aca="false">(HQ43*$H43+HR43*$G43)</f>
        <v>12973.7313452022</v>
      </c>
      <c r="HQ43" s="328" t="n">
        <f aca="false">HR43/$F43*HR$7</f>
        <v>12973.7313452022</v>
      </c>
      <c r="HR43" s="327" t="n">
        <v>14839.74</v>
      </c>
      <c r="HS43" s="325" t="n">
        <f aca="false">(HT43*$H43+HU43*$G43)</f>
        <v>13075.5838584533</v>
      </c>
      <c r="HT43" s="328" t="n">
        <f aca="false">HU43/$F43*HU$7</f>
        <v>13075.5838584533</v>
      </c>
      <c r="HU43" s="327" t="n">
        <v>14839.74</v>
      </c>
      <c r="HV43" s="325" t="n">
        <f aca="false">(HW43*$H43+HX43*$G43)</f>
        <v>14872.6601873187</v>
      </c>
      <c r="HW43" s="328" t="n">
        <f aca="false">HX43/$F43*HX$7</f>
        <v>14872.6601873187</v>
      </c>
      <c r="HX43" s="327" t="n">
        <v>14839.74</v>
      </c>
      <c r="HY43" s="325" t="n">
        <f aca="false">(HZ43*$H43+IA43*$G43)</f>
        <v>14551.5359031555</v>
      </c>
      <c r="HZ43" s="328" t="n">
        <f aca="false">IA43/$F43*IA$7</f>
        <v>14551.5359031555</v>
      </c>
      <c r="IA43" s="327" t="n">
        <v>14839.74</v>
      </c>
      <c r="IB43" s="325" t="n">
        <f aca="false">(IC43*$H43+ID43*$G43)</f>
        <v>14213.8819831758</v>
      </c>
      <c r="IC43" s="328" t="n">
        <f aca="false">ID43/$F43*ID$7</f>
        <v>14213.8819831758</v>
      </c>
      <c r="ID43" s="327" t="n">
        <v>14839.74</v>
      </c>
      <c r="IE43" s="325" t="n">
        <f aca="false">(IF43*$H43+IG43*$G43)</f>
        <v>14316.7508818008</v>
      </c>
      <c r="IF43" s="328" t="n">
        <f aca="false">IG43/$F43*IG$7</f>
        <v>14316.7508818008</v>
      </c>
      <c r="IG43" s="327" t="n">
        <v>14839.74</v>
      </c>
      <c r="IH43" s="325" t="n">
        <f aca="false">(II43*$H43+IJ43*$G43)</f>
        <v>14764.9233376927</v>
      </c>
      <c r="II43" s="328" t="n">
        <f aca="false">IJ43/$F43*IJ$7</f>
        <v>14764.9233376927</v>
      </c>
      <c r="IJ43" s="327" t="n">
        <v>14839.74</v>
      </c>
      <c r="IK43" s="325" t="n">
        <f aca="false">(IL43*$H43+IM43*$G43)</f>
        <v>14612.4120376512</v>
      </c>
      <c r="IL43" s="328" t="n">
        <f aca="false">IM43/$F43*IM$7</f>
        <v>14612.4120376512</v>
      </c>
      <c r="IM43" s="327" t="n">
        <v>14839.74</v>
      </c>
      <c r="IN43" s="325" t="n">
        <f aca="false">(IO43*$H43+IP43*$G43)</f>
        <v>15086.4755735923</v>
      </c>
      <c r="IO43" s="328" t="n">
        <f aca="false">IP43/$F43*IP$7</f>
        <v>15086.4755735923</v>
      </c>
      <c r="IP43" s="327" t="n">
        <v>14839.74</v>
      </c>
      <c r="IQ43" s="325" t="n">
        <f aca="false">(IR43*$H43+IS43*$G43)</f>
        <v>15176.6129080609</v>
      </c>
      <c r="IR43" s="328" t="n">
        <f aca="false">IS43/$F43*IS$7</f>
        <v>15176.6129080609</v>
      </c>
      <c r="IS43" s="327" t="n">
        <v>14839.74</v>
      </c>
      <c r="IT43" s="325" t="n">
        <f aca="false">(IU43*$H43+IV43*$G43)</f>
        <v>15168.3748371361</v>
      </c>
      <c r="IU43" s="328" t="n">
        <f aca="false">IV43/$F43*IV$7</f>
        <v>15168.3748371361</v>
      </c>
      <c r="IV43" s="327" t="n">
        <v>14839.74</v>
      </c>
      <c r="IW43" s="325" t="n">
        <f aca="false">(IX43*$H43+IY43*$G43)</f>
        <v>14999.226913344</v>
      </c>
      <c r="IX43" s="328" t="n">
        <f aca="false">IY43/$F43*IY$7</f>
        <v>14999.226913344</v>
      </c>
      <c r="IY43" s="327" t="n">
        <v>14839.74</v>
      </c>
      <c r="JC43" s="325" t="n">
        <f aca="false">(JD43*$H43+JE43*$G43)</f>
        <v>15087.1709951638</v>
      </c>
      <c r="JD43" s="329" t="n">
        <f aca="false">JE43/$F43*JE$7</f>
        <v>15087.1709951638</v>
      </c>
      <c r="JE43" s="327" t="n">
        <v>14839.74</v>
      </c>
      <c r="JF43" s="325" t="n">
        <f aca="false">(JG43*$H43+JH43*$G43)</f>
        <v>14941.0789711675</v>
      </c>
      <c r="JG43" s="326" t="n">
        <f aca="false">JH43/$F43*JH$7</f>
        <v>14941.0789711675</v>
      </c>
      <c r="JH43" s="327" t="n">
        <v>14839.74</v>
      </c>
      <c r="JI43" s="325" t="n">
        <f aca="false">(JJ43*$H43+JK43*$G43)</f>
        <v>14827.6717610349</v>
      </c>
      <c r="JJ43" s="326" t="n">
        <f aca="false">JK43/$F43*JK$7</f>
        <v>14827.6717610349</v>
      </c>
      <c r="JK43" s="327" t="n">
        <v>14839.74</v>
      </c>
      <c r="JL43" s="325" t="n">
        <f aca="false">(JM43*$H43+JN43*$G43)</f>
        <v>14983.4461930661</v>
      </c>
      <c r="JM43" s="326" t="n">
        <f aca="false">JN43/$F43*JN$7</f>
        <v>14983.4461930661</v>
      </c>
      <c r="JN43" s="327" t="n">
        <v>14839.74</v>
      </c>
      <c r="JO43" s="325" t="n">
        <f aca="false">(JP43*$H43+JQ43*$G43)</f>
        <v>14692.9204580519</v>
      </c>
      <c r="JP43" s="326" t="n">
        <f aca="false">JQ43/$F43*JQ$7</f>
        <v>14692.9204580519</v>
      </c>
      <c r="JQ43" s="327" t="n">
        <v>14839.74</v>
      </c>
      <c r="JR43" s="325" t="n">
        <f aca="false">(JS43*$H43+JT43*$G43)</f>
        <v>14546.8819280227</v>
      </c>
      <c r="JS43" s="328" t="n">
        <f aca="false">JT43/$F43*JT$7</f>
        <v>14546.8819280227</v>
      </c>
      <c r="JT43" s="327" t="n">
        <v>14839.74</v>
      </c>
      <c r="JU43" s="325" t="n">
        <f aca="false">(JV43*$H43+JW43*$G43)</f>
        <v>14561.3252991245</v>
      </c>
      <c r="JV43" s="329" t="n">
        <f aca="false">JW43/$F43*JW$7</f>
        <v>14561.3252991245</v>
      </c>
      <c r="JW43" s="327" t="n">
        <v>14839.74</v>
      </c>
      <c r="JX43" s="325" t="n">
        <f aca="false">(JY43*$H43+JZ43*$G43)</f>
        <v>14253.7349886233</v>
      </c>
      <c r="JY43" s="329" t="n">
        <f aca="false">JZ43/$F43*JZ$7</f>
        <v>14253.7349886233</v>
      </c>
      <c r="JZ43" s="327" t="n">
        <v>14839.74</v>
      </c>
      <c r="KA43" s="325" t="n">
        <f aca="false">(KB43*$H43+KC43*$G43)</f>
        <v>14284.3870317393</v>
      </c>
      <c r="KB43" s="329" t="n">
        <f aca="false">KC43/$F43*KC$7</f>
        <v>14284.3870317393</v>
      </c>
      <c r="KC43" s="327" t="n">
        <v>14839.74</v>
      </c>
      <c r="KD43" s="325" t="n">
        <f aca="false">(KE43*$H43+KF43*$G43)</f>
        <v>14053.9350217152</v>
      </c>
      <c r="KE43" s="329" t="n">
        <f aca="false">KF43/$F43*KF$7</f>
        <v>14053.9350217152</v>
      </c>
      <c r="KF43" s="327" t="n">
        <v>14839.74</v>
      </c>
      <c r="KG43" s="325" t="n">
        <f aca="false">(KH43*$H43+KI43*$G43)</f>
        <v>14260.8496862401</v>
      </c>
      <c r="KH43" s="329" t="n">
        <f aca="false">KI43/$F43*KI$7</f>
        <v>14260.8496862401</v>
      </c>
      <c r="KI43" s="327" t="n">
        <v>14839.74</v>
      </c>
      <c r="KJ43" s="325" t="n">
        <f aca="false">(KK43*$H43+KL43*$G43)</f>
        <v>14595.6149319995</v>
      </c>
      <c r="KK43" s="329" t="n">
        <f aca="false">KL43/$F43*KL$7</f>
        <v>14595.6149319995</v>
      </c>
      <c r="KL43" s="327" t="n">
        <v>14839.74</v>
      </c>
      <c r="KP43" s="325" t="n">
        <f aca="false">(KQ43*$H43+KR43*$G43)</f>
        <v>15197.6895310761</v>
      </c>
      <c r="KQ43" s="329" t="n">
        <f aca="false">KR43/$F43*KR$7</f>
        <v>15197.6895310761</v>
      </c>
      <c r="KR43" s="327" t="n">
        <v>14839.74</v>
      </c>
      <c r="KS43" s="325" t="n">
        <f aca="false">(KT43*$H43+KU43*$G43)</f>
        <v>15506.6706847204</v>
      </c>
      <c r="KT43" s="329" t="n">
        <f aca="false">KU43/$F43*KU$7</f>
        <v>15506.6706847204</v>
      </c>
      <c r="KU43" s="327" t="n">
        <v>14839.74</v>
      </c>
      <c r="KV43" s="325" t="n">
        <f aca="false">(KW43*$H43+KX43*$G43)</f>
        <v>15649.6065646611</v>
      </c>
      <c r="KW43" s="329" t="n">
        <f aca="false">KX43/$F43*KX$7</f>
        <v>15649.6065646611</v>
      </c>
      <c r="KX43" s="327" t="n">
        <v>14839.74</v>
      </c>
      <c r="KY43" s="325" t="n">
        <f aca="false">(KZ43*$H43+LA43*$G43)</f>
        <v>15649.6065646611</v>
      </c>
      <c r="KZ43" s="329" t="n">
        <f aca="false">LA43/$F43*LA$7</f>
        <v>15649.6065646611</v>
      </c>
      <c r="LA43" s="327" t="n">
        <v>14839.74</v>
      </c>
      <c r="LB43" s="325" t="n">
        <f aca="false">(LC43*$H43+LD43*$G43)</f>
        <v>15649.6065646611</v>
      </c>
      <c r="LC43" s="329" t="n">
        <f aca="false">LD43/$F43*LD$7</f>
        <v>15649.6065646611</v>
      </c>
      <c r="LD43" s="327" t="n">
        <v>14839.74</v>
      </c>
      <c r="LE43" s="325" t="n">
        <f aca="false">(LF43*$H43+LG43*$G43)</f>
        <v>15649.6065646611</v>
      </c>
      <c r="LF43" s="329" t="n">
        <f aca="false">LG43/$F43*LG$7</f>
        <v>15649.6065646611</v>
      </c>
      <c r="LG43" s="327" t="n">
        <v>14839.74</v>
      </c>
      <c r="LH43" s="325" t="n">
        <f aca="false">(LI43*$H43+LJ43*$G43)</f>
        <v>19561.9948323346</v>
      </c>
      <c r="LI43" s="329" t="n">
        <f aca="false">LJ43/$F43*LJ$7</f>
        <v>19561.9948323346</v>
      </c>
      <c r="LJ43" s="327" t="n">
        <v>14839.74</v>
      </c>
      <c r="LM43" s="327" t="n">
        <v>14839.74</v>
      </c>
      <c r="LP43" s="327" t="n">
        <v>14839.74</v>
      </c>
      <c r="LS43" s="327" t="n">
        <v>14839.74</v>
      </c>
      <c r="LV43" s="327" t="n">
        <v>14839.74</v>
      </c>
      <c r="LY43" s="327" t="n">
        <v>14839.74</v>
      </c>
      <c r="ME43" s="327" t="n">
        <v>14839.74</v>
      </c>
      <c r="MH43" s="327" t="n">
        <v>14839.74</v>
      </c>
      <c r="MK43" s="327" t="n">
        <v>14839.74</v>
      </c>
      <c r="MN43" s="327" t="n">
        <v>14839.74</v>
      </c>
      <c r="MQ43" s="327" t="n">
        <v>14839.74</v>
      </c>
      <c r="MT43" s="327" t="n">
        <v>14839.74</v>
      </c>
      <c r="MW43" s="327" t="n">
        <v>14839.74</v>
      </c>
      <c r="MZ43" s="327" t="n">
        <v>14839.74</v>
      </c>
      <c r="NC43" s="327" t="n">
        <v>14839.74</v>
      </c>
      <c r="NF43" s="327" t="n">
        <v>14839.74</v>
      </c>
      <c r="NI43" s="327" t="n">
        <v>14839.74</v>
      </c>
      <c r="NL43" s="327" t="n">
        <v>14839.74</v>
      </c>
      <c r="NR43" s="327" t="n">
        <v>14839.74</v>
      </c>
      <c r="NU43" s="327" t="n">
        <v>14839.74</v>
      </c>
      <c r="NX43" s="327" t="n">
        <v>14839.74</v>
      </c>
      <c r="OA43" s="327" t="n">
        <v>14839.74</v>
      </c>
      <c r="OD43" s="327" t="n">
        <v>14839.74</v>
      </c>
      <c r="OG43" s="327" t="n">
        <v>14839.74</v>
      </c>
      <c r="OJ43" s="327" t="n">
        <v>14839.74</v>
      </c>
    </row>
    <row r="44" s="329" customFormat="true" ht="15" hidden="false" customHeight="false" outlineLevel="0" collapsed="false">
      <c r="A44" s="283" t="n">
        <v>4.25</v>
      </c>
      <c r="B44" s="333"/>
      <c r="C44" s="320" t="n">
        <v>1317644.04</v>
      </c>
      <c r="D44" s="333"/>
      <c r="E44" s="334"/>
      <c r="F44" s="337" t="n">
        <v>26.716488</v>
      </c>
      <c r="G44" s="323" t="n">
        <v>0</v>
      </c>
      <c r="H44" s="324" t="n">
        <f aca="false">1-G44</f>
        <v>1</v>
      </c>
      <c r="I44" s="332" t="n">
        <f aca="false">J44/F44*25.263473</f>
        <v>230523.599712092</v>
      </c>
      <c r="J44" s="319" t="n">
        <v>243782.04</v>
      </c>
      <c r="K44" s="289"/>
      <c r="M44" s="327"/>
      <c r="N44" s="289"/>
      <c r="P44" s="327"/>
      <c r="Q44" s="289"/>
      <c r="S44" s="327"/>
      <c r="V44" s="327"/>
      <c r="W44" s="289"/>
      <c r="Y44" s="327"/>
      <c r="AC44" s="289"/>
      <c r="AE44" s="327"/>
      <c r="AF44" s="289"/>
      <c r="AH44" s="327"/>
      <c r="AI44" s="289"/>
      <c r="AK44" s="327"/>
      <c r="AL44" s="289"/>
      <c r="AN44" s="327"/>
      <c r="AO44" s="289"/>
      <c r="AQ44" s="327"/>
      <c r="AR44" s="289"/>
      <c r="AT44" s="327"/>
      <c r="AU44" s="289"/>
      <c r="AW44" s="327"/>
      <c r="AX44" s="289"/>
      <c r="AZ44" s="327"/>
      <c r="BA44" s="289"/>
      <c r="BC44" s="327"/>
      <c r="BD44" s="289"/>
      <c r="BF44" s="327"/>
      <c r="BG44" s="289"/>
      <c r="BI44" s="327"/>
      <c r="BJ44" s="289"/>
      <c r="BL44" s="327"/>
      <c r="BP44" s="289"/>
      <c r="BR44" s="327"/>
      <c r="BS44" s="289"/>
      <c r="BU44" s="327"/>
      <c r="BV44" s="289"/>
      <c r="BX44" s="327"/>
      <c r="BY44" s="289"/>
      <c r="CA44" s="327"/>
      <c r="CB44" s="289"/>
      <c r="CD44" s="327"/>
      <c r="CE44" s="289"/>
      <c r="CG44" s="327"/>
      <c r="CH44" s="289"/>
      <c r="CJ44" s="327"/>
      <c r="CK44" s="289"/>
      <c r="CM44" s="327"/>
      <c r="CN44" s="289"/>
      <c r="CP44" s="327"/>
      <c r="CQ44" s="289"/>
      <c r="CS44" s="327"/>
      <c r="CV44" s="327"/>
      <c r="CW44" s="289"/>
      <c r="CY44" s="327"/>
      <c r="DC44" s="335"/>
      <c r="DE44" s="327"/>
      <c r="DH44" s="327"/>
      <c r="DK44" s="327"/>
      <c r="DL44" s="289"/>
      <c r="DN44" s="327"/>
      <c r="DQ44" s="327"/>
      <c r="DT44" s="327"/>
      <c r="ED44" s="289"/>
      <c r="EJ44" s="289"/>
      <c r="FN44" s="289"/>
      <c r="FQ44" s="289"/>
      <c r="FT44" s="289"/>
      <c r="FW44" s="289"/>
      <c r="GC44" s="289"/>
      <c r="GK44" s="327"/>
      <c r="GN44" s="327"/>
      <c r="GQ44" s="327"/>
      <c r="GT44" s="327"/>
      <c r="GU44" s="289"/>
      <c r="GW44" s="327"/>
      <c r="GX44" s="289" t="n">
        <v>0</v>
      </c>
      <c r="GZ44" s="327"/>
      <c r="HA44" s="289" t="n">
        <v>0</v>
      </c>
      <c r="HC44" s="327"/>
      <c r="HD44" s="325" t="n">
        <f aca="false">(HE44*$H44+HF44*$G44)</f>
        <v>16771.2983172302</v>
      </c>
      <c r="HE44" s="328" t="n">
        <f aca="false">HF44/$F44*HF$7</f>
        <v>16771.2983172302</v>
      </c>
      <c r="HF44" s="327" t="n">
        <v>17897.7</v>
      </c>
      <c r="HG44" s="325" t="n">
        <f aca="false">(HH44*$H44+HI44*$G44)</f>
        <v>16214.505520546</v>
      </c>
      <c r="HH44" s="328" t="n">
        <f aca="false">HI44/$F44*HI$7</f>
        <v>16214.505520546</v>
      </c>
      <c r="HI44" s="327" t="n">
        <v>17897.7</v>
      </c>
      <c r="HJ44" s="325" t="n">
        <f aca="false">(HK44*$H44+HL44*$G44)</f>
        <v>15684.7108535448</v>
      </c>
      <c r="HK44" s="328" t="n">
        <f aca="false">HL44/$F44*HL$7</f>
        <v>15684.7108535448</v>
      </c>
      <c r="HL44" s="327" t="n">
        <v>17897.7</v>
      </c>
      <c r="HP44" s="325" t="n">
        <f aca="false">(HQ44*$H44+HR44*$G44)</f>
        <v>16247.1784760781</v>
      </c>
      <c r="HQ44" s="328" t="n">
        <f aca="false">HR44/$F44*HR$7</f>
        <v>16247.1784760781</v>
      </c>
      <c r="HR44" s="327" t="n">
        <v>17897.7</v>
      </c>
      <c r="HS44" s="325" t="n">
        <f aca="false">(HT44*$H44+HU44*$G44)</f>
        <v>16374.729750033</v>
      </c>
      <c r="HT44" s="328" t="n">
        <f aca="false">HU44/$F44*HU$7</f>
        <v>16374.729750033</v>
      </c>
      <c r="HU44" s="327" t="n">
        <v>17897.7</v>
      </c>
      <c r="HV44" s="325" t="n">
        <f aca="false">(HW44*$H44+HX44*$G44)</f>
        <v>18625.2326372389</v>
      </c>
      <c r="HW44" s="328" t="n">
        <f aca="false">HX44/$F44*HX$7</f>
        <v>18625.2326372389</v>
      </c>
      <c r="HX44" s="327" t="n">
        <v>17897.7</v>
      </c>
      <c r="HY44" s="325" t="n">
        <f aca="false">(HZ44*$H44+IA44*$G44)</f>
        <v>18223.0843717183</v>
      </c>
      <c r="HZ44" s="328" t="n">
        <f aca="false">IA44/$F44*IA$7</f>
        <v>18223.0843717183</v>
      </c>
      <c r="IA44" s="327" t="n">
        <v>17897.7</v>
      </c>
      <c r="IB44" s="325" t="n">
        <f aca="false">(IC44*$H44+ID44*$G44)</f>
        <v>17800.2358206663</v>
      </c>
      <c r="IC44" s="328" t="n">
        <f aca="false">ID44/$F44*ID$7</f>
        <v>17800.2358206663</v>
      </c>
      <c r="ID44" s="327" t="n">
        <v>17897.7</v>
      </c>
      <c r="IE44" s="325" t="n">
        <f aca="false">(IF44*$H44+IG44*$G44)</f>
        <v>17929.0599277121</v>
      </c>
      <c r="IF44" s="328" t="n">
        <f aca="false">IG44/$F44*IG$7</f>
        <v>17929.0599277121</v>
      </c>
      <c r="IG44" s="327" t="n">
        <v>17897.7</v>
      </c>
      <c r="IH44" s="325" t="n">
        <f aca="false">(II44*$H44+IJ44*$G44)</f>
        <v>18490.3123295996</v>
      </c>
      <c r="II44" s="328" t="n">
        <f aca="false">IJ44/$F44*IJ$7</f>
        <v>18490.3123295996</v>
      </c>
      <c r="IJ44" s="327" t="n">
        <v>17897.7</v>
      </c>
      <c r="IK44" s="325" t="n">
        <f aca="false">(IL44*$H44+IM44*$G44)</f>
        <v>18299.3203747439</v>
      </c>
      <c r="IL44" s="328" t="n">
        <f aca="false">IM44/$F44*IM$7</f>
        <v>18299.3203747439</v>
      </c>
      <c r="IM44" s="327" t="n">
        <v>17897.7</v>
      </c>
      <c r="IN44" s="325" t="n">
        <f aca="false">(IO44*$H44+IP44*$G44)</f>
        <v>18892.9965248426</v>
      </c>
      <c r="IO44" s="328" t="n">
        <f aca="false">IP44/$F44*IP$7</f>
        <v>18892.9965248426</v>
      </c>
      <c r="IP44" s="327" t="n">
        <v>17897.7</v>
      </c>
      <c r="IQ44" s="325" t="n">
        <f aca="false">(IR44*$H44+IS44*$G44)</f>
        <v>19005.8767226441</v>
      </c>
      <c r="IR44" s="328" t="n">
        <f aca="false">IS44/$F44*IS$7</f>
        <v>19005.8767226441</v>
      </c>
      <c r="IS44" s="327" t="n">
        <v>17897.7</v>
      </c>
      <c r="IT44" s="325" t="n">
        <f aca="false">(IU44*$H44+IV44*$G44)</f>
        <v>18995.560075486</v>
      </c>
      <c r="IU44" s="328" t="n">
        <f aca="false">IV44/$F44*IV$7</f>
        <v>18995.560075486</v>
      </c>
      <c r="IV44" s="327" t="n">
        <v>17897.7</v>
      </c>
      <c r="IW44" s="325" t="n">
        <f aca="false">(IX44*$H44+IY44*$G44)</f>
        <v>18783.7338526681</v>
      </c>
      <c r="IX44" s="328" t="n">
        <f aca="false">IY44/$F44*IY$7</f>
        <v>18783.7338526681</v>
      </c>
      <c r="IY44" s="327" t="n">
        <v>17897.7</v>
      </c>
      <c r="JC44" s="325" t="n">
        <f aca="false">(JD44*$H44+JE44*$G44)</f>
        <v>18893.8674106417</v>
      </c>
      <c r="JD44" s="329" t="n">
        <f aca="false">JE44/$F44*JE$7</f>
        <v>18893.8674106417</v>
      </c>
      <c r="JE44" s="327" t="n">
        <v>17897.7</v>
      </c>
      <c r="JF44" s="325" t="n">
        <f aca="false">(JG44*$H44+JH44*$G44)</f>
        <v>18710.9144016234</v>
      </c>
      <c r="JG44" s="326" t="n">
        <f aca="false">JH44/$F44*JH$7</f>
        <v>18710.9144016234</v>
      </c>
      <c r="JH44" s="327" t="n">
        <v>17897.7</v>
      </c>
      <c r="JI44" s="325" t="n">
        <f aca="false">(JJ44*$H44+JK44*$G44)</f>
        <v>18568.8930251611</v>
      </c>
      <c r="JJ44" s="326" t="n">
        <f aca="false">JK44/$F44*JK$7</f>
        <v>18568.8930251611</v>
      </c>
      <c r="JK44" s="327" t="n">
        <v>17897.7</v>
      </c>
      <c r="JL44" s="325" t="n">
        <f aca="false">(JM44*$H44+JN44*$G44)</f>
        <v>18763.9714441509</v>
      </c>
      <c r="JM44" s="326" t="n">
        <f aca="false">JN44/$F44*JN$7</f>
        <v>18763.9714441509</v>
      </c>
      <c r="JN44" s="327" t="n">
        <v>17897.7</v>
      </c>
      <c r="JO44" s="325" t="n">
        <f aca="false">(JP44*$H44+JQ44*$G44)</f>
        <v>18400.1421537891</v>
      </c>
      <c r="JP44" s="326" t="n">
        <f aca="false">JQ44/$F44*JQ$7</f>
        <v>18400.1421537891</v>
      </c>
      <c r="JQ44" s="327" t="n">
        <v>17897.7</v>
      </c>
      <c r="JR44" s="325" t="n">
        <f aca="false">(JS44*$H44+JT44*$G44)</f>
        <v>18217.2561359861</v>
      </c>
      <c r="JS44" s="328" t="n">
        <f aca="false">JT44/$F44*JT$7</f>
        <v>18217.2561359861</v>
      </c>
      <c r="JT44" s="327" t="n">
        <v>17897.7</v>
      </c>
      <c r="JU44" s="325" t="n">
        <f aca="false">(JV44*$H44+JW44*$G44)</f>
        <v>18235.3437641205</v>
      </c>
      <c r="JV44" s="329" t="n">
        <f aca="false">JW44/$F44*JW$7</f>
        <v>18235.3437641205</v>
      </c>
      <c r="JW44" s="327" t="n">
        <v>17897.7</v>
      </c>
      <c r="JX44" s="325" t="n">
        <f aca="false">(JY44*$H44+JZ44*$G44)</f>
        <v>17850.144276074</v>
      </c>
      <c r="JY44" s="329" t="n">
        <f aca="false">JZ44/$F44*JZ$7</f>
        <v>17850.144276074</v>
      </c>
      <c r="JZ44" s="327" t="n">
        <v>17897.7</v>
      </c>
      <c r="KA44" s="325" t="n">
        <f aca="false">(KB44*$H44+KC44*$G44)</f>
        <v>17888.530242448</v>
      </c>
      <c r="KB44" s="329" t="n">
        <f aca="false">KC44/$F44*KC$7</f>
        <v>17888.530242448</v>
      </c>
      <c r="KC44" s="327" t="n">
        <v>17897.7</v>
      </c>
      <c r="KD44" s="325" t="n">
        <f aca="false">(KE44*$H44+KF44*$G44)</f>
        <v>17599.9320868821</v>
      </c>
      <c r="KE44" s="329" t="n">
        <f aca="false">KF44/$F44*KF$7</f>
        <v>17599.9320868821</v>
      </c>
      <c r="KF44" s="327" t="n">
        <v>17897.7</v>
      </c>
      <c r="KG44" s="325" t="n">
        <f aca="false">(KH44*$H44+KI44*$G44)</f>
        <v>17859.0541077106</v>
      </c>
      <c r="KH44" s="329" t="n">
        <f aca="false">KI44/$F44*KI$7</f>
        <v>17859.0541077106</v>
      </c>
      <c r="KI44" s="327" t="n">
        <v>17897.7</v>
      </c>
      <c r="KJ44" s="325" t="n">
        <f aca="false">(KK44*$H44+KL44*$G44)</f>
        <v>18278.2851331358</v>
      </c>
      <c r="KK44" s="329" t="n">
        <f aca="false">KL44/$F44*KL$7</f>
        <v>18278.2851331358</v>
      </c>
      <c r="KL44" s="327" t="n">
        <v>17897.7</v>
      </c>
      <c r="KP44" s="325" t="n">
        <f aca="false">(KQ44*$H44+KR44*$G44)</f>
        <v>19032.2712614772</v>
      </c>
      <c r="KQ44" s="329" t="n">
        <f aca="false">KR44/$F44*KR$7</f>
        <v>19032.2712614772</v>
      </c>
      <c r="KR44" s="327" t="n">
        <v>17897.7</v>
      </c>
      <c r="KS44" s="325" t="n">
        <f aca="false">(KT44*$H44+KU44*$G44)</f>
        <v>19419.2125211218</v>
      </c>
      <c r="KT44" s="329" t="n">
        <f aca="false">KU44/$F44*KU$7</f>
        <v>19419.2125211218</v>
      </c>
      <c r="KU44" s="327" t="n">
        <v>17897.7</v>
      </c>
      <c r="KV44" s="325" t="n">
        <f aca="false">(KW44*$H44+KX44*$G44)</f>
        <v>19598.2130484366</v>
      </c>
      <c r="KW44" s="329" t="n">
        <f aca="false">KX44/$F44*KX$7</f>
        <v>19598.2130484366</v>
      </c>
      <c r="KX44" s="327" t="n">
        <v>17897.7</v>
      </c>
      <c r="KY44" s="325" t="n">
        <f aca="false">(KZ44*$H44+LA44*$G44)</f>
        <v>19598.2130484366</v>
      </c>
      <c r="KZ44" s="329" t="n">
        <f aca="false">LA44/$F44*LA$7</f>
        <v>19598.2130484366</v>
      </c>
      <c r="LA44" s="327" t="n">
        <v>17897.7</v>
      </c>
      <c r="LB44" s="325" t="n">
        <f aca="false">(LC44*$H44+LD44*$G44)</f>
        <v>19598.2130484366</v>
      </c>
      <c r="LC44" s="329" t="n">
        <f aca="false">LD44/$F44*LD$7</f>
        <v>19598.2130484366</v>
      </c>
      <c r="LD44" s="327" t="n">
        <v>17897.7</v>
      </c>
      <c r="LE44" s="325" t="n">
        <f aca="false">(LF44*$H44+LG44*$G44)</f>
        <v>19598.2130484366</v>
      </c>
      <c r="LF44" s="329" t="n">
        <f aca="false">LG44/$F44*LG$7</f>
        <v>19598.2130484366</v>
      </c>
      <c r="LG44" s="327" t="n">
        <v>17897.7</v>
      </c>
      <c r="LH44" s="325" t="n">
        <f aca="false">(LI44*$H44+LJ44*$G44)</f>
        <v>24497.7495627419</v>
      </c>
      <c r="LI44" s="329" t="n">
        <f aca="false">LJ44/$F44*LJ$7</f>
        <v>24497.7495627419</v>
      </c>
      <c r="LJ44" s="327" t="n">
        <v>17897.7</v>
      </c>
      <c r="LM44" s="327" t="n">
        <v>17897.7</v>
      </c>
      <c r="LP44" s="327" t="n">
        <v>17897.7</v>
      </c>
      <c r="LS44" s="327" t="n">
        <v>17897.7</v>
      </c>
      <c r="LV44" s="327" t="n">
        <v>17897.7</v>
      </c>
      <c r="LY44" s="327" t="n">
        <v>17897.7</v>
      </c>
      <c r="ME44" s="327" t="n">
        <v>17897.7</v>
      </c>
      <c r="MH44" s="327" t="n">
        <v>17897.7</v>
      </c>
      <c r="MK44" s="327" t="n">
        <v>17897.7</v>
      </c>
      <c r="MN44" s="327" t="n">
        <v>17897.7</v>
      </c>
      <c r="MQ44" s="327" t="n">
        <v>17897.7</v>
      </c>
      <c r="MT44" s="327" t="n">
        <v>17897.7</v>
      </c>
      <c r="MW44" s="327" t="n">
        <v>17897.7</v>
      </c>
      <c r="MZ44" s="327" t="n">
        <v>17897.7</v>
      </c>
      <c r="NC44" s="327" t="n">
        <v>17897.7</v>
      </c>
      <c r="NF44" s="327" t="n">
        <v>17897.7</v>
      </c>
      <c r="NI44" s="327" t="n">
        <v>17897.7</v>
      </c>
      <c r="NL44" s="327" t="n">
        <v>17897.7</v>
      </c>
      <c r="NR44" s="327" t="n">
        <v>17897.7</v>
      </c>
      <c r="NU44" s="327" t="n">
        <v>17897.7</v>
      </c>
      <c r="NX44" s="327" t="n">
        <v>17897.7</v>
      </c>
      <c r="OA44" s="327" t="n">
        <v>17897.7</v>
      </c>
      <c r="OD44" s="327" t="n">
        <v>17897.7</v>
      </c>
      <c r="OG44" s="327" t="n">
        <v>17897.7</v>
      </c>
      <c r="OJ44" s="327" t="n">
        <v>17897.7</v>
      </c>
      <c r="OM44" s="327" t="n">
        <v>17897.7</v>
      </c>
      <c r="OP44" s="327" t="n">
        <v>17897.7</v>
      </c>
    </row>
    <row r="45" s="329" customFormat="true" ht="15" hidden="false" customHeight="false" outlineLevel="0" collapsed="false">
      <c r="A45" s="283" t="n">
        <v>4.26</v>
      </c>
      <c r="B45" s="333"/>
      <c r="C45" s="320" t="n">
        <v>855178.2</v>
      </c>
      <c r="D45" s="333"/>
      <c r="E45" s="334"/>
      <c r="F45" s="337" t="n">
        <v>27.790097</v>
      </c>
      <c r="G45" s="323" t="n">
        <v>0</v>
      </c>
      <c r="H45" s="324" t="n">
        <f aca="false">1-G45</f>
        <v>1</v>
      </c>
      <c r="I45" s="332" t="n">
        <f aca="false">J45/F45*25.5163</f>
        <v>154782.492447579</v>
      </c>
      <c r="J45" s="319" t="n">
        <v>168575.4</v>
      </c>
      <c r="K45" s="289"/>
      <c r="M45" s="327"/>
      <c r="N45" s="289"/>
      <c r="P45" s="327"/>
      <c r="Q45" s="289"/>
      <c r="S45" s="327"/>
      <c r="V45" s="327"/>
      <c r="W45" s="289"/>
      <c r="Y45" s="327"/>
      <c r="AC45" s="289"/>
      <c r="AE45" s="327"/>
      <c r="AF45" s="289"/>
      <c r="AH45" s="327"/>
      <c r="AI45" s="289"/>
      <c r="AK45" s="327"/>
      <c r="AL45" s="289"/>
      <c r="AN45" s="327"/>
      <c r="AO45" s="289"/>
      <c r="AQ45" s="327"/>
      <c r="AR45" s="289"/>
      <c r="AT45" s="327"/>
      <c r="AU45" s="289"/>
      <c r="AW45" s="327"/>
      <c r="AX45" s="289"/>
      <c r="AZ45" s="327"/>
      <c r="BA45" s="289"/>
      <c r="BC45" s="327"/>
      <c r="BD45" s="289"/>
      <c r="BF45" s="327"/>
      <c r="BG45" s="289"/>
      <c r="BI45" s="327"/>
      <c r="BJ45" s="289"/>
      <c r="BL45" s="327"/>
      <c r="BP45" s="289"/>
      <c r="BR45" s="327"/>
      <c r="BS45" s="289"/>
      <c r="BU45" s="327"/>
      <c r="BV45" s="289"/>
      <c r="BX45" s="327"/>
      <c r="BY45" s="289"/>
      <c r="CA45" s="327"/>
      <c r="CB45" s="289"/>
      <c r="CD45" s="327"/>
      <c r="CE45" s="289"/>
      <c r="CG45" s="327"/>
      <c r="CH45" s="289"/>
      <c r="CJ45" s="327"/>
      <c r="CK45" s="289"/>
      <c r="CM45" s="327"/>
      <c r="CN45" s="289"/>
      <c r="CP45" s="327"/>
      <c r="CQ45" s="289"/>
      <c r="CS45" s="327"/>
      <c r="CV45" s="327"/>
      <c r="CW45" s="289"/>
      <c r="CY45" s="327"/>
      <c r="DC45" s="335"/>
      <c r="DE45" s="327"/>
      <c r="DH45" s="327"/>
      <c r="DK45" s="327"/>
      <c r="DL45" s="289"/>
      <c r="DN45" s="327"/>
      <c r="DQ45" s="327"/>
      <c r="DT45" s="327"/>
      <c r="ED45" s="289"/>
      <c r="EJ45" s="289"/>
      <c r="FN45" s="289"/>
      <c r="FQ45" s="289"/>
      <c r="FT45" s="289"/>
      <c r="FW45" s="289"/>
      <c r="GC45" s="289"/>
      <c r="GK45" s="327"/>
      <c r="GN45" s="327"/>
      <c r="GQ45" s="327"/>
      <c r="GT45" s="327"/>
      <c r="GU45" s="289"/>
      <c r="GW45" s="327"/>
      <c r="GX45" s="325" t="n">
        <f aca="false">(GY45*$H45+GZ45*$G45)</f>
        <v>10366.8194742868</v>
      </c>
      <c r="GY45" s="328" t="n">
        <f aca="false">GZ45/$F45*GZ$7</f>
        <v>10366.8194742868</v>
      </c>
      <c r="GZ45" s="338" t="n">
        <v>11443.38</v>
      </c>
      <c r="HA45" s="325" t="n">
        <f aca="false">(HB45*$H45+HC45*$G45)</f>
        <v>10158.5288609514</v>
      </c>
      <c r="HB45" s="328" t="n">
        <f aca="false">HC45/$F45*HC$7</f>
        <v>10158.5288609514</v>
      </c>
      <c r="HC45" s="338" t="n">
        <v>11443.38</v>
      </c>
      <c r="HD45" s="325" t="n">
        <f aca="false">(HE45*$H45+HF45*$G45)</f>
        <v>10308.9179854241</v>
      </c>
      <c r="HE45" s="328" t="n">
        <f aca="false">HF45/$F45*HF$7</f>
        <v>10308.9179854241</v>
      </c>
      <c r="HF45" s="338" t="n">
        <v>11443.38</v>
      </c>
      <c r="HG45" s="325" t="n">
        <f aca="false">(HH45*$H45+HI45*$G45)</f>
        <v>9966.67070275573</v>
      </c>
      <c r="HH45" s="328" t="n">
        <f aca="false">HI45/$F45*HI$7</f>
        <v>9966.67070275573</v>
      </c>
      <c r="HI45" s="338" t="n">
        <v>11443.38</v>
      </c>
      <c r="HJ45" s="325" t="n">
        <f aca="false">(HK45*$H45+HL45*$G45)</f>
        <v>9641.01852795548</v>
      </c>
      <c r="HK45" s="328" t="n">
        <f aca="false">HL45/$F45*HL$7</f>
        <v>9641.01852795548</v>
      </c>
      <c r="HL45" s="338" t="n">
        <v>11443.38</v>
      </c>
      <c r="HP45" s="325" t="n">
        <f aca="false">(HQ45*$H45+HR45*$G45)</f>
        <v>9986.75399103501</v>
      </c>
      <c r="HQ45" s="328" t="n">
        <f aca="false">HR45/$F45*HR$7</f>
        <v>9986.75399103501</v>
      </c>
      <c r="HR45" s="338" t="n">
        <v>11443.38</v>
      </c>
      <c r="HS45" s="325" t="n">
        <f aca="false">(HT45*$H45+HU45*$G45)</f>
        <v>10065.1567239222</v>
      </c>
      <c r="HT45" s="328" t="n">
        <f aca="false">HU45/$F45*HU$7</f>
        <v>10065.1567239222</v>
      </c>
      <c r="HU45" s="338" t="n">
        <v>11443.38</v>
      </c>
      <c r="HV45" s="325" t="n">
        <f aca="false">(HW45*$H45+HX45*$G45)</f>
        <v>11448.4872956723</v>
      </c>
      <c r="HW45" s="328" t="n">
        <f aca="false">HX45/$F45*HX$7</f>
        <v>11448.4872956723</v>
      </c>
      <c r="HX45" s="338" t="n">
        <v>11443.38</v>
      </c>
      <c r="HY45" s="325" t="n">
        <f aca="false">(HZ45*$H45+IA45*$G45)</f>
        <v>11201.2963263856</v>
      </c>
      <c r="HZ45" s="328" t="n">
        <f aca="false">IA45/$F45*IA$7</f>
        <v>11201.2963263856</v>
      </c>
      <c r="IA45" s="338" t="n">
        <v>11443.38</v>
      </c>
      <c r="IB45" s="325" t="n">
        <f aca="false">(IC45*$H45+ID45*$G45)</f>
        <v>10941.3813841672</v>
      </c>
      <c r="IC45" s="328" t="n">
        <f aca="false">ID45/$F45*ID$7</f>
        <v>10941.3813841672</v>
      </c>
      <c r="ID45" s="338" t="n">
        <v>11443.38</v>
      </c>
      <c r="IE45" s="325" t="n">
        <f aca="false">(IF45*$H45+IG45*$G45)</f>
        <v>11020.566497267</v>
      </c>
      <c r="IF45" s="328" t="n">
        <f aca="false">IG45/$F45*IG$7</f>
        <v>11020.566497267</v>
      </c>
      <c r="IG45" s="338" t="n">
        <v>11443.38</v>
      </c>
      <c r="IH45" s="325" t="n">
        <f aca="false">(II45*$H45+IJ45*$G45)</f>
        <v>11365.554993133</v>
      </c>
      <c r="II45" s="328" t="n">
        <f aca="false">IJ45/$F45*IJ$7</f>
        <v>11365.554993133</v>
      </c>
      <c r="IJ45" s="338" t="n">
        <v>11443.38</v>
      </c>
      <c r="IK45" s="325" t="n">
        <f aca="false">(IL45*$H45+IM45*$G45)</f>
        <v>11248.1567833318</v>
      </c>
      <c r="IL45" s="328" t="n">
        <f aca="false">IM45/$F45*IM$7</f>
        <v>11248.1567833318</v>
      </c>
      <c r="IM45" s="338" t="n">
        <v>11443.38</v>
      </c>
      <c r="IN45" s="325" t="n">
        <f aca="false">(IO45*$H45+IP45*$G45)</f>
        <v>11613.0753856671</v>
      </c>
      <c r="IO45" s="328" t="n">
        <f aca="false">IP45/$F45*IP$7</f>
        <v>11613.0753856671</v>
      </c>
      <c r="IP45" s="338" t="n">
        <v>11443.38</v>
      </c>
      <c r="IQ45" s="325" t="n">
        <f aca="false">(IR45*$H45+IS45*$G45)</f>
        <v>11682.460157156</v>
      </c>
      <c r="IR45" s="328" t="n">
        <f aca="false">IS45/$F45*IS$7</f>
        <v>11682.460157156</v>
      </c>
      <c r="IS45" s="338" t="n">
        <v>11443.38</v>
      </c>
      <c r="IT45" s="325" t="n">
        <f aca="false">(IU45*$H45+IV45*$G45)</f>
        <v>11676.118759643</v>
      </c>
      <c r="IU45" s="328" t="n">
        <f aca="false">IV45/$F45*IV$7</f>
        <v>11676.118759643</v>
      </c>
      <c r="IV45" s="338" t="n">
        <v>11443.38</v>
      </c>
      <c r="IW45" s="325" t="n">
        <f aca="false">(IX45*$H45+IY45*$G45)</f>
        <v>11545.9142210983</v>
      </c>
      <c r="IX45" s="328" t="n">
        <f aca="false">IY45/$F45*IY$7</f>
        <v>11545.9142210983</v>
      </c>
      <c r="IY45" s="338" t="n">
        <v>11443.38</v>
      </c>
      <c r="JC45" s="325" t="n">
        <f aca="false">(JD45*$H45+JE45*$G45)</f>
        <v>11613.6106984441</v>
      </c>
      <c r="JD45" s="329" t="n">
        <f aca="false">JE45/$F45*JE$7</f>
        <v>11613.6106984441</v>
      </c>
      <c r="JE45" s="338" t="n">
        <v>11443.38</v>
      </c>
      <c r="JF45" s="325" t="n">
        <f aca="false">(JG45*$H45+JH45*$G45)</f>
        <v>11501.1538373544</v>
      </c>
      <c r="JG45" s="326" t="n">
        <f aca="false">JH45/$F45*JH$7</f>
        <v>11501.1538373544</v>
      </c>
      <c r="JH45" s="338" t="n">
        <v>11443.38</v>
      </c>
      <c r="JI45" s="325" t="n">
        <f aca="false">(JJ45*$H45+JK45*$G45)</f>
        <v>11413.8566767867</v>
      </c>
      <c r="JJ45" s="326" t="n">
        <f aca="false">JK45/$F45*JK$7</f>
        <v>11413.8566767867</v>
      </c>
      <c r="JK45" s="338" t="n">
        <v>11443.38</v>
      </c>
      <c r="JL45" s="325" t="n">
        <f aca="false">(JM45*$H45+JN45*$G45)</f>
        <v>11533.7667388495</v>
      </c>
      <c r="JM45" s="326" t="n">
        <f aca="false">JN45/$F45*JN$7</f>
        <v>11533.7667388495</v>
      </c>
      <c r="JN45" s="338" t="n">
        <v>11443.38</v>
      </c>
      <c r="JO45" s="325" t="n">
        <f aca="false">(JP45*$H45+JQ45*$G45)</f>
        <v>11310.1295317537</v>
      </c>
      <c r="JP45" s="326" t="n">
        <f aca="false">JQ45/$F45*JQ$7</f>
        <v>11310.1295317537</v>
      </c>
      <c r="JQ45" s="338" t="n">
        <v>11443.38</v>
      </c>
      <c r="JR45" s="325" t="n">
        <f aca="false">(JS45*$H45+JT45*$G45)</f>
        <v>11197.7138485699</v>
      </c>
      <c r="JS45" s="328" t="n">
        <f aca="false">JT45/$F45*JT$7</f>
        <v>11197.7138485699</v>
      </c>
      <c r="JT45" s="338" t="n">
        <v>11443.38</v>
      </c>
      <c r="JU45" s="325" t="n">
        <f aca="false">(JV45*$H45+JW45*$G45)</f>
        <v>11208.8318831705</v>
      </c>
      <c r="JV45" s="329" t="n">
        <f aca="false">JW45/$F45*JW$7</f>
        <v>11208.8318831705</v>
      </c>
      <c r="JW45" s="338" t="n">
        <v>11443.38</v>
      </c>
      <c r="JX45" s="325" t="n">
        <f aca="false">(JY45*$H45+JZ45*$G45)</f>
        <v>10972.0589240836</v>
      </c>
      <c r="JY45" s="329" t="n">
        <f aca="false">JZ45/$F45*JZ$7</f>
        <v>10972.0589240836</v>
      </c>
      <c r="JZ45" s="338" t="n">
        <v>11443.38</v>
      </c>
      <c r="KA45" s="325" t="n">
        <f aca="false">(KB45*$H45+KC45*$G45)</f>
        <v>10995.6538641805</v>
      </c>
      <c r="KB45" s="329" t="n">
        <f aca="false">KC45/$F45*KC$7</f>
        <v>10995.6538641805</v>
      </c>
      <c r="KC45" s="338" t="n">
        <v>11443.38</v>
      </c>
      <c r="KD45" s="325" t="n">
        <f aca="false">(KE45*$H45+KF45*$G45)</f>
        <v>10818.259445442</v>
      </c>
      <c r="KE45" s="329" t="n">
        <f aca="false">KF45/$F45*KF$7</f>
        <v>10818.259445442</v>
      </c>
      <c r="KF45" s="338" t="n">
        <v>11443.38</v>
      </c>
      <c r="KG45" s="325" t="n">
        <f aca="false">(KH45*$H45+KI45*$G45)</f>
        <v>10977.5355855721</v>
      </c>
      <c r="KH45" s="329" t="n">
        <f aca="false">KI45/$F45*KI$7</f>
        <v>10977.5355855721</v>
      </c>
      <c r="KI45" s="338" t="n">
        <v>11443.38</v>
      </c>
      <c r="KJ45" s="325" t="n">
        <f aca="false">(KK45*$H45+KL45*$G45)</f>
        <v>11235.2269208704</v>
      </c>
      <c r="KK45" s="329" t="n">
        <f aca="false">KL45/$F45*KL$7</f>
        <v>11235.2269208704</v>
      </c>
      <c r="KL45" s="338" t="n">
        <v>11443.38</v>
      </c>
      <c r="KP45" s="325" t="n">
        <f aca="false">(KQ45*$H45+KR45*$G45)</f>
        <v>11698.6842520917</v>
      </c>
      <c r="KQ45" s="329" t="n">
        <f aca="false">KR45/$F45*KR$7</f>
        <v>11698.6842520917</v>
      </c>
      <c r="KR45" s="338" t="n">
        <v>11443.38</v>
      </c>
      <c r="KS45" s="325" t="n">
        <f aca="false">(KT45*$H45+KU45*$G45)</f>
        <v>11936.5278367326</v>
      </c>
      <c r="KT45" s="329" t="n">
        <f aca="false">KU45/$F45*KU$7</f>
        <v>11936.5278367326</v>
      </c>
      <c r="KU45" s="338" t="n">
        <v>11443.38</v>
      </c>
      <c r="KV45" s="325" t="n">
        <f aca="false">(KW45*$H45+KX45*$G45)</f>
        <v>12046.5552013726</v>
      </c>
      <c r="KW45" s="329" t="n">
        <f aca="false">KX45/$F45*KX$7</f>
        <v>12046.5552013726</v>
      </c>
      <c r="KX45" s="338" t="n">
        <v>11443.38</v>
      </c>
      <c r="KY45" s="325" t="n">
        <f aca="false">(KZ45*$H45+LA45*$G45)</f>
        <v>12046.5552013726</v>
      </c>
      <c r="KZ45" s="329" t="n">
        <f aca="false">LA45/$F45*LA$7</f>
        <v>12046.5552013726</v>
      </c>
      <c r="LA45" s="338" t="n">
        <v>11443.38</v>
      </c>
      <c r="LB45" s="325" t="n">
        <f aca="false">(LC45*$H45+LD45*$G45)</f>
        <v>12046.5552013726</v>
      </c>
      <c r="LC45" s="329" t="n">
        <f aca="false">LD45/$F45*LD$7</f>
        <v>12046.5552013726</v>
      </c>
      <c r="LD45" s="338" t="n">
        <v>11443.38</v>
      </c>
      <c r="LE45" s="325" t="n">
        <f aca="false">(LF45*$H45+LG45*$G45)</f>
        <v>12046.5552013726</v>
      </c>
      <c r="LF45" s="329" t="n">
        <f aca="false">LG45/$F45*LG$7</f>
        <v>12046.5552013726</v>
      </c>
      <c r="LG45" s="338" t="n">
        <v>11443.38</v>
      </c>
      <c r="LH45" s="325" t="n">
        <f aca="false">(LI45*$H45+LJ45*$G45)</f>
        <v>15058.1837072393</v>
      </c>
      <c r="LI45" s="329" t="n">
        <f aca="false">LJ45/$F45*LJ$7</f>
        <v>15058.1837072393</v>
      </c>
      <c r="LJ45" s="338" t="n">
        <v>11443.38</v>
      </c>
      <c r="LM45" s="338" t="n">
        <v>11443.38</v>
      </c>
      <c r="LP45" s="338" t="n">
        <v>11443.38</v>
      </c>
      <c r="LS45" s="338" t="n">
        <v>11443.38</v>
      </c>
      <c r="LV45" s="338" t="n">
        <v>11443.38</v>
      </c>
      <c r="LY45" s="338" t="n">
        <v>11443.38</v>
      </c>
      <c r="ME45" s="338" t="n">
        <v>11443.38</v>
      </c>
      <c r="MH45" s="338" t="n">
        <v>11443.38</v>
      </c>
      <c r="MK45" s="338" t="n">
        <v>11443.38</v>
      </c>
      <c r="MN45" s="338" t="n">
        <v>11443.38</v>
      </c>
      <c r="MQ45" s="338" t="n">
        <v>11443.38</v>
      </c>
      <c r="MT45" s="338" t="n">
        <v>11443.38</v>
      </c>
      <c r="MW45" s="338" t="n">
        <v>11443.38</v>
      </c>
      <c r="MZ45" s="338" t="n">
        <v>11443.38</v>
      </c>
      <c r="NC45" s="338" t="n">
        <v>11443.38</v>
      </c>
      <c r="NF45" s="338" t="n">
        <v>11443.38</v>
      </c>
      <c r="NI45" s="338" t="n">
        <v>11443.38</v>
      </c>
      <c r="NL45" s="338" t="n">
        <v>11443.38</v>
      </c>
      <c r="NR45" s="338" t="n">
        <v>11443.38</v>
      </c>
      <c r="NU45" s="338" t="n">
        <v>11443.38</v>
      </c>
      <c r="NX45" s="338" t="n">
        <v>11443.38</v>
      </c>
      <c r="OA45" s="338" t="n">
        <v>11443.38</v>
      </c>
      <c r="OD45" s="338" t="n">
        <v>11443.38</v>
      </c>
      <c r="OG45" s="338" t="n">
        <v>11443.38</v>
      </c>
      <c r="OJ45" s="338" t="n">
        <v>11443.38</v>
      </c>
    </row>
    <row r="46" s="329" customFormat="true" ht="15" hidden="false" customHeight="false" outlineLevel="0" collapsed="false">
      <c r="A46" s="283" t="n">
        <v>4.27</v>
      </c>
      <c r="B46" s="333"/>
      <c r="C46" s="320" t="n">
        <v>713885.28</v>
      </c>
      <c r="D46" s="333"/>
      <c r="E46" s="334"/>
      <c r="F46" s="337" t="n">
        <v>26.368202</v>
      </c>
      <c r="G46" s="323" t="n">
        <v>0</v>
      </c>
      <c r="H46" s="324" t="n">
        <f aca="false">1-G46</f>
        <v>1</v>
      </c>
      <c r="I46" s="332" t="n">
        <f aca="false">J46/F46*25.263473</f>
        <v>134922.92825511</v>
      </c>
      <c r="J46" s="319" t="n">
        <v>140822.88</v>
      </c>
      <c r="K46" s="289"/>
      <c r="M46" s="327"/>
      <c r="N46" s="289"/>
      <c r="P46" s="327"/>
      <c r="Q46" s="289"/>
      <c r="S46" s="327"/>
      <c r="V46" s="327"/>
      <c r="W46" s="289"/>
      <c r="Y46" s="327"/>
      <c r="AC46" s="289"/>
      <c r="AE46" s="327"/>
      <c r="AF46" s="289"/>
      <c r="AH46" s="327"/>
      <c r="AI46" s="289"/>
      <c r="AK46" s="327"/>
      <c r="AL46" s="289"/>
      <c r="AN46" s="327"/>
      <c r="AO46" s="289"/>
      <c r="AQ46" s="327"/>
      <c r="AR46" s="289"/>
      <c r="AT46" s="327"/>
      <c r="AU46" s="289"/>
      <c r="AW46" s="327"/>
      <c r="AX46" s="289"/>
      <c r="AZ46" s="327"/>
      <c r="BA46" s="289"/>
      <c r="BC46" s="327"/>
      <c r="BD46" s="289"/>
      <c r="BF46" s="327"/>
      <c r="BG46" s="289"/>
      <c r="BI46" s="327"/>
      <c r="BJ46" s="289"/>
      <c r="BL46" s="327"/>
      <c r="BP46" s="289"/>
      <c r="BR46" s="327"/>
      <c r="BS46" s="289"/>
      <c r="BU46" s="327"/>
      <c r="BV46" s="289"/>
      <c r="BX46" s="327"/>
      <c r="BY46" s="289"/>
      <c r="CA46" s="327"/>
      <c r="CB46" s="289"/>
      <c r="CD46" s="327"/>
      <c r="CE46" s="289"/>
      <c r="CG46" s="327"/>
      <c r="CH46" s="289"/>
      <c r="CJ46" s="327"/>
      <c r="CK46" s="289"/>
      <c r="CM46" s="327"/>
      <c r="CN46" s="289"/>
      <c r="CP46" s="327"/>
      <c r="CQ46" s="289"/>
      <c r="CS46" s="327"/>
      <c r="CV46" s="327"/>
      <c r="CW46" s="289"/>
      <c r="CY46" s="327"/>
      <c r="DC46" s="335"/>
      <c r="DE46" s="327"/>
      <c r="DH46" s="327"/>
      <c r="DK46" s="327"/>
      <c r="DL46" s="289"/>
      <c r="DN46" s="327"/>
      <c r="DQ46" s="327"/>
      <c r="DT46" s="327"/>
      <c r="ED46" s="289"/>
      <c r="EJ46" s="289"/>
      <c r="FN46" s="289"/>
      <c r="FQ46" s="289"/>
      <c r="FT46" s="289"/>
      <c r="FW46" s="289"/>
      <c r="GC46" s="289"/>
      <c r="GK46" s="327"/>
      <c r="GN46" s="327"/>
      <c r="GQ46" s="327"/>
      <c r="GT46" s="327"/>
      <c r="GU46" s="289"/>
      <c r="GW46" s="327"/>
      <c r="GX46" s="289" t="n">
        <v>0</v>
      </c>
      <c r="GZ46" s="338"/>
      <c r="HA46" s="289" t="n">
        <v>0</v>
      </c>
      <c r="HC46" s="338"/>
      <c r="HD46" s="325" t="n">
        <f aca="false">(HE46*$H46+HF46*$G46)</f>
        <v>9068.15582358782</v>
      </c>
      <c r="HE46" s="328" t="n">
        <f aca="false">HF46/$F46*HF$7</f>
        <v>9068.15582358782</v>
      </c>
      <c r="HF46" s="338" t="n">
        <v>9551.04</v>
      </c>
      <c r="HG46" s="325" t="n">
        <f aca="false">(HH46*$H46+HI46*$G46)</f>
        <v>8767.10078620909</v>
      </c>
      <c r="HH46" s="328" t="n">
        <f aca="false">HI46/$F46*HI$7</f>
        <v>8767.10078620909</v>
      </c>
      <c r="HI46" s="338" t="n">
        <v>9551.04</v>
      </c>
      <c r="HJ46" s="325" t="n">
        <f aca="false">(HK46*$H46+HL46*$G46)</f>
        <v>8480.64350043435</v>
      </c>
      <c r="HK46" s="328" t="n">
        <f aca="false">HL46/$F46*HL$7</f>
        <v>8480.64350043435</v>
      </c>
      <c r="HL46" s="338" t="n">
        <v>9551.04</v>
      </c>
      <c r="HP46" s="325" t="n">
        <f aca="false">(HQ46*$H46+HR46*$G46)</f>
        <v>8784.76688732891</v>
      </c>
      <c r="HQ46" s="328" t="n">
        <f aca="false">HR46/$F46*HR$7</f>
        <v>8784.76688732891</v>
      </c>
      <c r="HR46" s="338" t="n">
        <v>9551.04</v>
      </c>
      <c r="HS46" s="325" t="n">
        <f aca="false">(HT46*$H46+HU46*$G46)</f>
        <v>8853.73321336055</v>
      </c>
      <c r="HT46" s="328" t="n">
        <f aca="false">HU46/$F46*HU$7</f>
        <v>8853.73321336055</v>
      </c>
      <c r="HU46" s="338" t="n">
        <v>9551.04</v>
      </c>
      <c r="HV46" s="325" t="n">
        <f aca="false">(HW46*$H46+HX46*$G46)</f>
        <v>10070.5686948242</v>
      </c>
      <c r="HW46" s="328" t="n">
        <f aca="false">HX46/$F46*HX$7</f>
        <v>10070.5686948242</v>
      </c>
      <c r="HX46" s="338" t="n">
        <v>9551.04</v>
      </c>
      <c r="HY46" s="325" t="n">
        <f aca="false">(HZ46*$H46+IA46*$G46)</f>
        <v>9853.12917005111</v>
      </c>
      <c r="HZ46" s="328" t="n">
        <f aca="false">IA46/$F46*IA$7</f>
        <v>9853.12917005111</v>
      </c>
      <c r="IA46" s="338" t="n">
        <v>9551.04</v>
      </c>
      <c r="IB46" s="325" t="n">
        <f aca="false">(IC46*$H46+ID46*$G46)</f>
        <v>9624.49710602187</v>
      </c>
      <c r="IC46" s="328" t="n">
        <f aca="false">ID46/$F46*ID$7</f>
        <v>9624.49710602187</v>
      </c>
      <c r="ID46" s="338" t="n">
        <v>9551.04</v>
      </c>
      <c r="IE46" s="325" t="n">
        <f aca="false">(IF46*$H46+IG46*$G46)</f>
        <v>9694.15164644142</v>
      </c>
      <c r="IF46" s="328" t="n">
        <f aca="false">IG46/$F46*IG$7</f>
        <v>9694.15164644142</v>
      </c>
      <c r="IG46" s="338" t="n">
        <v>9551.04</v>
      </c>
      <c r="IH46" s="325" t="n">
        <f aca="false">(II46*$H46+IJ46*$G46)</f>
        <v>9997.61796970457</v>
      </c>
      <c r="II46" s="328" t="n">
        <f aca="false">IJ46/$F46*IJ$7</f>
        <v>9997.61796970457</v>
      </c>
      <c r="IJ46" s="338" t="n">
        <v>9551.04</v>
      </c>
      <c r="IK46" s="325" t="n">
        <f aca="false">(IL46*$H46+IM46*$G46)</f>
        <v>9894.34958970657</v>
      </c>
      <c r="IL46" s="328" t="n">
        <f aca="false">IM46/$F46*IM$7</f>
        <v>9894.34958970657</v>
      </c>
      <c r="IM46" s="338" t="n">
        <v>9551.04</v>
      </c>
      <c r="IN46" s="325" t="n">
        <f aca="false">(IO46*$H46+IP46*$G46)</f>
        <v>10215.3472689568</v>
      </c>
      <c r="IO46" s="328" t="n">
        <f aca="false">IP46/$F46*IP$7</f>
        <v>10215.3472689568</v>
      </c>
      <c r="IP46" s="338" t="n">
        <v>9551.04</v>
      </c>
      <c r="IQ46" s="325" t="n">
        <f aca="false">(IR46*$H46+IS46*$G46)</f>
        <v>10276.3810186224</v>
      </c>
      <c r="IR46" s="328" t="n">
        <f aca="false">IS46/$F46*IS$7</f>
        <v>10276.3810186224</v>
      </c>
      <c r="IS46" s="338" t="n">
        <v>9551.04</v>
      </c>
      <c r="IT46" s="325" t="n">
        <f aca="false">(IU46*$H46+IV46*$G46)</f>
        <v>10270.8028598992</v>
      </c>
      <c r="IU46" s="328" t="n">
        <f aca="false">IV46/$F46*IV$7</f>
        <v>10270.8028598992</v>
      </c>
      <c r="IV46" s="338" t="n">
        <v>9551.04</v>
      </c>
      <c r="IW46" s="325" t="n">
        <f aca="false">(IX46*$H46+IY46*$G46)</f>
        <v>10156.2694970252</v>
      </c>
      <c r="IX46" s="328" t="n">
        <f aca="false">IY46/$F46*IY$7</f>
        <v>10156.2694970252</v>
      </c>
      <c r="IY46" s="338" t="n">
        <v>9551.04</v>
      </c>
      <c r="JC46" s="325" t="n">
        <f aca="false">(JD46*$H46+JE46*$G46)</f>
        <v>10215.8181524853</v>
      </c>
      <c r="JD46" s="329" t="n">
        <f aca="false">JE46/$F46*JE$7</f>
        <v>10215.8181524853</v>
      </c>
      <c r="JE46" s="338" t="n">
        <v>9551.04</v>
      </c>
      <c r="JF46" s="325" t="n">
        <f aca="false">(JG46*$H46+JH46*$G46)</f>
        <v>10116.8963896742</v>
      </c>
      <c r="JG46" s="326" t="n">
        <f aca="false">JH46/$F46*JH$7</f>
        <v>10116.8963896742</v>
      </c>
      <c r="JH46" s="338" t="n">
        <v>9551.04</v>
      </c>
      <c r="JI46" s="325" t="n">
        <f aca="false">(JJ46*$H46+JK46*$G46)</f>
        <v>10040.1061527062</v>
      </c>
      <c r="JJ46" s="326" t="n">
        <f aca="false">JK46/$F46*JK$7</f>
        <v>10040.1061527062</v>
      </c>
      <c r="JK46" s="338" t="n">
        <v>9551.04</v>
      </c>
      <c r="JL46" s="325" t="n">
        <f aca="false">(JM46*$H46+JN46*$G46)</f>
        <v>10145.5840631075</v>
      </c>
      <c r="JM46" s="326" t="n">
        <f aca="false">JN46/$F46*JN$7</f>
        <v>10145.5840631075</v>
      </c>
      <c r="JN46" s="338" t="n">
        <v>9551.04</v>
      </c>
      <c r="JO46" s="325" t="n">
        <f aca="false">(JP46*$H46+JQ46*$G46)</f>
        <v>9948.86341359187</v>
      </c>
      <c r="JP46" s="326" t="n">
        <f aca="false">JQ46/$F46*JQ$7</f>
        <v>9948.86341359187</v>
      </c>
      <c r="JQ46" s="338" t="n">
        <v>9551.04</v>
      </c>
      <c r="JR46" s="325" t="n">
        <f aca="false">(JS46*$H46+JT46*$G46)</f>
        <v>9849.97787259063</v>
      </c>
      <c r="JS46" s="328" t="n">
        <f aca="false">JT46/$F46*JT$7</f>
        <v>9849.97787259063</v>
      </c>
      <c r="JT46" s="338" t="n">
        <v>9551.04</v>
      </c>
      <c r="JU46" s="325" t="n">
        <f aca="false">(JV46*$H46+JW46*$G46)</f>
        <v>9859.75776126108</v>
      </c>
      <c r="JV46" s="329" t="n">
        <f aca="false">JW46/$F46*JW$7</f>
        <v>9859.75776126108</v>
      </c>
      <c r="JW46" s="338" t="n">
        <v>9551.04</v>
      </c>
      <c r="JX46" s="325" t="n">
        <f aca="false">(JY46*$H46+JZ46*$G46)</f>
        <v>9651.48235439034</v>
      </c>
      <c r="JY46" s="329" t="n">
        <f aca="false">JZ46/$F46*JZ$7</f>
        <v>9651.48235439034</v>
      </c>
      <c r="JZ46" s="338" t="n">
        <v>9551.04</v>
      </c>
      <c r="KA46" s="325" t="n">
        <f aca="false">(KB46*$H46+KC46*$G46)</f>
        <v>9672.23745145763</v>
      </c>
      <c r="KB46" s="329" t="n">
        <f aca="false">KC46/$F46*KC$7</f>
        <v>9672.23745145763</v>
      </c>
      <c r="KC46" s="338" t="n">
        <v>9551.04</v>
      </c>
      <c r="KD46" s="325" t="n">
        <f aca="false">(KE46*$H46+KF46*$G46)</f>
        <v>9516.19389444908</v>
      </c>
      <c r="KE46" s="329" t="n">
        <f aca="false">KF46/$F46*KF$7</f>
        <v>9516.19389444908</v>
      </c>
      <c r="KF46" s="338" t="n">
        <v>9551.04</v>
      </c>
      <c r="KG46" s="325" t="n">
        <f aca="false">(KH46*$H46+KI46*$G46)</f>
        <v>9656.29985510578</v>
      </c>
      <c r="KH46" s="329" t="n">
        <f aca="false">KI46/$F46*KI$7</f>
        <v>9656.29985510578</v>
      </c>
      <c r="KI46" s="338" t="n">
        <v>9551.04</v>
      </c>
      <c r="KJ46" s="325" t="n">
        <f aca="false">(KK46*$H46+KL46*$G46)</f>
        <v>9882.97594140093</v>
      </c>
      <c r="KK46" s="329" t="n">
        <f aca="false">KL46/$F46*KL$7</f>
        <v>9882.97594140093</v>
      </c>
      <c r="KL46" s="338" t="n">
        <v>9551.04</v>
      </c>
      <c r="KP46" s="325" t="n">
        <f aca="false">(KQ46*$H46+KR46*$G46)</f>
        <v>10290.6524117192</v>
      </c>
      <c r="KQ46" s="329" t="n">
        <f aca="false">KR46/$F46*KR$7</f>
        <v>10290.6524117192</v>
      </c>
      <c r="KR46" s="338" t="n">
        <v>9551.04</v>
      </c>
      <c r="KS46" s="325" t="n">
        <f aca="false">(KT46*$H46+KU46*$G46)</f>
        <v>10499.8695856471</v>
      </c>
      <c r="KT46" s="329" t="n">
        <f aca="false">KU46/$F46*KU$7</f>
        <v>10499.8695856471</v>
      </c>
      <c r="KU46" s="338" t="n">
        <v>9551.04</v>
      </c>
      <c r="KV46" s="325" t="n">
        <f aca="false">(KW46*$H46+KX46*$G46)</f>
        <v>10596.6542616747</v>
      </c>
      <c r="KW46" s="329" t="n">
        <f aca="false">KX46/$F46*KX$7</f>
        <v>10596.6542616747</v>
      </c>
      <c r="KX46" s="338" t="n">
        <v>9551.04</v>
      </c>
      <c r="KY46" s="325" t="n">
        <f aca="false">(KZ46*$H46+LA46*$G46)</f>
        <v>10596.6542616747</v>
      </c>
      <c r="KZ46" s="329" t="n">
        <f aca="false">LA46/$F46*LA$7</f>
        <v>10596.6542616747</v>
      </c>
      <c r="LA46" s="338" t="n">
        <v>9551.04</v>
      </c>
      <c r="LB46" s="325" t="n">
        <f aca="false">(LC46*$H46+LD46*$G46)</f>
        <v>10596.6542616747</v>
      </c>
      <c r="LC46" s="329" t="n">
        <f aca="false">LD46/$F46*LD$7</f>
        <v>10596.6542616747</v>
      </c>
      <c r="LD46" s="338" t="n">
        <v>9551.04</v>
      </c>
      <c r="LE46" s="325" t="n">
        <f aca="false">(LF46*$H46+LG46*$G46)</f>
        <v>10596.6542616747</v>
      </c>
      <c r="LF46" s="329" t="n">
        <f aca="false">LG46/$F46*LG$7</f>
        <v>10596.6542616747</v>
      </c>
      <c r="LG46" s="338" t="n">
        <v>9551.04</v>
      </c>
      <c r="LH46" s="325" t="n">
        <f aca="false">(LI46*$H46+LJ46*$G46)</f>
        <v>13245.8087716409</v>
      </c>
      <c r="LI46" s="329" t="n">
        <f aca="false">LJ46/$F46*LJ$7</f>
        <v>13245.8087716409</v>
      </c>
      <c r="LJ46" s="338" t="n">
        <v>9551.04</v>
      </c>
      <c r="LM46" s="338" t="n">
        <v>9551.04</v>
      </c>
      <c r="LP46" s="338" t="n">
        <v>9551.04</v>
      </c>
      <c r="LS46" s="338" t="n">
        <v>9551.04</v>
      </c>
      <c r="LV46" s="338" t="n">
        <v>9551.04</v>
      </c>
      <c r="LY46" s="338" t="n">
        <v>9551.04</v>
      </c>
      <c r="ME46" s="338" t="n">
        <v>9551.04</v>
      </c>
      <c r="MH46" s="338" t="n">
        <v>9551.04</v>
      </c>
      <c r="MK46" s="338" t="n">
        <v>9551.04</v>
      </c>
      <c r="MN46" s="338" t="n">
        <v>9551.04</v>
      </c>
      <c r="MQ46" s="338" t="n">
        <v>9551.04</v>
      </c>
      <c r="MT46" s="338" t="n">
        <v>9551.04</v>
      </c>
      <c r="MW46" s="338" t="n">
        <v>9551.04</v>
      </c>
      <c r="MZ46" s="338" t="n">
        <v>9551.04</v>
      </c>
      <c r="NC46" s="338" t="n">
        <v>9551.04</v>
      </c>
      <c r="NF46" s="338" t="n">
        <v>9551.04</v>
      </c>
      <c r="NI46" s="338" t="n">
        <v>9551.04</v>
      </c>
      <c r="NL46" s="338" t="n">
        <v>9551.04</v>
      </c>
      <c r="NR46" s="338" t="n">
        <v>9551.04</v>
      </c>
      <c r="NU46" s="338" t="n">
        <v>9551.04</v>
      </c>
      <c r="NX46" s="338" t="n">
        <v>9551.04</v>
      </c>
      <c r="OA46" s="338" t="n">
        <v>9551.04</v>
      </c>
      <c r="OD46" s="338" t="n">
        <v>9551.04</v>
      </c>
      <c r="OG46" s="338" t="n">
        <v>9551.04</v>
      </c>
      <c r="OJ46" s="338" t="n">
        <v>9551.04</v>
      </c>
      <c r="OM46" s="338" t="n">
        <v>9551.04</v>
      </c>
      <c r="OP46" s="338" t="n">
        <v>9551.04</v>
      </c>
    </row>
    <row r="47" s="329" customFormat="true" ht="15" hidden="false" customHeight="false" outlineLevel="0" collapsed="false">
      <c r="A47" s="340" t="s">
        <v>1278</v>
      </c>
      <c r="B47" s="333"/>
      <c r="C47" s="320" t="n">
        <v>1504868.04</v>
      </c>
      <c r="D47" s="333"/>
      <c r="E47" s="334"/>
      <c r="F47" s="341" t="n">
        <v>27.790097</v>
      </c>
      <c r="G47" s="323" t="n">
        <v>0</v>
      </c>
      <c r="H47" s="324" t="n">
        <f aca="false">1-G47</f>
        <v>1</v>
      </c>
      <c r="I47" s="332" t="n">
        <f aca="false">J47/F47*25.263457</f>
        <v>269986.995324985</v>
      </c>
      <c r="J47" s="319" t="n">
        <v>296988.84</v>
      </c>
      <c r="K47" s="289"/>
      <c r="M47" s="327"/>
      <c r="N47" s="289"/>
      <c r="P47" s="327"/>
      <c r="Q47" s="289"/>
      <c r="S47" s="327"/>
      <c r="V47" s="327"/>
      <c r="W47" s="289"/>
      <c r="Y47" s="327"/>
      <c r="AC47" s="289"/>
      <c r="AE47" s="327"/>
      <c r="AF47" s="289"/>
      <c r="AH47" s="327"/>
      <c r="AI47" s="289"/>
      <c r="AK47" s="327"/>
      <c r="AL47" s="289"/>
      <c r="AN47" s="327"/>
      <c r="AO47" s="289"/>
      <c r="AQ47" s="327"/>
      <c r="AR47" s="289"/>
      <c r="AT47" s="327"/>
      <c r="AU47" s="289"/>
      <c r="AW47" s="327"/>
      <c r="AX47" s="289"/>
      <c r="AZ47" s="327"/>
      <c r="BA47" s="289"/>
      <c r="BC47" s="327"/>
      <c r="BD47" s="289"/>
      <c r="BF47" s="327"/>
      <c r="BG47" s="289"/>
      <c r="BI47" s="327"/>
      <c r="BJ47" s="289"/>
      <c r="BL47" s="327"/>
      <c r="BP47" s="289"/>
      <c r="BR47" s="327"/>
      <c r="BS47" s="289"/>
      <c r="BU47" s="327"/>
      <c r="BV47" s="289"/>
      <c r="BX47" s="327"/>
      <c r="BY47" s="289"/>
      <c r="CA47" s="327"/>
      <c r="CB47" s="289"/>
      <c r="CD47" s="327"/>
      <c r="CE47" s="289"/>
      <c r="CG47" s="327"/>
      <c r="CH47" s="289"/>
      <c r="CJ47" s="327"/>
      <c r="CK47" s="289"/>
      <c r="CM47" s="327"/>
      <c r="CN47" s="289"/>
      <c r="CP47" s="327"/>
      <c r="CQ47" s="289"/>
      <c r="CS47" s="327"/>
      <c r="CV47" s="327"/>
      <c r="CW47" s="289"/>
      <c r="CY47" s="327"/>
      <c r="DC47" s="335"/>
      <c r="DE47" s="327"/>
      <c r="DH47" s="327"/>
      <c r="DK47" s="327"/>
      <c r="DL47" s="289"/>
      <c r="DN47" s="327"/>
      <c r="DQ47" s="327"/>
      <c r="DT47" s="327"/>
      <c r="ED47" s="289"/>
      <c r="EJ47" s="289"/>
      <c r="FN47" s="289"/>
      <c r="FQ47" s="289"/>
      <c r="FT47" s="289"/>
      <c r="FW47" s="289"/>
      <c r="GC47" s="289"/>
      <c r="GK47" s="327"/>
      <c r="GN47" s="327"/>
      <c r="GQ47" s="327"/>
      <c r="GT47" s="327"/>
      <c r="GU47" s="289"/>
      <c r="GW47" s="327"/>
      <c r="GX47" s="289" t="n">
        <v>0</v>
      </c>
      <c r="HA47" s="325" t="n">
        <f aca="false">(HB47*$H47+HC47*$G47)</f>
        <v>17870.9957398119</v>
      </c>
      <c r="HB47" s="328" t="n">
        <f aca="false">HC47/$F47*HC$7</f>
        <v>17870.9957398119</v>
      </c>
      <c r="HC47" s="327" t="n">
        <v>20131.32</v>
      </c>
      <c r="HD47" s="325" t="n">
        <f aca="false">(HE47*$H47+HF47*$G47)</f>
        <v>18135.561942217</v>
      </c>
      <c r="HE47" s="328" t="n">
        <f aca="false">HF47/$F47*HF$7</f>
        <v>18135.561942217</v>
      </c>
      <c r="HF47" s="327" t="n">
        <v>20131.32</v>
      </c>
      <c r="HG47" s="325" t="n">
        <f aca="false">(HH47*$H47+HI47*$G47)</f>
        <v>17533.4767570246</v>
      </c>
      <c r="HH47" s="328" t="n">
        <f aca="false">HI47/$F47*HI$7</f>
        <v>17533.4767570246</v>
      </c>
      <c r="HI47" s="327" t="n">
        <v>20131.32</v>
      </c>
      <c r="HJ47" s="325" t="n">
        <f aca="false">(HK47*$H47+HL47*$G47)</f>
        <v>16960.5858681789</v>
      </c>
      <c r="HK47" s="328" t="n">
        <f aca="false">HL47/$F47*HL$7</f>
        <v>16960.5858681789</v>
      </c>
      <c r="HL47" s="327" t="n">
        <v>20131.32</v>
      </c>
      <c r="HP47" s="325" t="n">
        <f aca="false">(HQ47*$H47+HR47*$G47)</f>
        <v>17568.8074987288</v>
      </c>
      <c r="HQ47" s="328" t="n">
        <f aca="false">HR47/$F47*HR$7</f>
        <v>17568.8074987288</v>
      </c>
      <c r="HR47" s="327" t="n">
        <v>20131.32</v>
      </c>
      <c r="HS47" s="325" t="n">
        <f aca="false">(HT47*$H47+HU47*$G47)</f>
        <v>17706.7344490377</v>
      </c>
      <c r="HT47" s="328" t="n">
        <f aca="false">HU47/$F47*HU$7</f>
        <v>17706.7344490377</v>
      </c>
      <c r="HU47" s="327" t="n">
        <v>20131.32</v>
      </c>
      <c r="HV47" s="325" t="n">
        <f aca="false">(HW47*$H47+HX47*$G47)</f>
        <v>20140.3048107389</v>
      </c>
      <c r="HW47" s="328" t="n">
        <f aca="false">HX47/$F47*HX$7</f>
        <v>20140.3048107389</v>
      </c>
      <c r="HX47" s="327" t="n">
        <v>20131.32</v>
      </c>
      <c r="HY47" s="325" t="n">
        <f aca="false">(HZ47*$H47+IA47*$G47)</f>
        <v>19705.4437378898</v>
      </c>
      <c r="HZ47" s="328" t="n">
        <f aca="false">IA47/$F47*IA$7</f>
        <v>19705.4437378898</v>
      </c>
      <c r="IA47" s="327" t="n">
        <v>20131.32</v>
      </c>
      <c r="IB47" s="325" t="n">
        <f aca="false">(IC47*$H47+ID47*$G47)</f>
        <v>19248.1985118656</v>
      </c>
      <c r="IC47" s="328" t="n">
        <f aca="false">ID47/$F47*ID$7</f>
        <v>19248.1985118656</v>
      </c>
      <c r="ID47" s="327" t="n">
        <v>20131.32</v>
      </c>
      <c r="IE47" s="325" t="n">
        <f aca="false">(IF47*$H47+IG47*$G47)</f>
        <v>19387.5018340526</v>
      </c>
      <c r="IF47" s="328" t="n">
        <f aca="false">IG47/$F47*IG$7</f>
        <v>19387.5018340526</v>
      </c>
      <c r="IG47" s="327" t="n">
        <v>20131.32</v>
      </c>
      <c r="IH47" s="325" t="n">
        <f aca="false">(II47*$H47+IJ47*$G47)</f>
        <v>19994.4093916621</v>
      </c>
      <c r="II47" s="328" t="n">
        <f aca="false">IJ47/$F47*IJ$7</f>
        <v>19994.4093916621</v>
      </c>
      <c r="IJ47" s="327" t="n">
        <v>20131.32</v>
      </c>
      <c r="IK47" s="325" t="n">
        <f aca="false">(IL47*$H47+IM47*$G47)</f>
        <v>19787.8811693245</v>
      </c>
      <c r="IL47" s="328" t="n">
        <f aca="false">IM47/$F47*IM$7</f>
        <v>19787.8811693245</v>
      </c>
      <c r="IM47" s="327" t="n">
        <v>20131.32</v>
      </c>
      <c r="IN47" s="325" t="n">
        <f aca="false">(IO47*$H47+IP47*$G47)</f>
        <v>20429.8499895125</v>
      </c>
      <c r="IO47" s="328" t="n">
        <f aca="false">IP47/$F47*IP$7</f>
        <v>20429.8499895125</v>
      </c>
      <c r="IP47" s="327" t="n">
        <v>20131.32</v>
      </c>
      <c r="IQ47" s="325" t="n">
        <f aca="false">(IR47*$H47+IS47*$G47)</f>
        <v>20551.9124429109</v>
      </c>
      <c r="IR47" s="328" t="n">
        <f aca="false">IS47/$F47*IS$7</f>
        <v>20551.9124429109</v>
      </c>
      <c r="IS47" s="327" t="n">
        <v>20131.32</v>
      </c>
      <c r="IT47" s="325" t="n">
        <f aca="false">(IU47*$H47+IV47*$G47)</f>
        <v>20540.7565866359</v>
      </c>
      <c r="IU47" s="328" t="n">
        <f aca="false">IV47/$F47*IV$7</f>
        <v>20540.7565866359</v>
      </c>
      <c r="IV47" s="327" t="n">
        <v>20131.32</v>
      </c>
      <c r="IW47" s="325" t="n">
        <f aca="false">(IX47*$H47+IY47*$G47)</f>
        <v>20311.6993298728</v>
      </c>
      <c r="IX47" s="328" t="n">
        <f aca="false">IY47/$F47*IY$7</f>
        <v>20311.6993298728</v>
      </c>
      <c r="IY47" s="327" t="n">
        <v>20131.32</v>
      </c>
      <c r="JC47" s="325" t="n">
        <f aca="false">(JD47*$H47+JE47*$G47)</f>
        <v>20430.7917176396</v>
      </c>
      <c r="JD47" s="329" t="n">
        <f aca="false">JE47/$F47*JE$7</f>
        <v>20430.7917176396</v>
      </c>
      <c r="JE47" s="327" t="n">
        <v>20131.32</v>
      </c>
      <c r="JF47" s="325" t="n">
        <f aca="false">(JG47*$H47+JH47*$G47)</f>
        <v>20232.9563703214</v>
      </c>
      <c r="JG47" s="326" t="n">
        <f aca="false">JH47/$F47*JH$7</f>
        <v>20232.9563703214</v>
      </c>
      <c r="JH47" s="327" t="n">
        <v>20131.32</v>
      </c>
      <c r="JI47" s="325" t="n">
        <f aca="false">(JJ47*$H47+JK47*$G47)</f>
        <v>20079.3822449774</v>
      </c>
      <c r="JJ47" s="326" t="n">
        <f aca="false">JK47/$F47*JK$7</f>
        <v>20079.3822449774</v>
      </c>
      <c r="JK47" s="327" t="n">
        <v>20131.32</v>
      </c>
      <c r="JL47" s="325" t="n">
        <f aca="false">(JM47*$H47+JN47*$G47)</f>
        <v>20290.3293454499</v>
      </c>
      <c r="JM47" s="326" t="n">
        <f aca="false">JN47/$F47*JN$7</f>
        <v>20290.3293454499</v>
      </c>
      <c r="JN47" s="327" t="n">
        <v>20131.32</v>
      </c>
      <c r="JO47" s="325" t="n">
        <f aca="false">(JP47*$H47+JQ47*$G47)</f>
        <v>19896.9043101937</v>
      </c>
      <c r="JP47" s="326" t="n">
        <f aca="false">JQ47/$F47*JQ$7</f>
        <v>19896.9043101937</v>
      </c>
      <c r="JQ47" s="327" t="n">
        <v>20131.32</v>
      </c>
      <c r="JR47" s="325" t="n">
        <f aca="false">(JS47*$H47+JT47*$G47)</f>
        <v>19699.1414035007</v>
      </c>
      <c r="JS47" s="328" t="n">
        <f aca="false">JT47/$F47*JT$7</f>
        <v>19699.1414035007</v>
      </c>
      <c r="JT47" s="327" t="n">
        <v>20131.32</v>
      </c>
      <c r="JU47" s="325" t="n">
        <f aca="false">(JV47*$H47+JW47*$G47)</f>
        <v>19718.7003722945</v>
      </c>
      <c r="JV47" s="329" t="n">
        <f aca="false">JW47/$F47*JW$7</f>
        <v>19718.7003722945</v>
      </c>
      <c r="JW47" s="327" t="n">
        <v>20131.32</v>
      </c>
      <c r="JX47" s="325" t="n">
        <f aca="false">(JY47*$H47+JZ47*$G47)</f>
        <v>19302.1667776115</v>
      </c>
      <c r="JY47" s="329" t="n">
        <f aca="false">JZ47/$F47*JZ$7</f>
        <v>19302.1667776115</v>
      </c>
      <c r="JZ47" s="327" t="n">
        <v>20131.32</v>
      </c>
      <c r="KA47" s="325" t="n">
        <f aca="false">(KB47*$H47+KC47*$G47)</f>
        <v>19343.6752558294</v>
      </c>
      <c r="KB47" s="329" t="n">
        <f aca="false">KC47/$F47*KC$7</f>
        <v>19343.6752558294</v>
      </c>
      <c r="KC47" s="327" t="n">
        <v>20131.32</v>
      </c>
      <c r="KD47" s="325" t="n">
        <f aca="false">(KE47*$H47+KF47*$G47)</f>
        <v>19031.6010426304</v>
      </c>
      <c r="KE47" s="329" t="n">
        <f aca="false">KF47/$F47*KF$7</f>
        <v>19031.6010426304</v>
      </c>
      <c r="KF47" s="327" t="n">
        <v>20131.32</v>
      </c>
      <c r="KG47" s="325" t="n">
        <f aca="false">(KH47*$H47+KI47*$G47)</f>
        <v>19311.801380758</v>
      </c>
      <c r="KH47" s="329" t="n">
        <f aca="false">KI47/$F47*KI$7</f>
        <v>19311.801380758</v>
      </c>
      <c r="KI47" s="327" t="n">
        <v>20131.32</v>
      </c>
      <c r="KJ47" s="325" t="n">
        <f aca="false">(KK47*$H47+KL47*$G47)</f>
        <v>19765.1348130235</v>
      </c>
      <c r="KK47" s="329" t="n">
        <f aca="false">KL47/$F47*KL$7</f>
        <v>19765.1348130235</v>
      </c>
      <c r="KL47" s="327" t="n">
        <v>20131.32</v>
      </c>
      <c r="KP47" s="325" t="n">
        <f aca="false">(KQ47*$H47+KR47*$G47)</f>
        <v>20580.4540492248</v>
      </c>
      <c r="KQ47" s="329" t="n">
        <f aca="false">KR47/$F47*KR$7</f>
        <v>20580.4540492248</v>
      </c>
      <c r="KR47" s="327" t="n">
        <v>20131.32</v>
      </c>
      <c r="KS47" s="325" t="n">
        <f aca="false">(KT47*$H47+KU47*$G47)</f>
        <v>20998.871100162</v>
      </c>
      <c r="KT47" s="329" t="n">
        <f aca="false">KU47/$F47*KU$7</f>
        <v>20998.871100162</v>
      </c>
      <c r="KU47" s="327" t="n">
        <v>20131.32</v>
      </c>
      <c r="KV47" s="325" t="n">
        <f aca="false">(KW47*$H47+KX47*$G47)</f>
        <v>21192.4324505956</v>
      </c>
      <c r="KW47" s="329" t="n">
        <f aca="false">KX47/$F47*KX$7</f>
        <v>21192.4324505956</v>
      </c>
      <c r="KX47" s="327" t="n">
        <v>20131.32</v>
      </c>
      <c r="KY47" s="325" t="n">
        <f aca="false">(KZ47*$H47+LA47*$G47)</f>
        <v>21192.4324505956</v>
      </c>
      <c r="KZ47" s="329" t="n">
        <f aca="false">LA47/$F47*LA$7</f>
        <v>21192.4324505956</v>
      </c>
      <c r="LA47" s="327" t="n">
        <v>20131.32</v>
      </c>
      <c r="LB47" s="325" t="n">
        <f aca="false">(LC47*$H47+LD47*$G47)</f>
        <v>21192.4324505956</v>
      </c>
      <c r="LC47" s="329" t="n">
        <f aca="false">LD47/$F47*LD$7</f>
        <v>21192.4324505956</v>
      </c>
      <c r="LD47" s="327" t="n">
        <v>20131.32</v>
      </c>
      <c r="LE47" s="325" t="n">
        <f aca="false">(LF47*$H47+LG47*$G47)</f>
        <v>21192.4324505956</v>
      </c>
      <c r="LF47" s="329" t="n">
        <f aca="false">LG47/$F47*LG$7</f>
        <v>21192.4324505956</v>
      </c>
      <c r="LG47" s="327" t="n">
        <v>20131.32</v>
      </c>
      <c r="LH47" s="325" t="n">
        <f aca="false">(LI47*$H47+LJ47*$G47)</f>
        <v>26490.5224530882</v>
      </c>
      <c r="LI47" s="329" t="n">
        <f aca="false">LJ47/$F47*LJ$7</f>
        <v>26490.5224530882</v>
      </c>
      <c r="LJ47" s="327" t="n">
        <v>20131.32</v>
      </c>
      <c r="LM47" s="327" t="n">
        <v>20131.32</v>
      </c>
      <c r="LP47" s="327" t="n">
        <v>20131.32</v>
      </c>
      <c r="LS47" s="327" t="n">
        <v>20131.32</v>
      </c>
      <c r="LV47" s="327" t="n">
        <v>20131.32</v>
      </c>
      <c r="LY47" s="327" t="n">
        <v>20131.32</v>
      </c>
      <c r="ME47" s="327" t="n">
        <v>20131.32</v>
      </c>
      <c r="MH47" s="327" t="n">
        <v>20131.32</v>
      </c>
      <c r="MK47" s="327" t="n">
        <v>20131.32</v>
      </c>
      <c r="MN47" s="327" t="n">
        <v>20131.32</v>
      </c>
      <c r="MQ47" s="327" t="n">
        <v>20131.32</v>
      </c>
      <c r="MT47" s="327" t="n">
        <v>20131.32</v>
      </c>
      <c r="MW47" s="327" t="n">
        <v>20131.32</v>
      </c>
      <c r="MZ47" s="327" t="n">
        <v>20131.32</v>
      </c>
      <c r="NC47" s="327" t="n">
        <v>20131.32</v>
      </c>
      <c r="NF47" s="327" t="n">
        <v>20131.32</v>
      </c>
      <c r="NI47" s="327" t="n">
        <v>20131.32</v>
      </c>
      <c r="NL47" s="327" t="n">
        <v>20131.32</v>
      </c>
      <c r="NR47" s="327" t="n">
        <v>20131.32</v>
      </c>
      <c r="NU47" s="327" t="n">
        <v>20131.32</v>
      </c>
      <c r="NX47" s="327" t="n">
        <v>20131.32</v>
      </c>
      <c r="OA47" s="327" t="n">
        <v>20131.32</v>
      </c>
      <c r="OD47" s="327" t="n">
        <v>20131.32</v>
      </c>
      <c r="OG47" s="327" t="n">
        <v>20131.32</v>
      </c>
      <c r="OJ47" s="327" t="n">
        <v>20131.32</v>
      </c>
      <c r="OM47" s="327" t="n">
        <v>20131.32</v>
      </c>
    </row>
    <row r="48" s="329" customFormat="true" ht="15" hidden="false" customHeight="false" outlineLevel="0" collapsed="false">
      <c r="A48" s="28" t="n">
        <v>5.1</v>
      </c>
      <c r="B48" s="342"/>
      <c r="C48" s="343" t="n">
        <v>1717467.37</v>
      </c>
      <c r="D48" s="342"/>
      <c r="E48" s="344"/>
      <c r="F48" s="60" t="n">
        <v>24.4431</v>
      </c>
      <c r="G48" s="345" t="n">
        <v>0</v>
      </c>
      <c r="H48" s="346" t="n">
        <f aca="false">1-G48</f>
        <v>1</v>
      </c>
      <c r="I48" s="346" t="n">
        <f aca="false">J48/F48*26.7544</f>
        <v>392930.883762207</v>
      </c>
      <c r="J48" s="347" t="n">
        <v>358985.77</v>
      </c>
      <c r="K48" s="289"/>
      <c r="M48" s="327"/>
      <c r="N48" s="289"/>
      <c r="P48" s="327"/>
      <c r="Q48" s="289"/>
      <c r="S48" s="327"/>
      <c r="V48" s="327"/>
      <c r="W48" s="289"/>
      <c r="Y48" s="327"/>
      <c r="AC48" s="289"/>
      <c r="AE48" s="327"/>
      <c r="AF48" s="289"/>
      <c r="AH48" s="327"/>
      <c r="AI48" s="289"/>
      <c r="AK48" s="327"/>
      <c r="AL48" s="289"/>
      <c r="AN48" s="327"/>
      <c r="AO48" s="289"/>
      <c r="AQ48" s="327"/>
      <c r="AR48" s="289"/>
      <c r="AT48" s="327"/>
      <c r="AU48" s="289"/>
      <c r="AW48" s="327"/>
      <c r="AX48" s="289"/>
      <c r="AZ48" s="327"/>
      <c r="BA48" s="289"/>
      <c r="BC48" s="327"/>
      <c r="BD48" s="289"/>
      <c r="BF48" s="327"/>
      <c r="BG48" s="289"/>
      <c r="BI48" s="327"/>
      <c r="BJ48" s="289"/>
      <c r="BL48" s="327"/>
      <c r="BP48" s="289"/>
      <c r="BR48" s="327"/>
      <c r="BS48" s="289"/>
      <c r="BU48" s="327"/>
      <c r="BV48" s="289"/>
      <c r="BX48" s="327"/>
      <c r="BY48" s="289"/>
      <c r="CA48" s="327"/>
      <c r="CB48" s="289"/>
      <c r="CD48" s="327"/>
      <c r="CE48" s="289"/>
      <c r="CG48" s="327"/>
      <c r="CH48" s="289"/>
      <c r="CJ48" s="327"/>
      <c r="CK48" s="289"/>
      <c r="CM48" s="327"/>
      <c r="CN48" s="289"/>
      <c r="CP48" s="327"/>
      <c r="CQ48" s="289"/>
      <c r="CS48" s="327"/>
      <c r="CV48" s="327"/>
      <c r="CW48" s="289"/>
      <c r="CY48" s="327"/>
      <c r="DC48" s="335"/>
      <c r="DE48" s="327"/>
      <c r="DH48" s="327"/>
      <c r="DK48" s="327"/>
      <c r="DL48" s="289"/>
      <c r="DN48" s="327"/>
      <c r="DQ48" s="327"/>
      <c r="DT48" s="327"/>
      <c r="ED48" s="289"/>
      <c r="EJ48" s="289"/>
      <c r="FN48" s="289"/>
      <c r="FQ48" s="289"/>
      <c r="FT48" s="289"/>
      <c r="FW48" s="289"/>
      <c r="GC48" s="289"/>
      <c r="GK48" s="327"/>
      <c r="GU48" s="289"/>
      <c r="GX48" s="289"/>
      <c r="HA48" s="289"/>
      <c r="HD48" s="289"/>
      <c r="HG48" s="289"/>
      <c r="HJ48" s="289"/>
      <c r="HP48" s="289"/>
      <c r="HS48" s="289"/>
      <c r="HV48" s="289"/>
      <c r="HY48" s="289"/>
      <c r="IB48" s="289"/>
      <c r="IE48" s="289"/>
      <c r="IH48" s="325" t="n">
        <f aca="false">(II48*$H48+IJ48*$G48)</f>
        <v>25566.5787684868</v>
      </c>
      <c r="II48" s="328" t="n">
        <f aca="false">IJ48/$F48*IJ$7</f>
        <v>25566.5787684868</v>
      </c>
      <c r="IJ48" s="327" t="n">
        <v>22641.36</v>
      </c>
      <c r="IK48" s="325" t="n">
        <f aca="false">(IL48*$H48+IM48*$G48)</f>
        <v>25302.4939455306</v>
      </c>
      <c r="IL48" s="328" t="n">
        <f aca="false">IM48/$F48*IM$7</f>
        <v>25302.4939455306</v>
      </c>
      <c r="IM48" s="327" t="n">
        <v>22641.36</v>
      </c>
      <c r="IN48" s="325" t="n">
        <f aca="false">(IO48*$H48+IP48*$G48)</f>
        <v>26123.3707259717</v>
      </c>
      <c r="IO48" s="328" t="n">
        <f aca="false">IP48/$F48*IP$7</f>
        <v>26123.3707259717</v>
      </c>
      <c r="IP48" s="327" t="n">
        <v>22641.36</v>
      </c>
      <c r="IQ48" s="325" t="n">
        <f aca="false">(IR48*$H48+IS48*$G48)</f>
        <v>26279.4503214404</v>
      </c>
      <c r="IR48" s="328" t="n">
        <f aca="false">IS48/$F48*IS$7</f>
        <v>26279.4503214404</v>
      </c>
      <c r="IS48" s="327" t="n">
        <v>22641.36</v>
      </c>
      <c r="IT48" s="325" t="n">
        <f aca="false">(IU48*$H48+IV48*$G48)</f>
        <v>26265.1854800741</v>
      </c>
      <c r="IU48" s="328" t="n">
        <f aca="false">IV48/$F48*IV$7</f>
        <v>26265.1854800741</v>
      </c>
      <c r="IV48" s="327" t="n">
        <v>22641.36</v>
      </c>
      <c r="IW48" s="325" t="n">
        <f aca="false">(IX48*$H48+IY48*$G48)</f>
        <v>25972.2930878653</v>
      </c>
      <c r="IX48" s="328" t="n">
        <f aca="false">IY48/$F48*IY$7</f>
        <v>25972.2930878653</v>
      </c>
      <c r="IY48" s="327" t="n">
        <v>22641.36</v>
      </c>
      <c r="JC48" s="325" t="n">
        <f aca="false">(JD48*$H48+JE48*$G48)</f>
        <v>26124.5749008923</v>
      </c>
      <c r="JD48" s="329" t="n">
        <f aca="false">JE48/$F48*JE$7</f>
        <v>26124.5749008923</v>
      </c>
      <c r="JE48" s="327" t="n">
        <v>22641.36</v>
      </c>
      <c r="JF48" s="325" t="n">
        <f aca="false">(JG48*$H48+JH48*$G48)</f>
        <v>25871.605538741</v>
      </c>
      <c r="JG48" s="326" t="n">
        <f aca="false">JH48/$F48*JH$7</f>
        <v>25871.605538741</v>
      </c>
      <c r="JH48" s="327" t="n">
        <v>22641.36</v>
      </c>
      <c r="JI48" s="325" t="n">
        <f aca="false">(JJ48*$H48+JK48*$G48)</f>
        <v>25675.2323978546</v>
      </c>
      <c r="JJ48" s="326" t="n">
        <f aca="false">JK48/$F48*JK$7</f>
        <v>25675.2323978546</v>
      </c>
      <c r="JK48" s="327" t="n">
        <v>22641.36</v>
      </c>
      <c r="JL48" s="325" t="n">
        <f aca="false">(JM48*$H48+JN48*$G48)</f>
        <v>25944.9675800533</v>
      </c>
      <c r="JM48" s="326" t="n">
        <f aca="false">JN48/$F48*JN$7</f>
        <v>25944.9675800533</v>
      </c>
      <c r="JN48" s="327" t="n">
        <v>22641.36</v>
      </c>
      <c r="JO48" s="325" t="n">
        <f aca="false">(JP48*$H48+JQ48*$G48)</f>
        <v>25441.900349792</v>
      </c>
      <c r="JP48" s="326" t="n">
        <f aca="false">JQ48/$F48*JQ$7</f>
        <v>25441.900349792</v>
      </c>
      <c r="JQ48" s="327" t="n">
        <v>22641.36</v>
      </c>
      <c r="JR48" s="325" t="n">
        <f aca="false">(JS48*$H48+JT48*$G48)</f>
        <v>25189.0236164807</v>
      </c>
      <c r="JS48" s="328" t="n">
        <f aca="false">JT48/$F48*JT$7</f>
        <v>25189.0236164807</v>
      </c>
      <c r="JT48" s="327" t="n">
        <v>22641.36</v>
      </c>
      <c r="JU48" s="325" t="n">
        <f aca="false">(JV48*$H48+JW48*$G48)</f>
        <v>25214.0334032917</v>
      </c>
      <c r="JV48" s="329" t="n">
        <f aca="false">JW48/$F48*JW$7</f>
        <v>25214.0334032917</v>
      </c>
      <c r="JW48" s="327" t="n">
        <v>22641.36</v>
      </c>
      <c r="JX48" s="325" t="n">
        <f aca="false">(JY48*$H48+JZ48*$G48)</f>
        <v>24681.4175730574</v>
      </c>
      <c r="JY48" s="329" t="n">
        <f aca="false">JZ48/$F48*JZ$7</f>
        <v>24681.4175730574</v>
      </c>
      <c r="JZ48" s="327" t="n">
        <v>22641.36</v>
      </c>
      <c r="KA48" s="325" t="n">
        <f aca="false">(KB48*$H48+KC48*$G48)</f>
        <v>24734.4938984008</v>
      </c>
      <c r="KB48" s="329" t="n">
        <f aca="false">KC48/$F48*KC$7</f>
        <v>24734.4938984008</v>
      </c>
      <c r="KC48" s="327" t="n">
        <v>22641.36</v>
      </c>
      <c r="KD48" s="325" t="n">
        <f aca="false">(KE48*$H48+KF48*$G48)</f>
        <v>24335.4488555052</v>
      </c>
      <c r="KE48" s="329" t="n">
        <f aca="false">KF48/$F48*KF$7</f>
        <v>24335.4488555052</v>
      </c>
      <c r="KF48" s="327" t="n">
        <v>22641.36</v>
      </c>
      <c r="KG48" s="325" t="n">
        <f aca="false">(KH48*$H48+KI48*$G48)</f>
        <v>24693.7372087828</v>
      </c>
      <c r="KH48" s="329" t="n">
        <f aca="false">KI48/$F48*KI$7</f>
        <v>24693.7372087828</v>
      </c>
      <c r="KI48" s="327" t="n">
        <v>22641.36</v>
      </c>
      <c r="KJ48" s="325" t="n">
        <f aca="false">(KK48*$H48+KL48*$G48)</f>
        <v>25273.4084897578</v>
      </c>
      <c r="KK48" s="329" t="n">
        <f aca="false">KL48/$F48*KL$7</f>
        <v>25273.4084897578</v>
      </c>
      <c r="KL48" s="327" t="n">
        <v>22641.36</v>
      </c>
      <c r="KP48" s="325" t="n">
        <f aca="false">(KQ48*$H48+KR48*$G48)</f>
        <v>26315.9460844165</v>
      </c>
      <c r="KQ48" s="329" t="n">
        <f aca="false">KR48/$F48*KR$7</f>
        <v>26315.9460844165</v>
      </c>
      <c r="KR48" s="327" t="n">
        <v>22641.36</v>
      </c>
      <c r="KS48" s="325" t="n">
        <f aca="false">(KT48*$H48+KU48*$G48)</f>
        <v>26850.9702644918</v>
      </c>
      <c r="KT48" s="329" t="n">
        <f aca="false">KU48/$F48*KU$7</f>
        <v>26850.9702644918</v>
      </c>
      <c r="KU48" s="327" t="n">
        <v>22641.36</v>
      </c>
      <c r="KV48" s="325" t="n">
        <f aca="false">(KW48*$H48+KX48*$G48)</f>
        <v>27098.4745250807</v>
      </c>
      <c r="KW48" s="329" t="n">
        <f aca="false">KX48/$F48*KX$7</f>
        <v>27098.4745250807</v>
      </c>
      <c r="KX48" s="327" t="n">
        <v>22641.36</v>
      </c>
      <c r="KY48" s="325" t="n">
        <f aca="false">(KZ48*$H48+LA48*$G48)</f>
        <v>27098.4745250807</v>
      </c>
      <c r="KZ48" s="329" t="n">
        <f aca="false">LA48/$F48*LA$7</f>
        <v>27098.4745250807</v>
      </c>
      <c r="LA48" s="327" t="n">
        <v>22641.36</v>
      </c>
      <c r="LB48" s="325" t="n">
        <f aca="false">(LC48*$H48+LD48*$G48)</f>
        <v>27098.4745250807</v>
      </c>
      <c r="LC48" s="329" t="n">
        <f aca="false">LD48/$F48*LD$7</f>
        <v>27098.4745250807</v>
      </c>
      <c r="LD48" s="327" t="n">
        <v>22641.36</v>
      </c>
      <c r="LE48" s="325" t="n">
        <f aca="false">(LF48*$H48+LG48*$G48)</f>
        <v>27098.4745250807</v>
      </c>
      <c r="LF48" s="329" t="n">
        <f aca="false">LG48/$F48*LG$7</f>
        <v>27098.4745250807</v>
      </c>
      <c r="LG48" s="327" t="n">
        <v>22641.36</v>
      </c>
      <c r="LH48" s="325" t="n">
        <f aca="false">(LI48*$H48+LJ48*$G48)</f>
        <v>33873.0699991409</v>
      </c>
      <c r="LI48" s="329" t="n">
        <f aca="false">LJ48/$F48*LJ$7</f>
        <v>33873.0699991409</v>
      </c>
      <c r="LJ48" s="327" t="n">
        <v>22641.36</v>
      </c>
      <c r="LM48" s="327" t="n">
        <v>22641.36</v>
      </c>
      <c r="LP48" s="327" t="n">
        <v>22641.36</v>
      </c>
      <c r="LS48" s="327" t="n">
        <v>22641.36</v>
      </c>
      <c r="LV48" s="327" t="n">
        <v>22641.36</v>
      </c>
      <c r="LY48" s="327" t="n">
        <v>22641.36</v>
      </c>
      <c r="ME48" s="327" t="n">
        <v>22641.36</v>
      </c>
      <c r="MH48" s="327" t="n">
        <v>22641.36</v>
      </c>
      <c r="MK48" s="327" t="n">
        <v>22641.36</v>
      </c>
      <c r="MN48" s="327" t="n">
        <v>22641.36</v>
      </c>
      <c r="MQ48" s="327" t="n">
        <v>22641.36</v>
      </c>
      <c r="MT48" s="327" t="n">
        <v>22641.36</v>
      </c>
      <c r="MW48" s="327" t="n">
        <v>22641.36</v>
      </c>
      <c r="MZ48" s="327" t="n">
        <v>22641.36</v>
      </c>
      <c r="NC48" s="327" t="n">
        <v>22641.36</v>
      </c>
      <c r="NF48" s="327" t="n">
        <v>22641.36</v>
      </c>
      <c r="NI48" s="327" t="n">
        <v>22641.36</v>
      </c>
      <c r="NL48" s="327" t="n">
        <v>22641.36</v>
      </c>
      <c r="NR48" s="327" t="n">
        <v>22641.36</v>
      </c>
      <c r="NU48" s="327" t="n">
        <v>22641.36</v>
      </c>
      <c r="NX48" s="327" t="n">
        <v>22641.36</v>
      </c>
      <c r="OA48" s="327" t="n">
        <v>22641.36</v>
      </c>
      <c r="OD48" s="327" t="n">
        <v>22641.36</v>
      </c>
      <c r="OG48" s="327" t="n">
        <v>22641.36</v>
      </c>
      <c r="OJ48" s="327" t="n">
        <v>22641.36</v>
      </c>
      <c r="OM48" s="327" t="n">
        <v>22641.36</v>
      </c>
      <c r="OP48" s="327" t="n">
        <v>22641.36</v>
      </c>
      <c r="OS48" s="327" t="n">
        <v>22641.36</v>
      </c>
      <c r="OV48" s="327" t="n">
        <v>22641.36</v>
      </c>
      <c r="OY48" s="327" t="n">
        <v>22641.36</v>
      </c>
      <c r="PE48" s="327" t="n">
        <v>22641.36</v>
      </c>
      <c r="PH48" s="327" t="n">
        <v>22641.36</v>
      </c>
      <c r="PK48" s="327" t="n">
        <v>22641.36</v>
      </c>
      <c r="PN48" s="327" t="n">
        <v>22641.36</v>
      </c>
      <c r="PQ48" s="327" t="n">
        <v>22641.36</v>
      </c>
      <c r="PT48" s="327" t="n">
        <v>22641.36</v>
      </c>
      <c r="PW48" s="327"/>
    </row>
    <row r="49" s="329" customFormat="true" ht="15" hidden="false" customHeight="false" outlineLevel="0" collapsed="false">
      <c r="A49" s="28" t="n">
        <v>5.2</v>
      </c>
      <c r="B49" s="342"/>
      <c r="C49" s="343" t="n">
        <v>1811678.67</v>
      </c>
      <c r="D49" s="342"/>
      <c r="E49" s="344"/>
      <c r="F49" s="60" t="n">
        <v>27.9003</v>
      </c>
      <c r="G49" s="345" t="n">
        <v>0</v>
      </c>
      <c r="H49" s="346" t="n">
        <f aca="false">1-G49</f>
        <v>1</v>
      </c>
      <c r="I49" s="346" t="n">
        <f aca="false">J49/F49*26.9957</f>
        <v>339658.248067548</v>
      </c>
      <c r="J49" s="347" t="n">
        <v>351039.87</v>
      </c>
      <c r="K49" s="289"/>
      <c r="M49" s="327"/>
      <c r="N49" s="289"/>
      <c r="P49" s="327"/>
      <c r="Q49" s="289"/>
      <c r="S49" s="327"/>
      <c r="V49" s="327"/>
      <c r="W49" s="289"/>
      <c r="Y49" s="327"/>
      <c r="AC49" s="289"/>
      <c r="AE49" s="327"/>
      <c r="AF49" s="289"/>
      <c r="AH49" s="327"/>
      <c r="AI49" s="289"/>
      <c r="AK49" s="327"/>
      <c r="AL49" s="289"/>
      <c r="AN49" s="327"/>
      <c r="AO49" s="289"/>
      <c r="AQ49" s="327"/>
      <c r="AR49" s="289"/>
      <c r="AT49" s="327"/>
      <c r="AU49" s="289"/>
      <c r="AW49" s="327"/>
      <c r="AX49" s="289"/>
      <c r="AZ49" s="327"/>
      <c r="BA49" s="289"/>
      <c r="BC49" s="327"/>
      <c r="BD49" s="289"/>
      <c r="BF49" s="327"/>
      <c r="BG49" s="289"/>
      <c r="BI49" s="327"/>
      <c r="BJ49" s="289"/>
      <c r="BL49" s="327"/>
      <c r="BP49" s="289"/>
      <c r="BR49" s="327"/>
      <c r="BS49" s="289"/>
      <c r="BU49" s="327"/>
      <c r="BV49" s="289"/>
      <c r="BX49" s="327"/>
      <c r="BY49" s="289"/>
      <c r="CA49" s="327"/>
      <c r="CB49" s="289"/>
      <c r="CD49" s="327"/>
      <c r="CE49" s="289"/>
      <c r="CG49" s="327"/>
      <c r="CH49" s="289"/>
      <c r="CJ49" s="327"/>
      <c r="CK49" s="289"/>
      <c r="CM49" s="327"/>
      <c r="CN49" s="289"/>
      <c r="CP49" s="327"/>
      <c r="CQ49" s="289"/>
      <c r="CS49" s="327"/>
      <c r="CV49" s="327"/>
      <c r="CW49" s="289"/>
      <c r="CY49" s="327"/>
      <c r="DC49" s="335"/>
      <c r="DE49" s="327"/>
      <c r="DH49" s="327"/>
      <c r="DK49" s="327"/>
      <c r="DL49" s="289"/>
      <c r="DN49" s="327"/>
      <c r="DQ49" s="327"/>
      <c r="DT49" s="327"/>
      <c r="ED49" s="289"/>
      <c r="EJ49" s="289"/>
      <c r="FN49" s="289"/>
      <c r="FQ49" s="289"/>
      <c r="FT49" s="289"/>
      <c r="FW49" s="289"/>
      <c r="GC49" s="289"/>
      <c r="GK49" s="327"/>
      <c r="GU49" s="289"/>
      <c r="GX49" s="289"/>
      <c r="HA49" s="289"/>
      <c r="HD49" s="289"/>
      <c r="HG49" s="289"/>
      <c r="HJ49" s="289"/>
      <c r="HP49" s="289"/>
      <c r="HS49" s="289"/>
      <c r="HV49" s="289"/>
      <c r="HY49" s="289"/>
      <c r="IB49" s="289"/>
      <c r="IE49" s="289"/>
      <c r="IH49" s="325"/>
      <c r="II49" s="328"/>
      <c r="IJ49" s="327"/>
      <c r="IK49" s="325"/>
      <c r="IL49" s="328"/>
      <c r="IM49" s="327"/>
      <c r="IN49" s="325"/>
      <c r="IO49" s="328"/>
      <c r="IP49" s="327"/>
      <c r="IQ49" s="328"/>
      <c r="IR49" s="328"/>
      <c r="IS49" s="327"/>
      <c r="IT49" s="328"/>
      <c r="IU49" s="328"/>
      <c r="IV49" s="327"/>
      <c r="IW49" s="328"/>
      <c r="IX49" s="328"/>
      <c r="IY49" s="327"/>
      <c r="JC49" s="326"/>
      <c r="JE49" s="327"/>
      <c r="JF49" s="326"/>
      <c r="JG49" s="326"/>
      <c r="JH49" s="327"/>
      <c r="JI49" s="328"/>
      <c r="JJ49" s="326"/>
      <c r="JK49" s="327"/>
      <c r="JL49" s="326"/>
      <c r="JM49" s="326"/>
      <c r="JN49" s="327"/>
      <c r="JO49" s="328"/>
      <c r="JP49" s="326"/>
      <c r="JQ49" s="327"/>
      <c r="JR49" s="328"/>
      <c r="JS49" s="328"/>
      <c r="JT49" s="327"/>
      <c r="JU49" s="325" t="n">
        <f aca="false">(JV49*$H49+JW49*$G49)</f>
        <v>23750.8309082698</v>
      </c>
      <c r="JV49" s="329" t="n">
        <f aca="false">JW49/$F49*JW$7</f>
        <v>23750.8309082698</v>
      </c>
      <c r="JW49" s="327" t="n">
        <v>24343.98</v>
      </c>
      <c r="JX49" s="325" t="n">
        <f aca="false">(JY49*$H49+JZ49*$G49)</f>
        <v>23249.1234535112</v>
      </c>
      <c r="JY49" s="329" t="n">
        <f aca="false">JZ49/$F49*JZ$7</f>
        <v>23249.1234535112</v>
      </c>
      <c r="JZ49" s="327" t="n">
        <v>24343.98</v>
      </c>
      <c r="KA49" s="325" t="n">
        <f aca="false">(KB49*$H49+KC49*$G49)</f>
        <v>23299.1196920463</v>
      </c>
      <c r="KB49" s="329" t="n">
        <f aca="false">KC49/$F49*KC$7</f>
        <v>23299.1196920463</v>
      </c>
      <c r="KC49" s="327" t="n">
        <v>24343.98</v>
      </c>
      <c r="KD49" s="325" t="n">
        <f aca="false">(KE49*$H49+KF49*$G49)</f>
        <v>22923.2317415942</v>
      </c>
      <c r="KE49" s="329" t="n">
        <f aca="false">KF49/$F49*KF$7</f>
        <v>22923.2317415942</v>
      </c>
      <c r="KF49" s="327" t="n">
        <v>24343.98</v>
      </c>
      <c r="KG49" s="325" t="n">
        <f aca="false">(KH49*$H49+KI49*$G49)</f>
        <v>23260.7281650735</v>
      </c>
      <c r="KH49" s="329" t="n">
        <f aca="false">KI49/$F49*KI$7</f>
        <v>23260.7281650735</v>
      </c>
      <c r="KI49" s="327" t="n">
        <v>24343.98</v>
      </c>
      <c r="KJ49" s="325" t="n">
        <f aca="false">(KK49*$H49+KL49*$G49)</f>
        <v>23806.7603827916</v>
      </c>
      <c r="KK49" s="329" t="n">
        <f aca="false">KL49/$F49*KL$7</f>
        <v>23806.7603827916</v>
      </c>
      <c r="KL49" s="327" t="n">
        <v>24343.98</v>
      </c>
      <c r="KP49" s="325" t="n">
        <f aca="false">(KQ49*$H49+KR49*$G49)</f>
        <v>24788.7981920625</v>
      </c>
      <c r="KQ49" s="329" t="n">
        <f aca="false">KR49/$F49*KR$7</f>
        <v>24788.7981920625</v>
      </c>
      <c r="KR49" s="327" t="n">
        <v>24343.98</v>
      </c>
      <c r="KS49" s="325" t="n">
        <f aca="false">(KT49*$H49+KU49*$G49)</f>
        <v>25292.7742370512</v>
      </c>
      <c r="KT49" s="329" t="n">
        <f aca="false">KU49/$F49*KU$7</f>
        <v>25292.7742370512</v>
      </c>
      <c r="KU49" s="327" t="n">
        <v>24343.98</v>
      </c>
      <c r="KV49" s="325" t="n">
        <f aca="false">(KW49*$H49+KX49*$G49)</f>
        <v>25525.9155099407</v>
      </c>
      <c r="KW49" s="329" t="n">
        <f aca="false">KX49/$F49*KX$7</f>
        <v>25525.9155099407</v>
      </c>
      <c r="KX49" s="327" t="n">
        <v>24343.98</v>
      </c>
      <c r="KY49" s="325" t="n">
        <f aca="false">(KZ49*$H49+LA49*$G49)</f>
        <v>25525.9155099407</v>
      </c>
      <c r="KZ49" s="329" t="n">
        <f aca="false">LA49/$F49*LA$7</f>
        <v>25525.9155099407</v>
      </c>
      <c r="LA49" s="327" t="n">
        <v>24343.98</v>
      </c>
      <c r="LB49" s="325" t="n">
        <f aca="false">(LC49*$H49+LD49*$G49)</f>
        <v>25525.9155099407</v>
      </c>
      <c r="LC49" s="329" t="n">
        <f aca="false">LD49/$F49*LD$7</f>
        <v>25525.9155099407</v>
      </c>
      <c r="LD49" s="327" t="n">
        <v>24343.98</v>
      </c>
      <c r="LE49" s="325" t="n">
        <f aca="false">(LF49*$H49+LG49*$G49)</f>
        <v>25525.9155099407</v>
      </c>
      <c r="LF49" s="329" t="n">
        <f aca="false">LG49/$F49*LG$7</f>
        <v>25525.9155099407</v>
      </c>
      <c r="LG49" s="327" t="n">
        <v>24343.98</v>
      </c>
      <c r="LH49" s="325" t="n">
        <f aca="false">(LI49*$H49+LJ49*$G49)</f>
        <v>31907.3725740583</v>
      </c>
      <c r="LI49" s="329" t="n">
        <f aca="false">LJ49/$F49*LJ$7</f>
        <v>31907.3725740583</v>
      </c>
      <c r="LJ49" s="327" t="n">
        <v>24343.98</v>
      </c>
      <c r="LM49" s="327" t="n">
        <v>24343.98</v>
      </c>
      <c r="LP49" s="327" t="n">
        <v>24343.98</v>
      </c>
      <c r="LS49" s="327" t="n">
        <v>24343.98</v>
      </c>
      <c r="LV49" s="327" t="n">
        <v>24343.98</v>
      </c>
      <c r="LY49" s="327" t="n">
        <v>24343.98</v>
      </c>
      <c r="ME49" s="327" t="n">
        <v>24343.98</v>
      </c>
      <c r="MH49" s="327" t="n">
        <v>24343.98</v>
      </c>
      <c r="MK49" s="327" t="n">
        <v>24343.98</v>
      </c>
      <c r="MN49" s="327" t="n">
        <v>24343.98</v>
      </c>
      <c r="MQ49" s="327" t="n">
        <v>24343.98</v>
      </c>
      <c r="MT49" s="327" t="n">
        <v>24343.98</v>
      </c>
      <c r="MW49" s="327" t="n">
        <v>24343.98</v>
      </c>
      <c r="MZ49" s="327" t="n">
        <v>24343.98</v>
      </c>
      <c r="NC49" s="327" t="n">
        <v>24343.98</v>
      </c>
      <c r="NF49" s="327" t="n">
        <v>24343.98</v>
      </c>
      <c r="NI49" s="327" t="n">
        <v>24343.98</v>
      </c>
      <c r="NL49" s="327" t="n">
        <v>24343.98</v>
      </c>
      <c r="NR49" s="327" t="n">
        <v>24343.98</v>
      </c>
      <c r="NU49" s="327" t="n">
        <v>24343.98</v>
      </c>
      <c r="NX49" s="327" t="n">
        <v>24343.98</v>
      </c>
      <c r="OA49" s="327" t="n">
        <v>24343.98</v>
      </c>
      <c r="OD49" s="327" t="n">
        <v>24343.98</v>
      </c>
      <c r="OG49" s="327" t="n">
        <v>24343.98</v>
      </c>
      <c r="OJ49" s="327" t="n">
        <v>24343.98</v>
      </c>
      <c r="OM49" s="327" t="n">
        <v>24343.98</v>
      </c>
      <c r="OP49" s="327" t="n">
        <v>24343.98</v>
      </c>
      <c r="OS49" s="327" t="n">
        <v>24343.98</v>
      </c>
      <c r="OV49" s="327" t="n">
        <v>24343.98</v>
      </c>
      <c r="OY49" s="327" t="n">
        <v>24343.98</v>
      </c>
      <c r="PE49" s="327" t="n">
        <v>24343.98</v>
      </c>
      <c r="PH49" s="327" t="n">
        <v>24343.98</v>
      </c>
      <c r="PK49" s="327" t="n">
        <v>24343.98</v>
      </c>
      <c r="PN49" s="327" t="n">
        <v>24343.98</v>
      </c>
      <c r="PQ49" s="327" t="n">
        <v>24343.98</v>
      </c>
      <c r="PT49" s="327" t="n">
        <v>24343.98</v>
      </c>
      <c r="PW49" s="327" t="n">
        <v>24343.98</v>
      </c>
      <c r="PZ49" s="327" t="n">
        <v>24343.98</v>
      </c>
      <c r="QC49" s="327" t="n">
        <v>24343.98</v>
      </c>
      <c r="QF49" s="327" t="n">
        <v>24343.98</v>
      </c>
      <c r="QI49" s="327" t="n">
        <v>24343.98</v>
      </c>
      <c r="QL49" s="327" t="n">
        <v>24343.98</v>
      </c>
      <c r="QR49" s="327" t="n">
        <v>24343.98</v>
      </c>
      <c r="QU49" s="327" t="n">
        <v>24343.98</v>
      </c>
      <c r="QX49" s="327" t="n">
        <v>24343.98</v>
      </c>
      <c r="RA49" s="327" t="n">
        <v>24343.98</v>
      </c>
      <c r="RD49" s="327" t="n">
        <v>24343.98</v>
      </c>
      <c r="RG49" s="327" t="n">
        <v>24343.98</v>
      </c>
    </row>
    <row r="50" s="329" customFormat="true" ht="15" hidden="false" customHeight="false" outlineLevel="0" collapsed="false">
      <c r="A50" s="225" t="n">
        <v>5.3</v>
      </c>
      <c r="B50" s="342"/>
      <c r="C50" s="343" t="n">
        <v>572491.52</v>
      </c>
      <c r="D50" s="342"/>
      <c r="E50" s="344"/>
      <c r="F50" s="60" t="n">
        <v>24.4431</v>
      </c>
      <c r="G50" s="345" t="n">
        <v>0</v>
      </c>
      <c r="H50" s="346" t="n">
        <f aca="false">1-G50</f>
        <v>1</v>
      </c>
      <c r="I50" s="346" t="n">
        <f aca="false">J50/F50*26.6509</f>
        <v>130470.270290102</v>
      </c>
      <c r="J50" s="347" t="n">
        <v>119661.92</v>
      </c>
      <c r="K50" s="289"/>
      <c r="M50" s="327"/>
      <c r="N50" s="289"/>
      <c r="P50" s="327"/>
      <c r="Q50" s="289"/>
      <c r="S50" s="327"/>
      <c r="V50" s="327"/>
      <c r="W50" s="289"/>
      <c r="Y50" s="327"/>
      <c r="AC50" s="289"/>
      <c r="AE50" s="327"/>
      <c r="AF50" s="289"/>
      <c r="AH50" s="327"/>
      <c r="AI50" s="289"/>
      <c r="AK50" s="327"/>
      <c r="AL50" s="289"/>
      <c r="AN50" s="327"/>
      <c r="AO50" s="289"/>
      <c r="AQ50" s="327"/>
      <c r="AR50" s="289"/>
      <c r="AT50" s="327"/>
      <c r="AU50" s="289"/>
      <c r="AW50" s="327"/>
      <c r="AX50" s="289"/>
      <c r="AZ50" s="327"/>
      <c r="BA50" s="289"/>
      <c r="BC50" s="327"/>
      <c r="BD50" s="289"/>
      <c r="BF50" s="327"/>
      <c r="BG50" s="289"/>
      <c r="BI50" s="327"/>
      <c r="BJ50" s="289"/>
      <c r="BL50" s="327"/>
      <c r="BP50" s="289"/>
      <c r="BR50" s="327"/>
      <c r="BS50" s="289"/>
      <c r="BU50" s="327"/>
      <c r="BV50" s="289"/>
      <c r="BX50" s="327"/>
      <c r="BY50" s="289"/>
      <c r="CA50" s="327"/>
      <c r="CB50" s="289"/>
      <c r="CD50" s="327"/>
      <c r="CE50" s="289"/>
      <c r="CG50" s="327"/>
      <c r="CH50" s="289"/>
      <c r="CJ50" s="327"/>
      <c r="CK50" s="289"/>
      <c r="CM50" s="327"/>
      <c r="CN50" s="289"/>
      <c r="CP50" s="327"/>
      <c r="CQ50" s="289"/>
      <c r="CS50" s="327"/>
      <c r="CV50" s="327"/>
      <c r="CW50" s="289"/>
      <c r="CY50" s="327"/>
      <c r="DC50" s="335"/>
      <c r="DE50" s="327"/>
      <c r="DH50" s="327"/>
      <c r="DK50" s="327"/>
      <c r="DL50" s="289"/>
      <c r="DN50" s="327"/>
      <c r="DQ50" s="327"/>
      <c r="DT50" s="327"/>
      <c r="ED50" s="289"/>
      <c r="EJ50" s="289"/>
      <c r="FN50" s="289"/>
      <c r="FQ50" s="289"/>
      <c r="FT50" s="289"/>
      <c r="FW50" s="289"/>
      <c r="GC50" s="289"/>
      <c r="GK50" s="327"/>
      <c r="GU50" s="289"/>
      <c r="GX50" s="289"/>
      <c r="HA50" s="289"/>
      <c r="HD50" s="289"/>
      <c r="HG50" s="289"/>
      <c r="HJ50" s="289"/>
      <c r="HP50" s="289"/>
      <c r="HS50" s="289"/>
      <c r="HV50" s="289"/>
      <c r="HY50" s="289"/>
      <c r="IB50" s="289"/>
      <c r="IE50" s="289"/>
      <c r="IH50" s="328"/>
      <c r="II50" s="328"/>
      <c r="IK50" s="325" t="n">
        <f aca="false">(IL50*$H50+IM50*$G50)</f>
        <v>8434.20934987788</v>
      </c>
      <c r="IL50" s="328" t="n">
        <f aca="false">IM50/$F50*IM$7</f>
        <v>8434.20934987788</v>
      </c>
      <c r="IM50" s="327" t="n">
        <v>7547.16</v>
      </c>
      <c r="IN50" s="325" t="n">
        <f aca="false">(IO50*$H50+IP50*$G50)</f>
        <v>8707.83639358347</v>
      </c>
      <c r="IO50" s="328" t="n">
        <f aca="false">IP50/$F50*IP$7</f>
        <v>8707.83639358347</v>
      </c>
      <c r="IP50" s="327" t="n">
        <v>7547.16</v>
      </c>
      <c r="IQ50" s="325" t="n">
        <f aca="false">(IR50*$H50+IS50*$G50)</f>
        <v>8759.86320114879</v>
      </c>
      <c r="IR50" s="328" t="n">
        <f aca="false">IS50/$F50*IS$7</f>
        <v>8759.86320114879</v>
      </c>
      <c r="IS50" s="327" t="n">
        <v>7547.16</v>
      </c>
      <c r="IT50" s="325" t="n">
        <f aca="false">(IU50*$H50+IV50*$G50)</f>
        <v>8755.10822882531</v>
      </c>
      <c r="IU50" s="328" t="n">
        <f aca="false">IV50/$F50*IV$7</f>
        <v>8755.10822882531</v>
      </c>
      <c r="IV50" s="327" t="n">
        <v>7547.16</v>
      </c>
      <c r="IW50" s="325" t="n">
        <f aca="false">(IX50*$H50+IY50*$G50)</f>
        <v>8657.47691397572</v>
      </c>
      <c r="IX50" s="328" t="n">
        <f aca="false">IY50/$F50*IY$7</f>
        <v>8657.47691397572</v>
      </c>
      <c r="IY50" s="327" t="n">
        <v>7547.16</v>
      </c>
      <c r="JC50" s="325" t="n">
        <f aca="false">(JD50*$H50+JE50*$G50)</f>
        <v>8708.23778735103</v>
      </c>
      <c r="JD50" s="329" t="n">
        <f aca="false">JE50/$F50*JE$7</f>
        <v>8708.23778735103</v>
      </c>
      <c r="JE50" s="327" t="n">
        <v>7547.16</v>
      </c>
      <c r="JF50" s="325" t="n">
        <f aca="false">(JG50*$H50+JH50*$G50)</f>
        <v>8623.91421971845</v>
      </c>
      <c r="JG50" s="326" t="n">
        <f aca="false">JH50/$F50*JH$7</f>
        <v>8623.91421971845</v>
      </c>
      <c r="JH50" s="327" t="n">
        <v>7547.16</v>
      </c>
      <c r="JI50" s="325" t="n">
        <f aca="false">(JJ50*$H50+JK50*$G50)</f>
        <v>8558.45615916148</v>
      </c>
      <c r="JJ50" s="326" t="n">
        <f aca="false">JK50/$F50*JK$7</f>
        <v>8558.45615916148</v>
      </c>
      <c r="JK50" s="327" t="n">
        <v>7547.16</v>
      </c>
      <c r="JL50" s="325" t="n">
        <f aca="false">(JM50*$H50+JN50*$G50)</f>
        <v>8648.36836309633</v>
      </c>
      <c r="JM50" s="326" t="n">
        <f aca="false">JN50/$F50*JN$7</f>
        <v>8648.36836309633</v>
      </c>
      <c r="JN50" s="327" t="n">
        <v>7547.16</v>
      </c>
      <c r="JO50" s="325" t="n">
        <f aca="false">(JP50*$H50+JQ50*$G50)</f>
        <v>8480.67839758459</v>
      </c>
      <c r="JP50" s="326" t="n">
        <f aca="false">JQ50/$F50*JQ$7</f>
        <v>8480.67839758459</v>
      </c>
      <c r="JQ50" s="327" t="n">
        <v>7547.16</v>
      </c>
      <c r="JR50" s="325" t="n">
        <f aca="false">(JS50*$H50+JT50*$G50)</f>
        <v>8396.38570639567</v>
      </c>
      <c r="JS50" s="328" t="n">
        <f aca="false">JT50/$F50*JT$7</f>
        <v>8396.38570639567</v>
      </c>
      <c r="JT50" s="327" t="n">
        <v>7547.16</v>
      </c>
      <c r="JU50" s="325" t="n">
        <f aca="false">(JV50*$H50+JW50*$G50)</f>
        <v>8404.72234618359</v>
      </c>
      <c r="JV50" s="329" t="n">
        <f aca="false">JW50/$F50*JW$7</f>
        <v>8404.72234618359</v>
      </c>
      <c r="JW50" s="327" t="n">
        <v>7547.16</v>
      </c>
      <c r="JX50" s="325" t="n">
        <f aca="false">(JY50*$H50+JZ50*$G50)</f>
        <v>8227.18279514464</v>
      </c>
      <c r="JY50" s="329" t="n">
        <f aca="false">JZ50/$F50*JZ$7</f>
        <v>8227.18279514464</v>
      </c>
      <c r="JZ50" s="327" t="n">
        <v>7547.16</v>
      </c>
      <c r="KA50" s="325" t="n">
        <f aca="false">(KB50*$H50+KC50*$G50)</f>
        <v>8244.87499736122</v>
      </c>
      <c r="KB50" s="329" t="n">
        <f aca="false">KC50/$F50*KC$7</f>
        <v>8244.87499736122</v>
      </c>
      <c r="KC50" s="327" t="n">
        <v>7547.16</v>
      </c>
      <c r="KD50" s="325" t="n">
        <f aca="false">(KE50*$H50+KF50*$G50)</f>
        <v>8111.85927807848</v>
      </c>
      <c r="KE50" s="329" t="n">
        <f aca="false">KF50/$F50*KF$7</f>
        <v>8111.85927807848</v>
      </c>
      <c r="KF50" s="327" t="n">
        <v>7547.16</v>
      </c>
      <c r="KG50" s="325" t="n">
        <f aca="false">(KH50*$H50+KI50*$G50)</f>
        <v>8231.28936215128</v>
      </c>
      <c r="KH50" s="329" t="n">
        <f aca="false">KI50/$F50*KI$7</f>
        <v>8231.28936215128</v>
      </c>
      <c r="KI50" s="327" t="n">
        <v>7547.16</v>
      </c>
      <c r="KJ50" s="325" t="n">
        <f aca="false">(KK50*$H50+KL50*$G50)</f>
        <v>8424.51414656897</v>
      </c>
      <c r="KK50" s="329" t="n">
        <f aca="false">KL50/$F50*KL$7</f>
        <v>8424.51414656897</v>
      </c>
      <c r="KL50" s="327" t="n">
        <v>7547.16</v>
      </c>
      <c r="KP50" s="325" t="n">
        <f aca="false">(KQ50*$H50+KR50*$G50)</f>
        <v>8772.02851995041</v>
      </c>
      <c r="KQ50" s="329" t="n">
        <f aca="false">KR50/$F50*KR$7</f>
        <v>8772.02851995041</v>
      </c>
      <c r="KR50" s="327" t="n">
        <v>7547.16</v>
      </c>
      <c r="KS50" s="325" t="n">
        <f aca="false">(KT50*$H50+KU50*$G50)</f>
        <v>8950.37085852449</v>
      </c>
      <c r="KT50" s="329" t="n">
        <f aca="false">KU50/$F50*KU$7</f>
        <v>8950.37085852449</v>
      </c>
      <c r="KU50" s="327" t="n">
        <v>7547.16</v>
      </c>
      <c r="KV50" s="325" t="n">
        <f aca="false">(KW50*$H50+KX50*$G50)</f>
        <v>9032.8727159812</v>
      </c>
      <c r="KW50" s="329" t="n">
        <f aca="false">KX50/$F50*KX$7</f>
        <v>9032.8727159812</v>
      </c>
      <c r="KX50" s="327" t="n">
        <v>7547.16</v>
      </c>
      <c r="KY50" s="325" t="n">
        <f aca="false">(KZ50*$H50+LA50*$G50)</f>
        <v>9032.8727159812</v>
      </c>
      <c r="KZ50" s="329" t="n">
        <f aca="false">LA50/$F50*LA$7</f>
        <v>9032.8727159812</v>
      </c>
      <c r="LA50" s="327" t="n">
        <v>7547.16</v>
      </c>
      <c r="LB50" s="325" t="n">
        <f aca="false">(LC50*$H50+LD50*$G50)</f>
        <v>9032.8727159812</v>
      </c>
      <c r="LC50" s="329" t="n">
        <f aca="false">LD50/$F50*LD$7</f>
        <v>9032.8727159812</v>
      </c>
      <c r="LD50" s="327" t="n">
        <v>7547.16</v>
      </c>
      <c r="LE50" s="325" t="n">
        <f aca="false">(LF50*$H50+LG50*$G50)</f>
        <v>9032.8727159812</v>
      </c>
      <c r="LF50" s="329" t="n">
        <f aca="false">LG50/$F50*LG$7</f>
        <v>9032.8727159812</v>
      </c>
      <c r="LG50" s="327" t="n">
        <v>7547.16</v>
      </c>
      <c r="LH50" s="325" t="n">
        <f aca="false">(LI50*$H50+LJ50*$G50)</f>
        <v>11291.0831758656</v>
      </c>
      <c r="LI50" s="329" t="n">
        <f aca="false">LJ50/$F50*LJ$7</f>
        <v>11291.0831758656</v>
      </c>
      <c r="LJ50" s="327" t="n">
        <v>7547.16</v>
      </c>
      <c r="LM50" s="327" t="n">
        <v>7547.16</v>
      </c>
      <c r="LP50" s="327" t="n">
        <v>7547.16</v>
      </c>
      <c r="LS50" s="327" t="n">
        <v>7547.16</v>
      </c>
      <c r="LV50" s="327" t="n">
        <v>7547.16</v>
      </c>
      <c r="LY50" s="327" t="n">
        <v>7547.16</v>
      </c>
      <c r="ME50" s="327" t="n">
        <v>7547.16</v>
      </c>
      <c r="MH50" s="327" t="n">
        <v>7547.16</v>
      </c>
      <c r="MK50" s="327" t="n">
        <v>7547.16</v>
      </c>
      <c r="MN50" s="327" t="n">
        <v>7547.16</v>
      </c>
      <c r="MQ50" s="327" t="n">
        <v>7547.16</v>
      </c>
      <c r="MT50" s="327" t="n">
        <v>7547.16</v>
      </c>
      <c r="MW50" s="327" t="n">
        <v>7547.16</v>
      </c>
      <c r="MZ50" s="327" t="n">
        <v>7547.16</v>
      </c>
      <c r="NC50" s="327" t="n">
        <v>7547.16</v>
      </c>
      <c r="NF50" s="327" t="n">
        <v>7547.16</v>
      </c>
      <c r="NI50" s="327" t="n">
        <v>7547.16</v>
      </c>
      <c r="NL50" s="327" t="n">
        <v>7547.16</v>
      </c>
      <c r="NR50" s="327" t="n">
        <v>7547.16</v>
      </c>
      <c r="NU50" s="327" t="n">
        <v>7547.16</v>
      </c>
      <c r="NX50" s="327" t="n">
        <v>7547.16</v>
      </c>
      <c r="OA50" s="327" t="n">
        <v>7547.16</v>
      </c>
      <c r="OD50" s="327" t="n">
        <v>7547.16</v>
      </c>
      <c r="OG50" s="327" t="n">
        <v>7547.16</v>
      </c>
      <c r="OJ50" s="327" t="n">
        <v>7547.16</v>
      </c>
      <c r="OM50" s="327" t="n">
        <v>7547.16</v>
      </c>
      <c r="OP50" s="327" t="n">
        <v>7547.16</v>
      </c>
      <c r="OS50" s="327" t="n">
        <v>7547.16</v>
      </c>
      <c r="OV50" s="327" t="n">
        <v>7547.16</v>
      </c>
      <c r="OY50" s="327" t="n">
        <v>7547.16</v>
      </c>
      <c r="PE50" s="327" t="n">
        <v>7547.16</v>
      </c>
      <c r="PH50" s="327" t="n">
        <v>7547.16</v>
      </c>
      <c r="PK50" s="327" t="n">
        <v>7547.16</v>
      </c>
      <c r="PN50" s="327" t="n">
        <v>7547.16</v>
      </c>
      <c r="PQ50" s="327" t="n">
        <v>7547.16</v>
      </c>
      <c r="PT50" s="327" t="n">
        <v>7547.16</v>
      </c>
      <c r="PW50" s="327" t="n">
        <v>7547.16</v>
      </c>
    </row>
    <row r="51" s="329" customFormat="true" ht="15" hidden="false" customHeight="false" outlineLevel="0" collapsed="false">
      <c r="A51" s="28" t="n">
        <v>5.4</v>
      </c>
      <c r="B51" s="342"/>
      <c r="C51" s="343" t="n">
        <v>632195.95</v>
      </c>
      <c r="D51" s="342"/>
      <c r="E51" s="344"/>
      <c r="F51" s="60" t="n">
        <v>24.4431</v>
      </c>
      <c r="G51" s="345" t="n">
        <v>0</v>
      </c>
      <c r="H51" s="346" t="n">
        <f aca="false">1-G51</f>
        <v>1</v>
      </c>
      <c r="I51" s="346" t="n">
        <f aca="false">J51/F51*26.6509</f>
        <v>141780.88865549</v>
      </c>
      <c r="J51" s="347" t="n">
        <v>130035.55</v>
      </c>
      <c r="K51" s="289"/>
      <c r="M51" s="327"/>
      <c r="N51" s="289"/>
      <c r="P51" s="327"/>
      <c r="Q51" s="289"/>
      <c r="S51" s="327"/>
      <c r="V51" s="327"/>
      <c r="W51" s="289"/>
      <c r="Y51" s="327"/>
      <c r="AC51" s="289"/>
      <c r="AE51" s="327"/>
      <c r="AF51" s="289"/>
      <c r="AH51" s="327"/>
      <c r="AI51" s="289"/>
      <c r="AK51" s="327"/>
      <c r="AL51" s="289"/>
      <c r="AN51" s="327"/>
      <c r="AO51" s="289"/>
      <c r="AQ51" s="327"/>
      <c r="AR51" s="289"/>
      <c r="AT51" s="327"/>
      <c r="AU51" s="289"/>
      <c r="AW51" s="327"/>
      <c r="AX51" s="289"/>
      <c r="AZ51" s="327"/>
      <c r="BA51" s="289"/>
      <c r="BC51" s="327"/>
      <c r="BD51" s="289"/>
      <c r="BF51" s="327"/>
      <c r="BG51" s="289"/>
      <c r="BI51" s="327"/>
      <c r="BJ51" s="289"/>
      <c r="BL51" s="327"/>
      <c r="BP51" s="289"/>
      <c r="BR51" s="327"/>
      <c r="BS51" s="289"/>
      <c r="BU51" s="327"/>
      <c r="BV51" s="289"/>
      <c r="BX51" s="327"/>
      <c r="BY51" s="289"/>
      <c r="CA51" s="327"/>
      <c r="CB51" s="289"/>
      <c r="CD51" s="327"/>
      <c r="CE51" s="289"/>
      <c r="CG51" s="327"/>
      <c r="CH51" s="289"/>
      <c r="CJ51" s="327"/>
      <c r="CK51" s="289"/>
      <c r="CM51" s="327"/>
      <c r="CN51" s="289"/>
      <c r="CP51" s="327"/>
      <c r="CQ51" s="289"/>
      <c r="CS51" s="327"/>
      <c r="CV51" s="327"/>
      <c r="CW51" s="289"/>
      <c r="CY51" s="327"/>
      <c r="DC51" s="335"/>
      <c r="DE51" s="327"/>
      <c r="DH51" s="327"/>
      <c r="DK51" s="327"/>
      <c r="DL51" s="289"/>
      <c r="DN51" s="327"/>
      <c r="DQ51" s="327"/>
      <c r="DT51" s="327"/>
      <c r="ED51" s="289"/>
      <c r="EJ51" s="289"/>
      <c r="FN51" s="289"/>
      <c r="FQ51" s="289"/>
      <c r="FT51" s="289"/>
      <c r="FW51" s="289"/>
      <c r="GC51" s="289"/>
      <c r="GK51" s="327"/>
      <c r="GU51" s="289"/>
      <c r="GX51" s="289"/>
      <c r="HA51" s="289"/>
      <c r="HD51" s="289"/>
      <c r="HG51" s="289"/>
      <c r="HJ51" s="289"/>
      <c r="HP51" s="289"/>
      <c r="HS51" s="289"/>
      <c r="HV51" s="289"/>
      <c r="HY51" s="289"/>
      <c r="IB51" s="289"/>
      <c r="IE51" s="289"/>
      <c r="IH51" s="325" t="n">
        <f aca="false">(II51*$H51+IJ51*$G51)</f>
        <v>9450.64211470722</v>
      </c>
      <c r="II51" s="328" t="n">
        <f aca="false">IJ51/$F51*IJ$7</f>
        <v>9450.64211470722</v>
      </c>
      <c r="IJ51" s="327" t="n">
        <v>8369.34</v>
      </c>
      <c r="IK51" s="325" t="n">
        <f aca="false">(IL51*$H51+IM51*$G51)</f>
        <v>9353.02361157136</v>
      </c>
      <c r="IL51" s="328" t="n">
        <f aca="false">IM51/$F51*IM$7</f>
        <v>9353.02361157136</v>
      </c>
      <c r="IM51" s="327" t="n">
        <v>8369.34</v>
      </c>
      <c r="IN51" s="325" t="n">
        <f aca="false">(IO51*$H51+IP51*$G51)</f>
        <v>9656.45930949839</v>
      </c>
      <c r="IO51" s="328" t="n">
        <f aca="false">IP51/$F51*IP$7</f>
        <v>9656.45930949839</v>
      </c>
      <c r="IP51" s="327" t="n">
        <v>8369.34</v>
      </c>
      <c r="IQ51" s="325" t="n">
        <f aca="false">(IR51*$H51+IS51*$G51)</f>
        <v>9714.15386501712</v>
      </c>
      <c r="IR51" s="328" t="n">
        <f aca="false">IS51/$F51*IS$7</f>
        <v>9714.15386501712</v>
      </c>
      <c r="IS51" s="327" t="n">
        <v>8369.34</v>
      </c>
      <c r="IT51" s="325" t="n">
        <f aca="false">(IU51*$H51+IV51*$G51)</f>
        <v>9708.88089080354</v>
      </c>
      <c r="IU51" s="328" t="n">
        <f aca="false">IV51/$F51*IV$7</f>
        <v>9708.88089080354</v>
      </c>
      <c r="IV51" s="327" t="n">
        <v>8369.34</v>
      </c>
      <c r="IW51" s="325" t="n">
        <f aca="false">(IX51*$H51+IY51*$G51)</f>
        <v>9600.61371896363</v>
      </c>
      <c r="IX51" s="328" t="n">
        <f aca="false">IY51/$F51*IY$7</f>
        <v>9600.61371896363</v>
      </c>
      <c r="IY51" s="327" t="n">
        <v>8369.34</v>
      </c>
      <c r="JB51" s="327"/>
      <c r="JC51" s="325" t="n">
        <f aca="false">(JD51*$H51+JE51*$G51)</f>
        <v>9656.90443069823</v>
      </c>
      <c r="JD51" s="329" t="n">
        <f aca="false">JE51/$F51*JE$7</f>
        <v>9656.90443069823</v>
      </c>
      <c r="JE51" s="327" t="n">
        <v>8369.34</v>
      </c>
      <c r="JF51" s="325" t="n">
        <f aca="false">(JG51*$H51+JH51*$G51)</f>
        <v>9563.3947386379</v>
      </c>
      <c r="JG51" s="326" t="n">
        <f aca="false">JH51/$F51*JH$7</f>
        <v>9563.3947386379</v>
      </c>
      <c r="JH51" s="327" t="n">
        <v>8369.34</v>
      </c>
      <c r="JI51" s="325" t="n">
        <f aca="false">(JJ51*$H51+JK51*$G51)</f>
        <v>9490.80574297041</v>
      </c>
      <c r="JJ51" s="326" t="n">
        <f aca="false">JK51/$F51*JK$7</f>
        <v>9490.80574297041</v>
      </c>
      <c r="JK51" s="327" t="n">
        <v>8369.34</v>
      </c>
      <c r="JL51" s="325" t="n">
        <f aca="false">(JM51*$H51+JN51*$G51)</f>
        <v>9590.51289173632</v>
      </c>
      <c r="JM51" s="326" t="n">
        <f aca="false">JN51/$F51*JN$7</f>
        <v>9590.51289173632</v>
      </c>
      <c r="JN51" s="327" t="n">
        <v>8369.34</v>
      </c>
      <c r="JO51" s="325" t="n">
        <f aca="false">(JP51*$H51+JQ51*$G51)</f>
        <v>9404.55495047682</v>
      </c>
      <c r="JP51" s="326" t="n">
        <f aca="false">JQ51/$F51*JQ$7</f>
        <v>9404.55495047682</v>
      </c>
      <c r="JQ51" s="327" t="n">
        <v>8369.34</v>
      </c>
      <c r="JR51" s="325" t="n">
        <f aca="false">(JS51*$H51+JT51*$G51)</f>
        <v>9311.07949850878</v>
      </c>
      <c r="JS51" s="328" t="n">
        <f aca="false">JT51/$F51*JT$7</f>
        <v>9311.07949850878</v>
      </c>
      <c r="JT51" s="327" t="n">
        <v>8369.34</v>
      </c>
      <c r="JU51" s="325" t="n">
        <f aca="false">(JV51*$H51+JW51*$G51)</f>
        <v>9320.3243234287</v>
      </c>
      <c r="JV51" s="329" t="n">
        <f aca="false">JW51/$F51*JW$7</f>
        <v>9320.3243234287</v>
      </c>
      <c r="JW51" s="327" t="n">
        <v>8369.34</v>
      </c>
      <c r="JX51" s="325" t="n">
        <f aca="false">(JY51*$H51+JZ51*$G51)</f>
        <v>9123.44379272678</v>
      </c>
      <c r="JY51" s="329" t="n">
        <f aca="false">JZ51/$F51*JZ$7</f>
        <v>9123.44379272678</v>
      </c>
      <c r="JZ51" s="327" t="n">
        <v>8369.34</v>
      </c>
      <c r="KA51" s="325" t="n">
        <f aca="false">(KB51*$H51+KC51*$G51)</f>
        <v>9143.06336561238</v>
      </c>
      <c r="KB51" s="329" t="n">
        <f aca="false">KC51/$F51*KC$7</f>
        <v>9143.06336561238</v>
      </c>
      <c r="KC51" s="327" t="n">
        <v>8369.34</v>
      </c>
      <c r="KD51" s="325" t="n">
        <f aca="false">(KE51*$H51+KF51*$G51)</f>
        <v>8995.55704800128</v>
      </c>
      <c r="KE51" s="329" t="n">
        <f aca="false">KF51/$F51*KF$7</f>
        <v>8995.55704800128</v>
      </c>
      <c r="KF51" s="327" t="n">
        <v>8369.34</v>
      </c>
      <c r="KG51" s="325" t="n">
        <f aca="false">(KH51*$H51+KI51*$G51)</f>
        <v>9127.99772500215</v>
      </c>
      <c r="KH51" s="329" t="n">
        <f aca="false">KI51/$F51*KI$7</f>
        <v>9127.99772500215</v>
      </c>
      <c r="KI51" s="327" t="n">
        <v>8369.34</v>
      </c>
      <c r="KJ51" s="325" t="n">
        <f aca="false">(KK51*$H51+KL51*$G51)</f>
        <v>9342.27222259042</v>
      </c>
      <c r="KK51" s="329" t="n">
        <f aca="false">KL51/$F51*KL$7</f>
        <v>9342.27222259042</v>
      </c>
      <c r="KL51" s="327" t="n">
        <v>8369.34</v>
      </c>
      <c r="KP51" s="325" t="n">
        <f aca="false">(KQ51*$H51+KR51*$G51)</f>
        <v>9727.64446138174</v>
      </c>
      <c r="KQ51" s="329" t="n">
        <f aca="false">KR51/$F51*KR$7</f>
        <v>9727.64446138174</v>
      </c>
      <c r="KR51" s="327" t="n">
        <v>8369.34</v>
      </c>
      <c r="KS51" s="325" t="n">
        <f aca="false">(KT51*$H51+KU51*$G51)</f>
        <v>9925.41523448335</v>
      </c>
      <c r="KT51" s="329" t="n">
        <f aca="false">KU51/$F51*KU$7</f>
        <v>9925.41523448335</v>
      </c>
      <c r="KU51" s="327" t="n">
        <v>8369.34</v>
      </c>
      <c r="KV51" s="325" t="n">
        <f aca="false">(KW51*$H51+KX51*$G51)</f>
        <v>10016.9047610982</v>
      </c>
      <c r="KW51" s="329" t="n">
        <f aca="false">KX51/$F51*KX$7</f>
        <v>10016.9047610982</v>
      </c>
      <c r="KX51" s="327" t="n">
        <v>8369.34</v>
      </c>
      <c r="KY51" s="325" t="n">
        <f aca="false">(KZ51*$H51+LA51*$G51)</f>
        <v>10016.9047610982</v>
      </c>
      <c r="KZ51" s="329" t="n">
        <f aca="false">LA51/$F51*LA$7</f>
        <v>10016.9047610982</v>
      </c>
      <c r="LA51" s="327" t="n">
        <v>8369.34</v>
      </c>
      <c r="LB51" s="325" t="n">
        <f aca="false">(LC51*$H51+LD51*$G51)</f>
        <v>10016.9047610982</v>
      </c>
      <c r="LC51" s="329" t="n">
        <f aca="false">LD51/$F51*LD$7</f>
        <v>10016.9047610982</v>
      </c>
      <c r="LD51" s="327" t="n">
        <v>8369.34</v>
      </c>
      <c r="LE51" s="325" t="n">
        <f aca="false">(LF51*$H51+LG51*$G51)</f>
        <v>10016.9047610982</v>
      </c>
      <c r="LF51" s="329" t="n">
        <f aca="false">LG51/$F51*LG$7</f>
        <v>10016.9047610982</v>
      </c>
      <c r="LG51" s="327" t="n">
        <v>8369.34</v>
      </c>
      <c r="LH51" s="325" t="n">
        <f aca="false">(LI51*$H51+LJ51*$G51)</f>
        <v>12521.1223913497</v>
      </c>
      <c r="LI51" s="329" t="n">
        <f aca="false">LJ51/$F51*LJ$7</f>
        <v>12521.1223913497</v>
      </c>
      <c r="LJ51" s="327" t="n">
        <v>8369.34</v>
      </c>
      <c r="LM51" s="327" t="n">
        <v>8369.34</v>
      </c>
      <c r="LP51" s="327" t="n">
        <v>8369.34</v>
      </c>
      <c r="LS51" s="327" t="n">
        <v>8369.34</v>
      </c>
      <c r="LV51" s="327" t="n">
        <v>8369.34</v>
      </c>
      <c r="LY51" s="327" t="n">
        <v>8369.34</v>
      </c>
      <c r="ME51" s="327" t="n">
        <v>8369.34</v>
      </c>
      <c r="MH51" s="327" t="n">
        <v>8369.34</v>
      </c>
      <c r="MK51" s="327" t="n">
        <v>8369.34</v>
      </c>
      <c r="MN51" s="327" t="n">
        <v>8369.34</v>
      </c>
      <c r="MQ51" s="327" t="n">
        <v>8369.34</v>
      </c>
      <c r="MT51" s="327" t="n">
        <v>8369.34</v>
      </c>
      <c r="MW51" s="327" t="n">
        <v>8369.34</v>
      </c>
      <c r="MZ51" s="327" t="n">
        <v>8369.34</v>
      </c>
      <c r="NC51" s="327" t="n">
        <v>8369.34</v>
      </c>
      <c r="NF51" s="327" t="n">
        <v>8369.34</v>
      </c>
      <c r="NI51" s="327" t="n">
        <v>8369.34</v>
      </c>
      <c r="NL51" s="327" t="n">
        <v>8369.34</v>
      </c>
      <c r="NR51" s="327" t="n">
        <v>8369.34</v>
      </c>
      <c r="NU51" s="327" t="n">
        <v>8369.34</v>
      </c>
      <c r="NX51" s="327" t="n">
        <v>8369.34</v>
      </c>
      <c r="OA51" s="327" t="n">
        <v>8369.34</v>
      </c>
      <c r="OD51" s="327" t="n">
        <v>8369.34</v>
      </c>
      <c r="OG51" s="327" t="n">
        <v>8369.34</v>
      </c>
      <c r="OJ51" s="327" t="n">
        <v>8369.34</v>
      </c>
      <c r="OM51" s="327" t="n">
        <v>8369.34</v>
      </c>
      <c r="OP51" s="327" t="n">
        <v>8369.34</v>
      </c>
      <c r="OS51" s="327" t="n">
        <v>8369.34</v>
      </c>
      <c r="OV51" s="327" t="n">
        <v>8369.34</v>
      </c>
      <c r="OY51" s="327" t="n">
        <v>8369.34</v>
      </c>
      <c r="PE51" s="327" t="n">
        <v>8369.34</v>
      </c>
      <c r="PH51" s="327" t="n">
        <v>8369.34</v>
      </c>
      <c r="PK51" s="327" t="n">
        <v>8369.34</v>
      </c>
      <c r="PN51" s="327" t="n">
        <v>8369.34</v>
      </c>
      <c r="PQ51" s="327" t="n">
        <v>8369.34</v>
      </c>
      <c r="PT51" s="327" t="n">
        <v>8369.34</v>
      </c>
      <c r="PW51" s="327"/>
    </row>
    <row r="52" s="329" customFormat="true" ht="15" hidden="false" customHeight="false" outlineLevel="0" collapsed="false">
      <c r="A52" s="28" t="n">
        <v>5.5</v>
      </c>
      <c r="B52" s="342"/>
      <c r="C52" s="343" t="n">
        <v>3889269.77</v>
      </c>
      <c r="D52" s="342"/>
      <c r="E52" s="344"/>
      <c r="F52" s="60" t="n">
        <v>28.13</v>
      </c>
      <c r="G52" s="345" t="n">
        <v>0</v>
      </c>
      <c r="H52" s="346" t="n">
        <f aca="false">1-G52</f>
        <v>1</v>
      </c>
      <c r="I52" s="346" t="n">
        <f aca="false">J52/F52*27.9705</f>
        <v>750559.750685567</v>
      </c>
      <c r="J52" s="347" t="n">
        <v>754839.77</v>
      </c>
      <c r="K52" s="289"/>
      <c r="M52" s="327"/>
      <c r="N52" s="289"/>
      <c r="P52" s="327"/>
      <c r="Q52" s="289"/>
      <c r="S52" s="327"/>
      <c r="V52" s="327"/>
      <c r="W52" s="289"/>
      <c r="Y52" s="327"/>
      <c r="AC52" s="289"/>
      <c r="AE52" s="327"/>
      <c r="AF52" s="289"/>
      <c r="AH52" s="327"/>
      <c r="AI52" s="289"/>
      <c r="AK52" s="327"/>
      <c r="AL52" s="289"/>
      <c r="AN52" s="327"/>
      <c r="AO52" s="289"/>
      <c r="AQ52" s="327"/>
      <c r="AR52" s="289"/>
      <c r="AT52" s="327"/>
      <c r="AU52" s="289"/>
      <c r="AW52" s="327"/>
      <c r="AX52" s="289"/>
      <c r="AZ52" s="327"/>
      <c r="BA52" s="289"/>
      <c r="BC52" s="327"/>
      <c r="BD52" s="289"/>
      <c r="BF52" s="327"/>
      <c r="BG52" s="289"/>
      <c r="BI52" s="327"/>
      <c r="BJ52" s="289"/>
      <c r="BL52" s="327"/>
      <c r="BP52" s="289"/>
      <c r="BR52" s="327"/>
      <c r="BS52" s="289"/>
      <c r="BU52" s="327"/>
      <c r="BV52" s="289"/>
      <c r="BX52" s="327"/>
      <c r="BY52" s="289"/>
      <c r="CA52" s="327"/>
      <c r="CB52" s="289"/>
      <c r="CD52" s="327"/>
      <c r="CE52" s="289"/>
      <c r="CG52" s="327"/>
      <c r="CH52" s="289"/>
      <c r="CJ52" s="327"/>
      <c r="CK52" s="289"/>
      <c r="CM52" s="327"/>
      <c r="CN52" s="289"/>
      <c r="CP52" s="327"/>
      <c r="CQ52" s="289"/>
      <c r="CS52" s="327"/>
      <c r="CV52" s="327"/>
      <c r="CW52" s="289"/>
      <c r="CY52" s="327"/>
      <c r="DC52" s="335"/>
      <c r="DE52" s="327"/>
      <c r="DH52" s="327"/>
      <c r="DK52" s="327"/>
      <c r="DL52" s="289"/>
      <c r="DN52" s="327"/>
      <c r="DQ52" s="327"/>
      <c r="DT52" s="327"/>
      <c r="ED52" s="289"/>
      <c r="EJ52" s="289"/>
      <c r="FN52" s="289"/>
      <c r="FQ52" s="289"/>
      <c r="FT52" s="289"/>
      <c r="FW52" s="289"/>
      <c r="GC52" s="289"/>
      <c r="GK52" s="327"/>
      <c r="GU52" s="289"/>
      <c r="GX52" s="289"/>
      <c r="HA52" s="289"/>
      <c r="HD52" s="289"/>
      <c r="HG52" s="289"/>
      <c r="HJ52" s="289"/>
      <c r="HP52" s="289"/>
      <c r="HS52" s="289"/>
      <c r="HV52" s="289"/>
      <c r="HY52" s="289"/>
      <c r="IB52" s="289"/>
      <c r="IE52" s="289"/>
      <c r="IH52" s="325"/>
      <c r="II52" s="328"/>
      <c r="IJ52" s="327"/>
      <c r="IK52" s="325"/>
      <c r="IL52" s="328"/>
      <c r="IM52" s="327"/>
      <c r="IN52" s="325"/>
      <c r="IO52" s="328"/>
      <c r="IP52" s="327"/>
      <c r="IQ52" s="325"/>
      <c r="IR52" s="328"/>
      <c r="IS52" s="327"/>
      <c r="IT52" s="325"/>
      <c r="IU52" s="328"/>
      <c r="IV52" s="327"/>
      <c r="IW52" s="328"/>
      <c r="IX52" s="328"/>
      <c r="IY52" s="327"/>
      <c r="JB52" s="327"/>
      <c r="JC52" s="326"/>
      <c r="JE52" s="327"/>
      <c r="JF52" s="325" t="n">
        <f aca="false">(JG52*$H52+JH52*$G52)</f>
        <v>51869.8208745112</v>
      </c>
      <c r="JG52" s="326" t="n">
        <f aca="false">JH52/$F52*JH$7</f>
        <v>51869.8208745112</v>
      </c>
      <c r="JH52" s="327" t="n">
        <v>52240.5</v>
      </c>
      <c r="JI52" s="325" t="n">
        <f aca="false">(JJ52*$H52+JK52*$G52)</f>
        <v>51476.1135869179</v>
      </c>
      <c r="JJ52" s="326" t="n">
        <f aca="false">JK52/$F52*JK$7</f>
        <v>51476.1135869179</v>
      </c>
      <c r="JK52" s="327" t="n">
        <v>52240.5</v>
      </c>
      <c r="JL52" s="325" t="n">
        <f aca="false">(JM52*$H52+JN52*$G52)</f>
        <v>52016.9039744046</v>
      </c>
      <c r="JM52" s="326" t="n">
        <f aca="false">JN52/$F52*JN$7</f>
        <v>52016.9039744046</v>
      </c>
      <c r="JN52" s="327" t="n">
        <v>52240.5</v>
      </c>
      <c r="JO52" s="325" t="n">
        <f aca="false">(JP52*$H52+JQ52*$G52)</f>
        <v>51008.3076164238</v>
      </c>
      <c r="JP52" s="326" t="n">
        <f aca="false">JQ52/$F52*JQ$7</f>
        <v>51008.3076164238</v>
      </c>
      <c r="JQ52" s="327" t="n">
        <v>52240.5</v>
      </c>
      <c r="JR52" s="325" t="n">
        <f aca="false">(JS52*$H52+JT52*$G52)</f>
        <v>50501.316628155</v>
      </c>
      <c r="JS52" s="328" t="n">
        <f aca="false">JT52/$F52*JT$7</f>
        <v>50501.316628155</v>
      </c>
      <c r="JT52" s="327" t="n">
        <v>52240.5</v>
      </c>
      <c r="JU52" s="325" t="n">
        <f aca="false">(JV52*$H52+JW52*$G52)</f>
        <v>50551.4585940277</v>
      </c>
      <c r="JV52" s="329" t="n">
        <f aca="false">JW52/$F52*JW$7</f>
        <v>50551.4585940277</v>
      </c>
      <c r="JW52" s="327" t="n">
        <v>52240.5</v>
      </c>
      <c r="JX52" s="325" t="n">
        <f aca="false">(JY52*$H52+JZ52*$G52)</f>
        <v>49483.6204319232</v>
      </c>
      <c r="JY52" s="329" t="n">
        <f aca="false">JZ52/$F52*JZ$7</f>
        <v>49483.6204319232</v>
      </c>
      <c r="JZ52" s="327" t="n">
        <v>52240.5</v>
      </c>
      <c r="KA52" s="325" t="n">
        <f aca="false">(KB52*$H52+KC52*$G52)</f>
        <v>49590.0328261642</v>
      </c>
      <c r="KB52" s="329" t="n">
        <f aca="false">KC52/$F52*KC$7</f>
        <v>49590.0328261642</v>
      </c>
      <c r="KC52" s="327" t="n">
        <v>52240.5</v>
      </c>
      <c r="KD52" s="325" t="n">
        <f aca="false">(KE52*$H52+KF52*$G52)</f>
        <v>48789.9899040171</v>
      </c>
      <c r="KE52" s="329" t="n">
        <f aca="false">KF52/$F52*KF$7</f>
        <v>48789.9899040171</v>
      </c>
      <c r="KF52" s="327" t="n">
        <v>52240.5</v>
      </c>
      <c r="KG52" s="325" t="n">
        <f aca="false">(KH52*$H52+KI52*$G52)</f>
        <v>49508.3199928902</v>
      </c>
      <c r="KH52" s="329" t="n">
        <f aca="false">KI52/$F52*KI$7</f>
        <v>49508.3199928902</v>
      </c>
      <c r="KI52" s="327" t="n">
        <v>52240.5</v>
      </c>
      <c r="KJ52" s="325" t="n">
        <f aca="false">(KK52*$H52+KL52*$G52)</f>
        <v>50670.4993352293</v>
      </c>
      <c r="KK52" s="329" t="n">
        <f aca="false">KL52/$F52*KL$7</f>
        <v>50670.4993352293</v>
      </c>
      <c r="KL52" s="327" t="n">
        <v>52240.5</v>
      </c>
      <c r="KP52" s="325" t="n">
        <f aca="false">(KQ52*$H52+KR52*$G52)</f>
        <v>52760.6764681834</v>
      </c>
      <c r="KQ52" s="329" t="n">
        <f aca="false">KR52/$F52*KR$7</f>
        <v>52760.6764681834</v>
      </c>
      <c r="KR52" s="327" t="n">
        <v>52240.5</v>
      </c>
      <c r="KS52" s="325" t="n">
        <f aca="false">(KT52*$H52+KU52*$G52)</f>
        <v>53833.3431158905</v>
      </c>
      <c r="KT52" s="329" t="n">
        <f aca="false">KU52/$F52*KU$7</f>
        <v>53833.3431158905</v>
      </c>
      <c r="KU52" s="327" t="n">
        <v>52240.5</v>
      </c>
      <c r="KV52" s="325" t="n">
        <f aca="false">(KW52*$H52+KX52*$G52)</f>
        <v>54329.5628670459</v>
      </c>
      <c r="KW52" s="329" t="n">
        <f aca="false">KX52/$F52*KX$7</f>
        <v>54329.5628670459</v>
      </c>
      <c r="KX52" s="327" t="n">
        <v>52240.5</v>
      </c>
      <c r="KY52" s="325" t="n">
        <f aca="false">(KZ52*$H52+LA52*$G52)</f>
        <v>54329.5628670459</v>
      </c>
      <c r="KZ52" s="329" t="n">
        <f aca="false">LA52/$F52*LA$7</f>
        <v>54329.5628670459</v>
      </c>
      <c r="LA52" s="327" t="n">
        <v>52240.5</v>
      </c>
      <c r="LB52" s="325" t="n">
        <f aca="false">(LC52*$H52+LD52*$G52)</f>
        <v>54329.5628670459</v>
      </c>
      <c r="LC52" s="329" t="n">
        <f aca="false">LD52/$F52*LD$7</f>
        <v>54329.5628670459</v>
      </c>
      <c r="LD52" s="327" t="n">
        <v>52240.5</v>
      </c>
      <c r="LE52" s="325" t="n">
        <f aca="false">(LF52*$H52+LG52*$G52)</f>
        <v>54329.5628670459</v>
      </c>
      <c r="LF52" s="329" t="n">
        <f aca="false">LG52/$F52*LG$7</f>
        <v>54329.5628670459</v>
      </c>
      <c r="LG52" s="327" t="n">
        <v>52240.5</v>
      </c>
      <c r="LH52" s="325" t="n">
        <f aca="false">(LI52*$H52+LJ52*$G52)</f>
        <v>67911.9071560612</v>
      </c>
      <c r="LI52" s="329" t="n">
        <f aca="false">LJ52/$F52*LJ$7</f>
        <v>67911.9071560612</v>
      </c>
      <c r="LJ52" s="327" t="n">
        <v>52240.5</v>
      </c>
      <c r="LM52" s="327" t="n">
        <v>52240.5</v>
      </c>
      <c r="LP52" s="327" t="n">
        <v>52240.5</v>
      </c>
      <c r="LS52" s="327" t="n">
        <v>52240.5</v>
      </c>
      <c r="LV52" s="327" t="n">
        <v>52240.5</v>
      </c>
      <c r="LY52" s="327" t="n">
        <v>52240.5</v>
      </c>
      <c r="ME52" s="327" t="n">
        <v>52240.5</v>
      </c>
      <c r="MH52" s="327" t="n">
        <v>52240.5</v>
      </c>
      <c r="MK52" s="327" t="n">
        <v>52240.5</v>
      </c>
      <c r="MN52" s="327" t="n">
        <v>52240.5</v>
      </c>
      <c r="MQ52" s="327" t="n">
        <v>52240.5</v>
      </c>
      <c r="MT52" s="327" t="n">
        <v>52240.5</v>
      </c>
      <c r="MW52" s="327" t="n">
        <v>52240.5</v>
      </c>
      <c r="MZ52" s="327" t="n">
        <v>52240.5</v>
      </c>
      <c r="NC52" s="327" t="n">
        <v>52240.5</v>
      </c>
      <c r="NF52" s="327" t="n">
        <v>52240.5</v>
      </c>
      <c r="NI52" s="327" t="n">
        <v>52240.5</v>
      </c>
      <c r="NL52" s="327" t="n">
        <v>52240.5</v>
      </c>
      <c r="NR52" s="327" t="n">
        <v>52240.5</v>
      </c>
      <c r="NU52" s="327" t="n">
        <v>52240.5</v>
      </c>
      <c r="NX52" s="327" t="n">
        <v>52240.5</v>
      </c>
      <c r="NZ52" s="327"/>
      <c r="OA52" s="327" t="n">
        <v>52240.5</v>
      </c>
      <c r="OD52" s="327" t="n">
        <v>52240.5</v>
      </c>
      <c r="OG52" s="327" t="n">
        <v>52240.5</v>
      </c>
      <c r="OJ52" s="327" t="n">
        <v>52240.5</v>
      </c>
      <c r="OM52" s="327" t="n">
        <v>52240.5</v>
      </c>
      <c r="OP52" s="327" t="n">
        <v>52240.5</v>
      </c>
      <c r="OS52" s="327" t="n">
        <v>52240.5</v>
      </c>
      <c r="OV52" s="327" t="n">
        <v>52240.5</v>
      </c>
      <c r="OY52" s="327" t="n">
        <v>52240.5</v>
      </c>
      <c r="PE52" s="327" t="n">
        <v>52240.5</v>
      </c>
      <c r="PH52" s="327" t="n">
        <v>52240.5</v>
      </c>
      <c r="PK52" s="327" t="n">
        <v>52240.5</v>
      </c>
      <c r="PN52" s="327" t="n">
        <v>52240.5</v>
      </c>
      <c r="PQ52" s="327" t="n">
        <v>52240.5</v>
      </c>
      <c r="PT52" s="327" t="n">
        <v>52240.5</v>
      </c>
      <c r="PW52" s="327" t="n">
        <v>52240.5</v>
      </c>
      <c r="PZ52" s="327" t="n">
        <v>52240.5</v>
      </c>
      <c r="QC52" s="327" t="n">
        <v>52240.5</v>
      </c>
      <c r="QF52" s="327" t="n">
        <v>52240.5</v>
      </c>
      <c r="QI52" s="327" t="n">
        <v>52240.5</v>
      </c>
      <c r="QL52" s="327" t="n">
        <v>52240.5</v>
      </c>
      <c r="QR52" s="327" t="n">
        <v>52240.5</v>
      </c>
    </row>
    <row r="53" s="329" customFormat="true" ht="15" hidden="false" customHeight="false" outlineLevel="0" collapsed="false">
      <c r="A53" s="28" t="n">
        <v>5.6</v>
      </c>
      <c r="B53" s="342"/>
      <c r="C53" s="343" t="n">
        <v>9390634.74</v>
      </c>
      <c r="D53" s="342"/>
      <c r="E53" s="344"/>
      <c r="F53" s="60" t="n">
        <v>24.4431</v>
      </c>
      <c r="G53" s="345" t="n">
        <v>0</v>
      </c>
      <c r="H53" s="346" t="n">
        <f aca="false">1-G53</f>
        <v>1</v>
      </c>
      <c r="I53" s="346" t="n">
        <f aca="false">J53/F53*26.6367</f>
        <v>2315742.85456092</v>
      </c>
      <c r="J53" s="347" t="n">
        <v>2125035.54</v>
      </c>
      <c r="K53" s="289"/>
      <c r="M53" s="327"/>
      <c r="N53" s="289"/>
      <c r="P53" s="327"/>
      <c r="Q53" s="289"/>
      <c r="S53" s="327"/>
      <c r="V53" s="327"/>
      <c r="W53" s="289"/>
      <c r="Y53" s="327"/>
      <c r="AC53" s="289"/>
      <c r="AE53" s="327"/>
      <c r="AF53" s="289"/>
      <c r="AH53" s="327"/>
      <c r="AI53" s="289"/>
      <c r="AK53" s="327"/>
      <c r="AL53" s="289"/>
      <c r="AN53" s="327"/>
      <c r="AO53" s="289"/>
      <c r="AQ53" s="327"/>
      <c r="AR53" s="289"/>
      <c r="AT53" s="327"/>
      <c r="AU53" s="289"/>
      <c r="AW53" s="327"/>
      <c r="AX53" s="289"/>
      <c r="AZ53" s="327"/>
      <c r="BA53" s="289"/>
      <c r="BC53" s="327"/>
      <c r="BD53" s="289"/>
      <c r="BF53" s="327"/>
      <c r="BG53" s="289"/>
      <c r="BI53" s="327"/>
      <c r="BJ53" s="289"/>
      <c r="BL53" s="327"/>
      <c r="BP53" s="289"/>
      <c r="BR53" s="327"/>
      <c r="BS53" s="289"/>
      <c r="BU53" s="327"/>
      <c r="BV53" s="289"/>
      <c r="BX53" s="327"/>
      <c r="BY53" s="289"/>
      <c r="CA53" s="327"/>
      <c r="CB53" s="289"/>
      <c r="CD53" s="327"/>
      <c r="CE53" s="289"/>
      <c r="CG53" s="327"/>
      <c r="CH53" s="289"/>
      <c r="CJ53" s="327"/>
      <c r="CK53" s="289"/>
      <c r="CM53" s="327"/>
      <c r="CN53" s="289"/>
      <c r="CP53" s="327"/>
      <c r="CQ53" s="289"/>
      <c r="CS53" s="327"/>
      <c r="CV53" s="327"/>
      <c r="CW53" s="289"/>
      <c r="CY53" s="327"/>
      <c r="DC53" s="335"/>
      <c r="DE53" s="327"/>
      <c r="DH53" s="327"/>
      <c r="DK53" s="327"/>
      <c r="DL53" s="289"/>
      <c r="DN53" s="327"/>
      <c r="DQ53" s="327"/>
      <c r="DT53" s="327"/>
      <c r="ED53" s="289"/>
      <c r="EJ53" s="289"/>
      <c r="FN53" s="289"/>
      <c r="FQ53" s="289"/>
      <c r="FT53" s="289"/>
      <c r="FW53" s="289"/>
      <c r="GC53" s="289"/>
      <c r="GK53" s="327"/>
      <c r="GU53" s="289"/>
      <c r="GX53" s="289"/>
      <c r="HA53" s="289"/>
      <c r="HD53" s="289"/>
      <c r="HG53" s="289"/>
      <c r="HJ53" s="289"/>
      <c r="HP53" s="289"/>
      <c r="HS53" s="289"/>
      <c r="HV53" s="289"/>
      <c r="HY53" s="289"/>
      <c r="IB53" s="289"/>
      <c r="IE53" s="289"/>
      <c r="IG53" s="327"/>
      <c r="IH53" s="325" t="n">
        <f aca="false">(II53*$H53+IJ53*$G53)</f>
        <v>136738.336571548</v>
      </c>
      <c r="II53" s="328" t="n">
        <f aca="false">IJ53/$F53*IJ$7</f>
        <v>136738.336571548</v>
      </c>
      <c r="IJ53" s="327" t="n">
        <v>121093.32</v>
      </c>
      <c r="IK53" s="325" t="n">
        <f aca="false">(IL53*$H53+IM53*$G53)</f>
        <v>135325.925480811</v>
      </c>
      <c r="IL53" s="328" t="n">
        <f aca="false">IM53/$F53*IM$7</f>
        <v>135325.925480811</v>
      </c>
      <c r="IM53" s="327" t="n">
        <v>121093.32</v>
      </c>
      <c r="IN53" s="325" t="n">
        <f aca="false">(IO53*$H53+IP53*$G53)</f>
        <v>139716.240137462</v>
      </c>
      <c r="IO53" s="328" t="n">
        <f aca="false">IP53/$F53*IP$7</f>
        <v>139716.240137462</v>
      </c>
      <c r="IP53" s="327" t="n">
        <v>121093.32</v>
      </c>
      <c r="IQ53" s="325" t="n">
        <f aca="false">(IR53*$H53+IS53*$G53)</f>
        <v>140551.00432122</v>
      </c>
      <c r="IR53" s="328" t="n">
        <f aca="false">IS53/$F53*IS$7</f>
        <v>140551.00432122</v>
      </c>
      <c r="IS53" s="327" t="n">
        <v>121093.32</v>
      </c>
      <c r="IT53" s="325" t="n">
        <f aca="false">(IU53*$H53+IV53*$G53)</f>
        <v>140474.711333505</v>
      </c>
      <c r="IU53" s="328" t="n">
        <f aca="false">IV53/$F53*IV$7</f>
        <v>140474.711333505</v>
      </c>
      <c r="IV53" s="327" t="n">
        <v>121093.32</v>
      </c>
      <c r="IW53" s="325" t="n">
        <f aca="false">(IX53*$H53+IY53*$G53)</f>
        <v>138908.228040306</v>
      </c>
      <c r="IX53" s="328" t="n">
        <f aca="false">IY53/$F53*IY$7</f>
        <v>138908.228040306</v>
      </c>
      <c r="IY53" s="327" t="n">
        <v>121093.32</v>
      </c>
      <c r="JC53" s="325" t="n">
        <f aca="false">(JD53*$H53+JE53*$G53)</f>
        <v>139722.680454607</v>
      </c>
      <c r="JD53" s="329" t="n">
        <f aca="false">JE53/$F53*JE$7</f>
        <v>139722.680454607</v>
      </c>
      <c r="JE53" s="327" t="n">
        <v>121093.32</v>
      </c>
      <c r="JF53" s="325" t="n">
        <f aca="false">(JG53*$H53+JH53*$G53)</f>
        <v>138369.718445205</v>
      </c>
      <c r="JG53" s="326" t="n">
        <f aca="false">JH53/$F53*JH$7</f>
        <v>138369.718445205</v>
      </c>
      <c r="JH53" s="327" t="n">
        <v>121093.32</v>
      </c>
      <c r="JI53" s="325" t="n">
        <f aca="false">(JJ53*$H53+JK53*$G53)</f>
        <v>137319.451341606</v>
      </c>
      <c r="JJ53" s="326" t="n">
        <f aca="false">JK53/$F53*JK$7</f>
        <v>137319.451341606</v>
      </c>
      <c r="JK53" s="327" t="n">
        <v>121093.32</v>
      </c>
      <c r="JL53" s="325" t="n">
        <f aca="false">(JM53*$H53+JN53*$G53)</f>
        <v>138762.082382022</v>
      </c>
      <c r="JM53" s="326" t="n">
        <f aca="false">JN53/$F53*JN$7</f>
        <v>138762.082382022</v>
      </c>
      <c r="JN53" s="327" t="n">
        <v>121093.32</v>
      </c>
      <c r="JO53" s="325" t="n">
        <f aca="false">(JP53*$H53+JQ53*$G53)</f>
        <v>136071.516042564</v>
      </c>
      <c r="JP53" s="326" t="n">
        <f aca="false">JQ53/$F53*JQ$7</f>
        <v>136071.516042564</v>
      </c>
      <c r="JQ53" s="327" t="n">
        <v>121093.32</v>
      </c>
      <c r="JR53" s="325" t="n">
        <f aca="false">(JS53*$H53+JT53*$G53)</f>
        <v>134719.049442174</v>
      </c>
      <c r="JS53" s="328" t="n">
        <f aca="false">JT53/$F53*JT$7</f>
        <v>134719.049442174</v>
      </c>
      <c r="JT53" s="327" t="n">
        <v>121093.32</v>
      </c>
      <c r="JU53" s="325" t="n">
        <f aca="false">(JV53*$H53+JW53*$G53)</f>
        <v>134852.80987518</v>
      </c>
      <c r="JV53" s="329" t="n">
        <f aca="false">JW53/$F53*JW$7</f>
        <v>134852.80987518</v>
      </c>
      <c r="JW53" s="327" t="n">
        <v>121093.32</v>
      </c>
      <c r="JX53" s="325" t="n">
        <f aca="false">(JY53*$H53+JZ53*$G53)</f>
        <v>132004.208061171</v>
      </c>
      <c r="JY53" s="329" t="n">
        <f aca="false">JZ53/$F53*JZ$7</f>
        <v>132004.208061171</v>
      </c>
      <c r="JZ53" s="327" t="n">
        <v>121093.32</v>
      </c>
      <c r="KA53" s="325" t="n">
        <f aca="false">(KB53*$H53+KC53*$G53)</f>
        <v>132288.077424549</v>
      </c>
      <c r="KB53" s="329" t="n">
        <f aca="false">KC53/$F53*KC$7</f>
        <v>132288.077424549</v>
      </c>
      <c r="KC53" s="327" t="n">
        <v>121093.32</v>
      </c>
      <c r="KD53" s="325" t="n">
        <f aca="false">(KE53*$H53+KF53*$G53)</f>
        <v>130153.855404593</v>
      </c>
      <c r="KE53" s="329" t="n">
        <f aca="false">KF53/$F53*KF$7</f>
        <v>130153.855404593</v>
      </c>
      <c r="KF53" s="327" t="n">
        <v>121093.32</v>
      </c>
      <c r="KG53" s="325" t="n">
        <f aca="false">(KH53*$H53+KI53*$G53)</f>
        <v>132070.097459651</v>
      </c>
      <c r="KH53" s="329" t="n">
        <f aca="false">KI53/$F53*KI$7</f>
        <v>132070.097459651</v>
      </c>
      <c r="KI53" s="327" t="n">
        <v>121093.32</v>
      </c>
      <c r="KJ53" s="325" t="n">
        <f aca="false">(KK53*$H53+KL53*$G53)</f>
        <v>135170.367051315</v>
      </c>
      <c r="KK53" s="329" t="n">
        <f aca="false">KL53/$F53*KL$7</f>
        <v>135170.367051315</v>
      </c>
      <c r="KL53" s="327" t="n">
        <v>121093.32</v>
      </c>
      <c r="KP53" s="325" t="n">
        <f aca="false">(KQ53*$H53+KR53*$G53)</f>
        <v>140746.195471606</v>
      </c>
      <c r="KQ53" s="329" t="n">
        <f aca="false">KR53/$F53*KR$7</f>
        <v>140746.195471606</v>
      </c>
      <c r="KR53" s="327" t="n">
        <v>121093.32</v>
      </c>
      <c r="KS53" s="325" t="n">
        <f aca="false">(KT53*$H53+KU53*$G53)</f>
        <v>143607.677919904</v>
      </c>
      <c r="KT53" s="329" t="n">
        <f aca="false">KU53/$F53*KU$7</f>
        <v>143607.677919904</v>
      </c>
      <c r="KU53" s="327" t="n">
        <v>121093.32</v>
      </c>
      <c r="KV53" s="325" t="n">
        <f aca="false">(KW53*$H53+KX53*$G53)</f>
        <v>144931.410797648</v>
      </c>
      <c r="KW53" s="329" t="n">
        <f aca="false">KX53/$F53*KX$7</f>
        <v>144931.410797648</v>
      </c>
      <c r="KX53" s="327" t="n">
        <v>121093.32</v>
      </c>
      <c r="KY53" s="325" t="n">
        <f aca="false">(KZ53*$H53+LA53*$G53)</f>
        <v>144931.410797648</v>
      </c>
      <c r="KZ53" s="329" t="n">
        <f aca="false">LA53/$F53*LA$7</f>
        <v>144931.410797648</v>
      </c>
      <c r="LA53" s="327" t="n">
        <v>121093.32</v>
      </c>
      <c r="LB53" s="325" t="n">
        <f aca="false">(LC53*$H53+LD53*$G53)</f>
        <v>144931.410797648</v>
      </c>
      <c r="LC53" s="329" t="n">
        <f aca="false">LD53/$F53*LD$7</f>
        <v>144931.410797648</v>
      </c>
      <c r="LD53" s="327" t="n">
        <v>121093.32</v>
      </c>
      <c r="LE53" s="325" t="n">
        <f aca="false">(LF53*$H53+LG53*$G53)</f>
        <v>144931.410797648</v>
      </c>
      <c r="LF53" s="329" t="n">
        <f aca="false">LG53/$F53*LG$7</f>
        <v>144931.410797648</v>
      </c>
      <c r="LG53" s="327" t="n">
        <v>121093.32</v>
      </c>
      <c r="LH53" s="325" t="n">
        <f aca="false">(LI53*$H53+LJ53*$G53)</f>
        <v>181164.139644808</v>
      </c>
      <c r="LI53" s="329" t="n">
        <f aca="false">LJ53/$F53*LJ$7</f>
        <v>181164.139644808</v>
      </c>
      <c r="LJ53" s="327" t="n">
        <v>121093.32</v>
      </c>
      <c r="LM53" s="327" t="n">
        <v>121093.32</v>
      </c>
      <c r="LP53" s="327" t="n">
        <v>121093.32</v>
      </c>
      <c r="LS53" s="327" t="n">
        <v>121093.32</v>
      </c>
      <c r="LV53" s="327" t="n">
        <v>121093.32</v>
      </c>
      <c r="LY53" s="327" t="n">
        <v>121093.32</v>
      </c>
      <c r="ME53" s="327" t="n">
        <v>121093.32</v>
      </c>
      <c r="MH53" s="327" t="n">
        <v>121093.32</v>
      </c>
      <c r="MK53" s="327" t="n">
        <v>121093.32</v>
      </c>
      <c r="MN53" s="327" t="n">
        <v>121093.32</v>
      </c>
      <c r="MQ53" s="327" t="n">
        <v>121093.32</v>
      </c>
      <c r="MT53" s="327" t="n">
        <v>121093.32</v>
      </c>
      <c r="MW53" s="327" t="n">
        <v>121093.32</v>
      </c>
      <c r="MZ53" s="327" t="n">
        <v>121093.32</v>
      </c>
      <c r="NC53" s="327" t="n">
        <v>121093.32</v>
      </c>
      <c r="NF53" s="327" t="n">
        <v>121093.32</v>
      </c>
      <c r="NI53" s="327" t="n">
        <v>121093.32</v>
      </c>
      <c r="NL53" s="327" t="n">
        <v>121093.32</v>
      </c>
      <c r="NR53" s="327" t="n">
        <v>121093.32</v>
      </c>
      <c r="NU53" s="327" t="n">
        <v>121093.32</v>
      </c>
      <c r="NX53" s="327" t="n">
        <v>121093.32</v>
      </c>
      <c r="OA53" s="327" t="n">
        <v>121093.32</v>
      </c>
      <c r="OD53" s="327" t="n">
        <v>121093.32</v>
      </c>
      <c r="OG53" s="327" t="n">
        <v>121093.32</v>
      </c>
      <c r="OJ53" s="327" t="n">
        <v>121093.32</v>
      </c>
      <c r="OM53" s="327" t="n">
        <v>121093.32</v>
      </c>
      <c r="OP53" s="327" t="n">
        <v>121093.32</v>
      </c>
      <c r="OS53" s="327" t="n">
        <v>121093.32</v>
      </c>
      <c r="OV53" s="327" t="n">
        <v>121093.32</v>
      </c>
      <c r="OY53" s="327" t="n">
        <v>121093.32</v>
      </c>
      <c r="PE53" s="327" t="n">
        <v>121093.32</v>
      </c>
      <c r="PH53" s="327" t="n">
        <v>121093.32</v>
      </c>
      <c r="PK53" s="327" t="n">
        <v>121093.32</v>
      </c>
      <c r="PN53" s="327" t="n">
        <v>121093.32</v>
      </c>
      <c r="PQ53" s="327" t="n">
        <v>121093.32</v>
      </c>
      <c r="PT53" s="327" t="n">
        <v>121093.32</v>
      </c>
      <c r="PW53" s="327"/>
    </row>
    <row r="54" s="329" customFormat="true" ht="15" hidden="false" customHeight="false" outlineLevel="0" collapsed="false">
      <c r="A54" s="28" t="n">
        <v>5.7</v>
      </c>
      <c r="B54" s="342"/>
      <c r="C54" s="343" t="n">
        <v>12805407.73</v>
      </c>
      <c r="D54" s="342"/>
      <c r="E54" s="344"/>
      <c r="F54" s="60" t="n">
        <v>24.4431</v>
      </c>
      <c r="G54" s="345" t="n">
        <v>0</v>
      </c>
      <c r="H54" s="346" t="n">
        <f aca="false">1-G54</f>
        <v>1</v>
      </c>
      <c r="I54" s="346" t="n">
        <f aca="false">J54/F54*27.1269</f>
        <v>3215945.29540594</v>
      </c>
      <c r="J54" s="347" t="n">
        <v>2897775.73</v>
      </c>
      <c r="K54" s="289"/>
      <c r="M54" s="327"/>
      <c r="N54" s="289"/>
      <c r="P54" s="327"/>
      <c r="Q54" s="289"/>
      <c r="S54" s="327"/>
      <c r="V54" s="327"/>
      <c r="W54" s="289"/>
      <c r="Y54" s="327"/>
      <c r="AC54" s="289"/>
      <c r="AE54" s="327"/>
      <c r="AF54" s="289"/>
      <c r="AH54" s="327"/>
      <c r="AI54" s="289"/>
      <c r="AK54" s="327"/>
      <c r="AL54" s="289"/>
      <c r="AN54" s="327"/>
      <c r="AO54" s="289"/>
      <c r="AQ54" s="327"/>
      <c r="AR54" s="289"/>
      <c r="AT54" s="327"/>
      <c r="AU54" s="289"/>
      <c r="AW54" s="327"/>
      <c r="AX54" s="289"/>
      <c r="AZ54" s="327"/>
      <c r="BA54" s="289"/>
      <c r="BC54" s="327"/>
      <c r="BD54" s="289"/>
      <c r="BF54" s="327"/>
      <c r="BG54" s="289"/>
      <c r="BI54" s="327"/>
      <c r="BJ54" s="289"/>
      <c r="BL54" s="327"/>
      <c r="BP54" s="289"/>
      <c r="BR54" s="327"/>
      <c r="BS54" s="289"/>
      <c r="BU54" s="327"/>
      <c r="BV54" s="289"/>
      <c r="BX54" s="327"/>
      <c r="BY54" s="289"/>
      <c r="CA54" s="327"/>
      <c r="CB54" s="289"/>
      <c r="CD54" s="327"/>
      <c r="CE54" s="289"/>
      <c r="CG54" s="327"/>
      <c r="CH54" s="289"/>
      <c r="CJ54" s="327"/>
      <c r="CK54" s="289"/>
      <c r="CM54" s="327"/>
      <c r="CN54" s="289"/>
      <c r="CP54" s="327"/>
      <c r="CQ54" s="289"/>
      <c r="CS54" s="327"/>
      <c r="CV54" s="327"/>
      <c r="CW54" s="289"/>
      <c r="CY54" s="327"/>
      <c r="DC54" s="335"/>
      <c r="DE54" s="327"/>
      <c r="DH54" s="327"/>
      <c r="DK54" s="327"/>
      <c r="DL54" s="289"/>
      <c r="DN54" s="327"/>
      <c r="DQ54" s="327"/>
      <c r="DT54" s="327"/>
      <c r="ED54" s="289"/>
      <c r="EJ54" s="289"/>
      <c r="FN54" s="289"/>
      <c r="FQ54" s="289"/>
      <c r="FT54" s="289"/>
      <c r="FW54" s="289"/>
      <c r="GC54" s="289"/>
      <c r="GK54" s="327"/>
      <c r="GU54" s="289"/>
      <c r="GX54" s="289"/>
      <c r="HA54" s="289"/>
      <c r="HD54" s="289"/>
      <c r="HG54" s="289"/>
      <c r="HJ54" s="289"/>
      <c r="HP54" s="289"/>
      <c r="HS54" s="289"/>
      <c r="HV54" s="289"/>
      <c r="HY54" s="289"/>
      <c r="IB54" s="289"/>
      <c r="IE54" s="289"/>
      <c r="IG54" s="327"/>
      <c r="IH54" s="328"/>
      <c r="II54" s="328"/>
      <c r="IJ54" s="327"/>
      <c r="IK54" s="325" t="n">
        <f aca="false">(IL54*$H54+IM54*$G54)</f>
        <v>184535.291971968</v>
      </c>
      <c r="IL54" s="328" t="n">
        <f aca="false">IM54/$F54*IM$7</f>
        <v>184535.291971968</v>
      </c>
      <c r="IM54" s="327" t="n">
        <v>165127.2</v>
      </c>
      <c r="IN54" s="325" t="n">
        <f aca="false">(IO54*$H54+IP54*$G54)</f>
        <v>190522.082708004</v>
      </c>
      <c r="IO54" s="328" t="n">
        <f aca="false">IP54/$F54*IP$7</f>
        <v>190522.082708004</v>
      </c>
      <c r="IP54" s="327" t="n">
        <v>165127.2</v>
      </c>
      <c r="IQ54" s="325" t="n">
        <f aca="false">(IR54*$H54+IS54*$G54)</f>
        <v>191660.397128024</v>
      </c>
      <c r="IR54" s="328" t="n">
        <f aca="false">IS54/$F54*IS$7</f>
        <v>191660.397128024</v>
      </c>
      <c r="IS54" s="327" t="n">
        <v>165127.2</v>
      </c>
      <c r="IT54" s="325" t="n">
        <f aca="false">(IU54*$H54+IV54*$G54)</f>
        <v>191556.361270052</v>
      </c>
      <c r="IU54" s="328" t="n">
        <f aca="false">IV54/$F54*IV$7</f>
        <v>191556.361270052</v>
      </c>
      <c r="IV54" s="327" t="n">
        <v>165127.2</v>
      </c>
      <c r="IW54" s="325" t="n">
        <f aca="false">(IX54*$H54+IY54*$G54)</f>
        <v>189420.248394025</v>
      </c>
      <c r="IX54" s="328" t="n">
        <f aca="false">IY54/$F54*IY$7</f>
        <v>189420.248394025</v>
      </c>
      <c r="IY54" s="327" t="n">
        <v>165127.2</v>
      </c>
      <c r="JC54" s="325" t="n">
        <f aca="false">(JD54*$H54+JE54*$G54)</f>
        <v>190530.864955754</v>
      </c>
      <c r="JD54" s="329" t="n">
        <f aca="false">JE54/$F54*JE$7</f>
        <v>190530.864955754</v>
      </c>
      <c r="JE54" s="327" t="n">
        <v>165127.2</v>
      </c>
      <c r="JF54" s="325" t="n">
        <f aca="false">(JG54*$H54+JH54*$G54)</f>
        <v>188685.917370546</v>
      </c>
      <c r="JG54" s="326" t="n">
        <f aca="false">JH54/$F54*JH$7</f>
        <v>188685.917370546</v>
      </c>
      <c r="JH54" s="327" t="n">
        <v>165127.2</v>
      </c>
      <c r="JI54" s="325" t="n">
        <f aca="false">(JJ54*$H54+JK54*$G54)</f>
        <v>187253.73542963</v>
      </c>
      <c r="JJ54" s="326" t="n">
        <f aca="false">JK54/$F54*JK$7</f>
        <v>187253.73542963</v>
      </c>
      <c r="JK54" s="327" t="n">
        <v>165127.2</v>
      </c>
      <c r="JL54" s="325" t="n">
        <f aca="false">(JM54*$H54+JN54*$G54)</f>
        <v>189220.958925832</v>
      </c>
      <c r="JM54" s="326" t="n">
        <f aca="false">JN54/$F54*JN$7</f>
        <v>189220.958925832</v>
      </c>
      <c r="JN54" s="327" t="n">
        <v>165127.2</v>
      </c>
      <c r="JO54" s="325" t="n">
        <f aca="false">(JP54*$H54+JQ54*$G54)</f>
        <v>185552.006038514</v>
      </c>
      <c r="JP54" s="326" t="n">
        <f aca="false">JQ54/$F54*JQ$7</f>
        <v>185552.006038514</v>
      </c>
      <c r="JQ54" s="327" t="n">
        <v>165127.2</v>
      </c>
      <c r="JR54" s="325" t="n">
        <f aca="false">(JS54*$H54+JT54*$G54)</f>
        <v>183707.734010825</v>
      </c>
      <c r="JS54" s="328" t="n">
        <f aca="false">JT54/$F54*JT$7</f>
        <v>183707.734010825</v>
      </c>
      <c r="JT54" s="327" t="n">
        <v>165127.2</v>
      </c>
      <c r="JU54" s="325" t="n">
        <f aca="false">(JV54*$H54+JW54*$G54)</f>
        <v>183890.134541036</v>
      </c>
      <c r="JV54" s="329" t="n">
        <f aca="false">JW54/$F54*JW$7</f>
        <v>183890.134541036</v>
      </c>
      <c r="JW54" s="327" t="n">
        <v>165127.2</v>
      </c>
      <c r="JX54" s="325" t="n">
        <f aca="false">(JY54*$H54+JZ54*$G54)</f>
        <v>180005.678805062</v>
      </c>
      <c r="JY54" s="329" t="n">
        <f aca="false">JZ54/$F54*JZ$7</f>
        <v>180005.678805062</v>
      </c>
      <c r="JZ54" s="327" t="n">
        <v>165127.2</v>
      </c>
      <c r="KA54" s="325" t="n">
        <f aca="false">(KB54*$H54+KC54*$G54)</f>
        <v>180392.77326362</v>
      </c>
      <c r="KB54" s="329" t="n">
        <f aca="false">KC54/$F54*KC$7</f>
        <v>180392.77326362</v>
      </c>
      <c r="KC54" s="327" t="n">
        <v>165127.2</v>
      </c>
      <c r="KD54" s="325" t="n">
        <f aca="false">(KE54*$H54+KF54*$G54)</f>
        <v>177482.471470476</v>
      </c>
      <c r="KE54" s="329" t="n">
        <f aca="false">KF54/$F54*KF$7</f>
        <v>177482.471470476</v>
      </c>
      <c r="KF54" s="327" t="n">
        <v>165127.2</v>
      </c>
      <c r="KG54" s="325" t="n">
        <f aca="false">(KH54*$H54+KI54*$G54)</f>
        <v>180095.527955128</v>
      </c>
      <c r="KH54" s="329" t="n">
        <f aca="false">KI54/$F54*KI$7</f>
        <v>180095.527955128</v>
      </c>
      <c r="KI54" s="327" t="n">
        <v>165127.2</v>
      </c>
      <c r="KJ54" s="325" t="n">
        <f aca="false">(KK54*$H54+KL54*$G54)</f>
        <v>184323.166910907</v>
      </c>
      <c r="KK54" s="329" t="n">
        <f aca="false">KL54/$F54*KL$7</f>
        <v>184323.166910907</v>
      </c>
      <c r="KL54" s="327" t="n">
        <v>165127.2</v>
      </c>
      <c r="KP54" s="325" t="n">
        <f aca="false">(KQ54*$H54+KR54*$G54)</f>
        <v>191926.566790628</v>
      </c>
      <c r="KQ54" s="329" t="n">
        <f aca="false">KR54/$F54*KR$7</f>
        <v>191926.566790628</v>
      </c>
      <c r="KR54" s="327" t="n">
        <v>165127.2</v>
      </c>
      <c r="KS54" s="325" t="n">
        <f aca="false">(KT54*$H54+KU54*$G54)</f>
        <v>195828.587022104</v>
      </c>
      <c r="KT54" s="329" t="n">
        <f aca="false">KU54/$F54*KU$7</f>
        <v>195828.587022104</v>
      </c>
      <c r="KU54" s="327" t="n">
        <v>165127.2</v>
      </c>
      <c r="KV54" s="325" t="n">
        <f aca="false">(KW54*$H54+KX54*$G54)</f>
        <v>197633.676713674</v>
      </c>
      <c r="KW54" s="329" t="n">
        <f aca="false">KX54/$F54*KX$7</f>
        <v>197633.676713674</v>
      </c>
      <c r="KX54" s="327" t="n">
        <v>165127.2</v>
      </c>
      <c r="KY54" s="325" t="n">
        <f aca="false">(KZ54*$H54+LA54*$G54)</f>
        <v>197633.676713674</v>
      </c>
      <c r="KZ54" s="329" t="n">
        <f aca="false">LA54/$F54*LA$7</f>
        <v>197633.676713674</v>
      </c>
      <c r="LA54" s="327" t="n">
        <v>165127.2</v>
      </c>
      <c r="LB54" s="325" t="n">
        <f aca="false">(LC54*$H54+LD54*$G54)</f>
        <v>197633.676713674</v>
      </c>
      <c r="LC54" s="329" t="n">
        <f aca="false">LD54/$F54*LD$7</f>
        <v>197633.676713674</v>
      </c>
      <c r="LD54" s="327" t="n">
        <v>165127.2</v>
      </c>
      <c r="LE54" s="325" t="n">
        <f aca="false">(LF54*$H54+LG54*$G54)</f>
        <v>197633.676713674</v>
      </c>
      <c r="LF54" s="329" t="n">
        <f aca="false">LG54/$F54*LG$7</f>
        <v>197633.676713674</v>
      </c>
      <c r="LG54" s="327" t="n">
        <v>165127.2</v>
      </c>
      <c r="LH54" s="325" t="n">
        <f aca="false">(LI54*$H54+LJ54*$G54)</f>
        <v>247041.927002712</v>
      </c>
      <c r="LI54" s="329" t="n">
        <f aca="false">LJ54/$F54*LJ$7</f>
        <v>247041.927002712</v>
      </c>
      <c r="LJ54" s="327" t="n">
        <v>165127.2</v>
      </c>
      <c r="LM54" s="327" t="n">
        <v>165127.2</v>
      </c>
      <c r="LP54" s="327" t="n">
        <v>165127.2</v>
      </c>
      <c r="LS54" s="327" t="n">
        <v>165127.2</v>
      </c>
      <c r="LV54" s="327" t="n">
        <v>165127.2</v>
      </c>
      <c r="LY54" s="327" t="n">
        <v>165127.2</v>
      </c>
      <c r="ME54" s="327" t="n">
        <v>165127.2</v>
      </c>
      <c r="MH54" s="327" t="n">
        <v>165127.2</v>
      </c>
      <c r="MK54" s="327" t="n">
        <v>165127.2</v>
      </c>
      <c r="MN54" s="327" t="n">
        <v>165127.2</v>
      </c>
      <c r="MQ54" s="327" t="n">
        <v>165127.2</v>
      </c>
      <c r="MT54" s="327" t="n">
        <v>165127.2</v>
      </c>
      <c r="MW54" s="327" t="n">
        <v>165127.2</v>
      </c>
      <c r="MZ54" s="327" t="n">
        <v>165127.2</v>
      </c>
      <c r="NC54" s="327" t="n">
        <v>165127.2</v>
      </c>
      <c r="NF54" s="327" t="n">
        <v>165127.2</v>
      </c>
      <c r="NI54" s="327" t="n">
        <v>165127.2</v>
      </c>
      <c r="NL54" s="327" t="n">
        <v>165127.2</v>
      </c>
      <c r="NR54" s="327" t="n">
        <v>165127.2</v>
      </c>
      <c r="NU54" s="327" t="n">
        <v>165127.2</v>
      </c>
      <c r="NX54" s="327" t="n">
        <v>165127.2</v>
      </c>
      <c r="OA54" s="327" t="n">
        <v>165127.2</v>
      </c>
      <c r="OD54" s="327" t="n">
        <v>165127.2</v>
      </c>
      <c r="OG54" s="327" t="n">
        <v>165127.2</v>
      </c>
      <c r="OJ54" s="327" t="n">
        <v>165127.2</v>
      </c>
      <c r="OM54" s="327" t="n">
        <v>165127.2</v>
      </c>
      <c r="OP54" s="327" t="n">
        <v>165127.2</v>
      </c>
      <c r="OS54" s="327" t="n">
        <v>165127.2</v>
      </c>
      <c r="OV54" s="327" t="n">
        <v>165127.2</v>
      </c>
      <c r="OY54" s="327" t="n">
        <v>165127.2</v>
      </c>
      <c r="PE54" s="327" t="n">
        <v>165127.2</v>
      </c>
      <c r="PH54" s="327" t="n">
        <v>165127.2</v>
      </c>
      <c r="PK54" s="327" t="n">
        <v>165127.2</v>
      </c>
      <c r="PN54" s="327" t="n">
        <v>165127.2</v>
      </c>
      <c r="PQ54" s="327" t="n">
        <v>165127.2</v>
      </c>
      <c r="PT54" s="327" t="n">
        <v>165127.2</v>
      </c>
      <c r="PW54" s="327" t="n">
        <v>165127.2</v>
      </c>
    </row>
    <row r="55" s="329" customFormat="true" ht="15" hidden="false" customHeight="false" outlineLevel="0" collapsed="false">
      <c r="A55" s="28" t="n">
        <v>5.8</v>
      </c>
      <c r="B55" s="342"/>
      <c r="C55" s="343" t="n">
        <v>18319318.3</v>
      </c>
      <c r="D55" s="342"/>
      <c r="E55" s="344"/>
      <c r="F55" s="60" t="n">
        <v>24.4431</v>
      </c>
      <c r="G55" s="345" t="n">
        <v>0</v>
      </c>
      <c r="H55" s="346" t="n">
        <f aca="false">1-G55</f>
        <v>1</v>
      </c>
      <c r="I55" s="346" t="n">
        <f aca="false">J55/F55*26.6367</f>
        <v>4172824.18600955</v>
      </c>
      <c r="J55" s="347" t="n">
        <v>3829181.5</v>
      </c>
      <c r="K55" s="289"/>
      <c r="M55" s="327"/>
      <c r="N55" s="289"/>
      <c r="P55" s="327"/>
      <c r="Q55" s="289"/>
      <c r="S55" s="327"/>
      <c r="V55" s="327"/>
      <c r="W55" s="289"/>
      <c r="Y55" s="327"/>
      <c r="AC55" s="289"/>
      <c r="AE55" s="327"/>
      <c r="AF55" s="289"/>
      <c r="AH55" s="327"/>
      <c r="AI55" s="289"/>
      <c r="AK55" s="327"/>
      <c r="AL55" s="289"/>
      <c r="AN55" s="327"/>
      <c r="AO55" s="289"/>
      <c r="AQ55" s="327"/>
      <c r="AR55" s="289"/>
      <c r="AT55" s="327"/>
      <c r="AU55" s="289"/>
      <c r="AW55" s="327"/>
      <c r="AX55" s="289"/>
      <c r="AZ55" s="327"/>
      <c r="BA55" s="289"/>
      <c r="BC55" s="327"/>
      <c r="BD55" s="289"/>
      <c r="BF55" s="327"/>
      <c r="BG55" s="289"/>
      <c r="BI55" s="327"/>
      <c r="BJ55" s="289"/>
      <c r="BL55" s="327"/>
      <c r="BP55" s="289"/>
      <c r="BR55" s="327"/>
      <c r="BS55" s="289"/>
      <c r="BU55" s="327"/>
      <c r="BV55" s="289"/>
      <c r="BX55" s="327"/>
      <c r="BY55" s="289"/>
      <c r="CA55" s="327"/>
      <c r="CB55" s="289"/>
      <c r="CD55" s="327"/>
      <c r="CE55" s="289"/>
      <c r="CG55" s="327"/>
      <c r="CH55" s="289"/>
      <c r="CJ55" s="327"/>
      <c r="CK55" s="289"/>
      <c r="CM55" s="327"/>
      <c r="CN55" s="289"/>
      <c r="CP55" s="327"/>
      <c r="CQ55" s="289"/>
      <c r="CS55" s="327"/>
      <c r="CV55" s="327"/>
      <c r="CW55" s="289"/>
      <c r="CY55" s="327"/>
      <c r="DC55" s="335"/>
      <c r="DE55" s="327"/>
      <c r="DH55" s="327"/>
      <c r="DK55" s="327"/>
      <c r="DL55" s="289"/>
      <c r="DN55" s="327"/>
      <c r="DQ55" s="327"/>
      <c r="DT55" s="327"/>
      <c r="ED55" s="289"/>
      <c r="EJ55" s="289"/>
      <c r="FN55" s="289"/>
      <c r="FQ55" s="289"/>
      <c r="FT55" s="289"/>
      <c r="FW55" s="289"/>
      <c r="GC55" s="289"/>
      <c r="GK55" s="327"/>
      <c r="GU55" s="289"/>
      <c r="GX55" s="289"/>
      <c r="HA55" s="289"/>
      <c r="HD55" s="289"/>
      <c r="HG55" s="289"/>
      <c r="HJ55" s="289"/>
      <c r="HP55" s="289"/>
      <c r="HS55" s="289"/>
      <c r="HV55" s="289"/>
      <c r="HY55" s="289"/>
      <c r="IB55" s="289"/>
      <c r="IE55" s="289"/>
      <c r="IH55" s="325" t="n">
        <f aca="false">(II55*$H55+IJ55*$G55)</f>
        <v>272703.895189563</v>
      </c>
      <c r="II55" s="328" t="n">
        <f aca="false">IJ55/$F55*IJ$7</f>
        <v>272703.895189563</v>
      </c>
      <c r="IJ55" s="327" t="n">
        <v>241502.28</v>
      </c>
      <c r="IK55" s="325" t="n">
        <f aca="false">(IL55*$H55+IM55*$G55)</f>
        <v>269887.055262221</v>
      </c>
      <c r="IL55" s="328" t="n">
        <f aca="false">IM55/$F55*IM$7</f>
        <v>269887.055262221</v>
      </c>
      <c r="IM55" s="327" t="n">
        <v>241502.28</v>
      </c>
      <c r="IN55" s="325" t="n">
        <f aca="false">(IO55*$H55+IP55*$G55)</f>
        <v>278642.872672288</v>
      </c>
      <c r="IO55" s="328" t="n">
        <f aca="false">IP55/$F55*IP$7</f>
        <v>278642.872672288</v>
      </c>
      <c r="IP55" s="327" t="n">
        <v>241502.28</v>
      </c>
      <c r="IQ55" s="325" t="n">
        <f aca="false">(IR55*$H55+IS55*$G55)</f>
        <v>280307.683362421</v>
      </c>
      <c r="IR55" s="328" t="n">
        <f aca="false">IS55/$F55*IS$7</f>
        <v>280307.683362421</v>
      </c>
      <c r="IS55" s="327" t="n">
        <v>241502.28</v>
      </c>
      <c r="IT55" s="325" t="n">
        <f aca="false">(IU55*$H55+IV55*$G55)</f>
        <v>280155.528557507</v>
      </c>
      <c r="IU55" s="328" t="n">
        <f aca="false">IV55/$F55*IV$7</f>
        <v>280155.528557507</v>
      </c>
      <c r="IV55" s="327" t="n">
        <v>241502.28</v>
      </c>
      <c r="IW55" s="325" t="n">
        <f aca="false">(IX55*$H55+IY55*$G55)</f>
        <v>277031.414965696</v>
      </c>
      <c r="IX55" s="328" t="n">
        <f aca="false">IY55/$F55*IY$7</f>
        <v>277031.414965696</v>
      </c>
      <c r="IY55" s="327" t="n">
        <v>241502.28</v>
      </c>
      <c r="JC55" s="325" t="n">
        <f aca="false">(JD55*$H55+JE55*$G55)</f>
        <v>278655.716909066</v>
      </c>
      <c r="JD55" s="329" t="n">
        <f aca="false">JE55/$F55*JE$7</f>
        <v>278655.716909066</v>
      </c>
      <c r="JE55" s="327" t="n">
        <v>241502.28</v>
      </c>
      <c r="JF55" s="325" t="n">
        <f aca="false">(JG55*$H55+JH55*$G55)</f>
        <v>275957.439167372</v>
      </c>
      <c r="JG55" s="326" t="n">
        <f aca="false">JH55/$F55*JH$7</f>
        <v>275957.439167372</v>
      </c>
      <c r="JH55" s="327" t="n">
        <v>241502.28</v>
      </c>
      <c r="JI55" s="325" t="n">
        <f aca="false">(JJ55*$H55+JK55*$G55)</f>
        <v>273862.840554267</v>
      </c>
      <c r="JJ55" s="326" t="n">
        <f aca="false">JK55/$F55*JK$7</f>
        <v>273862.840554267</v>
      </c>
      <c r="JK55" s="327" t="n">
        <v>241502.28</v>
      </c>
      <c r="JL55" s="325" t="n">
        <f aca="false">(JM55*$H55+JN55*$G55)</f>
        <v>276739.949592646</v>
      </c>
      <c r="JM55" s="326" t="n">
        <f aca="false">JN55/$F55*JN$7</f>
        <v>276739.949592646</v>
      </c>
      <c r="JN55" s="327" t="n">
        <v>241502.28</v>
      </c>
      <c r="JO55" s="325" t="n">
        <f aca="false">(JP55*$H55+JQ55*$G55)</f>
        <v>271374.022673883</v>
      </c>
      <c r="JP55" s="326" t="n">
        <f aca="false">JQ55/$F55*JQ$7</f>
        <v>271374.022673883</v>
      </c>
      <c r="JQ55" s="327" t="n">
        <v>241502.28</v>
      </c>
      <c r="JR55" s="325" t="n">
        <f aca="false">(JS55*$H55+JT55*$G55)</f>
        <v>268676.732950403</v>
      </c>
      <c r="JS55" s="328" t="n">
        <f aca="false">JT55/$F55*JT$7</f>
        <v>268676.732950403</v>
      </c>
      <c r="JT55" s="327" t="n">
        <v>241502.28</v>
      </c>
      <c r="JU55" s="325" t="n">
        <f aca="false">(JV55*$H55+JW55*$G55)</f>
        <v>268943.49786811</v>
      </c>
      <c r="JV55" s="329" t="n">
        <f aca="false">JW55/$F55*JW$7</f>
        <v>268943.49786811</v>
      </c>
      <c r="JW55" s="327" t="n">
        <v>241502.28</v>
      </c>
      <c r="JX55" s="325" t="n">
        <f aca="false">(JY55*$H55+JZ55*$G55)</f>
        <v>263262.393139168</v>
      </c>
      <c r="JY55" s="329" t="n">
        <f aca="false">JZ55/$F55*JZ$7</f>
        <v>263262.393139168</v>
      </c>
      <c r="JZ55" s="327" t="n">
        <v>241502.28</v>
      </c>
      <c r="KA55" s="325" t="n">
        <f aca="false">(KB55*$H55+KC55*$G55)</f>
        <v>263828.527575635</v>
      </c>
      <c r="KB55" s="329" t="n">
        <f aca="false">KC55/$F55*KC$7</f>
        <v>263828.527575635</v>
      </c>
      <c r="KC55" s="327" t="n">
        <v>241502.28</v>
      </c>
      <c r="KD55" s="325" t="n">
        <f aca="false">(KE55*$H55+KF55*$G55)</f>
        <v>259572.14511089</v>
      </c>
      <c r="KE55" s="329" t="n">
        <f aca="false">KF55/$F55*KF$7</f>
        <v>259572.14511089</v>
      </c>
      <c r="KF55" s="327" t="n">
        <v>241502.28</v>
      </c>
      <c r="KG55" s="325" t="n">
        <f aca="false">(KH55*$H55+KI55*$G55)</f>
        <v>263393.799561594</v>
      </c>
      <c r="KH55" s="329" t="n">
        <f aca="false">KI55/$F55*KI$7</f>
        <v>263393.799561594</v>
      </c>
      <c r="KI55" s="327" t="n">
        <v>241502.28</v>
      </c>
      <c r="KJ55" s="325" t="n">
        <f aca="false">(KK55*$H55+KL55*$G55)</f>
        <v>269576.81754311</v>
      </c>
      <c r="KK55" s="329" t="n">
        <f aca="false">KL55/$F55*KL$7</f>
        <v>269576.81754311</v>
      </c>
      <c r="KL55" s="327" t="n">
        <v>241502.28</v>
      </c>
      <c r="KP55" s="325" t="n">
        <f aca="false">(KQ55*$H55+KR55*$G55)</f>
        <v>280696.962538631</v>
      </c>
      <c r="KQ55" s="329" t="n">
        <f aca="false">KR55/$F55*KR$7</f>
        <v>280696.962538631</v>
      </c>
      <c r="KR55" s="327" t="n">
        <v>241502.28</v>
      </c>
      <c r="KS55" s="325" t="n">
        <f aca="false">(KT55*$H55+KU55*$G55)</f>
        <v>286403.755741129</v>
      </c>
      <c r="KT55" s="329" t="n">
        <f aca="false">KU55/$F55*KU$7</f>
        <v>286403.755741129</v>
      </c>
      <c r="KU55" s="327" t="n">
        <v>241502.28</v>
      </c>
      <c r="KV55" s="325" t="n">
        <f aca="false">(KW55*$H55+KX55*$G55)</f>
        <v>289043.740408213</v>
      </c>
      <c r="KW55" s="329" t="n">
        <f aca="false">KX55/$F55*KX$7</f>
        <v>289043.740408213</v>
      </c>
      <c r="KX55" s="327" t="n">
        <v>241502.28</v>
      </c>
      <c r="KY55" s="325" t="n">
        <f aca="false">(KZ55*$H55+LA55*$G55)</f>
        <v>289043.740408213</v>
      </c>
      <c r="KZ55" s="329" t="n">
        <f aca="false">LA55/$F55*LA$7</f>
        <v>289043.740408213</v>
      </c>
      <c r="LA55" s="327" t="n">
        <v>241502.28</v>
      </c>
      <c r="LB55" s="325" t="n">
        <f aca="false">(LC55*$H55+LD55*$G55)</f>
        <v>289043.740408213</v>
      </c>
      <c r="LC55" s="329" t="n">
        <f aca="false">LD55/$F55*LD$7</f>
        <v>289043.740408213</v>
      </c>
      <c r="LD55" s="327" t="n">
        <v>241502.28</v>
      </c>
      <c r="LE55" s="325" t="n">
        <f aca="false">(LF55*$H55+LG55*$G55)</f>
        <v>289043.740408213</v>
      </c>
      <c r="LF55" s="329" t="n">
        <f aca="false">LG55/$F55*LG$7</f>
        <v>289043.740408213</v>
      </c>
      <c r="LG55" s="327" t="n">
        <v>241502.28</v>
      </c>
      <c r="LH55" s="325" t="n">
        <f aca="false">(LI55*$H55+LJ55*$G55)</f>
        <v>361304.428505713</v>
      </c>
      <c r="LI55" s="329" t="n">
        <f aca="false">LJ55/$F55*LJ$7</f>
        <v>361304.428505713</v>
      </c>
      <c r="LJ55" s="327" t="n">
        <v>241502.28</v>
      </c>
      <c r="LM55" s="327" t="n">
        <v>241502.28</v>
      </c>
      <c r="LP55" s="327" t="n">
        <v>241502.28</v>
      </c>
      <c r="LS55" s="327" t="n">
        <v>241502.28</v>
      </c>
      <c r="LV55" s="327" t="n">
        <v>241502.28</v>
      </c>
      <c r="LY55" s="327" t="n">
        <v>241502.28</v>
      </c>
      <c r="ME55" s="327" t="n">
        <v>241502.28</v>
      </c>
      <c r="MH55" s="327" t="n">
        <v>241502.28</v>
      </c>
      <c r="MK55" s="327" t="n">
        <v>241502.28</v>
      </c>
      <c r="MN55" s="327" t="n">
        <v>241502.28</v>
      </c>
      <c r="MQ55" s="327" t="n">
        <v>241502.28</v>
      </c>
      <c r="MT55" s="327" t="n">
        <v>241502.28</v>
      </c>
      <c r="MW55" s="327" t="n">
        <v>241502.28</v>
      </c>
      <c r="MZ55" s="327" t="n">
        <v>241502.28</v>
      </c>
      <c r="NC55" s="327" t="n">
        <v>241502.28</v>
      </c>
      <c r="NF55" s="327" t="n">
        <v>241502.28</v>
      </c>
      <c r="NI55" s="327" t="n">
        <v>241502.28</v>
      </c>
      <c r="NL55" s="327" t="n">
        <v>241502.28</v>
      </c>
      <c r="NR55" s="327" t="n">
        <v>241502.28</v>
      </c>
      <c r="NU55" s="327" t="n">
        <v>241502.28</v>
      </c>
      <c r="NX55" s="327" t="n">
        <v>241502.28</v>
      </c>
      <c r="OA55" s="327" t="n">
        <v>241502.28</v>
      </c>
      <c r="OD55" s="327" t="n">
        <v>241502.28</v>
      </c>
      <c r="OG55" s="327" t="n">
        <v>241502.28</v>
      </c>
      <c r="OJ55" s="327" t="n">
        <v>241502.28</v>
      </c>
      <c r="OM55" s="327" t="n">
        <v>241502.28</v>
      </c>
      <c r="OP55" s="327" t="n">
        <v>241502.28</v>
      </c>
      <c r="OS55" s="327" t="n">
        <v>241502.28</v>
      </c>
      <c r="OV55" s="327" t="n">
        <v>241502.28</v>
      </c>
      <c r="OY55" s="327" t="n">
        <v>241502.28</v>
      </c>
      <c r="PE55" s="327" t="n">
        <v>241502.28</v>
      </c>
      <c r="PH55" s="327" t="n">
        <v>241502.28</v>
      </c>
      <c r="PK55" s="327" t="n">
        <v>241502.28</v>
      </c>
      <c r="PN55" s="327" t="n">
        <v>241502.28</v>
      </c>
      <c r="PQ55" s="327" t="n">
        <v>241502.28</v>
      </c>
      <c r="PT55" s="327" t="n">
        <v>241502.28</v>
      </c>
      <c r="PW55" s="327"/>
    </row>
    <row r="56" s="329" customFormat="true" ht="15" hidden="false" customHeight="false" outlineLevel="0" collapsed="false">
      <c r="A56" s="186" t="s">
        <v>1938</v>
      </c>
      <c r="B56" s="342"/>
      <c r="C56" s="343" t="n">
        <v>8109906.77</v>
      </c>
      <c r="D56" s="342"/>
      <c r="E56" s="344"/>
      <c r="F56" s="60" t="n">
        <v>24.4431</v>
      </c>
      <c r="G56" s="345" t="n">
        <v>0</v>
      </c>
      <c r="H56" s="346" t="n">
        <f aca="false">1-G56</f>
        <v>1</v>
      </c>
      <c r="I56" s="346" t="n">
        <f aca="false">J56/F56*26.7544</f>
        <v>2008796.99516706</v>
      </c>
      <c r="J56" s="347" t="n">
        <v>1835257.97</v>
      </c>
      <c r="K56" s="289"/>
      <c r="M56" s="327"/>
      <c r="N56" s="289"/>
      <c r="P56" s="327"/>
      <c r="Q56" s="289"/>
      <c r="S56" s="327"/>
      <c r="V56" s="327"/>
      <c r="W56" s="289"/>
      <c r="Y56" s="327"/>
      <c r="AC56" s="289"/>
      <c r="AE56" s="327"/>
      <c r="AF56" s="289"/>
      <c r="AH56" s="327"/>
      <c r="AI56" s="289"/>
      <c r="AK56" s="327"/>
      <c r="AL56" s="289"/>
      <c r="AN56" s="327"/>
      <c r="AO56" s="289"/>
      <c r="AQ56" s="327"/>
      <c r="AR56" s="289"/>
      <c r="AT56" s="327"/>
      <c r="AU56" s="289"/>
      <c r="AW56" s="327"/>
      <c r="AX56" s="289"/>
      <c r="AZ56" s="327"/>
      <c r="BA56" s="289"/>
      <c r="BC56" s="327"/>
      <c r="BD56" s="289"/>
      <c r="BF56" s="327"/>
      <c r="BG56" s="289"/>
      <c r="BI56" s="327"/>
      <c r="BJ56" s="289"/>
      <c r="BL56" s="327"/>
      <c r="BP56" s="289"/>
      <c r="BR56" s="327"/>
      <c r="BS56" s="289"/>
      <c r="BU56" s="327"/>
      <c r="BV56" s="289"/>
      <c r="BX56" s="327"/>
      <c r="BY56" s="289"/>
      <c r="CA56" s="327"/>
      <c r="CB56" s="289"/>
      <c r="CD56" s="327"/>
      <c r="CE56" s="289"/>
      <c r="CG56" s="327"/>
      <c r="CH56" s="289"/>
      <c r="CJ56" s="327"/>
      <c r="CK56" s="289"/>
      <c r="CM56" s="327"/>
      <c r="CN56" s="289"/>
      <c r="CP56" s="327"/>
      <c r="CQ56" s="289"/>
      <c r="CS56" s="327"/>
      <c r="CV56" s="327"/>
      <c r="CW56" s="289"/>
      <c r="CY56" s="327"/>
      <c r="DC56" s="335"/>
      <c r="DE56" s="327"/>
      <c r="DH56" s="327"/>
      <c r="DK56" s="327"/>
      <c r="DL56" s="289"/>
      <c r="DN56" s="327"/>
      <c r="DQ56" s="327"/>
      <c r="DT56" s="327"/>
      <c r="ED56" s="289"/>
      <c r="EJ56" s="289"/>
      <c r="FN56" s="289"/>
      <c r="FQ56" s="289"/>
      <c r="FT56" s="289"/>
      <c r="FW56" s="289"/>
      <c r="GC56" s="289"/>
      <c r="GK56" s="327"/>
      <c r="GU56" s="289"/>
      <c r="GX56" s="289"/>
      <c r="HA56" s="289"/>
      <c r="HD56" s="289"/>
      <c r="HG56" s="289"/>
      <c r="HJ56" s="289"/>
      <c r="HP56" s="289"/>
      <c r="HS56" s="289"/>
      <c r="HV56" s="289"/>
      <c r="HY56" s="289"/>
      <c r="IB56" s="289"/>
      <c r="IE56" s="289"/>
      <c r="IH56" s="325" t="n">
        <f aca="false">(II56*$H56+IJ56*$G56)</f>
        <v>118088.682827792</v>
      </c>
      <c r="II56" s="328" t="n">
        <f aca="false">IJ56/$F56*IJ$7</f>
        <v>118088.682827792</v>
      </c>
      <c r="IJ56" s="327" t="n">
        <v>104577.48</v>
      </c>
      <c r="IK56" s="325" t="n">
        <f aca="false">(IL56*$H56+IM56*$G56)</f>
        <v>116868.909576936</v>
      </c>
      <c r="IL56" s="328" t="n">
        <f aca="false">IM56/$F56*IM$7</f>
        <v>116868.909576936</v>
      </c>
      <c r="IM56" s="327" t="n">
        <v>104577.48</v>
      </c>
      <c r="IN56" s="325" t="n">
        <f aca="false">(IO56*$H56+IP56*$G56)</f>
        <v>120660.432042417</v>
      </c>
      <c r="IO56" s="328" t="n">
        <f aca="false">IP56/$F56*IP$7</f>
        <v>120660.432042417</v>
      </c>
      <c r="IP56" s="327" t="n">
        <v>104577.48</v>
      </c>
      <c r="IQ56" s="325" t="n">
        <f aca="false">(IR56*$H56+IS56*$G56)</f>
        <v>121381.343276262</v>
      </c>
      <c r="IR56" s="328" t="n">
        <f aca="false">IS56/$F56*IS$7</f>
        <v>121381.343276262</v>
      </c>
      <c r="IS56" s="327" t="n">
        <v>104577.48</v>
      </c>
      <c r="IT56" s="325" t="n">
        <f aca="false">(IU56*$H56+IV56*$G56)</f>
        <v>121315.455840053</v>
      </c>
      <c r="IU56" s="328" t="n">
        <f aca="false">IV56/$F56*IV$7</f>
        <v>121315.455840053</v>
      </c>
      <c r="IV56" s="327" t="n">
        <v>104577.48</v>
      </c>
      <c r="IW56" s="325" t="n">
        <f aca="false">(IX56*$H56+IY56*$G56)</f>
        <v>119962.624195294</v>
      </c>
      <c r="IX56" s="328" t="n">
        <f aca="false">IY56/$F56*IY$7</f>
        <v>119962.624195294</v>
      </c>
      <c r="IY56" s="327" t="n">
        <v>104577.48</v>
      </c>
      <c r="JC56" s="325" t="n">
        <f aca="false">(JD56*$H56+JE56*$G56)</f>
        <v>120665.99396885</v>
      </c>
      <c r="JD56" s="329" t="n">
        <f aca="false">JE56/$F56*JE$7</f>
        <v>120665.99396885</v>
      </c>
      <c r="JE56" s="327" t="n">
        <v>104577.48</v>
      </c>
      <c r="JF56" s="325" t="n">
        <f aca="false">(JG56*$H56+JH56*$G56)</f>
        <v>119497.561577378</v>
      </c>
      <c r="JG56" s="326" t="n">
        <f aca="false">JH56/$F56*JH$7</f>
        <v>119497.561577378</v>
      </c>
      <c r="JH56" s="327" t="n">
        <v>104577.48</v>
      </c>
      <c r="JI56" s="325" t="n">
        <f aca="false">(JJ56*$H56+JK56*$G56)</f>
        <v>118590.539728267</v>
      </c>
      <c r="JJ56" s="326" t="n">
        <f aca="false">JK56/$F56*JK$7</f>
        <v>118590.539728267</v>
      </c>
      <c r="JK56" s="327" t="n">
        <v>104577.48</v>
      </c>
      <c r="JL56" s="325" t="n">
        <f aca="false">(JM56*$H56+JN56*$G56)</f>
        <v>119836.41124931</v>
      </c>
      <c r="JM56" s="326" t="n">
        <f aca="false">JN56/$F56*JN$7</f>
        <v>119836.41124931</v>
      </c>
      <c r="JN56" s="327" t="n">
        <v>104577.48</v>
      </c>
      <c r="JO56" s="325" t="n">
        <f aca="false">(JP56*$H56+JQ56*$G56)</f>
        <v>117512.809521705</v>
      </c>
      <c r="JP56" s="326" t="n">
        <f aca="false">JQ56/$F56*JQ$7</f>
        <v>117512.809521705</v>
      </c>
      <c r="JQ56" s="327" t="n">
        <v>104577.48</v>
      </c>
      <c r="JR56" s="325" t="n">
        <f aca="false">(JS56*$H56+JT56*$G56)</f>
        <v>116344.804970728</v>
      </c>
      <c r="JS56" s="328" t="n">
        <f aca="false">JT56/$F56*JT$7</f>
        <v>116344.804970728</v>
      </c>
      <c r="JT56" s="327" t="n">
        <v>104577.48</v>
      </c>
      <c r="JU56" s="325" t="n">
        <f aca="false">(JV56*$H56+JW56*$G56)</f>
        <v>116460.321904341</v>
      </c>
      <c r="JV56" s="329" t="n">
        <f aca="false">JW56/$F56*JW$7</f>
        <v>116460.321904341</v>
      </c>
      <c r="JW56" s="327" t="n">
        <v>104577.48</v>
      </c>
      <c r="JX56" s="325" t="n">
        <f aca="false">(JY56*$H56+JZ56*$G56)</f>
        <v>114000.239058875</v>
      </c>
      <c r="JY56" s="329" t="n">
        <f aca="false">JZ56/$F56*JZ$7</f>
        <v>114000.239058875</v>
      </c>
      <c r="JZ56" s="327" t="n">
        <v>104577.48</v>
      </c>
      <c r="KA56" s="325" t="n">
        <f aca="false">(KB56*$H56+KC56*$G56)</f>
        <v>114245.391662432</v>
      </c>
      <c r="KB56" s="329" t="n">
        <f aca="false">KC56/$F56*KC$7</f>
        <v>114245.391662432</v>
      </c>
      <c r="KC56" s="327" t="n">
        <v>104577.48</v>
      </c>
      <c r="KD56" s="325" t="n">
        <f aca="false">(KE56*$H56+KF56*$G56)</f>
        <v>112402.25481056</v>
      </c>
      <c r="KE56" s="329" t="n">
        <f aca="false">KF56/$F56*KF$7</f>
        <v>112402.25481056</v>
      </c>
      <c r="KF56" s="327" t="n">
        <v>104577.48</v>
      </c>
      <c r="KG56" s="325" t="n">
        <f aca="false">(KH56*$H56+KI56*$G56)</f>
        <v>114057.141844692</v>
      </c>
      <c r="KH56" s="329" t="n">
        <f aca="false">KI56/$F56*KI$7</f>
        <v>114057.141844692</v>
      </c>
      <c r="KI56" s="327" t="n">
        <v>104577.48</v>
      </c>
      <c r="KJ56" s="325" t="n">
        <f aca="false">(KK56*$H56+KL56*$G56)</f>
        <v>116734.567661549</v>
      </c>
      <c r="KK56" s="329" t="n">
        <f aca="false">KL56/$F56*KL$7</f>
        <v>116734.567661549</v>
      </c>
      <c r="KL56" s="327" t="n">
        <v>104577.48</v>
      </c>
      <c r="KP56" s="325" t="n">
        <f aca="false">(KQ56*$H56+KR56*$G56)</f>
        <v>121549.912431238</v>
      </c>
      <c r="KQ56" s="329" t="n">
        <f aca="false">KR56/$F56*KR$7</f>
        <v>121549.912431238</v>
      </c>
      <c r="KR56" s="327" t="n">
        <v>104577.48</v>
      </c>
      <c r="KS56" s="325" t="n">
        <f aca="false">(KT56*$H56+KU56*$G56)</f>
        <v>124021.11912957</v>
      </c>
      <c r="KT56" s="329" t="n">
        <f aca="false">KU56/$F56*KU$7</f>
        <v>124021.11912957</v>
      </c>
      <c r="KU56" s="327" t="n">
        <v>104577.48</v>
      </c>
      <c r="KV56" s="325" t="n">
        <f aca="false">(KW56*$H56+KX56*$G56)</f>
        <v>125164.308931846</v>
      </c>
      <c r="KW56" s="329" t="n">
        <f aca="false">KX56/$F56*KX$7</f>
        <v>125164.308931846</v>
      </c>
      <c r="KX56" s="327" t="n">
        <v>104577.48</v>
      </c>
      <c r="KY56" s="325" t="n">
        <f aca="false">(KZ56*$H56+LA56*$G56)</f>
        <v>125164.308931846</v>
      </c>
      <c r="KZ56" s="329" t="n">
        <f aca="false">LA56/$F56*LA$7</f>
        <v>125164.308931846</v>
      </c>
      <c r="LA56" s="327" t="n">
        <v>104577.48</v>
      </c>
      <c r="LB56" s="325" t="n">
        <f aca="false">(LC56*$H56+LD56*$G56)</f>
        <v>125164.308931846</v>
      </c>
      <c r="LC56" s="329" t="n">
        <f aca="false">LD56/$F56*LD$7</f>
        <v>125164.308931846</v>
      </c>
      <c r="LD56" s="327" t="n">
        <v>104577.48</v>
      </c>
      <c r="LE56" s="325" t="n">
        <f aca="false">(LF56*$H56+LG56*$G56)</f>
        <v>125164.308931846</v>
      </c>
      <c r="LF56" s="329" t="n">
        <f aca="false">LG56/$F56*LG$7</f>
        <v>125164.308931846</v>
      </c>
      <c r="LG56" s="327" t="n">
        <v>104577.48</v>
      </c>
      <c r="LH56" s="325" t="n">
        <f aca="false">(LI56*$H56+LJ56*$G56)</f>
        <v>156455.279204684</v>
      </c>
      <c r="LI56" s="329" t="n">
        <f aca="false">LJ56/$F56*LJ$7</f>
        <v>156455.279204684</v>
      </c>
      <c r="LJ56" s="327" t="n">
        <v>104577.48</v>
      </c>
      <c r="LM56" s="327" t="n">
        <v>104577.48</v>
      </c>
      <c r="LP56" s="327" t="n">
        <v>104577.48</v>
      </c>
      <c r="LS56" s="327" t="n">
        <v>104577.48</v>
      </c>
      <c r="LV56" s="327" t="n">
        <v>104577.48</v>
      </c>
      <c r="LY56" s="327" t="n">
        <v>104577.48</v>
      </c>
      <c r="ME56" s="327" t="n">
        <v>104577.48</v>
      </c>
      <c r="MH56" s="327" t="n">
        <v>104577.48</v>
      </c>
      <c r="MK56" s="327" t="n">
        <v>104577.48</v>
      </c>
      <c r="MN56" s="327" t="n">
        <v>104577.48</v>
      </c>
      <c r="MQ56" s="327" t="n">
        <v>104577.48</v>
      </c>
      <c r="MT56" s="327" t="n">
        <v>104577.48</v>
      </c>
      <c r="MW56" s="327" t="n">
        <v>104577.48</v>
      </c>
      <c r="MZ56" s="327" t="n">
        <v>104577.48</v>
      </c>
      <c r="NC56" s="327" t="n">
        <v>104577.48</v>
      </c>
      <c r="NF56" s="327" t="n">
        <v>104577.48</v>
      </c>
      <c r="NI56" s="327" t="n">
        <v>104577.48</v>
      </c>
      <c r="NL56" s="327" t="n">
        <v>104577.48</v>
      </c>
      <c r="NR56" s="327" t="n">
        <v>104577.48</v>
      </c>
      <c r="NU56" s="327" t="n">
        <v>104577.48</v>
      </c>
      <c r="NX56" s="327" t="n">
        <v>104577.48</v>
      </c>
      <c r="OA56" s="327" t="n">
        <v>104577.48</v>
      </c>
      <c r="OD56" s="327" t="n">
        <v>104577.48</v>
      </c>
      <c r="OG56" s="327" t="n">
        <v>104577.48</v>
      </c>
      <c r="OJ56" s="327" t="n">
        <v>104577.48</v>
      </c>
      <c r="OM56" s="327" t="n">
        <v>104577.48</v>
      </c>
      <c r="OP56" s="327" t="n">
        <v>104577.48</v>
      </c>
      <c r="OS56" s="327" t="n">
        <v>104577.48</v>
      </c>
      <c r="OV56" s="327" t="n">
        <v>104577.48</v>
      </c>
      <c r="OY56" s="327" t="n">
        <v>104577.48</v>
      </c>
      <c r="PE56" s="327" t="n">
        <v>104577.48</v>
      </c>
      <c r="PH56" s="327" t="n">
        <v>104577.48</v>
      </c>
      <c r="PK56" s="327" t="n">
        <v>104577.48</v>
      </c>
      <c r="PN56" s="327" t="n">
        <v>104577.48</v>
      </c>
      <c r="PQ56" s="327" t="n">
        <v>104577.48</v>
      </c>
      <c r="PT56" s="327" t="n">
        <v>104577.48</v>
      </c>
      <c r="PW56" s="327"/>
    </row>
    <row r="57" s="329" customFormat="true" ht="15" hidden="false" customHeight="false" outlineLevel="0" collapsed="false">
      <c r="A57" s="28" t="n">
        <v>5.11</v>
      </c>
      <c r="B57" s="342"/>
      <c r="C57" s="343" t="n">
        <v>7256359.32</v>
      </c>
      <c r="D57" s="342"/>
      <c r="E57" s="344"/>
      <c r="F57" s="60" t="n">
        <v>24.4431</v>
      </c>
      <c r="G57" s="345" t="n">
        <v>0</v>
      </c>
      <c r="H57" s="346" t="n">
        <f aca="false">1-G57</f>
        <v>1</v>
      </c>
      <c r="I57" s="346" t="n">
        <f aca="false">J57/F57*26.6509</f>
        <v>1790391.61086883</v>
      </c>
      <c r="J57" s="347" t="n">
        <v>1642072.92</v>
      </c>
      <c r="K57" s="289"/>
      <c r="M57" s="327"/>
      <c r="N57" s="289"/>
      <c r="P57" s="327"/>
      <c r="Q57" s="289"/>
      <c r="S57" s="327"/>
      <c r="V57" s="327"/>
      <c r="W57" s="289"/>
      <c r="Y57" s="327"/>
      <c r="AC57" s="289"/>
      <c r="AE57" s="327"/>
      <c r="AF57" s="289"/>
      <c r="AH57" s="327"/>
      <c r="AI57" s="289"/>
      <c r="AK57" s="327"/>
      <c r="AL57" s="289"/>
      <c r="AN57" s="327"/>
      <c r="AO57" s="289"/>
      <c r="AQ57" s="327"/>
      <c r="AR57" s="289"/>
      <c r="AT57" s="327"/>
      <c r="AU57" s="289"/>
      <c r="AW57" s="327"/>
      <c r="AX57" s="289"/>
      <c r="AZ57" s="327"/>
      <c r="BA57" s="289"/>
      <c r="BC57" s="327"/>
      <c r="BD57" s="289"/>
      <c r="BF57" s="327"/>
      <c r="BG57" s="289"/>
      <c r="BI57" s="327"/>
      <c r="BJ57" s="289"/>
      <c r="BL57" s="327"/>
      <c r="BP57" s="289"/>
      <c r="BR57" s="327"/>
      <c r="BS57" s="289"/>
      <c r="BU57" s="327"/>
      <c r="BV57" s="289"/>
      <c r="BX57" s="327"/>
      <c r="BY57" s="289"/>
      <c r="CA57" s="327"/>
      <c r="CB57" s="289"/>
      <c r="CD57" s="327"/>
      <c r="CE57" s="289"/>
      <c r="CG57" s="327"/>
      <c r="CH57" s="289"/>
      <c r="CJ57" s="327"/>
      <c r="CK57" s="289"/>
      <c r="CM57" s="327"/>
      <c r="CN57" s="289"/>
      <c r="CP57" s="327"/>
      <c r="CQ57" s="289"/>
      <c r="CS57" s="327"/>
      <c r="CV57" s="327"/>
      <c r="CW57" s="289"/>
      <c r="CY57" s="327"/>
      <c r="DC57" s="335"/>
      <c r="DE57" s="327"/>
      <c r="DH57" s="327"/>
      <c r="DK57" s="327"/>
      <c r="DL57" s="289"/>
      <c r="DN57" s="327"/>
      <c r="DQ57" s="327"/>
      <c r="DT57" s="327"/>
      <c r="ED57" s="289"/>
      <c r="EJ57" s="289"/>
      <c r="FN57" s="289"/>
      <c r="FQ57" s="289"/>
      <c r="FT57" s="289"/>
      <c r="FW57" s="289"/>
      <c r="GC57" s="289"/>
      <c r="GK57" s="327"/>
      <c r="GU57" s="289"/>
      <c r="GX57" s="289"/>
      <c r="HA57" s="289"/>
      <c r="HD57" s="289"/>
      <c r="HG57" s="289"/>
      <c r="HJ57" s="289"/>
      <c r="HP57" s="289"/>
      <c r="HS57" s="289"/>
      <c r="HV57" s="289"/>
      <c r="HY57" s="289"/>
      <c r="IB57" s="289"/>
      <c r="IC57" s="348"/>
      <c r="IE57" s="289"/>
      <c r="IF57" s="348"/>
      <c r="IH57" s="289"/>
      <c r="II57" s="348"/>
      <c r="IK57" s="325" t="n">
        <f aca="false">(IL57*$H57+IM57*$G57)</f>
        <v>104569.283562232</v>
      </c>
      <c r="IL57" s="328" t="n">
        <f aca="false">IM57/$F57*IM$7</f>
        <v>104569.283562232</v>
      </c>
      <c r="IM57" s="327" t="n">
        <v>93571.44</v>
      </c>
      <c r="IN57" s="325" t="n">
        <f aca="false">(IO57*$H57+IP57*$G57)</f>
        <v>107961.775109049</v>
      </c>
      <c r="IO57" s="328" t="n">
        <f aca="false">IP57/$F57*IP$7</f>
        <v>107961.775109049</v>
      </c>
      <c r="IP57" s="327" t="n">
        <v>93571.44</v>
      </c>
      <c r="IQ57" s="325" t="n">
        <f aca="false">(IR57*$H57+IS57*$G57)</f>
        <v>108606.815535182</v>
      </c>
      <c r="IR57" s="328" t="n">
        <f aca="false">IS57/$F57*IS$7</f>
        <v>108606.815535182</v>
      </c>
      <c r="IS57" s="327" t="n">
        <v>93571.44</v>
      </c>
      <c r="IT57" s="325" t="n">
        <f aca="false">(IU57*$H57+IV57*$G57)</f>
        <v>108547.862285553</v>
      </c>
      <c r="IU57" s="328" t="n">
        <f aca="false">IV57/$F57*IV$7</f>
        <v>108547.862285553</v>
      </c>
      <c r="IV57" s="327" t="n">
        <v>93571.44</v>
      </c>
      <c r="IW57" s="325" t="n">
        <f aca="false">(IX57*$H57+IY57*$G57)</f>
        <v>107337.406601618</v>
      </c>
      <c r="IX57" s="328" t="n">
        <f aca="false">IY57/$F57*IY$7</f>
        <v>107337.406601618</v>
      </c>
      <c r="IY57" s="327" t="n">
        <v>93571.44</v>
      </c>
      <c r="JC57" s="325" t="n">
        <f aca="false">(JD57*$H57+JE57*$G57)</f>
        <v>107966.75168207</v>
      </c>
      <c r="JD57" s="329" t="n">
        <f aca="false">JE57/$F57*JE$7</f>
        <v>107966.75168207</v>
      </c>
      <c r="JE57" s="327" t="n">
        <v>93571.44</v>
      </c>
      <c r="JF57" s="325" t="n">
        <f aca="false">(JG57*$H57+JH57*$G57)</f>
        <v>106921.288534433</v>
      </c>
      <c r="JG57" s="326" t="n">
        <f aca="false">JH57/$F57*JH$7</f>
        <v>106921.288534433</v>
      </c>
      <c r="JH57" s="327" t="n">
        <v>93571.44</v>
      </c>
      <c r="JI57" s="325" t="n">
        <f aca="false">(JJ57*$H57+JK57*$G57)</f>
        <v>106109.724318765</v>
      </c>
      <c r="JJ57" s="326" t="n">
        <f aca="false">JK57/$F57*JK$7</f>
        <v>106109.724318765</v>
      </c>
      <c r="JK57" s="327" t="n">
        <v>93571.44</v>
      </c>
      <c r="JL57" s="325" t="n">
        <f aca="false">(JM57*$H57+JN57*$G57)</f>
        <v>107224.476675381</v>
      </c>
      <c r="JM57" s="326" t="n">
        <f aca="false">JN57/$F57*JN$7</f>
        <v>107224.476675381</v>
      </c>
      <c r="JN57" s="327" t="n">
        <v>93571.44</v>
      </c>
      <c r="JO57" s="325" t="n">
        <f aca="false">(JP57*$H57+JQ57*$G57)</f>
        <v>105145.417592695</v>
      </c>
      <c r="JP57" s="326" t="n">
        <f aca="false">JQ57/$F57*JQ$7</f>
        <v>105145.417592695</v>
      </c>
      <c r="JQ57" s="327" t="n">
        <v>93571.44</v>
      </c>
      <c r="JR57" s="325" t="n">
        <f aca="false">(JS57*$H57+JT57*$G57)</f>
        <v>104100.337258367</v>
      </c>
      <c r="JS57" s="328" t="n">
        <f aca="false">JT57/$F57*JT$7</f>
        <v>104100.337258367</v>
      </c>
      <c r="JT57" s="327" t="n">
        <v>93571.44</v>
      </c>
      <c r="JU57" s="325" t="n">
        <f aca="false">(JV57*$H57+JW57*$G57)</f>
        <v>104203.696851872</v>
      </c>
      <c r="JV57" s="329" t="n">
        <f aca="false">JW57/$F57*JW$7</f>
        <v>104203.696851872</v>
      </c>
      <c r="JW57" s="327" t="n">
        <v>93571.44</v>
      </c>
      <c r="JX57" s="325" t="n">
        <f aca="false">(JY57*$H57+JZ57*$G57)</f>
        <v>102002.520323527</v>
      </c>
      <c r="JY57" s="329" t="n">
        <f aca="false">JZ57/$F57*JZ$7</f>
        <v>102002.520323527</v>
      </c>
      <c r="JZ57" s="327" t="n">
        <v>93571.44</v>
      </c>
      <c r="KA57" s="325" t="n">
        <f aca="false">(KB57*$H57+KC57*$G57)</f>
        <v>102221.872349743</v>
      </c>
      <c r="KB57" s="329" t="n">
        <f aca="false">KC57/$F57*KC$7</f>
        <v>102221.872349743</v>
      </c>
      <c r="KC57" s="327" t="n">
        <v>93571.44</v>
      </c>
      <c r="KD57" s="325" t="n">
        <f aca="false">(KE57*$H57+KF57*$G57)</f>
        <v>100572.712613376</v>
      </c>
      <c r="KE57" s="329" t="n">
        <f aca="false">KF57/$F57*KF$7</f>
        <v>100572.712613376</v>
      </c>
      <c r="KF57" s="327" t="n">
        <v>93571.44</v>
      </c>
      <c r="KG57" s="325" t="n">
        <f aca="false">(KH57*$H57+KI57*$G57)</f>
        <v>102053.434493661</v>
      </c>
      <c r="KH57" s="329" t="n">
        <f aca="false">KI57/$F57*KI$7</f>
        <v>102053.434493661</v>
      </c>
      <c r="KI57" s="327" t="n">
        <v>93571.44</v>
      </c>
      <c r="KJ57" s="325" t="n">
        <f aca="false">(KK57*$H57+KL57*$G57)</f>
        <v>104449.080183119</v>
      </c>
      <c r="KK57" s="329" t="n">
        <f aca="false">KL57/$F57*KL$7</f>
        <v>104449.080183119</v>
      </c>
      <c r="KL57" s="327" t="n">
        <v>93571.44</v>
      </c>
      <c r="KP57" s="325" t="n">
        <f aca="false">(KQ57*$H57+KR57*$G57)</f>
        <v>108757.643979037</v>
      </c>
      <c r="KQ57" s="329" t="n">
        <f aca="false">KR57/$F57*KR$7</f>
        <v>108757.643979037</v>
      </c>
      <c r="KR57" s="327" t="n">
        <v>93571.44</v>
      </c>
      <c r="KS57" s="325" t="n">
        <f aca="false">(KT57*$H57+KU57*$G57)</f>
        <v>110968.773653424</v>
      </c>
      <c r="KT57" s="329" t="n">
        <f aca="false">KU57/$F57*KU$7</f>
        <v>110968.773653424</v>
      </c>
      <c r="KU57" s="327" t="n">
        <v>93571.44</v>
      </c>
      <c r="KV57" s="325" t="n">
        <f aca="false">(KW57*$H57+KX57*$G57)</f>
        <v>111991.650815813</v>
      </c>
      <c r="KW57" s="329" t="n">
        <f aca="false">KX57/$F57*KX$7</f>
        <v>111991.650815813</v>
      </c>
      <c r="KX57" s="327" t="n">
        <v>93571.44</v>
      </c>
      <c r="KY57" s="325" t="n">
        <f aca="false">(KZ57*$H57+LA57*$G57)</f>
        <v>111991.650815813</v>
      </c>
      <c r="KZ57" s="329" t="n">
        <f aca="false">LA57/$F57*LA$7</f>
        <v>111991.650815813</v>
      </c>
      <c r="LA57" s="327" t="n">
        <v>93571.44</v>
      </c>
      <c r="LB57" s="325" t="n">
        <f aca="false">(LC57*$H57+LD57*$G57)</f>
        <v>111991.650815813</v>
      </c>
      <c r="LC57" s="329" t="n">
        <f aca="false">LD57/$F57*LD$7</f>
        <v>111991.650815813</v>
      </c>
      <c r="LD57" s="327" t="n">
        <v>93571.44</v>
      </c>
      <c r="LE57" s="325" t="n">
        <f aca="false">(LF57*$H57+LG57*$G57)</f>
        <v>111991.650815813</v>
      </c>
      <c r="LF57" s="329" t="n">
        <f aca="false">LG57/$F57*LG$7</f>
        <v>111991.650815813</v>
      </c>
      <c r="LG57" s="327" t="n">
        <v>93571.44</v>
      </c>
      <c r="LH57" s="325" t="n">
        <f aca="false">(LI57*$H57+LJ57*$G57)</f>
        <v>139989.467816439</v>
      </c>
      <c r="LI57" s="329" t="n">
        <f aca="false">LJ57/$F57*LJ$7</f>
        <v>139989.467816439</v>
      </c>
      <c r="LJ57" s="327" t="n">
        <v>93571.44</v>
      </c>
      <c r="LM57" s="327" t="n">
        <v>93571.44</v>
      </c>
      <c r="LP57" s="327" t="n">
        <v>93571.44</v>
      </c>
      <c r="LS57" s="327" t="n">
        <v>93571.44</v>
      </c>
      <c r="LV57" s="327" t="n">
        <v>93571.44</v>
      </c>
      <c r="LY57" s="327" t="n">
        <v>93571.44</v>
      </c>
      <c r="ME57" s="327" t="n">
        <v>93571.44</v>
      </c>
      <c r="MH57" s="327" t="n">
        <v>93571.44</v>
      </c>
      <c r="MK57" s="327" t="n">
        <v>93571.44</v>
      </c>
      <c r="MN57" s="327" t="n">
        <v>93571.44</v>
      </c>
      <c r="MQ57" s="327" t="n">
        <v>93571.44</v>
      </c>
      <c r="MT57" s="327" t="n">
        <v>93571.44</v>
      </c>
      <c r="MW57" s="327" t="n">
        <v>93571.44</v>
      </c>
      <c r="MZ57" s="327" t="n">
        <v>93571.44</v>
      </c>
      <c r="NC57" s="327" t="n">
        <v>93571.44</v>
      </c>
      <c r="NF57" s="327" t="n">
        <v>93571.44</v>
      </c>
      <c r="NI57" s="327" t="n">
        <v>93571.44</v>
      </c>
      <c r="NL57" s="327" t="n">
        <v>93571.44</v>
      </c>
      <c r="NR57" s="327" t="n">
        <v>93571.44</v>
      </c>
      <c r="NU57" s="327" t="n">
        <v>93571.44</v>
      </c>
      <c r="NX57" s="327" t="n">
        <v>93571.44</v>
      </c>
      <c r="OA57" s="327" t="n">
        <v>93571.44</v>
      </c>
      <c r="OD57" s="327" t="n">
        <v>93571.44</v>
      </c>
      <c r="OG57" s="327" t="n">
        <v>93571.44</v>
      </c>
      <c r="OJ57" s="327" t="n">
        <v>93571.44</v>
      </c>
      <c r="OM57" s="327" t="n">
        <v>93571.44</v>
      </c>
      <c r="OP57" s="327" t="n">
        <v>93571.44</v>
      </c>
      <c r="OS57" s="327" t="n">
        <v>93571.44</v>
      </c>
      <c r="OV57" s="327" t="n">
        <v>93571.44</v>
      </c>
      <c r="OY57" s="327" t="n">
        <v>93571.44</v>
      </c>
      <c r="PE57" s="327" t="n">
        <v>93571.44</v>
      </c>
      <c r="PH57" s="327" t="n">
        <v>93571.44</v>
      </c>
      <c r="PK57" s="327" t="n">
        <v>93571.44</v>
      </c>
      <c r="PN57" s="327" t="n">
        <v>93571.44</v>
      </c>
      <c r="PQ57" s="327" t="n">
        <v>93571.44</v>
      </c>
      <c r="PT57" s="327" t="n">
        <v>93571.44</v>
      </c>
      <c r="PW57" s="327" t="n">
        <v>93571.44</v>
      </c>
    </row>
    <row r="58" s="329" customFormat="true" ht="15" hidden="false" customHeight="false" outlineLevel="0" collapsed="false">
      <c r="A58" s="28" t="n">
        <v>5.12</v>
      </c>
      <c r="B58" s="342"/>
      <c r="C58" s="343" t="n">
        <v>1144983.05</v>
      </c>
      <c r="D58" s="342"/>
      <c r="E58" s="344"/>
      <c r="F58" s="60" t="n">
        <v>24.4431</v>
      </c>
      <c r="G58" s="345" t="n">
        <v>0</v>
      </c>
      <c r="H58" s="346" t="n">
        <f aca="false">1-G58</f>
        <v>1</v>
      </c>
      <c r="I58" s="346" t="n">
        <f aca="false">J58/F58*26.6922</f>
        <v>261344.922246769</v>
      </c>
      <c r="J58" s="347" t="n">
        <v>239323.85</v>
      </c>
      <c r="K58" s="289"/>
      <c r="M58" s="327"/>
      <c r="N58" s="289"/>
      <c r="P58" s="327"/>
      <c r="Q58" s="289"/>
      <c r="S58" s="327"/>
      <c r="V58" s="327"/>
      <c r="W58" s="289"/>
      <c r="Y58" s="327"/>
      <c r="AC58" s="289"/>
      <c r="AE58" s="327"/>
      <c r="AF58" s="289"/>
      <c r="AH58" s="327"/>
      <c r="AI58" s="289"/>
      <c r="AK58" s="327"/>
      <c r="AL58" s="289"/>
      <c r="AN58" s="327"/>
      <c r="AO58" s="289"/>
      <c r="AQ58" s="327"/>
      <c r="AR58" s="289"/>
      <c r="AT58" s="327"/>
      <c r="AU58" s="289"/>
      <c r="AW58" s="327"/>
      <c r="AX58" s="289"/>
      <c r="AZ58" s="327"/>
      <c r="BA58" s="289"/>
      <c r="BC58" s="327"/>
      <c r="BD58" s="289"/>
      <c r="BF58" s="327"/>
      <c r="BG58" s="289"/>
      <c r="BI58" s="327"/>
      <c r="BJ58" s="289"/>
      <c r="BL58" s="327"/>
      <c r="BP58" s="289"/>
      <c r="BR58" s="327"/>
      <c r="BS58" s="289"/>
      <c r="BU58" s="327"/>
      <c r="BV58" s="289"/>
      <c r="BX58" s="327"/>
      <c r="BY58" s="289"/>
      <c r="CA58" s="327"/>
      <c r="CB58" s="289"/>
      <c r="CD58" s="327"/>
      <c r="CE58" s="289"/>
      <c r="CG58" s="327"/>
      <c r="CH58" s="289"/>
      <c r="CJ58" s="327"/>
      <c r="CK58" s="289"/>
      <c r="CM58" s="327"/>
      <c r="CN58" s="289"/>
      <c r="CP58" s="327"/>
      <c r="CQ58" s="289"/>
      <c r="CS58" s="327"/>
      <c r="CV58" s="327"/>
      <c r="CW58" s="289"/>
      <c r="CY58" s="327"/>
      <c r="DC58" s="335"/>
      <c r="DE58" s="327"/>
      <c r="DH58" s="327"/>
      <c r="DK58" s="327"/>
      <c r="DL58" s="289"/>
      <c r="DN58" s="327"/>
      <c r="DQ58" s="327"/>
      <c r="DT58" s="327"/>
      <c r="ED58" s="289"/>
      <c r="EJ58" s="289"/>
      <c r="FN58" s="289"/>
      <c r="FQ58" s="289"/>
      <c r="FT58" s="289"/>
      <c r="FW58" s="289"/>
      <c r="GC58" s="289"/>
      <c r="GK58" s="327"/>
      <c r="GU58" s="289"/>
      <c r="GX58" s="289"/>
      <c r="HA58" s="289"/>
      <c r="HD58" s="289"/>
      <c r="HG58" s="289"/>
      <c r="HJ58" s="289"/>
      <c r="HP58" s="289"/>
      <c r="HS58" s="289"/>
      <c r="HV58" s="289"/>
      <c r="HY58" s="289"/>
      <c r="IB58" s="289"/>
      <c r="IE58" s="289"/>
      <c r="IH58" s="289"/>
      <c r="IK58" s="325" t="n">
        <f aca="false">(IL58*$H58+IM58*$G58)</f>
        <v>16868.4186997558</v>
      </c>
      <c r="IL58" s="328" t="n">
        <f aca="false">IM58/$F58*IM$7</f>
        <v>16868.4186997558</v>
      </c>
      <c r="IM58" s="327" t="n">
        <v>15094.32</v>
      </c>
      <c r="IN58" s="325" t="n">
        <f aca="false">(IO58*$H58+IP58*$G58)</f>
        <v>17415.6727871669</v>
      </c>
      <c r="IO58" s="328" t="n">
        <f aca="false">IP58/$F58*IP$7</f>
        <v>17415.6727871669</v>
      </c>
      <c r="IP58" s="327" t="n">
        <v>15094.32</v>
      </c>
      <c r="IQ58" s="325" t="n">
        <f aca="false">(IR58*$H58+IS58*$G58)</f>
        <v>17519.7264022976</v>
      </c>
      <c r="IR58" s="328" t="n">
        <f aca="false">IS58/$F58*IS$7</f>
        <v>17519.7264022976</v>
      </c>
      <c r="IS58" s="327" t="n">
        <v>15094.32</v>
      </c>
      <c r="IT58" s="325" t="n">
        <f aca="false">(IU58*$H58+IV58*$G58)</f>
        <v>17510.2164576506</v>
      </c>
      <c r="IU58" s="328" t="n">
        <f aca="false">IV58/$F58*IV$7</f>
        <v>17510.2164576506</v>
      </c>
      <c r="IV58" s="327" t="n">
        <v>15094.32</v>
      </c>
      <c r="IW58" s="325" t="n">
        <f aca="false">(IX58*$H58+IY58*$G58)</f>
        <v>17314.9538279514</v>
      </c>
      <c r="IX58" s="328" t="n">
        <f aca="false">IY58/$F58*IY$7</f>
        <v>17314.9538279514</v>
      </c>
      <c r="IY58" s="327" t="n">
        <v>15094.32</v>
      </c>
      <c r="JC58" s="325" t="n">
        <f aca="false">(JD58*$H58+JE58*$G58)</f>
        <v>17416.4755747021</v>
      </c>
      <c r="JD58" s="329" t="n">
        <f aca="false">JE58/$F58*JE$7</f>
        <v>17416.4755747021</v>
      </c>
      <c r="JE58" s="327" t="n">
        <v>15094.32</v>
      </c>
      <c r="JF58" s="325" t="n">
        <f aca="false">(JG58*$H58+JH58*$G58)</f>
        <v>17247.8284394369</v>
      </c>
      <c r="JG58" s="326" t="n">
        <f aca="false">JH58/$F58*JH$7</f>
        <v>17247.8284394369</v>
      </c>
      <c r="JH58" s="327" t="n">
        <v>15094.32</v>
      </c>
      <c r="JI58" s="325" t="n">
        <f aca="false">(JJ58*$H58+JK58*$G58)</f>
        <v>17116.912318323</v>
      </c>
      <c r="JJ58" s="326" t="n">
        <f aca="false">JK58/$F58*JK$7</f>
        <v>17116.912318323</v>
      </c>
      <c r="JK58" s="327" t="n">
        <v>15094.32</v>
      </c>
      <c r="JL58" s="325" t="n">
        <f aca="false">(JM58*$H58+JN58*$G58)</f>
        <v>17296.7367261927</v>
      </c>
      <c r="JM58" s="326" t="n">
        <f aca="false">JN58/$F58*JN$7</f>
        <v>17296.7367261927</v>
      </c>
      <c r="JN58" s="327" t="n">
        <v>15094.32</v>
      </c>
      <c r="JO58" s="325" t="n">
        <f aca="false">(JP58*$H58+JQ58*$G58)</f>
        <v>16961.3567951692</v>
      </c>
      <c r="JP58" s="326" t="n">
        <f aca="false">JQ58/$F58*JQ$7</f>
        <v>16961.3567951692</v>
      </c>
      <c r="JQ58" s="327" t="n">
        <v>15094.32</v>
      </c>
      <c r="JR58" s="325" t="n">
        <f aca="false">(JS58*$H58+JT58*$G58)</f>
        <v>16792.7714127913</v>
      </c>
      <c r="JS58" s="328" t="n">
        <f aca="false">JT58/$F58*JT$7</f>
        <v>16792.7714127913</v>
      </c>
      <c r="JT58" s="327" t="n">
        <v>15094.32</v>
      </c>
      <c r="JU58" s="325" t="n">
        <f aca="false">(JV58*$H58+JW58*$G58)</f>
        <v>16809.4446923672</v>
      </c>
      <c r="JV58" s="329" t="n">
        <f aca="false">JW58/$F58*JW$7</f>
        <v>16809.4446923672</v>
      </c>
      <c r="JW58" s="327" t="n">
        <v>15094.32</v>
      </c>
      <c r="JX58" s="325" t="n">
        <f aca="false">(JY58*$H58+JZ58*$G58)</f>
        <v>16454.3655902893</v>
      </c>
      <c r="JY58" s="329" t="n">
        <f aca="false">JZ58/$F58*JZ$7</f>
        <v>16454.3655902893</v>
      </c>
      <c r="JZ58" s="327" t="n">
        <v>15094.32</v>
      </c>
      <c r="KA58" s="325" t="n">
        <f aca="false">(KB58*$H58+KC58*$G58)</f>
        <v>16489.7499947224</v>
      </c>
      <c r="KB58" s="329" t="n">
        <f aca="false">KC58/$F58*KC$7</f>
        <v>16489.7499947224</v>
      </c>
      <c r="KC58" s="327" t="n">
        <v>15094.32</v>
      </c>
      <c r="KD58" s="325" t="n">
        <f aca="false">(KE58*$H58+KF58*$G58)</f>
        <v>16223.718556157</v>
      </c>
      <c r="KE58" s="329" t="n">
        <f aca="false">KF58/$F58*KF$7</f>
        <v>16223.718556157</v>
      </c>
      <c r="KF58" s="327" t="n">
        <v>15094.32</v>
      </c>
      <c r="KG58" s="325" t="n">
        <f aca="false">(KH58*$H58+KI58*$G58)</f>
        <v>16462.5787243026</v>
      </c>
      <c r="KH58" s="329" t="n">
        <f aca="false">KI58/$F58*KI$7</f>
        <v>16462.5787243026</v>
      </c>
      <c r="KI58" s="327" t="n">
        <v>15094.32</v>
      </c>
      <c r="KJ58" s="325" t="n">
        <f aca="false">(KK58*$H58+KL58*$G58)</f>
        <v>16849.0282931379</v>
      </c>
      <c r="KK58" s="329" t="n">
        <f aca="false">KL58/$F58*KL$7</f>
        <v>16849.0282931379</v>
      </c>
      <c r="KL58" s="327" t="n">
        <v>15094.32</v>
      </c>
      <c r="KP58" s="325" t="n">
        <f aca="false">(KQ58*$H58+KR58*$G58)</f>
        <v>17544.0570399008</v>
      </c>
      <c r="KQ58" s="329" t="n">
        <f aca="false">KR58/$F58*KR$7</f>
        <v>17544.0570399008</v>
      </c>
      <c r="KR58" s="327" t="n">
        <v>15094.32</v>
      </c>
      <c r="KS58" s="325" t="n">
        <f aca="false">(KT58*$H58+KU58*$G58)</f>
        <v>17900.741717049</v>
      </c>
      <c r="KT58" s="329" t="n">
        <f aca="false">KU58/$F58*KU$7</f>
        <v>17900.741717049</v>
      </c>
      <c r="KU58" s="327" t="n">
        <v>15094.32</v>
      </c>
      <c r="KV58" s="325" t="n">
        <f aca="false">(KW58*$H58+KX58*$G58)</f>
        <v>18065.7454319624</v>
      </c>
      <c r="KW58" s="329" t="n">
        <f aca="false">KX58/$F58*KX$7</f>
        <v>18065.7454319624</v>
      </c>
      <c r="KX58" s="327" t="n">
        <v>15094.32</v>
      </c>
      <c r="KY58" s="325" t="n">
        <f aca="false">(KZ58*$H58+LA58*$G58)</f>
        <v>18065.7454319624</v>
      </c>
      <c r="KZ58" s="329" t="n">
        <f aca="false">LA58/$F58*LA$7</f>
        <v>18065.7454319624</v>
      </c>
      <c r="LA58" s="327" t="n">
        <v>15094.32</v>
      </c>
      <c r="LB58" s="325" t="n">
        <f aca="false">(LC58*$H58+LD58*$G58)</f>
        <v>18065.7454319624</v>
      </c>
      <c r="LC58" s="329" t="n">
        <f aca="false">LD58/$F58*LD$7</f>
        <v>18065.7454319624</v>
      </c>
      <c r="LD58" s="327" t="n">
        <v>15094.32</v>
      </c>
      <c r="LE58" s="325" t="n">
        <f aca="false">(LF58*$H58+LG58*$G58)</f>
        <v>18065.7454319624</v>
      </c>
      <c r="LF58" s="329" t="n">
        <f aca="false">LG58/$F58*LG$7</f>
        <v>18065.7454319624</v>
      </c>
      <c r="LG58" s="327" t="n">
        <v>15094.32</v>
      </c>
      <c r="LH58" s="325" t="n">
        <f aca="false">(LI58*$H58+LJ58*$G58)</f>
        <v>22582.1663517312</v>
      </c>
      <c r="LI58" s="329" t="n">
        <f aca="false">LJ58/$F58*LJ$7</f>
        <v>22582.1663517312</v>
      </c>
      <c r="LJ58" s="327" t="n">
        <v>15094.32</v>
      </c>
      <c r="LM58" s="327" t="n">
        <v>15094.32</v>
      </c>
      <c r="LP58" s="327" t="n">
        <v>15094.32</v>
      </c>
      <c r="LS58" s="327" t="n">
        <v>15094.32</v>
      </c>
      <c r="LV58" s="327" t="n">
        <v>15094.32</v>
      </c>
      <c r="LY58" s="327" t="n">
        <v>15094.32</v>
      </c>
      <c r="ME58" s="327" t="n">
        <v>15094.32</v>
      </c>
      <c r="MH58" s="327" t="n">
        <v>15094.32</v>
      </c>
      <c r="MK58" s="327" t="n">
        <v>15094.32</v>
      </c>
      <c r="MN58" s="327" t="n">
        <v>15094.32</v>
      </c>
      <c r="MQ58" s="327" t="n">
        <v>15094.32</v>
      </c>
      <c r="MT58" s="327" t="n">
        <v>15094.32</v>
      </c>
      <c r="MW58" s="327" t="n">
        <v>15094.32</v>
      </c>
      <c r="MZ58" s="327" t="n">
        <v>15094.32</v>
      </c>
      <c r="NC58" s="327" t="n">
        <v>15094.32</v>
      </c>
      <c r="NF58" s="327" t="n">
        <v>15094.32</v>
      </c>
      <c r="NI58" s="327" t="n">
        <v>15094.32</v>
      </c>
      <c r="NL58" s="327" t="n">
        <v>15094.32</v>
      </c>
      <c r="NR58" s="327" t="n">
        <v>15094.32</v>
      </c>
      <c r="NU58" s="327" t="n">
        <v>15094.32</v>
      </c>
      <c r="NX58" s="327" t="n">
        <v>15094.32</v>
      </c>
      <c r="OA58" s="327" t="n">
        <v>15094.32</v>
      </c>
      <c r="OD58" s="327" t="n">
        <v>15094.32</v>
      </c>
      <c r="OG58" s="327" t="n">
        <v>15094.32</v>
      </c>
      <c r="OJ58" s="327" t="n">
        <v>15094.32</v>
      </c>
      <c r="OM58" s="327" t="n">
        <v>15094.32</v>
      </c>
      <c r="OP58" s="327" t="n">
        <v>15094.32</v>
      </c>
      <c r="OS58" s="327" t="n">
        <v>15094.32</v>
      </c>
      <c r="OV58" s="327" t="n">
        <v>15094.32</v>
      </c>
      <c r="OY58" s="327" t="n">
        <v>15094.32</v>
      </c>
      <c r="PE58" s="327" t="n">
        <v>15094.32</v>
      </c>
      <c r="PH58" s="327" t="n">
        <v>15094.32</v>
      </c>
      <c r="PK58" s="327" t="n">
        <v>15094.32</v>
      </c>
      <c r="PN58" s="327" t="n">
        <v>15094.32</v>
      </c>
      <c r="PQ58" s="327" t="n">
        <v>15094.32</v>
      </c>
      <c r="PT58" s="327" t="n">
        <v>15094.32</v>
      </c>
      <c r="PW58" s="327" t="n">
        <v>15094.32</v>
      </c>
    </row>
    <row r="59" s="329" customFormat="true" ht="15" hidden="false" customHeight="false" outlineLevel="0" collapsed="false">
      <c r="A59" s="28" t="n">
        <v>5.13</v>
      </c>
      <c r="B59" s="342"/>
      <c r="C59" s="343" t="n">
        <v>4387795.18</v>
      </c>
      <c r="D59" s="342"/>
      <c r="E59" s="344"/>
      <c r="F59" s="60" t="n">
        <v>26.7633</v>
      </c>
      <c r="G59" s="345" t="n">
        <v>0</v>
      </c>
      <c r="H59" s="346" t="n">
        <f aca="false">1-G59</f>
        <v>1</v>
      </c>
      <c r="I59" s="349" t="n">
        <f aca="false">J59/F59*27.7365</f>
        <v>950494.026886819</v>
      </c>
      <c r="J59" s="347" t="n">
        <v>917143.72</v>
      </c>
      <c r="K59" s="289"/>
      <c r="M59" s="327"/>
      <c r="N59" s="289"/>
      <c r="P59" s="327"/>
      <c r="Q59" s="289"/>
      <c r="S59" s="327"/>
      <c r="V59" s="327"/>
      <c r="W59" s="289"/>
      <c r="Y59" s="327"/>
      <c r="AC59" s="289"/>
      <c r="AE59" s="327"/>
      <c r="AF59" s="289"/>
      <c r="AH59" s="327"/>
      <c r="AI59" s="289"/>
      <c r="AK59" s="327"/>
      <c r="AL59" s="289"/>
      <c r="AN59" s="327"/>
      <c r="AO59" s="289"/>
      <c r="AQ59" s="327"/>
      <c r="AR59" s="289"/>
      <c r="AT59" s="327"/>
      <c r="AU59" s="289"/>
      <c r="AW59" s="327"/>
      <c r="AX59" s="289"/>
      <c r="AZ59" s="327"/>
      <c r="BA59" s="289"/>
      <c r="BC59" s="327"/>
      <c r="BD59" s="289"/>
      <c r="BF59" s="327"/>
      <c r="BG59" s="289"/>
      <c r="BI59" s="327"/>
      <c r="BJ59" s="289"/>
      <c r="BL59" s="327"/>
      <c r="BP59" s="289"/>
      <c r="BR59" s="327"/>
      <c r="BS59" s="289"/>
      <c r="BU59" s="327"/>
      <c r="BV59" s="289"/>
      <c r="BX59" s="327"/>
      <c r="BY59" s="289"/>
      <c r="CA59" s="327"/>
      <c r="CB59" s="289"/>
      <c r="CD59" s="327"/>
      <c r="CE59" s="289"/>
      <c r="CG59" s="327"/>
      <c r="CH59" s="289"/>
      <c r="CJ59" s="327"/>
      <c r="CK59" s="289"/>
      <c r="CM59" s="327"/>
      <c r="CN59" s="289"/>
      <c r="CP59" s="327"/>
      <c r="CQ59" s="289"/>
      <c r="CS59" s="327"/>
      <c r="CV59" s="327"/>
      <c r="CW59" s="289"/>
      <c r="CY59" s="327"/>
      <c r="DC59" s="335"/>
      <c r="DE59" s="327"/>
      <c r="DH59" s="327"/>
      <c r="DK59" s="327"/>
      <c r="DL59" s="289"/>
      <c r="DN59" s="327"/>
      <c r="DQ59" s="327"/>
      <c r="DT59" s="327"/>
      <c r="ED59" s="289"/>
      <c r="EJ59" s="289"/>
      <c r="FN59" s="289"/>
      <c r="FQ59" s="289"/>
      <c r="FT59" s="289"/>
      <c r="FW59" s="289"/>
      <c r="GC59" s="289"/>
      <c r="GK59" s="327"/>
      <c r="GU59" s="289"/>
      <c r="GX59" s="289"/>
      <c r="HA59" s="289"/>
      <c r="HD59" s="289"/>
      <c r="HG59" s="289"/>
      <c r="HJ59" s="289"/>
      <c r="HP59" s="289"/>
      <c r="HS59" s="289"/>
      <c r="HV59" s="289"/>
      <c r="HY59" s="289"/>
      <c r="IB59" s="289"/>
      <c r="IE59" s="289"/>
      <c r="IH59" s="289"/>
      <c r="IK59" s="289"/>
      <c r="IM59" s="327"/>
      <c r="IN59" s="325" t="n">
        <f aca="false">(IO59*$H59+IP59*$G59)</f>
        <v>60954.1311138761</v>
      </c>
      <c r="IO59" s="328" t="n">
        <f aca="false">IP59/$F59*IP$7</f>
        <v>60954.1311138761</v>
      </c>
      <c r="IP59" s="338" t="n">
        <v>57844.2</v>
      </c>
      <c r="IQ59" s="325" t="n">
        <f aca="false">(IR59*$H59+IS59*$G59)</f>
        <v>61318.3144432861</v>
      </c>
      <c r="IR59" s="328" t="n">
        <f aca="false">IS59/$F59*IS$7</f>
        <v>61318.3144432861</v>
      </c>
      <c r="IS59" s="338" t="n">
        <v>57844.2</v>
      </c>
      <c r="IT59" s="325" t="n">
        <f aca="false">(IU59*$H59+IV59*$G59)</f>
        <v>61285.0300321709</v>
      </c>
      <c r="IU59" s="328" t="n">
        <f aca="false">IV59/$F59*IV$7</f>
        <v>61285.0300321709</v>
      </c>
      <c r="IV59" s="338" t="n">
        <v>57844.2</v>
      </c>
      <c r="IW59" s="325" t="n">
        <f aca="false">(IX59*$H59+IY59*$G59)</f>
        <v>60601.6189416103</v>
      </c>
      <c r="IX59" s="328" t="n">
        <f aca="false">IY59/$F59*IY$7</f>
        <v>60601.6189416103</v>
      </c>
      <c r="IY59" s="338" t="n">
        <v>57844.2</v>
      </c>
      <c r="JC59" s="325" t="n">
        <f aca="false">(JD59*$H59+JE59*$G59)</f>
        <v>60956.9408368923</v>
      </c>
      <c r="JD59" s="329" t="n">
        <f aca="false">JE59/$F59*JE$7</f>
        <v>60956.9408368923</v>
      </c>
      <c r="JE59" s="338" t="n">
        <v>57844.2</v>
      </c>
      <c r="JF59" s="325" t="n">
        <f aca="false">(JG59*$H59+JH59*$G59)</f>
        <v>60366.6828709464</v>
      </c>
      <c r="JG59" s="326" t="n">
        <f aca="false">JH59/$F59*JH$7</f>
        <v>60366.6828709464</v>
      </c>
      <c r="JH59" s="338" t="n">
        <v>57844.2</v>
      </c>
      <c r="JI59" s="325" t="n">
        <f aca="false">(JJ59*$H59+JK59*$G59)</f>
        <v>59908.4818867628</v>
      </c>
      <c r="JJ59" s="326" t="n">
        <f aca="false">JK59/$F59*JK$7</f>
        <v>59908.4818867628</v>
      </c>
      <c r="JK59" s="338" t="n">
        <v>57844.2</v>
      </c>
      <c r="JL59" s="325" t="n">
        <f aca="false">(JM59*$H59+JN59*$G59)</f>
        <v>60537.8598423961</v>
      </c>
      <c r="JM59" s="326" t="n">
        <f aca="false">JN59/$F59*JN$7</f>
        <v>60537.8598423961</v>
      </c>
      <c r="JN59" s="338" t="n">
        <v>57844.2</v>
      </c>
      <c r="JO59" s="325" t="n">
        <f aca="false">(JP59*$H59+JQ59*$G59)</f>
        <v>59364.0440192353</v>
      </c>
      <c r="JP59" s="326" t="n">
        <f aca="false">JQ59/$F59*JQ$7</f>
        <v>59364.0440192353</v>
      </c>
      <c r="JQ59" s="338" t="n">
        <v>57844.2</v>
      </c>
      <c r="JR59" s="325" t="n">
        <f aca="false">(JS59*$H59+JT59*$G59)</f>
        <v>58774.0021858291</v>
      </c>
      <c r="JS59" s="328" t="n">
        <f aca="false">JT59/$F59*JT$7</f>
        <v>58774.0021858291</v>
      </c>
      <c r="JT59" s="338" t="n">
        <v>57844.2</v>
      </c>
      <c r="JU59" s="325" t="n">
        <f aca="false">(JV59*$H59+JW59*$G59)</f>
        <v>58832.3579715506</v>
      </c>
      <c r="JV59" s="329" t="n">
        <f aca="false">JW59/$F59*JW$7</f>
        <v>58832.3579715506</v>
      </c>
      <c r="JW59" s="338" t="n">
        <v>57844.2</v>
      </c>
      <c r="JX59" s="325" t="n">
        <f aca="false">(JY59*$H59+JZ59*$G59)</f>
        <v>57589.5958682225</v>
      </c>
      <c r="JY59" s="329" t="n">
        <f aca="false">JZ59/$F59*JZ$7</f>
        <v>57589.5958682225</v>
      </c>
      <c r="JZ59" s="338" t="n">
        <v>57844.2</v>
      </c>
      <c r="KA59" s="325" t="n">
        <f aca="false">(KB59*$H59+KC59*$G59)</f>
        <v>57713.4398134759</v>
      </c>
      <c r="KB59" s="329" t="n">
        <f aca="false">KC59/$F59*KC$7</f>
        <v>57713.4398134759</v>
      </c>
      <c r="KC59" s="338" t="n">
        <v>57844.2</v>
      </c>
      <c r="KD59" s="325" t="n">
        <f aca="false">(KE59*$H59+KF59*$G59)</f>
        <v>56782.3408324086</v>
      </c>
      <c r="KE59" s="329" t="n">
        <f aca="false">KF59/$F59*KF$7</f>
        <v>56782.3408324086</v>
      </c>
      <c r="KF59" s="338" t="n">
        <v>57844.2</v>
      </c>
      <c r="KG59" s="325" t="n">
        <f aca="false">(KH59*$H59+KI59*$G59)</f>
        <v>57618.3414960038</v>
      </c>
      <c r="KH59" s="329" t="n">
        <f aca="false">KI59/$F59*KI$7</f>
        <v>57618.3414960038</v>
      </c>
      <c r="KI59" s="338" t="n">
        <v>57844.2</v>
      </c>
      <c r="KJ59" s="325" t="n">
        <f aca="false">(KK59*$H59+KL59*$G59)</f>
        <v>58970.8989295042</v>
      </c>
      <c r="KK59" s="329" t="n">
        <f aca="false">KL59/$F59*KL$7</f>
        <v>58970.8989295042</v>
      </c>
      <c r="KL59" s="338" t="n">
        <v>57844.2</v>
      </c>
      <c r="KP59" s="325" t="n">
        <f aca="false">(KQ59*$H59+KR59*$G59)</f>
        <v>61403.4706639316</v>
      </c>
      <c r="KQ59" s="329" t="n">
        <f aca="false">KR59/$F59*KR$7</f>
        <v>61403.4706639316</v>
      </c>
      <c r="KR59" s="338" t="n">
        <v>57844.2</v>
      </c>
      <c r="KS59" s="325" t="n">
        <f aca="false">(KT59*$H59+KU59*$G59)</f>
        <v>62651.8522132921</v>
      </c>
      <c r="KT59" s="329" t="n">
        <f aca="false">KU59/$F59*KU$7</f>
        <v>62651.8522132921</v>
      </c>
      <c r="KU59" s="338" t="n">
        <v>57844.2</v>
      </c>
      <c r="KV59" s="325" t="n">
        <f aca="false">(KW59*$H59+KX59*$G59)</f>
        <v>63229.3583593951</v>
      </c>
      <c r="KW59" s="329" t="n">
        <f aca="false">KX59/$F59*KX$7</f>
        <v>63229.3583593951</v>
      </c>
      <c r="KX59" s="338" t="n">
        <v>57844.2</v>
      </c>
      <c r="KY59" s="325" t="n">
        <f aca="false">(KZ59*$H59+LA59*$G59)</f>
        <v>63229.3583593951</v>
      </c>
      <c r="KZ59" s="329" t="n">
        <f aca="false">LA59/$F59*LA$7</f>
        <v>63229.3583593951</v>
      </c>
      <c r="LA59" s="338" t="n">
        <v>57844.2</v>
      </c>
      <c r="LB59" s="325" t="n">
        <f aca="false">(LC59*$H59+LD59*$G59)</f>
        <v>63229.3583593951</v>
      </c>
      <c r="LC59" s="329" t="n">
        <f aca="false">LD59/$F59*LD$7</f>
        <v>63229.3583593951</v>
      </c>
      <c r="LD59" s="338" t="n">
        <v>57844.2</v>
      </c>
      <c r="LE59" s="325" t="n">
        <f aca="false">(LF59*$H59+LG59*$G59)</f>
        <v>63229.3583593951</v>
      </c>
      <c r="LF59" s="329" t="n">
        <f aca="false">LG59/$F59*LG$7</f>
        <v>63229.3583593951</v>
      </c>
      <c r="LG59" s="338" t="n">
        <v>57844.2</v>
      </c>
      <c r="LH59" s="325" t="n">
        <f aca="false">(LI59*$H59+LJ59*$G59)</f>
        <v>79036.643916109</v>
      </c>
      <c r="LI59" s="329" t="n">
        <f aca="false">LJ59/$F59*LJ$7</f>
        <v>79036.643916109</v>
      </c>
      <c r="LJ59" s="338" t="n">
        <v>57844.2</v>
      </c>
      <c r="LM59" s="338" t="n">
        <v>57844.2</v>
      </c>
      <c r="LP59" s="338" t="n">
        <v>57844.2</v>
      </c>
      <c r="LS59" s="338" t="n">
        <v>57844.2</v>
      </c>
      <c r="LV59" s="338" t="n">
        <v>57844.2</v>
      </c>
      <c r="LY59" s="338" t="n">
        <v>57844.2</v>
      </c>
      <c r="ME59" s="338" t="n">
        <v>57844.2</v>
      </c>
      <c r="MH59" s="338" t="n">
        <v>57844.2</v>
      </c>
      <c r="MK59" s="338" t="n">
        <v>57844.2</v>
      </c>
      <c r="MN59" s="338" t="n">
        <v>57844.2</v>
      </c>
      <c r="MQ59" s="338" t="n">
        <v>57844.2</v>
      </c>
      <c r="MT59" s="338" t="n">
        <v>57844.2</v>
      </c>
      <c r="MW59" s="338" t="n">
        <v>57844.2</v>
      </c>
      <c r="MZ59" s="338" t="n">
        <v>57844.2</v>
      </c>
      <c r="NC59" s="338" t="n">
        <v>57844.2</v>
      </c>
      <c r="NF59" s="338" t="n">
        <v>57844.2</v>
      </c>
      <c r="NI59" s="338" t="n">
        <v>57844.2</v>
      </c>
      <c r="NL59" s="338" t="n">
        <v>57844.2</v>
      </c>
      <c r="NR59" s="338" t="n">
        <v>57844.2</v>
      </c>
      <c r="NU59" s="338" t="n">
        <v>57844.2</v>
      </c>
      <c r="NX59" s="338" t="n">
        <v>57844.2</v>
      </c>
      <c r="OA59" s="338" t="n">
        <v>57844.2</v>
      </c>
      <c r="OD59" s="338" t="n">
        <v>57844.2</v>
      </c>
      <c r="OG59" s="338" t="n">
        <v>57844.2</v>
      </c>
      <c r="OJ59" s="338" t="n">
        <v>57844.2</v>
      </c>
      <c r="OM59" s="338" t="n">
        <v>57844.2</v>
      </c>
      <c r="OP59" s="338" t="n">
        <v>57844.2</v>
      </c>
      <c r="OS59" s="338" t="n">
        <v>57844.2</v>
      </c>
      <c r="OV59" s="338" t="n">
        <v>57844.2</v>
      </c>
      <c r="OY59" s="338" t="n">
        <v>57844.2</v>
      </c>
      <c r="PB59" s="338"/>
      <c r="PE59" s="338" t="n">
        <v>57844.2</v>
      </c>
      <c r="PH59" s="338" t="n">
        <v>57844.2</v>
      </c>
      <c r="PK59" s="338" t="n">
        <v>57844.2</v>
      </c>
      <c r="PN59" s="338" t="n">
        <v>57844.2</v>
      </c>
      <c r="PQ59" s="338" t="n">
        <v>57844.2</v>
      </c>
      <c r="PT59" s="338" t="n">
        <v>57844.2</v>
      </c>
      <c r="PW59" s="338" t="n">
        <v>57844.2</v>
      </c>
      <c r="PZ59" s="338" t="n">
        <v>57844.2</v>
      </c>
    </row>
    <row r="60" s="329" customFormat="true" ht="15" hidden="false" customHeight="false" outlineLevel="0" collapsed="false">
      <c r="A60" s="28" t="n">
        <v>5.15</v>
      </c>
      <c r="B60" s="342"/>
      <c r="C60" s="343" t="n">
        <v>3411316.41</v>
      </c>
      <c r="D60" s="342"/>
      <c r="E60" s="344"/>
      <c r="F60" s="60" t="n">
        <v>28.13</v>
      </c>
      <c r="G60" s="345" t="n">
        <v>0</v>
      </c>
      <c r="H60" s="346" t="n">
        <f aca="false">1-G60</f>
        <v>1</v>
      </c>
      <c r="I60" s="346" t="n">
        <f aca="false">J60/F60*27.9705</f>
        <v>678664.369530928</v>
      </c>
      <c r="J60" s="347" t="n">
        <v>682534.41</v>
      </c>
      <c r="K60" s="289"/>
      <c r="M60" s="327"/>
      <c r="N60" s="289"/>
      <c r="P60" s="327"/>
      <c r="Q60" s="289"/>
      <c r="S60" s="327"/>
      <c r="V60" s="327"/>
      <c r="W60" s="289"/>
      <c r="Y60" s="327"/>
      <c r="AC60" s="289"/>
      <c r="AE60" s="327"/>
      <c r="AF60" s="289"/>
      <c r="AH60" s="327"/>
      <c r="AI60" s="289"/>
      <c r="AK60" s="327"/>
      <c r="AL60" s="289"/>
      <c r="AN60" s="327"/>
      <c r="AO60" s="289"/>
      <c r="AQ60" s="327"/>
      <c r="AR60" s="289"/>
      <c r="AT60" s="327"/>
      <c r="AU60" s="289"/>
      <c r="AW60" s="327"/>
      <c r="AX60" s="289"/>
      <c r="AZ60" s="327"/>
      <c r="BA60" s="289"/>
      <c r="BC60" s="327"/>
      <c r="BD60" s="289"/>
      <c r="BF60" s="327"/>
      <c r="BG60" s="289"/>
      <c r="BI60" s="327"/>
      <c r="BJ60" s="289"/>
      <c r="BL60" s="327"/>
      <c r="BP60" s="289"/>
      <c r="BR60" s="327"/>
      <c r="BS60" s="289"/>
      <c r="BU60" s="327"/>
      <c r="BV60" s="289"/>
      <c r="BX60" s="327"/>
      <c r="BY60" s="289"/>
      <c r="CA60" s="327"/>
      <c r="CB60" s="289"/>
      <c r="CD60" s="327"/>
      <c r="CE60" s="289"/>
      <c r="CG60" s="327"/>
      <c r="CH60" s="289"/>
      <c r="CJ60" s="327"/>
      <c r="CK60" s="289"/>
      <c r="CM60" s="327"/>
      <c r="CN60" s="289"/>
      <c r="CP60" s="327"/>
      <c r="CQ60" s="289"/>
      <c r="CS60" s="327"/>
      <c r="CV60" s="327"/>
      <c r="CW60" s="289"/>
      <c r="CY60" s="327"/>
      <c r="DC60" s="335"/>
      <c r="DE60" s="327"/>
      <c r="DH60" s="327"/>
      <c r="DK60" s="327"/>
      <c r="DL60" s="289"/>
      <c r="DN60" s="327"/>
      <c r="DQ60" s="327"/>
      <c r="DT60" s="327"/>
      <c r="ED60" s="289"/>
      <c r="EJ60" s="289"/>
      <c r="FN60" s="289"/>
      <c r="FQ60" s="289"/>
      <c r="FT60" s="289"/>
      <c r="FW60" s="289"/>
      <c r="GC60" s="289"/>
      <c r="GK60" s="327"/>
      <c r="GU60" s="289"/>
      <c r="GX60" s="289"/>
      <c r="HA60" s="289"/>
      <c r="HD60" s="289"/>
      <c r="HG60" s="289"/>
      <c r="HJ60" s="289"/>
      <c r="HP60" s="289"/>
      <c r="HS60" s="289"/>
      <c r="HV60" s="289"/>
      <c r="HY60" s="289"/>
      <c r="IB60" s="289"/>
      <c r="IE60" s="289"/>
      <c r="IH60" s="289"/>
      <c r="IK60" s="289"/>
      <c r="IM60" s="327"/>
      <c r="IN60" s="325"/>
      <c r="IO60" s="328"/>
      <c r="IP60" s="338"/>
      <c r="IQ60" s="325"/>
      <c r="IR60" s="328"/>
      <c r="IS60" s="338"/>
      <c r="IT60" s="325"/>
      <c r="IU60" s="328"/>
      <c r="IV60" s="338"/>
      <c r="IW60" s="328"/>
      <c r="IX60" s="328"/>
      <c r="IY60" s="338"/>
      <c r="JC60" s="326"/>
      <c r="JE60" s="338"/>
      <c r="JF60" s="325" t="n">
        <f aca="false">(JG60*$H60+JH60*$G60)</f>
        <v>45156.9929925347</v>
      </c>
      <c r="JG60" s="326" t="n">
        <f aca="false">JH60/$F60*JH$7</f>
        <v>45156.9929925347</v>
      </c>
      <c r="JH60" s="338" t="n">
        <v>45479.7</v>
      </c>
      <c r="JI60" s="325" t="n">
        <f aca="false">(JJ60*$H60+JK60*$G60)</f>
        <v>44814.2380547458</v>
      </c>
      <c r="JJ60" s="326" t="n">
        <f aca="false">JK60/$F60*JK$7</f>
        <v>44814.2380547458</v>
      </c>
      <c r="JK60" s="338" t="n">
        <v>45479.7</v>
      </c>
      <c r="JL60" s="325" t="n">
        <f aca="false">(JM60*$H60+JN60*$G60)</f>
        <v>45285.0410636331</v>
      </c>
      <c r="JM60" s="326" t="n">
        <f aca="false">JN60/$F60*JN$7</f>
        <v>45285.0410636331</v>
      </c>
      <c r="JN60" s="338" t="n">
        <v>45479.7</v>
      </c>
      <c r="JO60" s="325" t="n">
        <f aca="false">(JP60*$H60+JQ60*$G60)</f>
        <v>44406.9740508354</v>
      </c>
      <c r="JP60" s="326" t="n">
        <f aca="false">JQ60/$F60*JQ$7</f>
        <v>44406.9740508354</v>
      </c>
      <c r="JQ60" s="338" t="n">
        <v>45479.7</v>
      </c>
      <c r="JR60" s="325" t="n">
        <f aca="false">(JS60*$H60+JT60*$G60)</f>
        <v>43965.5962300036</v>
      </c>
      <c r="JS60" s="328" t="n">
        <f aca="false">JT60/$F60*JT$7</f>
        <v>43965.5962300036</v>
      </c>
      <c r="JT60" s="338" t="n">
        <v>45479.7</v>
      </c>
      <c r="JU60" s="325" t="n">
        <f aca="false">(JV60*$H60+JW60*$G60)</f>
        <v>44009.2489815144</v>
      </c>
      <c r="JV60" s="329" t="n">
        <f aca="false">JW60/$F60*JW$7</f>
        <v>44009.2489815144</v>
      </c>
      <c r="JW60" s="338" t="n">
        <v>45479.7</v>
      </c>
      <c r="JX60" s="325" t="n">
        <f aca="false">(JY60*$H60+JZ60*$G60)</f>
        <v>43079.6070511909</v>
      </c>
      <c r="JY60" s="329" t="n">
        <f aca="false">JZ60/$F60*JZ$7</f>
        <v>43079.6070511909</v>
      </c>
      <c r="JZ60" s="338" t="n">
        <v>45479.7</v>
      </c>
      <c r="KA60" s="325" t="n">
        <f aca="false">(KB60*$H60+KC60*$G60)</f>
        <v>43172.2478905084</v>
      </c>
      <c r="KB60" s="329" t="n">
        <f aca="false">KC60/$F60*KC$7</f>
        <v>43172.2478905084</v>
      </c>
      <c r="KC60" s="338" t="n">
        <v>45479.7</v>
      </c>
      <c r="KD60" s="325" t="n">
        <f aca="false">(KE60*$H60+KF60*$G60)</f>
        <v>42475.7439886242</v>
      </c>
      <c r="KE60" s="329" t="n">
        <f aca="false">KF60/$F60*KF$7</f>
        <v>42475.7439886242</v>
      </c>
      <c r="KF60" s="338" t="n">
        <v>45479.7</v>
      </c>
      <c r="KG60" s="325" t="n">
        <f aca="false">(KH60*$H60+KI60*$G60)</f>
        <v>43101.1100732314</v>
      </c>
      <c r="KH60" s="329" t="n">
        <f aca="false">KI60/$F60*KI$7</f>
        <v>43101.1100732314</v>
      </c>
      <c r="KI60" s="338" t="n">
        <v>45479.7</v>
      </c>
      <c r="KJ60" s="325" t="n">
        <f aca="false">(KK60*$H60+KL60*$G60)</f>
        <v>44112.8838471383</v>
      </c>
      <c r="KK60" s="329" t="n">
        <f aca="false">KL60/$F60*KL$7</f>
        <v>44112.8838471383</v>
      </c>
      <c r="KL60" s="338" t="n">
        <v>45479.7</v>
      </c>
      <c r="KP60" s="325" t="n">
        <f aca="false">(KQ60*$H60+KR60*$G60)</f>
        <v>45932.5568777106</v>
      </c>
      <c r="KQ60" s="329" t="n">
        <f aca="false">KR60/$F60*KR$7</f>
        <v>45932.5568777106</v>
      </c>
      <c r="KR60" s="338" t="n">
        <v>45479.7</v>
      </c>
      <c r="KS60" s="325" t="n">
        <f aca="false">(KT60*$H60+KU60*$G60)</f>
        <v>46866.4024063278</v>
      </c>
      <c r="KT60" s="329" t="n">
        <f aca="false">KU60/$F60*KU$7</f>
        <v>46866.4024063278</v>
      </c>
      <c r="KU60" s="338" t="n">
        <v>45479.7</v>
      </c>
      <c r="KV60" s="325" t="n">
        <f aca="false">(KW60*$H60+KX60*$G60)</f>
        <v>47298.4029694277</v>
      </c>
      <c r="KW60" s="329" t="n">
        <f aca="false">KX60/$F60*KX$7</f>
        <v>47298.4029694277</v>
      </c>
      <c r="KX60" s="338" t="n">
        <v>45479.7</v>
      </c>
      <c r="KY60" s="325" t="n">
        <f aca="false">(KZ60*$H60+LA60*$G60)</f>
        <v>47298.4029694277</v>
      </c>
      <c r="KZ60" s="329" t="n">
        <f aca="false">LA60/$F60*LA$7</f>
        <v>47298.4029694277</v>
      </c>
      <c r="LA60" s="338" t="n">
        <v>45479.7</v>
      </c>
      <c r="LB60" s="325" t="n">
        <f aca="false">(LC60*$H60+LD60*$G60)</f>
        <v>47298.4029694277</v>
      </c>
      <c r="LC60" s="329" t="n">
        <f aca="false">LD60/$F60*LD$7</f>
        <v>47298.4029694277</v>
      </c>
      <c r="LD60" s="338" t="n">
        <v>45479.7</v>
      </c>
      <c r="LE60" s="325" t="n">
        <f aca="false">(LF60*$H60+LG60*$G60)</f>
        <v>47298.4029694277</v>
      </c>
      <c r="LF60" s="329" t="n">
        <f aca="false">LG60/$F60*LG$7</f>
        <v>47298.4029694277</v>
      </c>
      <c r="LG60" s="338" t="n">
        <v>45479.7</v>
      </c>
      <c r="LH60" s="325" t="n">
        <f aca="false">(LI60*$H60+LJ60*$G60)</f>
        <v>59122.9632925702</v>
      </c>
      <c r="LI60" s="329" t="n">
        <f aca="false">LJ60/$F60*LJ$7</f>
        <v>59122.9632925702</v>
      </c>
      <c r="LJ60" s="338" t="n">
        <v>45479.7</v>
      </c>
      <c r="LM60" s="338" t="n">
        <v>45479.7</v>
      </c>
      <c r="LP60" s="338" t="n">
        <v>45479.7</v>
      </c>
      <c r="LS60" s="338" t="n">
        <v>45479.7</v>
      </c>
      <c r="LV60" s="338" t="n">
        <v>45479.7</v>
      </c>
      <c r="LY60" s="338" t="n">
        <v>45479.7</v>
      </c>
      <c r="ME60" s="338" t="n">
        <v>45479.7</v>
      </c>
      <c r="MH60" s="338" t="n">
        <v>45479.7</v>
      </c>
      <c r="MK60" s="338" t="n">
        <v>45479.7</v>
      </c>
      <c r="MN60" s="338" t="n">
        <v>45479.7</v>
      </c>
      <c r="MQ60" s="338" t="n">
        <v>45479.7</v>
      </c>
      <c r="MT60" s="338" t="n">
        <v>45479.7</v>
      </c>
      <c r="MW60" s="338" t="n">
        <v>45479.7</v>
      </c>
      <c r="MZ60" s="338" t="n">
        <v>45479.7</v>
      </c>
      <c r="NC60" s="338" t="n">
        <v>45479.7</v>
      </c>
      <c r="NF60" s="338" t="n">
        <v>45479.7</v>
      </c>
      <c r="NI60" s="338" t="n">
        <v>45479.7</v>
      </c>
      <c r="NL60" s="338" t="n">
        <v>45479.7</v>
      </c>
      <c r="NR60" s="338" t="n">
        <v>45479.7</v>
      </c>
      <c r="NU60" s="338" t="n">
        <v>45479.7</v>
      </c>
      <c r="NX60" s="338" t="n">
        <v>45479.7</v>
      </c>
      <c r="OA60" s="338" t="n">
        <v>45479.7</v>
      </c>
      <c r="OD60" s="338" t="n">
        <v>45479.7</v>
      </c>
      <c r="OG60" s="338" t="n">
        <v>45479.7</v>
      </c>
      <c r="OJ60" s="338" t="n">
        <v>45479.7</v>
      </c>
      <c r="OM60" s="338" t="n">
        <v>45479.7</v>
      </c>
      <c r="OP60" s="338" t="n">
        <v>45479.7</v>
      </c>
      <c r="OS60" s="338" t="n">
        <v>45479.7</v>
      </c>
      <c r="OV60" s="338" t="n">
        <v>45479.7</v>
      </c>
      <c r="OY60" s="338" t="n">
        <v>45479.7</v>
      </c>
      <c r="PB60" s="338"/>
      <c r="PE60" s="338" t="n">
        <v>45479.7</v>
      </c>
      <c r="PH60" s="338" t="n">
        <v>45479.7</v>
      </c>
      <c r="PK60" s="338" t="n">
        <v>45479.7</v>
      </c>
      <c r="PN60" s="338" t="n">
        <v>45479.7</v>
      </c>
      <c r="PQ60" s="338" t="n">
        <v>45479.7</v>
      </c>
      <c r="PT60" s="338" t="n">
        <v>45479.7</v>
      </c>
      <c r="PW60" s="338" t="n">
        <v>45479.7</v>
      </c>
      <c r="PZ60" s="338" t="n">
        <v>45479.7</v>
      </c>
      <c r="QC60" s="338" t="n">
        <v>45479.7</v>
      </c>
      <c r="QF60" s="338" t="n">
        <v>45479.7</v>
      </c>
      <c r="QI60" s="338" t="n">
        <v>45479.7</v>
      </c>
      <c r="QL60" s="338" t="n">
        <v>45479.7</v>
      </c>
      <c r="QR60" s="338" t="n">
        <v>45479.7</v>
      </c>
    </row>
    <row r="61" s="329" customFormat="true" ht="15" hidden="false" customHeight="false" outlineLevel="0" collapsed="false">
      <c r="A61" s="28" t="n">
        <v>5.16</v>
      </c>
      <c r="B61" s="342"/>
      <c r="C61" s="343" t="n">
        <v>633702.39</v>
      </c>
      <c r="D61" s="342"/>
      <c r="E61" s="344"/>
      <c r="F61" s="60" t="n">
        <v>27.0566</v>
      </c>
      <c r="G61" s="345" t="n">
        <v>0</v>
      </c>
      <c r="H61" s="346" t="n">
        <f aca="false">1-G61</f>
        <v>1</v>
      </c>
      <c r="I61" s="349" t="n">
        <f aca="false">J61/F61*27.7365</f>
        <v>135784.860671149</v>
      </c>
      <c r="J61" s="347" t="n">
        <v>132456.39</v>
      </c>
      <c r="K61" s="289"/>
      <c r="M61" s="327"/>
      <c r="N61" s="289"/>
      <c r="P61" s="327"/>
      <c r="Q61" s="289"/>
      <c r="S61" s="327"/>
      <c r="V61" s="327"/>
      <c r="W61" s="289"/>
      <c r="Y61" s="327"/>
      <c r="AC61" s="289"/>
      <c r="AE61" s="327"/>
      <c r="AF61" s="289"/>
      <c r="AH61" s="327"/>
      <c r="AI61" s="289"/>
      <c r="AK61" s="327"/>
      <c r="AL61" s="289"/>
      <c r="AN61" s="327"/>
      <c r="AO61" s="289"/>
      <c r="AQ61" s="327"/>
      <c r="AR61" s="289"/>
      <c r="AT61" s="327"/>
      <c r="AU61" s="289"/>
      <c r="AW61" s="327"/>
      <c r="AX61" s="289"/>
      <c r="AZ61" s="327"/>
      <c r="BA61" s="289"/>
      <c r="BC61" s="327"/>
      <c r="BD61" s="289"/>
      <c r="BF61" s="327"/>
      <c r="BG61" s="289"/>
      <c r="BI61" s="327"/>
      <c r="BJ61" s="289"/>
      <c r="BL61" s="327"/>
      <c r="BP61" s="289"/>
      <c r="BR61" s="327"/>
      <c r="BS61" s="289"/>
      <c r="BU61" s="327"/>
      <c r="BV61" s="289"/>
      <c r="BX61" s="327"/>
      <c r="BY61" s="289"/>
      <c r="CA61" s="327"/>
      <c r="CB61" s="289"/>
      <c r="CD61" s="327"/>
      <c r="CE61" s="289"/>
      <c r="CG61" s="327"/>
      <c r="CH61" s="289"/>
      <c r="CJ61" s="327"/>
      <c r="CK61" s="289"/>
      <c r="CM61" s="327"/>
      <c r="CN61" s="289"/>
      <c r="CP61" s="327"/>
      <c r="CQ61" s="289"/>
      <c r="CS61" s="327"/>
      <c r="CV61" s="327"/>
      <c r="CW61" s="289"/>
      <c r="CY61" s="327"/>
      <c r="DC61" s="335"/>
      <c r="DE61" s="327"/>
      <c r="DH61" s="327"/>
      <c r="DK61" s="327"/>
      <c r="DL61" s="289"/>
      <c r="DN61" s="327"/>
      <c r="DQ61" s="327"/>
      <c r="DT61" s="327"/>
      <c r="ED61" s="289"/>
      <c r="EJ61" s="289"/>
      <c r="FN61" s="289"/>
      <c r="FQ61" s="289"/>
      <c r="FT61" s="289"/>
      <c r="FW61" s="289"/>
      <c r="GC61" s="289"/>
      <c r="GK61" s="327"/>
      <c r="GU61" s="289"/>
      <c r="GX61" s="289"/>
      <c r="HA61" s="289"/>
      <c r="HD61" s="289"/>
      <c r="HG61" s="289"/>
      <c r="HJ61" s="289"/>
      <c r="HP61" s="289"/>
      <c r="HS61" s="289"/>
      <c r="HV61" s="289"/>
      <c r="HY61" s="289"/>
      <c r="IB61" s="289"/>
      <c r="IE61" s="289"/>
      <c r="IH61" s="289"/>
      <c r="IK61" s="289"/>
      <c r="IM61" s="327"/>
      <c r="IN61" s="325" t="n">
        <f aca="false">(IO61*$H61+IP61*$G61)</f>
        <v>8707.81986724127</v>
      </c>
      <c r="IO61" s="328" t="n">
        <f aca="false">IP61/$F61*IP$7</f>
        <v>8707.81986724127</v>
      </c>
      <c r="IP61" s="350" t="n">
        <v>8354.1</v>
      </c>
      <c r="IQ61" s="325" t="n">
        <f aca="false">(IR61*$H61+IS61*$G61)</f>
        <v>8759.84657606647</v>
      </c>
      <c r="IR61" s="328" t="n">
        <f aca="false">IS61/$F61*IS$7</f>
        <v>8759.84657606647</v>
      </c>
      <c r="IS61" s="350" t="n">
        <v>8354.1</v>
      </c>
      <c r="IT61" s="325" t="n">
        <f aca="false">(IU61*$H61+IV61*$G61)</f>
        <v>8755.09161276731</v>
      </c>
      <c r="IU61" s="328" t="n">
        <f aca="false">IV61/$F61*IV$7</f>
        <v>8755.09161276731</v>
      </c>
      <c r="IV61" s="350" t="n">
        <v>8354.1</v>
      </c>
      <c r="IW61" s="325" t="n">
        <f aca="false">(IX61*$H61+IY61*$G61)</f>
        <v>8657.46048320927</v>
      </c>
      <c r="IX61" s="328" t="n">
        <f aca="false">IY61/$F61*IY$7</f>
        <v>8657.46048320927</v>
      </c>
      <c r="IY61" s="350" t="n">
        <v>8354.1</v>
      </c>
      <c r="JC61" s="325" t="n">
        <f aca="false">(JD61*$H61+JE61*$G61)</f>
        <v>8708.22126024704</v>
      </c>
      <c r="JD61" s="329" t="n">
        <f aca="false">JE61/$F61*JE$7</f>
        <v>8708.22126024704</v>
      </c>
      <c r="JE61" s="350" t="n">
        <v>8354.1</v>
      </c>
      <c r="JF61" s="325" t="n">
        <f aca="false">(JG61*$H61+JH61*$G61)</f>
        <v>8623.89785264963</v>
      </c>
      <c r="JG61" s="326" t="n">
        <f aca="false">JH61/$F61*JH$7</f>
        <v>8623.89785264963</v>
      </c>
      <c r="JH61" s="350" t="n">
        <v>8354.1</v>
      </c>
      <c r="JI61" s="325" t="n">
        <f aca="false">(JJ61*$H61+JK61*$G61)</f>
        <v>8558.43991632356</v>
      </c>
      <c r="JJ61" s="326" t="n">
        <f aca="false">JK61/$F61*JK$7</f>
        <v>8558.43991632356</v>
      </c>
      <c r="JK61" s="350" t="n">
        <v>8354.1</v>
      </c>
      <c r="JL61" s="325" t="n">
        <f aca="false">(JM61*$H61+JN61*$G61)</f>
        <v>8648.35194961673</v>
      </c>
      <c r="JM61" s="326" t="n">
        <f aca="false">JN61/$F61*JN$7</f>
        <v>8648.35194961673</v>
      </c>
      <c r="JN61" s="350" t="n">
        <v>8354.1</v>
      </c>
      <c r="JO61" s="325" t="n">
        <f aca="false">(JP61*$H61+JQ61*$G61)</f>
        <v>8480.66230235876</v>
      </c>
      <c r="JP61" s="326" t="n">
        <f aca="false">JQ61/$F61*JQ$7</f>
        <v>8480.66230235876</v>
      </c>
      <c r="JQ61" s="350" t="n">
        <v>8354.1</v>
      </c>
      <c r="JR61" s="325" t="n">
        <f aca="false">(JS61*$H61+JT61*$G61)</f>
        <v>8396.36977114641</v>
      </c>
      <c r="JS61" s="328" t="n">
        <f aca="false">JT61/$F61*JT$7</f>
        <v>8396.36977114641</v>
      </c>
      <c r="JT61" s="350" t="n">
        <v>8354.1</v>
      </c>
      <c r="JU61" s="325" t="n">
        <f aca="false">(JV61*$H61+JW61*$G61)</f>
        <v>8404.70639511247</v>
      </c>
      <c r="JV61" s="329" t="n">
        <f aca="false">JW61/$F61*JW$7</f>
        <v>8404.70639511247</v>
      </c>
      <c r="JW61" s="350" t="n">
        <v>8354.1</v>
      </c>
      <c r="JX61" s="325" t="n">
        <f aca="false">(JY61*$H61+JZ61*$G61)</f>
        <v>8227.16718102053</v>
      </c>
      <c r="JY61" s="329" t="n">
        <f aca="false">JZ61/$F61*JZ$7</f>
        <v>8227.16718102053</v>
      </c>
      <c r="JZ61" s="350" t="n">
        <v>8354.1</v>
      </c>
      <c r="KA61" s="325" t="n">
        <f aca="false">(KB61*$H61+KC61*$G61)</f>
        <v>8244.8593496596</v>
      </c>
      <c r="KB61" s="329" t="n">
        <f aca="false">KC61/$F61*KC$7</f>
        <v>8244.8593496596</v>
      </c>
      <c r="KC61" s="350" t="n">
        <v>8354.1</v>
      </c>
      <c r="KD61" s="325" t="n">
        <f aca="false">(KE61*$H61+KF61*$G61)</f>
        <v>8111.84388282342</v>
      </c>
      <c r="KE61" s="329" t="n">
        <f aca="false">KF61/$F61*KF$7</f>
        <v>8111.84388282342</v>
      </c>
      <c r="KF61" s="350" t="n">
        <v>8354.1</v>
      </c>
      <c r="KG61" s="325" t="n">
        <f aca="false">(KH61*$H61+KI61*$G61)</f>
        <v>8231.27374023344</v>
      </c>
      <c r="KH61" s="329" t="n">
        <f aca="false">KI61/$F61*KI$7</f>
        <v>8231.27374023344</v>
      </c>
      <c r="KI61" s="350" t="n">
        <v>8354.1</v>
      </c>
      <c r="KJ61" s="325" t="n">
        <f aca="false">(KK61*$H61+KL61*$G61)</f>
        <v>8424.49815793559</v>
      </c>
      <c r="KK61" s="329" t="n">
        <f aca="false">KL61/$F61*KL$7</f>
        <v>8424.49815793559</v>
      </c>
      <c r="KL61" s="350" t="n">
        <v>8354.1</v>
      </c>
      <c r="KP61" s="325" t="n">
        <f aca="false">(KQ61*$H61+KR61*$G61)</f>
        <v>8772.0118717799</v>
      </c>
      <c r="KQ61" s="329" t="n">
        <f aca="false">KR61/$F61*KR$7</f>
        <v>8772.0118717799</v>
      </c>
      <c r="KR61" s="350" t="n">
        <v>8354.1</v>
      </c>
      <c r="KS61" s="325" t="n">
        <f aca="false">(KT61*$H61+KU61*$G61)</f>
        <v>8950.35387188339</v>
      </c>
      <c r="KT61" s="329" t="n">
        <f aca="false">KU61/$F61*KU$7</f>
        <v>8950.35387188339</v>
      </c>
      <c r="KU61" s="350" t="n">
        <v>8354.1</v>
      </c>
      <c r="KV61" s="325" t="n">
        <f aca="false">(KW61*$H61+KX61*$G61)</f>
        <v>9032.85557276228</v>
      </c>
      <c r="KW61" s="329" t="n">
        <f aca="false">KX61/$F61*KX$7</f>
        <v>9032.85557276228</v>
      </c>
      <c r="KX61" s="350" t="n">
        <v>8354.1</v>
      </c>
      <c r="KY61" s="325" t="n">
        <f aca="false">(KZ61*$H61+LA61*$G61)</f>
        <v>9032.85557276228</v>
      </c>
      <c r="KZ61" s="329" t="n">
        <f aca="false">LA61/$F61*LA$7</f>
        <v>9032.85557276228</v>
      </c>
      <c r="LA61" s="350" t="n">
        <v>8354.1</v>
      </c>
      <c r="LB61" s="325" t="n">
        <f aca="false">(LC61*$H61+LD61*$G61)</f>
        <v>9032.85557276228</v>
      </c>
      <c r="LC61" s="329" t="n">
        <f aca="false">LD61/$F61*LD$7</f>
        <v>9032.85557276228</v>
      </c>
      <c r="LD61" s="350" t="n">
        <v>8354.1</v>
      </c>
      <c r="LE61" s="325" t="n">
        <f aca="false">(LF61*$H61+LG61*$G61)</f>
        <v>9032.85557276228</v>
      </c>
      <c r="LF61" s="329" t="n">
        <f aca="false">LG61/$F61*LG$7</f>
        <v>9032.85557276228</v>
      </c>
      <c r="LG61" s="350" t="n">
        <v>8354.1</v>
      </c>
      <c r="LH61" s="325" t="n">
        <f aca="false">(LI61*$H61+LJ61*$G61)</f>
        <v>11291.0617468566</v>
      </c>
      <c r="LI61" s="329" t="n">
        <f aca="false">LJ61/$F61*LJ$7</f>
        <v>11291.0617468566</v>
      </c>
      <c r="LJ61" s="350" t="n">
        <v>8354.1</v>
      </c>
      <c r="LM61" s="350" t="n">
        <v>8354.1</v>
      </c>
      <c r="LP61" s="350" t="n">
        <v>8354.1</v>
      </c>
      <c r="LS61" s="350" t="n">
        <v>8354.1</v>
      </c>
      <c r="LV61" s="350" t="n">
        <v>8354.1</v>
      </c>
      <c r="LY61" s="350" t="n">
        <v>8354.1</v>
      </c>
      <c r="ME61" s="350" t="n">
        <v>8354.1</v>
      </c>
      <c r="MH61" s="350" t="n">
        <v>8354.1</v>
      </c>
      <c r="MK61" s="350" t="n">
        <v>8354.1</v>
      </c>
      <c r="MN61" s="350" t="n">
        <v>8354.1</v>
      </c>
      <c r="MQ61" s="350" t="n">
        <v>8354.1</v>
      </c>
      <c r="MT61" s="350" t="n">
        <v>8354.1</v>
      </c>
      <c r="MW61" s="350" t="n">
        <v>8354.1</v>
      </c>
      <c r="MZ61" s="350" t="n">
        <v>8354.1</v>
      </c>
      <c r="NC61" s="350" t="n">
        <v>8354.1</v>
      </c>
      <c r="NF61" s="350" t="n">
        <v>8354.1</v>
      </c>
      <c r="NI61" s="350" t="n">
        <v>8354.1</v>
      </c>
      <c r="NL61" s="350" t="n">
        <v>8354.1</v>
      </c>
      <c r="NR61" s="350" t="n">
        <v>8354.1</v>
      </c>
      <c r="NU61" s="350" t="n">
        <v>8354.1</v>
      </c>
      <c r="NX61" s="350" t="n">
        <v>8354.1</v>
      </c>
      <c r="OA61" s="350" t="n">
        <v>8354.1</v>
      </c>
      <c r="OD61" s="350" t="n">
        <v>8354.1</v>
      </c>
      <c r="OG61" s="350" t="n">
        <v>8354.1</v>
      </c>
      <c r="OJ61" s="350" t="n">
        <v>8354.1</v>
      </c>
      <c r="OM61" s="350" t="n">
        <v>8354.1</v>
      </c>
      <c r="OP61" s="350" t="n">
        <v>8354.1</v>
      </c>
      <c r="OS61" s="350" t="n">
        <v>8354.1</v>
      </c>
      <c r="OV61" s="350" t="n">
        <v>8354.1</v>
      </c>
      <c r="OY61" s="350" t="n">
        <v>8354.1</v>
      </c>
      <c r="PE61" s="350" t="n">
        <v>8354.1</v>
      </c>
      <c r="PH61" s="350" t="n">
        <v>8354.1</v>
      </c>
      <c r="PK61" s="350" t="n">
        <v>8354.1</v>
      </c>
      <c r="PN61" s="350" t="n">
        <v>8354.1</v>
      </c>
      <c r="PQ61" s="350" t="n">
        <v>8354.1</v>
      </c>
      <c r="PT61" s="350" t="n">
        <v>8354.1</v>
      </c>
      <c r="PW61" s="350" t="n">
        <v>8354.1</v>
      </c>
      <c r="PZ61" s="350" t="n">
        <v>8354.1</v>
      </c>
    </row>
    <row r="62" s="329" customFormat="true" ht="15" hidden="false" customHeight="false" outlineLevel="0" collapsed="false">
      <c r="A62" s="28" t="n">
        <v>5.17</v>
      </c>
      <c r="B62" s="342"/>
      <c r="C62" s="343" t="n">
        <v>2592698.91</v>
      </c>
      <c r="D62" s="342"/>
      <c r="E62" s="344"/>
      <c r="F62" s="60" t="n">
        <v>28.13</v>
      </c>
      <c r="G62" s="345" t="n">
        <v>0</v>
      </c>
      <c r="H62" s="346" t="n">
        <f aca="false">1-G62</f>
        <v>1</v>
      </c>
      <c r="I62" s="349" t="n">
        <f aca="false">J62/F62*28.2035</f>
        <v>504541.374859047</v>
      </c>
      <c r="J62" s="347" t="n">
        <v>503226.51</v>
      </c>
      <c r="K62" s="289"/>
      <c r="M62" s="327"/>
      <c r="N62" s="289"/>
      <c r="P62" s="327"/>
      <c r="Q62" s="289"/>
      <c r="S62" s="327"/>
      <c r="V62" s="327"/>
      <c r="W62" s="289"/>
      <c r="Y62" s="327"/>
      <c r="AC62" s="289"/>
      <c r="AE62" s="327"/>
      <c r="AF62" s="289"/>
      <c r="AH62" s="327"/>
      <c r="AI62" s="289"/>
      <c r="AK62" s="327"/>
      <c r="AL62" s="289"/>
      <c r="AN62" s="327"/>
      <c r="AO62" s="289"/>
      <c r="AQ62" s="327"/>
      <c r="AR62" s="289"/>
      <c r="AT62" s="327"/>
      <c r="AU62" s="289"/>
      <c r="AW62" s="327"/>
      <c r="AX62" s="289"/>
      <c r="AZ62" s="327"/>
      <c r="BA62" s="289"/>
      <c r="BC62" s="327"/>
      <c r="BD62" s="289"/>
      <c r="BF62" s="327"/>
      <c r="BG62" s="289"/>
      <c r="BI62" s="327"/>
      <c r="BJ62" s="289"/>
      <c r="BL62" s="327"/>
      <c r="BP62" s="289"/>
      <c r="BR62" s="327"/>
      <c r="BS62" s="289"/>
      <c r="BU62" s="327"/>
      <c r="BV62" s="289"/>
      <c r="BX62" s="327"/>
      <c r="BY62" s="289"/>
      <c r="CA62" s="327"/>
      <c r="CB62" s="289"/>
      <c r="CD62" s="327"/>
      <c r="CE62" s="289"/>
      <c r="CG62" s="327"/>
      <c r="CH62" s="289"/>
      <c r="CJ62" s="327"/>
      <c r="CK62" s="289"/>
      <c r="CM62" s="327"/>
      <c r="CN62" s="289"/>
      <c r="CP62" s="327"/>
      <c r="CQ62" s="289"/>
      <c r="CS62" s="327"/>
      <c r="CV62" s="327"/>
      <c r="CW62" s="289"/>
      <c r="CY62" s="327"/>
      <c r="DC62" s="335"/>
      <c r="DE62" s="327"/>
      <c r="DH62" s="327"/>
      <c r="DK62" s="327"/>
      <c r="DL62" s="289"/>
      <c r="DN62" s="327"/>
      <c r="DQ62" s="327"/>
      <c r="DT62" s="327"/>
      <c r="ED62" s="289"/>
      <c r="EJ62" s="289"/>
      <c r="FN62" s="289"/>
      <c r="FQ62" s="289"/>
      <c r="FT62" s="289"/>
      <c r="FW62" s="289"/>
      <c r="GC62" s="289"/>
      <c r="GK62" s="327"/>
      <c r="GU62" s="289"/>
      <c r="GX62" s="289"/>
      <c r="HA62" s="289"/>
      <c r="HD62" s="289"/>
      <c r="HG62" s="289"/>
      <c r="HJ62" s="289"/>
      <c r="HP62" s="289"/>
      <c r="HS62" s="289"/>
      <c r="HV62" s="289"/>
      <c r="HY62" s="289"/>
      <c r="IB62" s="289"/>
      <c r="IE62" s="289"/>
      <c r="IH62" s="289"/>
      <c r="IK62" s="289"/>
      <c r="IM62" s="327"/>
      <c r="IN62" s="325"/>
      <c r="IO62" s="328"/>
      <c r="IP62" s="350"/>
      <c r="IQ62" s="325"/>
      <c r="IR62" s="328"/>
      <c r="IS62" s="350"/>
      <c r="IT62" s="325"/>
      <c r="IU62" s="328"/>
      <c r="IV62" s="350"/>
      <c r="IW62" s="328"/>
      <c r="IX62" s="328"/>
      <c r="IY62" s="350"/>
      <c r="JC62" s="326"/>
      <c r="JE62" s="350"/>
      <c r="JF62" s="325" t="n">
        <f aca="false">(JG62*$H62+JH62*$G62)</f>
        <v>34577.438038251</v>
      </c>
      <c r="JG62" s="326" t="n">
        <f aca="false">JH62/$F62*JH$7</f>
        <v>34577.438038251</v>
      </c>
      <c r="JH62" s="350" t="n">
        <v>34824.54</v>
      </c>
      <c r="JI62" s="325" t="n">
        <f aca="false">(JJ62*$H62+JK62*$G62)</f>
        <v>34314.9850528262</v>
      </c>
      <c r="JJ62" s="326" t="n">
        <f aca="false">JK62/$F62*JK$7</f>
        <v>34314.9850528262</v>
      </c>
      <c r="JK62" s="350" t="n">
        <v>34824.54</v>
      </c>
      <c r="JL62" s="325" t="n">
        <f aca="false">(JM62*$H62+JN62*$G62)</f>
        <v>34675.4865120512</v>
      </c>
      <c r="JM62" s="326" t="n">
        <f aca="false">JN62/$F62*JN$7</f>
        <v>34675.4865120512</v>
      </c>
      <c r="JN62" s="350" t="n">
        <v>34824.54</v>
      </c>
      <c r="JO62" s="325" t="n">
        <f aca="false">(JP62*$H62+JQ62*$G62)</f>
        <v>34003.1364347672</v>
      </c>
      <c r="JP62" s="326" t="n">
        <f aca="false">JQ62/$F62*JQ$7</f>
        <v>34003.1364347672</v>
      </c>
      <c r="JQ62" s="350" t="n">
        <v>34824.54</v>
      </c>
      <c r="JR62" s="325" t="n">
        <f aca="false">(JS62*$H62+JT62*$G62)</f>
        <v>33665.1663167437</v>
      </c>
      <c r="JS62" s="328" t="n">
        <f aca="false">JT62/$F62*JT$7</f>
        <v>33665.1663167437</v>
      </c>
      <c r="JT62" s="350" t="n">
        <v>34824.54</v>
      </c>
      <c r="JU62" s="325" t="n">
        <f aca="false">(JV62*$H62+JW62*$G62)</f>
        <v>33698.5919328119</v>
      </c>
      <c r="JV62" s="329" t="n">
        <f aca="false">JW62/$F62*JW$7</f>
        <v>33698.5919328119</v>
      </c>
      <c r="JW62" s="350" t="n">
        <v>34824.54</v>
      </c>
      <c r="JX62" s="325" t="n">
        <f aca="false">(JY62*$H62+JZ62*$G62)</f>
        <v>32986.7501091362</v>
      </c>
      <c r="JY62" s="329" t="n">
        <f aca="false">JZ62/$F62*JZ$7</f>
        <v>32986.7501091362</v>
      </c>
      <c r="JZ62" s="350" t="n">
        <v>34824.54</v>
      </c>
      <c r="KA62" s="325" t="n">
        <f aca="false">(KB62*$H62+KC62*$G62)</f>
        <v>33057.6866943477</v>
      </c>
      <c r="KB62" s="329" t="n">
        <f aca="false">KC62/$F62*KC$7</f>
        <v>33057.6866943477</v>
      </c>
      <c r="KC62" s="350" t="n">
        <v>34824.54</v>
      </c>
      <c r="KD62" s="325" t="n">
        <f aca="false">(KE62*$H62+KF62*$G62)</f>
        <v>32524.362420192</v>
      </c>
      <c r="KE62" s="329" t="n">
        <f aca="false">KF62/$F62*KF$7</f>
        <v>32524.362420192</v>
      </c>
      <c r="KF62" s="350" t="n">
        <v>34824.54</v>
      </c>
      <c r="KG62" s="325" t="n">
        <f aca="false">(KH62*$H62+KI62*$G62)</f>
        <v>33003.2153200142</v>
      </c>
      <c r="KH62" s="329" t="n">
        <f aca="false">KI62/$F62*KI$7</f>
        <v>33003.2153200142</v>
      </c>
      <c r="KI62" s="350" t="n">
        <v>34824.54</v>
      </c>
      <c r="KJ62" s="325" t="n">
        <f aca="false">(KK62*$H62+KL62*$G62)</f>
        <v>33777.9468213295</v>
      </c>
      <c r="KK62" s="329" t="n">
        <f aca="false">KL62/$F62*KL$7</f>
        <v>33777.9468213295</v>
      </c>
      <c r="KL62" s="350" t="n">
        <v>34824.54</v>
      </c>
      <c r="KP62" s="325" t="n">
        <f aca="false">(KQ62*$H62+KR62*$G62)</f>
        <v>35171.2998170636</v>
      </c>
      <c r="KQ62" s="329" t="n">
        <f aca="false">KR62/$F62*KR$7</f>
        <v>35171.2998170636</v>
      </c>
      <c r="KR62" s="350" t="n">
        <v>34824.54</v>
      </c>
      <c r="KS62" s="325" t="n">
        <f aca="false">(KT62*$H62+KU62*$G62)</f>
        <v>35886.3604037682</v>
      </c>
      <c r="KT62" s="329" t="n">
        <f aca="false">KU62/$F62*KU$7</f>
        <v>35886.3604037682</v>
      </c>
      <c r="KU62" s="350" t="n">
        <v>34824.54</v>
      </c>
      <c r="KV62" s="325" t="n">
        <f aca="false">(KW62*$H62+KX62*$G62)</f>
        <v>36217.1502042659</v>
      </c>
      <c r="KW62" s="329" t="n">
        <f aca="false">KX62/$F62*KX$7</f>
        <v>36217.1502042659</v>
      </c>
      <c r="KX62" s="350" t="n">
        <v>34824.54</v>
      </c>
      <c r="KY62" s="325" t="n">
        <f aca="false">(KZ62*$H62+LA62*$G62)</f>
        <v>36217.1502042659</v>
      </c>
      <c r="KZ62" s="329" t="n">
        <f aca="false">LA62/$F62*LA$7</f>
        <v>36217.1502042659</v>
      </c>
      <c r="LA62" s="350" t="n">
        <v>34824.54</v>
      </c>
      <c r="LB62" s="325" t="n">
        <f aca="false">(LC62*$H62+LD62*$G62)</f>
        <v>36217.1502042659</v>
      </c>
      <c r="LC62" s="329" t="n">
        <f aca="false">LD62/$F62*LD$7</f>
        <v>36217.1502042659</v>
      </c>
      <c r="LD62" s="350" t="n">
        <v>34824.54</v>
      </c>
      <c r="LE62" s="325" t="n">
        <f aca="false">(LF62*$H62+LG62*$G62)</f>
        <v>36217.1502042659</v>
      </c>
      <c r="LF62" s="329" t="n">
        <f aca="false">LG62/$F62*LG$7</f>
        <v>36217.1502042659</v>
      </c>
      <c r="LG62" s="350" t="n">
        <v>34824.54</v>
      </c>
      <c r="LH62" s="325" t="n">
        <f aca="false">(LI62*$H62+LJ62*$G62)</f>
        <v>45271.4068056879</v>
      </c>
      <c r="LI62" s="329" t="n">
        <f aca="false">LJ62/$F62*LJ$7</f>
        <v>45271.4068056879</v>
      </c>
      <c r="LJ62" s="350" t="n">
        <v>34824.54</v>
      </c>
      <c r="LM62" s="350" t="n">
        <v>34824.54</v>
      </c>
      <c r="LP62" s="350" t="n">
        <v>34824.54</v>
      </c>
      <c r="LS62" s="350" t="n">
        <v>34824.54</v>
      </c>
      <c r="LV62" s="350" t="n">
        <v>34824.54</v>
      </c>
      <c r="LY62" s="350" t="n">
        <v>34824.54</v>
      </c>
      <c r="ME62" s="350" t="n">
        <v>34824.54</v>
      </c>
      <c r="MH62" s="350" t="n">
        <v>34824.54</v>
      </c>
      <c r="MK62" s="350" t="n">
        <v>34824.54</v>
      </c>
      <c r="MN62" s="350" t="n">
        <v>34824.54</v>
      </c>
      <c r="MQ62" s="350" t="n">
        <v>34824.54</v>
      </c>
      <c r="MT62" s="350" t="n">
        <v>34824.54</v>
      </c>
      <c r="MW62" s="350" t="n">
        <v>34824.54</v>
      </c>
      <c r="MZ62" s="350" t="n">
        <v>34824.54</v>
      </c>
      <c r="NC62" s="350" t="n">
        <v>34824.54</v>
      </c>
      <c r="NF62" s="350" t="n">
        <v>34824.54</v>
      </c>
      <c r="NI62" s="350" t="n">
        <v>34824.54</v>
      </c>
      <c r="NL62" s="350" t="n">
        <v>34824.54</v>
      </c>
      <c r="NR62" s="350" t="n">
        <v>34824.54</v>
      </c>
      <c r="NU62" s="350" t="n">
        <v>34824.54</v>
      </c>
      <c r="NX62" s="350" t="n">
        <v>34824.54</v>
      </c>
      <c r="OA62" s="350" t="n">
        <v>34824.54</v>
      </c>
      <c r="OD62" s="350" t="n">
        <v>34824.54</v>
      </c>
      <c r="OG62" s="350" t="n">
        <v>34824.54</v>
      </c>
      <c r="OJ62" s="350" t="n">
        <v>34824.54</v>
      </c>
      <c r="OM62" s="350" t="n">
        <v>34824.54</v>
      </c>
      <c r="OP62" s="350" t="n">
        <v>34824.54</v>
      </c>
      <c r="OS62" s="350" t="n">
        <v>34824.54</v>
      </c>
      <c r="OV62" s="350" t="n">
        <v>34824.54</v>
      </c>
      <c r="OY62" s="350" t="n">
        <v>34824.54</v>
      </c>
      <c r="PE62" s="350" t="n">
        <v>34824.54</v>
      </c>
      <c r="PH62" s="350" t="n">
        <v>34824.54</v>
      </c>
      <c r="PK62" s="350" t="n">
        <v>34824.54</v>
      </c>
      <c r="PN62" s="350" t="n">
        <v>34824.54</v>
      </c>
      <c r="PQ62" s="350" t="n">
        <v>34824.54</v>
      </c>
      <c r="PT62" s="350" t="n">
        <v>34824.54</v>
      </c>
      <c r="PW62" s="350" t="n">
        <v>34824.54</v>
      </c>
      <c r="PZ62" s="350" t="n">
        <v>34824.54</v>
      </c>
      <c r="QC62" s="350" t="n">
        <v>34824.54</v>
      </c>
      <c r="QF62" s="350" t="n">
        <v>34824.54</v>
      </c>
      <c r="QI62" s="350" t="n">
        <v>34824.54</v>
      </c>
      <c r="QL62" s="350" t="n">
        <v>34824.54</v>
      </c>
      <c r="QR62" s="350" t="n">
        <v>34824.54</v>
      </c>
    </row>
    <row r="63" s="329" customFormat="true" ht="15" hidden="false" customHeight="false" outlineLevel="0" collapsed="false">
      <c r="A63" s="28" t="n">
        <v>5.18</v>
      </c>
      <c r="B63" s="342"/>
      <c r="C63" s="343" t="n">
        <v>18377371.85</v>
      </c>
      <c r="D63" s="342"/>
      <c r="E63" s="344"/>
      <c r="F63" s="60" t="n">
        <v>27.0566</v>
      </c>
      <c r="G63" s="345" t="n">
        <v>0</v>
      </c>
      <c r="H63" s="346" t="n">
        <f aca="false">1-G63</f>
        <v>1</v>
      </c>
      <c r="I63" s="349" t="n">
        <f aca="false">J63/F63*27.7365</f>
        <v>3937760.85695043</v>
      </c>
      <c r="J63" s="347" t="n">
        <v>3841235.21</v>
      </c>
      <c r="K63" s="289"/>
      <c r="M63" s="327"/>
      <c r="N63" s="289"/>
      <c r="P63" s="327"/>
      <c r="Q63" s="289"/>
      <c r="S63" s="327"/>
      <c r="V63" s="327"/>
      <c r="W63" s="289"/>
      <c r="Y63" s="327"/>
      <c r="AC63" s="289"/>
      <c r="AE63" s="327"/>
      <c r="AF63" s="289"/>
      <c r="AH63" s="327"/>
      <c r="AI63" s="289"/>
      <c r="AK63" s="327"/>
      <c r="AL63" s="289"/>
      <c r="AN63" s="327"/>
      <c r="AO63" s="289"/>
      <c r="AQ63" s="327"/>
      <c r="AR63" s="289"/>
      <c r="AT63" s="327"/>
      <c r="AU63" s="289"/>
      <c r="AW63" s="327"/>
      <c r="AX63" s="289"/>
      <c r="AZ63" s="327"/>
      <c r="BA63" s="289"/>
      <c r="BC63" s="327"/>
      <c r="BD63" s="289"/>
      <c r="BF63" s="327"/>
      <c r="BG63" s="289"/>
      <c r="BI63" s="327"/>
      <c r="BJ63" s="289"/>
      <c r="BL63" s="327"/>
      <c r="BP63" s="289"/>
      <c r="BR63" s="327"/>
      <c r="BS63" s="289"/>
      <c r="BU63" s="327"/>
      <c r="BV63" s="289"/>
      <c r="BX63" s="327"/>
      <c r="BY63" s="289"/>
      <c r="CA63" s="327"/>
      <c r="CB63" s="289"/>
      <c r="CD63" s="327"/>
      <c r="CE63" s="289"/>
      <c r="CG63" s="327"/>
      <c r="CH63" s="289"/>
      <c r="CJ63" s="327"/>
      <c r="CK63" s="289"/>
      <c r="CM63" s="327"/>
      <c r="CN63" s="289"/>
      <c r="CP63" s="327"/>
      <c r="CQ63" s="289"/>
      <c r="CS63" s="327"/>
      <c r="CV63" s="327"/>
      <c r="CW63" s="289"/>
      <c r="CY63" s="327"/>
      <c r="DC63" s="335"/>
      <c r="DE63" s="327"/>
      <c r="DH63" s="327"/>
      <c r="DK63" s="327"/>
      <c r="DL63" s="289"/>
      <c r="DN63" s="327"/>
      <c r="DQ63" s="327"/>
      <c r="DT63" s="327"/>
      <c r="ED63" s="289"/>
      <c r="EJ63" s="289"/>
      <c r="FN63" s="289"/>
      <c r="FQ63" s="289"/>
      <c r="FT63" s="289"/>
      <c r="FW63" s="289"/>
      <c r="GC63" s="289"/>
      <c r="GK63" s="327"/>
      <c r="GU63" s="289"/>
      <c r="GX63" s="289"/>
      <c r="HA63" s="289"/>
      <c r="HD63" s="289"/>
      <c r="HG63" s="289"/>
      <c r="HJ63" s="289"/>
      <c r="HP63" s="289"/>
      <c r="HS63" s="289"/>
      <c r="HV63" s="289"/>
      <c r="HY63" s="289"/>
      <c r="IB63" s="289"/>
      <c r="IE63" s="289"/>
      <c r="IH63" s="289"/>
      <c r="IK63" s="289"/>
      <c r="IN63" s="325" t="n">
        <f aca="false">(IO63*$H63+IP63*$G63)</f>
        <v>252526.838690449</v>
      </c>
      <c r="IO63" s="328" t="n">
        <f aca="false">IP63/$F63*IP$7</f>
        <v>252526.838690449</v>
      </c>
      <c r="IP63" s="327" t="n">
        <v>242268.96</v>
      </c>
      <c r="IQ63" s="325" t="n">
        <f aca="false">(IR63*$H63+IS63*$G63)</f>
        <v>254035.613620041</v>
      </c>
      <c r="IR63" s="328" t="n">
        <f aca="false">IS63/$F63*IS$7</f>
        <v>254035.613620041</v>
      </c>
      <c r="IS63" s="327" t="n">
        <v>242268.96</v>
      </c>
      <c r="IT63" s="325" t="n">
        <f aca="false">(IU63*$H63+IV63*$G63)</f>
        <v>253897.719650215</v>
      </c>
      <c r="IU63" s="328" t="n">
        <f aca="false">IV63/$F63*IV$7</f>
        <v>253897.719650215</v>
      </c>
      <c r="IV63" s="327" t="n">
        <v>242268.96</v>
      </c>
      <c r="IW63" s="325" t="n">
        <f aca="false">(IX63*$H63+IY63*$G63)</f>
        <v>251066.416191835</v>
      </c>
      <c r="IX63" s="328" t="n">
        <f aca="false">IY63/$F63*IY$7</f>
        <v>251066.416191835</v>
      </c>
      <c r="IY63" s="327" t="n">
        <v>242268.96</v>
      </c>
      <c r="JC63" s="325" t="n">
        <f aca="false">(JD63*$H63+JE63*$G63)</f>
        <v>252538.479090499</v>
      </c>
      <c r="JD63" s="329" t="n">
        <f aca="false">JE63/$F63*JE$7</f>
        <v>252538.479090499</v>
      </c>
      <c r="JE63" s="327" t="n">
        <v>242268.96</v>
      </c>
      <c r="JF63" s="325" t="n">
        <f aca="false">(JG63*$H63+JH63*$G63)</f>
        <v>250093.099664555</v>
      </c>
      <c r="JG63" s="326" t="n">
        <f aca="false">JH63/$F63*JH$7</f>
        <v>250093.099664555</v>
      </c>
      <c r="JH63" s="327" t="n">
        <v>242268.96</v>
      </c>
      <c r="JI63" s="325" t="n">
        <f aca="false">(JJ63*$H63+JK63*$G63)</f>
        <v>248194.819040973</v>
      </c>
      <c r="JJ63" s="326" t="n">
        <f aca="false">JK63/$F63*JK$7</f>
        <v>248194.819040973</v>
      </c>
      <c r="JK63" s="327" t="n">
        <v>242268.96</v>
      </c>
      <c r="JL63" s="325" t="n">
        <f aca="false">(JM63*$H63+JN63*$G63)</f>
        <v>250802.268652233</v>
      </c>
      <c r="JM63" s="326" t="n">
        <f aca="false">JN63/$F63*JN$7</f>
        <v>250802.268652233</v>
      </c>
      <c r="JN63" s="327" t="n">
        <v>242268.96</v>
      </c>
      <c r="JO63" s="325" t="n">
        <f aca="false">(JP63*$H63+JQ63*$G63)</f>
        <v>245939.267677387</v>
      </c>
      <c r="JP63" s="326" t="n">
        <f aca="false">JQ63/$F63*JQ$7</f>
        <v>245939.267677387</v>
      </c>
      <c r="JQ63" s="327" t="n">
        <v>242268.96</v>
      </c>
      <c r="JR63" s="325" t="n">
        <f aca="false">(JS63*$H63+JT63*$G63)</f>
        <v>243494.783666832</v>
      </c>
      <c r="JS63" s="328" t="n">
        <f aca="false">JT63/$F63*JT$7</f>
        <v>243494.783666832</v>
      </c>
      <c r="JT63" s="327" t="n">
        <v>242268.96</v>
      </c>
      <c r="JU63" s="325" t="n">
        <f aca="false">(JV63*$H63+JW63*$G63)</f>
        <v>243736.545821722</v>
      </c>
      <c r="JV63" s="329" t="n">
        <f aca="false">JW63/$F63*JW$7</f>
        <v>243736.545821722</v>
      </c>
      <c r="JW63" s="327" t="n">
        <v>242268.96</v>
      </c>
      <c r="JX63" s="325" t="n">
        <f aca="false">(JY63*$H63+JZ63*$G63)</f>
        <v>238587.907337951</v>
      </c>
      <c r="JY63" s="329" t="n">
        <f aca="false">JZ63/$F63*JZ$7</f>
        <v>238587.907337951</v>
      </c>
      <c r="JZ63" s="327" t="n">
        <v>242268.96</v>
      </c>
      <c r="KA63" s="325" t="n">
        <f aca="false">(KB63*$H63+KC63*$G63)</f>
        <v>239100.980355551</v>
      </c>
      <c r="KB63" s="329" t="n">
        <f aca="false">KC63/$F63*KC$7</f>
        <v>239100.980355551</v>
      </c>
      <c r="KC63" s="327" t="n">
        <v>242268.96</v>
      </c>
      <c r="KD63" s="325" t="n">
        <f aca="false">(KE63*$H63+KF63*$G63)</f>
        <v>235243.530861971</v>
      </c>
      <c r="KE63" s="329" t="n">
        <f aca="false">KF63/$F63*KF$7</f>
        <v>235243.530861971</v>
      </c>
      <c r="KF63" s="327" t="n">
        <v>242268.96</v>
      </c>
      <c r="KG63" s="325" t="n">
        <f aca="false">(KH63*$H63+KI63*$G63)</f>
        <v>238706.997584619</v>
      </c>
      <c r="KH63" s="329" t="n">
        <f aca="false">KI63/$F63*KI$7</f>
        <v>238706.997584619</v>
      </c>
      <c r="KI63" s="327" t="n">
        <v>242268.96</v>
      </c>
      <c r="KJ63" s="325" t="n">
        <f aca="false">(KK63*$H63+KL63*$G63)</f>
        <v>244310.507085739</v>
      </c>
      <c r="KK63" s="329" t="n">
        <f aca="false">KL63/$F63*KL$7</f>
        <v>244310.507085739</v>
      </c>
      <c r="KL63" s="327" t="n">
        <v>242268.96</v>
      </c>
      <c r="KP63" s="325" t="n">
        <f aca="false">(KQ63*$H63+KR63*$G63)</f>
        <v>254388.407283103</v>
      </c>
      <c r="KQ63" s="329" t="n">
        <f aca="false">KR63/$F63*KR$7</f>
        <v>254388.407283103</v>
      </c>
      <c r="KR63" s="327" t="n">
        <v>242268.96</v>
      </c>
      <c r="KS63" s="325" t="n">
        <f aca="false">(KT63*$H63+KU63*$G63)</f>
        <v>259560.326566974</v>
      </c>
      <c r="KT63" s="329" t="n">
        <f aca="false">KU63/$F63*KU$7</f>
        <v>259560.326566974</v>
      </c>
      <c r="KU63" s="327" t="n">
        <v>242268.96</v>
      </c>
      <c r="KV63" s="325" t="n">
        <f aca="false">(KW63*$H63+KX63*$G63)</f>
        <v>261952.876484998</v>
      </c>
      <c r="KW63" s="329" t="n">
        <f aca="false">KX63/$F63*KX$7</f>
        <v>261952.876484998</v>
      </c>
      <c r="KX63" s="327" t="n">
        <v>242268.96</v>
      </c>
      <c r="KY63" s="325" t="n">
        <f aca="false">(KZ63*$H63+LA63*$G63)</f>
        <v>261952.876484998</v>
      </c>
      <c r="KZ63" s="329" t="n">
        <f aca="false">LA63/$F63*LA$7</f>
        <v>261952.876484998</v>
      </c>
      <c r="LA63" s="327" t="n">
        <v>242268.96</v>
      </c>
      <c r="LB63" s="325" t="n">
        <f aca="false">(LC63*$H63+LD63*$G63)</f>
        <v>261952.876484998</v>
      </c>
      <c r="LC63" s="329" t="n">
        <f aca="false">LD63/$F63*LD$7</f>
        <v>261952.876484998</v>
      </c>
      <c r="LD63" s="327" t="n">
        <v>242268.96</v>
      </c>
      <c r="LE63" s="325" t="n">
        <f aca="false">(LF63*$H63+LG63*$G63)</f>
        <v>261952.876484998</v>
      </c>
      <c r="LF63" s="329" t="n">
        <f aca="false">LG63/$F63*LG$7</f>
        <v>261952.876484998</v>
      </c>
      <c r="LG63" s="327" t="n">
        <v>242268.96</v>
      </c>
      <c r="LH63" s="325" t="n">
        <f aca="false">(LI63*$H63+LJ63*$G63)</f>
        <v>327440.871752401</v>
      </c>
      <c r="LI63" s="329" t="n">
        <f aca="false">LJ63/$F63*LJ$7</f>
        <v>327440.871752401</v>
      </c>
      <c r="LJ63" s="327" t="n">
        <v>242268.96</v>
      </c>
      <c r="LM63" s="327" t="n">
        <v>242268.96</v>
      </c>
      <c r="LP63" s="327" t="n">
        <v>242268.96</v>
      </c>
      <c r="LS63" s="327" t="n">
        <v>242268.96</v>
      </c>
      <c r="LV63" s="327" t="n">
        <v>242268.96</v>
      </c>
      <c r="LY63" s="327" t="n">
        <v>242268.96</v>
      </c>
      <c r="ME63" s="327" t="n">
        <v>242268.96</v>
      </c>
      <c r="MH63" s="327" t="n">
        <v>242268.96</v>
      </c>
      <c r="MK63" s="327" t="n">
        <v>242268.96</v>
      </c>
      <c r="MN63" s="327" t="n">
        <v>242268.96</v>
      </c>
      <c r="MQ63" s="327" t="n">
        <v>242268.96</v>
      </c>
      <c r="MT63" s="327" t="n">
        <v>242268.96</v>
      </c>
      <c r="MW63" s="327" t="n">
        <v>242268.96</v>
      </c>
      <c r="MZ63" s="327" t="n">
        <v>242268.96</v>
      </c>
      <c r="NC63" s="327" t="n">
        <v>242268.96</v>
      </c>
      <c r="NF63" s="327" t="n">
        <v>242268.96</v>
      </c>
      <c r="NI63" s="327" t="n">
        <v>242268.96</v>
      </c>
      <c r="NL63" s="327" t="n">
        <v>242268.96</v>
      </c>
      <c r="NR63" s="327" t="n">
        <v>242268.96</v>
      </c>
      <c r="NU63" s="327" t="n">
        <v>242268.96</v>
      </c>
      <c r="NX63" s="327" t="n">
        <v>242268.96</v>
      </c>
      <c r="OA63" s="327" t="n">
        <v>242268.96</v>
      </c>
      <c r="OD63" s="327" t="n">
        <v>242268.96</v>
      </c>
      <c r="OG63" s="327" t="n">
        <v>242268.96</v>
      </c>
      <c r="OJ63" s="327" t="n">
        <v>242268.96</v>
      </c>
      <c r="OM63" s="327" t="n">
        <v>242268.96</v>
      </c>
      <c r="OP63" s="327" t="n">
        <v>242268.96</v>
      </c>
      <c r="OS63" s="327" t="n">
        <v>242268.96</v>
      </c>
      <c r="OV63" s="327" t="n">
        <v>242268.96</v>
      </c>
      <c r="OY63" s="327" t="n">
        <v>242268.96</v>
      </c>
      <c r="PE63" s="327" t="n">
        <v>242268.96</v>
      </c>
      <c r="PH63" s="327" t="n">
        <v>242268.96</v>
      </c>
      <c r="PK63" s="327" t="n">
        <v>242268.96</v>
      </c>
      <c r="PN63" s="327" t="n">
        <v>242268.96</v>
      </c>
      <c r="PQ63" s="327" t="n">
        <v>242268.96</v>
      </c>
      <c r="PT63" s="327" t="n">
        <v>242268.96</v>
      </c>
      <c r="PW63" s="327" t="n">
        <v>242268.96</v>
      </c>
      <c r="PZ63" s="327" t="n">
        <v>242268.96</v>
      </c>
    </row>
    <row r="64" s="329" customFormat="true" ht="15" hidden="false" customHeight="false" outlineLevel="0" collapsed="false">
      <c r="A64" s="28" t="n">
        <v>5.19</v>
      </c>
      <c r="B64" s="342"/>
      <c r="C64" s="343" t="n">
        <v>632195.95</v>
      </c>
      <c r="D64" s="342"/>
      <c r="E64" s="344"/>
      <c r="F64" s="60" t="n">
        <v>24.4431</v>
      </c>
      <c r="G64" s="345" t="n">
        <v>0</v>
      </c>
      <c r="H64" s="346" t="n">
        <f aca="false">1-G64</f>
        <v>1</v>
      </c>
      <c r="I64" s="349" t="n">
        <f aca="false">J64/F64*27.7365</f>
        <v>147556.203287431</v>
      </c>
      <c r="J64" s="347" t="n">
        <v>130035.55</v>
      </c>
      <c r="K64" s="289"/>
      <c r="M64" s="327"/>
      <c r="N64" s="289"/>
      <c r="P64" s="327"/>
      <c r="Q64" s="289"/>
      <c r="S64" s="327"/>
      <c r="V64" s="327"/>
      <c r="W64" s="289"/>
      <c r="Y64" s="327"/>
      <c r="AC64" s="289"/>
      <c r="AE64" s="327"/>
      <c r="AF64" s="289"/>
      <c r="AH64" s="327"/>
      <c r="AI64" s="289"/>
      <c r="AK64" s="327"/>
      <c r="AL64" s="289"/>
      <c r="AN64" s="327"/>
      <c r="AO64" s="289"/>
      <c r="AQ64" s="327"/>
      <c r="AR64" s="289"/>
      <c r="AT64" s="327"/>
      <c r="AU64" s="289"/>
      <c r="AW64" s="327"/>
      <c r="AX64" s="289"/>
      <c r="AZ64" s="327"/>
      <c r="BA64" s="289"/>
      <c r="BC64" s="327"/>
      <c r="BD64" s="289"/>
      <c r="BF64" s="327"/>
      <c r="BG64" s="289"/>
      <c r="BI64" s="327"/>
      <c r="BJ64" s="289"/>
      <c r="BL64" s="327"/>
      <c r="BP64" s="289"/>
      <c r="BR64" s="327"/>
      <c r="BS64" s="289"/>
      <c r="BU64" s="327"/>
      <c r="BV64" s="289"/>
      <c r="BX64" s="327"/>
      <c r="BY64" s="289"/>
      <c r="CA64" s="327"/>
      <c r="CB64" s="289"/>
      <c r="CD64" s="327"/>
      <c r="CE64" s="289"/>
      <c r="CG64" s="327"/>
      <c r="CH64" s="289"/>
      <c r="CJ64" s="327"/>
      <c r="CK64" s="289"/>
      <c r="CM64" s="327"/>
      <c r="CN64" s="289"/>
      <c r="CP64" s="327"/>
      <c r="CQ64" s="289"/>
      <c r="CS64" s="327"/>
      <c r="CV64" s="327"/>
      <c r="CW64" s="289"/>
      <c r="CY64" s="327"/>
      <c r="DC64" s="335"/>
      <c r="DE64" s="327"/>
      <c r="DH64" s="327"/>
      <c r="DK64" s="327"/>
      <c r="DL64" s="289"/>
      <c r="DN64" s="327"/>
      <c r="DQ64" s="327"/>
      <c r="DT64" s="327"/>
      <c r="ED64" s="289"/>
      <c r="EJ64" s="289"/>
      <c r="FN64" s="289"/>
      <c r="FQ64" s="289"/>
      <c r="FT64" s="289"/>
      <c r="FW64" s="289"/>
      <c r="GC64" s="289"/>
      <c r="GK64" s="327"/>
      <c r="GU64" s="289"/>
      <c r="GX64" s="289"/>
      <c r="HA64" s="289"/>
      <c r="HD64" s="289"/>
      <c r="HG64" s="289"/>
      <c r="HJ64" s="289"/>
      <c r="HP64" s="289"/>
      <c r="HS64" s="289"/>
      <c r="HV64" s="289"/>
      <c r="HY64" s="289"/>
      <c r="IB64" s="289"/>
      <c r="IE64" s="289"/>
      <c r="IH64" s="289"/>
      <c r="IK64" s="289"/>
      <c r="IM64" s="327"/>
      <c r="IN64" s="325" t="n">
        <f aca="false">(IO64*$H64+IP64*$G64)</f>
        <v>9656.45930949839</v>
      </c>
      <c r="IO64" s="328" t="n">
        <f aca="false">IP64/$F64*IP$7</f>
        <v>9656.45930949839</v>
      </c>
      <c r="IP64" s="327" t="n">
        <v>8369.34</v>
      </c>
      <c r="IQ64" s="325" t="n">
        <f aca="false">(IR64*$H64+IS64*$G64)</f>
        <v>9714.15386501712</v>
      </c>
      <c r="IR64" s="328" t="n">
        <f aca="false">IS64/$F64*IS$7</f>
        <v>9714.15386501712</v>
      </c>
      <c r="IS64" s="327" t="n">
        <v>8369.34</v>
      </c>
      <c r="IT64" s="325" t="n">
        <f aca="false">(IU64*$H64+IV64*$G64)</f>
        <v>9708.88089080354</v>
      </c>
      <c r="IU64" s="328" t="n">
        <f aca="false">IV64/$F64*IV$7</f>
        <v>9708.88089080354</v>
      </c>
      <c r="IV64" s="327" t="n">
        <v>8369.34</v>
      </c>
      <c r="IW64" s="325" t="n">
        <f aca="false">(IX64*$H64+IY64*$G64)</f>
        <v>9600.61371896363</v>
      </c>
      <c r="IX64" s="328" t="n">
        <f aca="false">IY64/$F64*IY$7</f>
        <v>9600.61371896363</v>
      </c>
      <c r="IY64" s="327" t="n">
        <v>8369.34</v>
      </c>
      <c r="JC64" s="325" t="n">
        <f aca="false">(JD64*$H64+JE64*$G64)</f>
        <v>9656.90443069823</v>
      </c>
      <c r="JD64" s="329" t="n">
        <f aca="false">JE64/$F64*JE$7</f>
        <v>9656.90443069823</v>
      </c>
      <c r="JE64" s="327" t="n">
        <v>8369.34</v>
      </c>
      <c r="JF64" s="325" t="n">
        <f aca="false">(JG64*$H64+JH64*$G64)</f>
        <v>9563.3947386379</v>
      </c>
      <c r="JG64" s="326" t="n">
        <f aca="false">JH64/$F64*JH$7</f>
        <v>9563.3947386379</v>
      </c>
      <c r="JH64" s="327" t="n">
        <v>8369.34</v>
      </c>
      <c r="JI64" s="325" t="n">
        <f aca="false">(JJ64*$H64+JK64*$G64)</f>
        <v>9490.80574297041</v>
      </c>
      <c r="JJ64" s="326" t="n">
        <f aca="false">JK64/$F64*JK$7</f>
        <v>9490.80574297041</v>
      </c>
      <c r="JK64" s="327" t="n">
        <v>8369.34</v>
      </c>
      <c r="JL64" s="325" t="n">
        <f aca="false">(JM64*$H64+JN64*$G64)</f>
        <v>9590.51289173632</v>
      </c>
      <c r="JM64" s="326" t="n">
        <f aca="false">JN64/$F64*JN$7</f>
        <v>9590.51289173632</v>
      </c>
      <c r="JN64" s="327" t="n">
        <v>8369.34</v>
      </c>
      <c r="JO64" s="325" t="n">
        <f aca="false">(JP64*$H64+JQ64*$G64)</f>
        <v>9404.55495047682</v>
      </c>
      <c r="JP64" s="326" t="n">
        <f aca="false">JQ64/$F64*JQ$7</f>
        <v>9404.55495047682</v>
      </c>
      <c r="JQ64" s="327" t="n">
        <v>8369.34</v>
      </c>
      <c r="JR64" s="325" t="n">
        <f aca="false">(JS64*$H64+JT64*$G64)</f>
        <v>9311.07949850878</v>
      </c>
      <c r="JS64" s="328" t="n">
        <f aca="false">JT64/$F64*JT$7</f>
        <v>9311.07949850878</v>
      </c>
      <c r="JT64" s="327" t="n">
        <v>8369.34</v>
      </c>
      <c r="JU64" s="325" t="n">
        <f aca="false">(JV64*$H64+JW64*$G64)</f>
        <v>9320.3243234287</v>
      </c>
      <c r="JV64" s="329" t="n">
        <f aca="false">JW64/$F64*JW$7</f>
        <v>9320.3243234287</v>
      </c>
      <c r="JW64" s="327" t="n">
        <v>8369.34</v>
      </c>
      <c r="JX64" s="325" t="n">
        <f aca="false">(JY64*$H64+JZ64*$G64)</f>
        <v>9123.44379272678</v>
      </c>
      <c r="JY64" s="329" t="n">
        <f aca="false">JZ64/$F64*JZ$7</f>
        <v>9123.44379272678</v>
      </c>
      <c r="JZ64" s="327" t="n">
        <v>8369.34</v>
      </c>
      <c r="KA64" s="325" t="n">
        <f aca="false">(KB64*$H64+KC64*$G64)</f>
        <v>9143.06336561238</v>
      </c>
      <c r="KB64" s="329" t="n">
        <f aca="false">KC64/$F64*KC$7</f>
        <v>9143.06336561238</v>
      </c>
      <c r="KC64" s="327" t="n">
        <v>8369.34</v>
      </c>
      <c r="KD64" s="325" t="n">
        <f aca="false">(KE64*$H64+KF64*$G64)</f>
        <v>8995.55704800128</v>
      </c>
      <c r="KE64" s="329" t="n">
        <f aca="false">KF64/$F64*KF$7</f>
        <v>8995.55704800128</v>
      </c>
      <c r="KF64" s="327" t="n">
        <v>8369.34</v>
      </c>
      <c r="KG64" s="325" t="n">
        <f aca="false">(KH64*$H64+KI64*$G64)</f>
        <v>9127.99772500215</v>
      </c>
      <c r="KH64" s="329" t="n">
        <f aca="false">KI64/$F64*KI$7</f>
        <v>9127.99772500215</v>
      </c>
      <c r="KI64" s="327" t="n">
        <v>8369.34</v>
      </c>
      <c r="KJ64" s="325" t="n">
        <f aca="false">(KK64*$H64+KL64*$G64)</f>
        <v>9342.27222259042</v>
      </c>
      <c r="KK64" s="329" t="n">
        <f aca="false">KL64/$F64*KL$7</f>
        <v>9342.27222259042</v>
      </c>
      <c r="KL64" s="327" t="n">
        <v>8369.34</v>
      </c>
      <c r="KP64" s="325" t="n">
        <f aca="false">(KQ64*$H64+KR64*$G64)</f>
        <v>9727.64446138174</v>
      </c>
      <c r="KQ64" s="329" t="n">
        <f aca="false">KR64/$F64*KR$7</f>
        <v>9727.64446138174</v>
      </c>
      <c r="KR64" s="327" t="n">
        <v>8369.34</v>
      </c>
      <c r="KS64" s="325" t="n">
        <f aca="false">(KT64*$H64+KU64*$G64)</f>
        <v>9925.41523448335</v>
      </c>
      <c r="KT64" s="329" t="n">
        <f aca="false">KU64/$F64*KU$7</f>
        <v>9925.41523448335</v>
      </c>
      <c r="KU64" s="327" t="n">
        <v>8369.34</v>
      </c>
      <c r="KV64" s="325" t="n">
        <f aca="false">(KW64*$H64+KX64*$G64)</f>
        <v>10016.9047610982</v>
      </c>
      <c r="KW64" s="329" t="n">
        <f aca="false">KX64/$F64*KX$7</f>
        <v>10016.9047610982</v>
      </c>
      <c r="KX64" s="327" t="n">
        <v>8369.34</v>
      </c>
      <c r="KY64" s="325" t="n">
        <f aca="false">(KZ64*$H64+LA64*$G64)</f>
        <v>10016.9047610982</v>
      </c>
      <c r="KZ64" s="329" t="n">
        <f aca="false">LA64/$F64*LA$7</f>
        <v>10016.9047610982</v>
      </c>
      <c r="LA64" s="327" t="n">
        <v>8369.34</v>
      </c>
      <c r="LB64" s="325" t="n">
        <f aca="false">(LC64*$H64+LD64*$G64)</f>
        <v>10016.9047610982</v>
      </c>
      <c r="LC64" s="329" t="n">
        <f aca="false">LD64/$F64*LD$7</f>
        <v>10016.9047610982</v>
      </c>
      <c r="LD64" s="327" t="n">
        <v>8369.34</v>
      </c>
      <c r="LE64" s="325" t="n">
        <f aca="false">(LF64*$H64+LG64*$G64)</f>
        <v>10016.9047610982</v>
      </c>
      <c r="LF64" s="329" t="n">
        <f aca="false">LG64/$F64*LG$7</f>
        <v>10016.9047610982</v>
      </c>
      <c r="LG64" s="327" t="n">
        <v>8369.34</v>
      </c>
      <c r="LH64" s="325" t="n">
        <f aca="false">(LI64*$H64+LJ64*$G64)</f>
        <v>12521.1223913497</v>
      </c>
      <c r="LI64" s="329" t="n">
        <f aca="false">LJ64/$F64*LJ$7</f>
        <v>12521.1223913497</v>
      </c>
      <c r="LJ64" s="327" t="n">
        <v>8369.34</v>
      </c>
      <c r="LM64" s="327" t="n">
        <v>8369.34</v>
      </c>
      <c r="LP64" s="327" t="n">
        <v>8369.34</v>
      </c>
      <c r="LS64" s="327" t="n">
        <v>8369.34</v>
      </c>
      <c r="LV64" s="327" t="n">
        <v>8369.34</v>
      </c>
      <c r="LY64" s="327" t="n">
        <v>8369.34</v>
      </c>
      <c r="ME64" s="327" t="n">
        <v>8369.34</v>
      </c>
      <c r="MH64" s="327" t="n">
        <v>8369.34</v>
      </c>
      <c r="MK64" s="327" t="n">
        <v>8369.34</v>
      </c>
      <c r="MN64" s="327" t="n">
        <v>8369.34</v>
      </c>
      <c r="MQ64" s="327" t="n">
        <v>8369.34</v>
      </c>
      <c r="MT64" s="327" t="n">
        <v>8369.34</v>
      </c>
      <c r="MW64" s="327" t="n">
        <v>8369.34</v>
      </c>
      <c r="MZ64" s="327" t="n">
        <v>8369.34</v>
      </c>
      <c r="NC64" s="327" t="n">
        <v>8369.34</v>
      </c>
      <c r="NF64" s="327" t="n">
        <v>8369.34</v>
      </c>
      <c r="NI64" s="327" t="n">
        <v>8369.34</v>
      </c>
      <c r="NL64" s="327" t="n">
        <v>8369.34</v>
      </c>
      <c r="NR64" s="327" t="n">
        <v>8369.34</v>
      </c>
      <c r="NU64" s="327" t="n">
        <v>8369.34</v>
      </c>
      <c r="NX64" s="327" t="n">
        <v>8369.34</v>
      </c>
      <c r="OA64" s="327" t="n">
        <v>8369.34</v>
      </c>
      <c r="OD64" s="327" t="n">
        <v>8369.34</v>
      </c>
      <c r="OG64" s="327" t="n">
        <v>8369.34</v>
      </c>
      <c r="OJ64" s="327" t="n">
        <v>8369.34</v>
      </c>
      <c r="OM64" s="327" t="n">
        <v>8369.34</v>
      </c>
      <c r="OP64" s="327" t="n">
        <v>8369.34</v>
      </c>
      <c r="OS64" s="327" t="n">
        <v>8369.34</v>
      </c>
      <c r="OV64" s="327" t="n">
        <v>8369.34</v>
      </c>
      <c r="OY64" s="327" t="n">
        <v>8369.34</v>
      </c>
      <c r="PE64" s="327" t="n">
        <v>8369.34</v>
      </c>
      <c r="PH64" s="327" t="n">
        <v>8369.34</v>
      </c>
      <c r="PK64" s="327" t="n">
        <v>8369.34</v>
      </c>
      <c r="PN64" s="327" t="n">
        <v>8369.34</v>
      </c>
      <c r="PQ64" s="327" t="n">
        <v>8369.34</v>
      </c>
      <c r="PT64" s="327" t="n">
        <v>8369.34</v>
      </c>
      <c r="PW64" s="327" t="n">
        <v>8369.34</v>
      </c>
      <c r="PZ64" s="327" t="n">
        <v>8369.34</v>
      </c>
    </row>
    <row r="65" s="329" customFormat="true" ht="15" hidden="false" customHeight="false" outlineLevel="0" collapsed="false">
      <c r="A65" s="146" t="s">
        <v>2508</v>
      </c>
      <c r="B65" s="342"/>
      <c r="C65" s="343" t="n">
        <v>936533.63</v>
      </c>
      <c r="D65" s="342"/>
      <c r="E65" s="344"/>
      <c r="F65" s="60" t="n">
        <v>26.77</v>
      </c>
      <c r="G65" s="345" t="n">
        <v>0</v>
      </c>
      <c r="H65" s="346" t="n">
        <f aca="false">1-G65</f>
        <v>1</v>
      </c>
      <c r="I65" s="349" t="n">
        <f aca="false">J65/F65*27.5618</f>
        <v>194098.113053941</v>
      </c>
      <c r="J65" s="347" t="n">
        <v>188522.03</v>
      </c>
      <c r="K65" s="289"/>
      <c r="M65" s="327"/>
      <c r="N65" s="289"/>
      <c r="P65" s="327"/>
      <c r="Q65" s="289"/>
      <c r="S65" s="327"/>
      <c r="V65" s="327"/>
      <c r="W65" s="289"/>
      <c r="Y65" s="327"/>
      <c r="AC65" s="289"/>
      <c r="AE65" s="327"/>
      <c r="AF65" s="289"/>
      <c r="AH65" s="327"/>
      <c r="AI65" s="289"/>
      <c r="AK65" s="327"/>
      <c r="AL65" s="289"/>
      <c r="AN65" s="327"/>
      <c r="AO65" s="289"/>
      <c r="AQ65" s="327"/>
      <c r="AR65" s="289"/>
      <c r="AT65" s="327"/>
      <c r="AU65" s="289"/>
      <c r="AW65" s="327"/>
      <c r="AX65" s="289"/>
      <c r="AZ65" s="327"/>
      <c r="BA65" s="289"/>
      <c r="BC65" s="327"/>
      <c r="BD65" s="289"/>
      <c r="BF65" s="327"/>
      <c r="BG65" s="289"/>
      <c r="BI65" s="327"/>
      <c r="BJ65" s="289"/>
      <c r="BL65" s="327"/>
      <c r="BP65" s="289"/>
      <c r="BR65" s="327"/>
      <c r="BS65" s="289"/>
      <c r="BU65" s="327"/>
      <c r="BV65" s="289"/>
      <c r="BX65" s="327"/>
      <c r="BY65" s="289"/>
      <c r="CA65" s="327"/>
      <c r="CB65" s="289"/>
      <c r="CD65" s="327"/>
      <c r="CE65" s="289"/>
      <c r="CG65" s="327"/>
      <c r="CH65" s="289"/>
      <c r="CJ65" s="327"/>
      <c r="CK65" s="289"/>
      <c r="CM65" s="327"/>
      <c r="CN65" s="289"/>
      <c r="CP65" s="327"/>
      <c r="CQ65" s="289"/>
      <c r="CS65" s="327"/>
      <c r="CV65" s="327"/>
      <c r="CW65" s="289"/>
      <c r="CY65" s="327"/>
      <c r="DC65" s="335"/>
      <c r="DE65" s="327"/>
      <c r="DH65" s="327"/>
      <c r="DK65" s="327"/>
      <c r="DL65" s="289"/>
      <c r="DN65" s="327"/>
      <c r="DQ65" s="327"/>
      <c r="DT65" s="327"/>
      <c r="ED65" s="289"/>
      <c r="EJ65" s="289"/>
      <c r="FN65" s="289"/>
      <c r="FQ65" s="289"/>
      <c r="FT65" s="289"/>
      <c r="FW65" s="289"/>
      <c r="GC65" s="289"/>
      <c r="GK65" s="327"/>
      <c r="GU65" s="289"/>
      <c r="GX65" s="289"/>
      <c r="HA65" s="289"/>
      <c r="HD65" s="289"/>
      <c r="HG65" s="289"/>
      <c r="HJ65" s="289"/>
      <c r="HP65" s="289"/>
      <c r="HS65" s="289"/>
      <c r="HV65" s="289"/>
      <c r="HY65" s="289"/>
      <c r="IB65" s="289"/>
      <c r="IE65" s="289"/>
      <c r="IH65" s="289"/>
      <c r="IK65" s="289"/>
      <c r="IM65" s="327"/>
      <c r="IN65" s="289"/>
      <c r="IP65" s="327"/>
      <c r="IQ65" s="325" t="n">
        <f aca="false">(IR65*$H65+IS65*$G65)</f>
        <v>13212.3102354128</v>
      </c>
      <c r="IR65" s="328" t="n">
        <f aca="false">IS65/$F65*IS$7</f>
        <v>13212.3102354128</v>
      </c>
      <c r="IS65" s="327" t="n">
        <v>12466.86</v>
      </c>
      <c r="IT65" s="325" t="n">
        <f aca="false">(IU65*$H65+IV65*$G65)</f>
        <v>13205.1384145685</v>
      </c>
      <c r="IU65" s="328" t="n">
        <f aca="false">IV65/$F65*IV$7</f>
        <v>13205.1384145685</v>
      </c>
      <c r="IV65" s="327" t="n">
        <v>12466.86</v>
      </c>
      <c r="IW65" s="325" t="n">
        <f aca="false">(IX65*$H65+IY65*$G65)</f>
        <v>13057.8832359358</v>
      </c>
      <c r="IX65" s="328" t="n">
        <f aca="false">IY65/$F65*IY$7</f>
        <v>13057.8832359358</v>
      </c>
      <c r="IY65" s="327" t="n">
        <v>12466.86</v>
      </c>
      <c r="JC65" s="325" t="n">
        <f aca="false">(JD65*$H65+JE65*$G65)</f>
        <v>13134.4447519612</v>
      </c>
      <c r="JD65" s="329" t="n">
        <f aca="false">JE65/$F65*JE$7</f>
        <v>13134.4447519612</v>
      </c>
      <c r="JE65" s="327" t="n">
        <v>12466.86</v>
      </c>
      <c r="JF65" s="325" t="n">
        <f aca="false">(JG65*$H65+JH65*$G65)</f>
        <v>13007.2613576391</v>
      </c>
      <c r="JG65" s="326" t="n">
        <f aca="false">JH65/$F65*JH$7</f>
        <v>13007.2613576391</v>
      </c>
      <c r="JH65" s="327" t="n">
        <v>12466.86</v>
      </c>
      <c r="JI65" s="325" t="n">
        <f aca="false">(JJ65*$H65+JK65*$G65)</f>
        <v>12908.5323953679</v>
      </c>
      <c r="JJ65" s="326" t="n">
        <f aca="false">JK65/$F65*JK$7</f>
        <v>12908.5323953679</v>
      </c>
      <c r="JK65" s="327" t="n">
        <v>12466.86</v>
      </c>
      <c r="JL65" s="325" t="n">
        <f aca="false">(JM65*$H65+JN65*$G65)</f>
        <v>13044.1450076952</v>
      </c>
      <c r="JM65" s="326" t="n">
        <f aca="false">JN65/$F65*JN$7</f>
        <v>13044.1450076952</v>
      </c>
      <c r="JN65" s="327" t="n">
        <v>12466.86</v>
      </c>
      <c r="JO65" s="325" t="n">
        <f aca="false">(JP65*$H65+JQ65*$G65)</f>
        <v>12791.2218972731</v>
      </c>
      <c r="JP65" s="326" t="n">
        <f aca="false">JQ65/$F65*JQ$7</f>
        <v>12791.2218972731</v>
      </c>
      <c r="JQ65" s="327" t="n">
        <v>12466.86</v>
      </c>
      <c r="JR65" s="325" t="n">
        <f aca="false">(JS65*$H65+JT65*$G65)</f>
        <v>12664.0850732163</v>
      </c>
      <c r="JS65" s="328" t="n">
        <f aca="false">JT65/$F65*JT$7</f>
        <v>12664.0850732163</v>
      </c>
      <c r="JT65" s="327" t="n">
        <v>12466.86</v>
      </c>
      <c r="JU65" s="325" t="n">
        <f aca="false">(JV65*$H65+JW65*$G65)</f>
        <v>12676.6590448263</v>
      </c>
      <c r="JV65" s="329" t="n">
        <f aca="false">JW65/$F65*JW$7</f>
        <v>12676.6590448263</v>
      </c>
      <c r="JW65" s="327" t="n">
        <v>12466.86</v>
      </c>
      <c r="JX65" s="325" t="n">
        <f aca="false">(JY65*$H65+JZ65*$G65)</f>
        <v>12408.8800197983</v>
      </c>
      <c r="JY65" s="329" t="n">
        <f aca="false">JZ65/$F65*JZ$7</f>
        <v>12408.8800197983</v>
      </c>
      <c r="JZ65" s="327" t="n">
        <v>12466.86</v>
      </c>
      <c r="KA65" s="325" t="n">
        <f aca="false">(KB65*$H65+KC65*$G65)</f>
        <v>12435.5647817706</v>
      </c>
      <c r="KB65" s="329" t="n">
        <f aca="false">KC65/$F65*KC$7</f>
        <v>12435.5647817706</v>
      </c>
      <c r="KC65" s="327" t="n">
        <v>12466.86</v>
      </c>
      <c r="KD65" s="325" t="n">
        <f aca="false">(KE65*$H65+KF65*$G65)</f>
        <v>12234.9400791931</v>
      </c>
      <c r="KE65" s="329" t="n">
        <f aca="false">KF65/$F65*KF$7</f>
        <v>12234.9400791931</v>
      </c>
      <c r="KF65" s="327" t="n">
        <v>12466.86</v>
      </c>
      <c r="KG65" s="325" t="n">
        <f aca="false">(KH65*$H65+KI65*$G65)</f>
        <v>12415.0738650728</v>
      </c>
      <c r="KH65" s="329" t="n">
        <f aca="false">KI65/$F65*KI$7</f>
        <v>12415.0738650728</v>
      </c>
      <c r="KI65" s="327" t="n">
        <v>12466.86</v>
      </c>
      <c r="KJ65" s="325" t="n">
        <f aca="false">(KK65*$H65+KL65*$G65)</f>
        <v>12706.5105848338</v>
      </c>
      <c r="KK65" s="329" t="n">
        <f aca="false">KL65/$F65*KL$7</f>
        <v>12706.5105848338</v>
      </c>
      <c r="KL65" s="327" t="n">
        <v>12466.86</v>
      </c>
      <c r="KP65" s="325" t="n">
        <f aca="false">(KQ65*$H65+KR65*$G65)</f>
        <v>13230.6589199104</v>
      </c>
      <c r="KQ65" s="329" t="n">
        <f aca="false">KR65/$F65*KR$7</f>
        <v>13230.6589199104</v>
      </c>
      <c r="KR65" s="327" t="n">
        <v>12466.86</v>
      </c>
      <c r="KS65" s="325" t="n">
        <f aca="false">(KT65*$H65+KU65*$G65)</f>
        <v>13499.6487718341</v>
      </c>
      <c r="KT65" s="329" t="n">
        <f aca="false">KU65/$F65*KU$7</f>
        <v>13499.6487718341</v>
      </c>
      <c r="KU65" s="327" t="n">
        <v>12466.86</v>
      </c>
      <c r="KV65" s="325" t="n">
        <f aca="false">(KW65*$H65+KX65*$G65)</f>
        <v>13624.084520508</v>
      </c>
      <c r="KW65" s="329" t="n">
        <f aca="false">KX65/$F65*KX$7</f>
        <v>13624.084520508</v>
      </c>
      <c r="KX65" s="327" t="n">
        <v>12466.86</v>
      </c>
      <c r="KY65" s="325" t="n">
        <f aca="false">(KZ65*$H65+LA65*$G65)</f>
        <v>13624.084520508</v>
      </c>
      <c r="KZ65" s="329" t="n">
        <f aca="false">LA65/$F65*LA$7</f>
        <v>13624.084520508</v>
      </c>
      <c r="LA65" s="327" t="n">
        <v>12466.86</v>
      </c>
      <c r="LB65" s="325" t="n">
        <f aca="false">(LC65*$H65+LD65*$G65)</f>
        <v>13624.084520508</v>
      </c>
      <c r="LC65" s="329" t="n">
        <f aca="false">LD65/$F65*LD$7</f>
        <v>13624.084520508</v>
      </c>
      <c r="LD65" s="327" t="n">
        <v>12466.86</v>
      </c>
      <c r="LE65" s="325" t="n">
        <f aca="false">(LF65*$H65+LG65*$G65)</f>
        <v>13624.084520508</v>
      </c>
      <c r="LF65" s="329" t="n">
        <f aca="false">LG65/$F65*LG$7</f>
        <v>13624.084520508</v>
      </c>
      <c r="LG65" s="327" t="n">
        <v>12466.86</v>
      </c>
      <c r="LH65" s="325" t="n">
        <f aca="false">(LI65*$H65+LJ65*$G65)</f>
        <v>17030.0940080687</v>
      </c>
      <c r="LI65" s="329" t="n">
        <f aca="false">LJ65/$F65*LJ$7</f>
        <v>17030.0940080687</v>
      </c>
      <c r="LJ65" s="327" t="n">
        <v>12466.86</v>
      </c>
      <c r="LM65" s="327" t="n">
        <v>12466.86</v>
      </c>
      <c r="LP65" s="327" t="n">
        <v>12466.86</v>
      </c>
      <c r="LS65" s="327" t="n">
        <v>12466.86</v>
      </c>
      <c r="LV65" s="327" t="n">
        <v>12466.86</v>
      </c>
      <c r="LY65" s="327" t="n">
        <v>12466.86</v>
      </c>
      <c r="ME65" s="327" t="n">
        <v>12466.86</v>
      </c>
      <c r="MH65" s="327" t="n">
        <v>12466.86</v>
      </c>
      <c r="MK65" s="327" t="n">
        <v>12466.86</v>
      </c>
      <c r="MN65" s="327" t="n">
        <v>12466.86</v>
      </c>
      <c r="MQ65" s="327" t="n">
        <v>12466.86</v>
      </c>
      <c r="MT65" s="327" t="n">
        <v>12466.86</v>
      </c>
      <c r="MW65" s="327" t="n">
        <v>12466.86</v>
      </c>
      <c r="MZ65" s="327" t="n">
        <v>12466.86</v>
      </c>
      <c r="NC65" s="327" t="n">
        <v>12466.86</v>
      </c>
      <c r="NF65" s="327" t="n">
        <v>12466.86</v>
      </c>
      <c r="NI65" s="327" t="n">
        <v>12466.86</v>
      </c>
      <c r="NL65" s="327" t="n">
        <v>12466.86</v>
      </c>
      <c r="NR65" s="327" t="n">
        <v>12466.86</v>
      </c>
      <c r="NU65" s="327" t="n">
        <v>12466.86</v>
      </c>
      <c r="NX65" s="327" t="n">
        <v>12466.86</v>
      </c>
      <c r="OA65" s="327" t="n">
        <v>12466.86</v>
      </c>
      <c r="OD65" s="327" t="n">
        <v>12466.86</v>
      </c>
      <c r="OG65" s="327" t="n">
        <v>12466.86</v>
      </c>
      <c r="OJ65" s="327" t="n">
        <v>12466.86</v>
      </c>
      <c r="OM65" s="327" t="n">
        <v>12466.86</v>
      </c>
      <c r="OP65" s="327" t="n">
        <v>12466.86</v>
      </c>
      <c r="OS65" s="327" t="n">
        <v>12466.86</v>
      </c>
      <c r="OV65" s="327" t="n">
        <v>12466.86</v>
      </c>
      <c r="OY65" s="327" t="n">
        <v>12466.86</v>
      </c>
      <c r="PE65" s="327" t="n">
        <v>12466.86</v>
      </c>
      <c r="PH65" s="327" t="n">
        <v>12466.86</v>
      </c>
      <c r="PK65" s="327" t="n">
        <v>12466.86</v>
      </c>
      <c r="PN65" s="327" t="n">
        <v>12466.86</v>
      </c>
      <c r="PQ65" s="327" t="n">
        <v>12466.86</v>
      </c>
      <c r="PT65" s="327" t="n">
        <v>12466.86</v>
      </c>
      <c r="PW65" s="327" t="n">
        <v>12466.86</v>
      </c>
      <c r="PZ65" s="327" t="n">
        <v>12466.86</v>
      </c>
      <c r="QC65" s="327" t="n">
        <v>12466.86</v>
      </c>
    </row>
    <row r="66" s="329" customFormat="true" ht="15" hidden="false" customHeight="false" outlineLevel="0" collapsed="false">
      <c r="A66" s="28" t="n">
        <v>5.21</v>
      </c>
      <c r="B66" s="342"/>
      <c r="C66" s="343" t="n">
        <v>1253645.88</v>
      </c>
      <c r="D66" s="342"/>
      <c r="E66" s="344"/>
      <c r="F66" s="60" t="n">
        <v>26.7633</v>
      </c>
      <c r="G66" s="345" t="n">
        <v>0</v>
      </c>
      <c r="H66" s="346" t="n">
        <f aca="false">1-G66</f>
        <v>1</v>
      </c>
      <c r="I66" s="349" t="n">
        <f aca="false">J66/F66*28.3062</f>
        <v>277147.685545953</v>
      </c>
      <c r="J66" s="347" t="n">
        <v>262041.06</v>
      </c>
      <c r="K66" s="289"/>
      <c r="M66" s="327"/>
      <c r="N66" s="289"/>
      <c r="P66" s="327"/>
      <c r="Q66" s="289"/>
      <c r="S66" s="327"/>
      <c r="V66" s="327"/>
      <c r="W66" s="289"/>
      <c r="Y66" s="327"/>
      <c r="AC66" s="289"/>
      <c r="AE66" s="327"/>
      <c r="AF66" s="289"/>
      <c r="AH66" s="327"/>
      <c r="AI66" s="289"/>
      <c r="AK66" s="327"/>
      <c r="AL66" s="289"/>
      <c r="AN66" s="327"/>
      <c r="AO66" s="289"/>
      <c r="AQ66" s="327"/>
      <c r="AR66" s="289"/>
      <c r="AT66" s="327"/>
      <c r="AU66" s="289"/>
      <c r="AW66" s="327"/>
      <c r="AX66" s="289"/>
      <c r="AZ66" s="327"/>
      <c r="BA66" s="289"/>
      <c r="BC66" s="327"/>
      <c r="BD66" s="289"/>
      <c r="BF66" s="327"/>
      <c r="BG66" s="289"/>
      <c r="BI66" s="327"/>
      <c r="BJ66" s="289"/>
      <c r="BL66" s="327"/>
      <c r="BP66" s="289"/>
      <c r="BR66" s="327"/>
      <c r="BS66" s="289"/>
      <c r="BU66" s="327"/>
      <c r="BV66" s="289"/>
      <c r="BX66" s="327"/>
      <c r="BY66" s="289"/>
      <c r="CA66" s="327"/>
      <c r="CB66" s="289"/>
      <c r="CD66" s="327"/>
      <c r="CE66" s="289"/>
      <c r="CG66" s="327"/>
      <c r="CH66" s="289"/>
      <c r="CJ66" s="327"/>
      <c r="CK66" s="289"/>
      <c r="CM66" s="327"/>
      <c r="CN66" s="289"/>
      <c r="CP66" s="327"/>
      <c r="CQ66" s="289"/>
      <c r="CS66" s="327"/>
      <c r="CV66" s="327"/>
      <c r="CW66" s="289"/>
      <c r="CY66" s="327"/>
      <c r="DC66" s="335"/>
      <c r="DE66" s="327"/>
      <c r="DH66" s="327"/>
      <c r="DK66" s="327"/>
      <c r="DL66" s="289"/>
      <c r="DN66" s="327"/>
      <c r="DQ66" s="327"/>
      <c r="DT66" s="327"/>
      <c r="ED66" s="289"/>
      <c r="EJ66" s="289"/>
      <c r="FN66" s="289"/>
      <c r="FQ66" s="289"/>
      <c r="FT66" s="289"/>
      <c r="FW66" s="289"/>
      <c r="GC66" s="289"/>
      <c r="GK66" s="327"/>
      <c r="GU66" s="289"/>
      <c r="GX66" s="289"/>
      <c r="HA66" s="289"/>
      <c r="HD66" s="289"/>
      <c r="HG66" s="289"/>
      <c r="HJ66" s="289"/>
      <c r="HP66" s="289"/>
      <c r="HS66" s="289"/>
      <c r="HV66" s="289"/>
      <c r="HY66" s="289"/>
      <c r="IB66" s="289"/>
      <c r="IE66" s="289"/>
      <c r="IH66" s="289"/>
      <c r="IK66" s="289"/>
      <c r="IM66" s="327"/>
      <c r="IN66" s="289"/>
      <c r="IP66" s="327"/>
      <c r="IQ66" s="289"/>
      <c r="IS66" s="327"/>
      <c r="IT66" s="325" t="n">
        <f aca="false">(IU66*$H66+IV66*$G66)</f>
        <v>17509.8451173062</v>
      </c>
      <c r="IU66" s="328" t="n">
        <f aca="false">IV66/$F66*IV$7</f>
        <v>17509.8451173062</v>
      </c>
      <c r="IV66" s="327" t="n">
        <v>16526.76</v>
      </c>
      <c r="IW66" s="325" t="n">
        <f aca="false">(IX66*$H66+IY66*$G66)</f>
        <v>17314.5866285548</v>
      </c>
      <c r="IX66" s="328" t="n">
        <f aca="false">IY66/$F66*IY$7</f>
        <v>17314.5866285548</v>
      </c>
      <c r="IY66" s="338" t="n">
        <v>16526.76</v>
      </c>
      <c r="JC66" s="325" t="n">
        <f aca="false">(JD66*$H66+JE66*$G66)</f>
        <v>17416.1062223268</v>
      </c>
      <c r="JD66" s="329" t="n">
        <f aca="false">JE66/$F66*JE$7</f>
        <v>17416.1062223268</v>
      </c>
      <c r="JE66" s="338" t="n">
        <v>16526.76</v>
      </c>
      <c r="JF66" s="325" t="n">
        <f aca="false">(JG66*$H66+JH66*$G66)</f>
        <v>17247.4626635729</v>
      </c>
      <c r="JG66" s="326" t="n">
        <f aca="false">JH66/$F66*JH$7</f>
        <v>17247.4626635729</v>
      </c>
      <c r="JH66" s="338" t="n">
        <v>16526.76</v>
      </c>
      <c r="JI66" s="325" t="n">
        <f aca="false">(JJ66*$H66+JK66*$G66)</f>
        <v>17116.549318806</v>
      </c>
      <c r="JJ66" s="326" t="n">
        <f aca="false">JK66/$F66*JK$7</f>
        <v>17116.549318806</v>
      </c>
      <c r="JK66" s="338" t="n">
        <v>16526.76</v>
      </c>
      <c r="JL66" s="325" t="n">
        <f aca="false">(JM66*$H66+JN66*$G66)</f>
        <v>17296.3699131273</v>
      </c>
      <c r="JM66" s="326" t="n">
        <f aca="false">JN66/$F66*JN$7</f>
        <v>17296.3699131273</v>
      </c>
      <c r="JN66" s="338" t="n">
        <v>16526.76</v>
      </c>
      <c r="JO66" s="325" t="n">
        <f aca="false">(JP66*$H66+JQ66*$G66)</f>
        <v>16960.9970945287</v>
      </c>
      <c r="JP66" s="326" t="n">
        <f aca="false">JQ66/$F66*JQ$7</f>
        <v>16960.9970945287</v>
      </c>
      <c r="JQ66" s="338" t="n">
        <v>16526.76</v>
      </c>
      <c r="JR66" s="325" t="n">
        <f aca="false">(JS66*$H66+JT66*$G66)</f>
        <v>16792.4152873525</v>
      </c>
      <c r="JS66" s="328" t="n">
        <f aca="false">JT66/$F66*JT$7</f>
        <v>16792.4152873525</v>
      </c>
      <c r="JT66" s="338" t="n">
        <v>16526.76</v>
      </c>
      <c r="JU66" s="325" t="n">
        <f aca="false">(JV66*$H66+JW66*$G66)</f>
        <v>16809.0882133369</v>
      </c>
      <c r="JV66" s="329" t="n">
        <f aca="false">JW66/$F66*JW$7</f>
        <v>16809.0882133369</v>
      </c>
      <c r="JW66" s="338" t="n">
        <v>16526.76</v>
      </c>
      <c r="JX66" s="325" t="n">
        <f aca="false">(JY66*$H66+JZ66*$G66)</f>
        <v>16454.0166414456</v>
      </c>
      <c r="JY66" s="329" t="n">
        <f aca="false">JZ66/$F66*JZ$7</f>
        <v>16454.0166414456</v>
      </c>
      <c r="JZ66" s="338" t="n">
        <v>16526.76</v>
      </c>
      <c r="KA66" s="325" t="n">
        <f aca="false">(KB66*$H66+KC66*$G66)</f>
        <v>16489.4002954793</v>
      </c>
      <c r="KB66" s="329" t="n">
        <f aca="false">KC66/$F66*KC$7</f>
        <v>16489.4002954793</v>
      </c>
      <c r="KC66" s="338" t="n">
        <v>16526.76</v>
      </c>
      <c r="KD66" s="325" t="n">
        <f aca="false">(KE66*$H66+KF66*$G66)</f>
        <v>16223.3744986605</v>
      </c>
      <c r="KE66" s="329" t="n">
        <f aca="false">KF66/$F66*KF$7</f>
        <v>16223.3744986605</v>
      </c>
      <c r="KF66" s="338" t="n">
        <v>16526.76</v>
      </c>
      <c r="KG66" s="325" t="n">
        <f aca="false">(KH66*$H66+KI66*$G66)</f>
        <v>16462.2296012824</v>
      </c>
      <c r="KH66" s="329" t="n">
        <f aca="false">KI66/$F66*KI$7</f>
        <v>16462.2296012824</v>
      </c>
      <c r="KI66" s="338" t="n">
        <v>16526.76</v>
      </c>
      <c r="KJ66" s="325" t="n">
        <f aca="false">(KK66*$H66+KL66*$G66)</f>
        <v>16848.6709746556</v>
      </c>
      <c r="KK66" s="329" t="n">
        <f aca="false">KL66/$F66*KL$7</f>
        <v>16848.6709746556</v>
      </c>
      <c r="KL66" s="338" t="n">
        <v>16526.76</v>
      </c>
      <c r="KP66" s="325" t="n">
        <f aca="false">(KQ66*$H66+KR66*$G66)</f>
        <v>17543.6849818968</v>
      </c>
      <c r="KQ66" s="329" t="n">
        <f aca="false">KR66/$F66*KR$7</f>
        <v>17543.6849818968</v>
      </c>
      <c r="KR66" s="338" t="n">
        <v>16526.76</v>
      </c>
      <c r="KS66" s="325" t="n">
        <f aca="false">(KT66*$H66+KU66*$G66)</f>
        <v>17900.3620948089</v>
      </c>
      <c r="KT66" s="329" t="n">
        <f aca="false">KU66/$F66*KU$7</f>
        <v>17900.3620948089</v>
      </c>
      <c r="KU66" s="338" t="n">
        <v>16526.76</v>
      </c>
      <c r="KV66" s="325" t="n">
        <f aca="false">(KW66*$H66+KX66*$G66)</f>
        <v>18065.3623104774</v>
      </c>
      <c r="KW66" s="329" t="n">
        <f aca="false">KX66/$F66*KX$7</f>
        <v>18065.3623104774</v>
      </c>
      <c r="KX66" s="338" t="n">
        <v>16526.76</v>
      </c>
      <c r="KY66" s="325" t="n">
        <f aca="false">(KZ66*$H66+LA66*$G66)</f>
        <v>18065.3623104774</v>
      </c>
      <c r="KZ66" s="329" t="n">
        <f aca="false">LA66/$F66*LA$7</f>
        <v>18065.3623104774</v>
      </c>
      <c r="LA66" s="338" t="n">
        <v>16526.76</v>
      </c>
      <c r="LB66" s="325" t="n">
        <f aca="false">(LC66*$H66+LD66*$G66)</f>
        <v>18065.3623104774</v>
      </c>
      <c r="LC66" s="329" t="n">
        <f aca="false">LD66/$F66*LD$7</f>
        <v>18065.3623104774</v>
      </c>
      <c r="LD66" s="338" t="n">
        <v>16526.76</v>
      </c>
      <c r="LE66" s="325" t="n">
        <f aca="false">(LF66*$H66+LG66*$G66)</f>
        <v>18065.3623104774</v>
      </c>
      <c r="LF66" s="329" t="n">
        <f aca="false">LG66/$F66*LG$7</f>
        <v>18065.3623104774</v>
      </c>
      <c r="LG66" s="338" t="n">
        <v>16526.76</v>
      </c>
      <c r="LH66" s="325" t="n">
        <f aca="false">(LI66*$H66+LJ66*$G66)</f>
        <v>22581.6874502023</v>
      </c>
      <c r="LI66" s="329" t="n">
        <f aca="false">LJ66/$F66*LJ$7</f>
        <v>22581.6874502023</v>
      </c>
      <c r="LJ66" s="338" t="n">
        <v>16526.76</v>
      </c>
      <c r="LM66" s="338" t="n">
        <v>16526.76</v>
      </c>
      <c r="LP66" s="338" t="n">
        <v>16526.76</v>
      </c>
      <c r="LS66" s="338" t="n">
        <v>16526.76</v>
      </c>
      <c r="LV66" s="338" t="n">
        <v>16526.76</v>
      </c>
      <c r="LY66" s="338" t="n">
        <v>16526.76</v>
      </c>
      <c r="MB66" s="338"/>
      <c r="ME66" s="338" t="n">
        <v>16526.76</v>
      </c>
      <c r="MH66" s="338" t="n">
        <v>16526.76</v>
      </c>
      <c r="MK66" s="338" t="n">
        <v>16526.76</v>
      </c>
      <c r="MN66" s="338" t="n">
        <v>16526.76</v>
      </c>
      <c r="MQ66" s="338" t="n">
        <v>16526.76</v>
      </c>
      <c r="MT66" s="338" t="n">
        <v>16526.76</v>
      </c>
      <c r="MW66" s="338" t="n">
        <v>16526.76</v>
      </c>
      <c r="MZ66" s="338" t="n">
        <v>16526.76</v>
      </c>
      <c r="NC66" s="338" t="n">
        <v>16526.76</v>
      </c>
      <c r="NF66" s="338" t="n">
        <v>16526.76</v>
      </c>
      <c r="NI66" s="338" t="n">
        <v>16526.76</v>
      </c>
      <c r="NL66" s="338" t="n">
        <v>16526.76</v>
      </c>
      <c r="NR66" s="338" t="n">
        <v>16526.76</v>
      </c>
      <c r="NU66" s="338" t="n">
        <v>16526.76</v>
      </c>
      <c r="NX66" s="338" t="n">
        <v>16526.76</v>
      </c>
      <c r="OA66" s="338" t="n">
        <v>16526.76</v>
      </c>
      <c r="OD66" s="338" t="n">
        <v>16526.76</v>
      </c>
      <c r="OG66" s="338" t="n">
        <v>16526.76</v>
      </c>
      <c r="OJ66" s="338" t="n">
        <v>16526.76</v>
      </c>
      <c r="OM66" s="338" t="n">
        <v>16526.76</v>
      </c>
      <c r="OP66" s="338" t="n">
        <v>16526.76</v>
      </c>
      <c r="OS66" s="338" t="n">
        <v>16526.76</v>
      </c>
      <c r="OV66" s="338" t="n">
        <v>16526.76</v>
      </c>
      <c r="OY66" s="338" t="n">
        <v>16526.76</v>
      </c>
      <c r="PE66" s="338" t="n">
        <v>16526.76</v>
      </c>
      <c r="PH66" s="338" t="n">
        <v>16526.76</v>
      </c>
      <c r="PK66" s="338" t="n">
        <v>16526.76</v>
      </c>
      <c r="PN66" s="338" t="n">
        <v>16526.76</v>
      </c>
      <c r="PQ66" s="338" t="n">
        <v>16526.76</v>
      </c>
      <c r="PT66" s="338" t="n">
        <v>16526.76</v>
      </c>
      <c r="PW66" s="338" t="n">
        <v>16526.76</v>
      </c>
      <c r="PZ66" s="338" t="n">
        <v>16526.76</v>
      </c>
      <c r="QC66" s="338" t="n">
        <v>16526.76</v>
      </c>
      <c r="QF66" s="338" t="n">
        <v>16526.76</v>
      </c>
      <c r="QI66" s="338"/>
      <c r="QL66" s="338"/>
    </row>
    <row r="67" s="329" customFormat="true" ht="15" hidden="false" customHeight="false" outlineLevel="0" collapsed="false">
      <c r="A67" s="28" t="n">
        <v>5.24</v>
      </c>
      <c r="B67" s="342"/>
      <c r="C67" s="343" t="n">
        <v>13108909.48</v>
      </c>
      <c r="D67" s="342"/>
      <c r="E67" s="344"/>
      <c r="F67" s="60" t="n">
        <v>27.8025</v>
      </c>
      <c r="G67" s="345" t="n">
        <v>0</v>
      </c>
      <c r="H67" s="346" t="n">
        <f aca="false">1-G67</f>
        <v>1</v>
      </c>
      <c r="I67" s="349" t="n">
        <f aca="false">J67/F67*28.4009</f>
        <v>3030282.38696419</v>
      </c>
      <c r="J67" s="347" t="n">
        <v>2966435.08</v>
      </c>
      <c r="K67" s="289"/>
      <c r="M67" s="327"/>
      <c r="N67" s="289"/>
      <c r="P67" s="327"/>
      <c r="Q67" s="289"/>
      <c r="S67" s="327"/>
      <c r="V67" s="327"/>
      <c r="W67" s="289"/>
      <c r="Y67" s="327"/>
      <c r="AC67" s="289"/>
      <c r="AE67" s="327"/>
      <c r="AF67" s="289"/>
      <c r="AH67" s="327"/>
      <c r="AI67" s="289"/>
      <c r="AK67" s="327"/>
      <c r="AL67" s="289"/>
      <c r="AN67" s="327"/>
      <c r="AO67" s="289"/>
      <c r="AQ67" s="327"/>
      <c r="AR67" s="289"/>
      <c r="AT67" s="327"/>
      <c r="AU67" s="289"/>
      <c r="AW67" s="327"/>
      <c r="AX67" s="289"/>
      <c r="AZ67" s="327"/>
      <c r="BA67" s="289"/>
      <c r="BC67" s="327"/>
      <c r="BD67" s="289"/>
      <c r="BF67" s="327"/>
      <c r="BG67" s="289"/>
      <c r="BI67" s="327"/>
      <c r="BJ67" s="289"/>
      <c r="BL67" s="327"/>
      <c r="BP67" s="289"/>
      <c r="BR67" s="327"/>
      <c r="BS67" s="289"/>
      <c r="BU67" s="327"/>
      <c r="BV67" s="289"/>
      <c r="BX67" s="327"/>
      <c r="BY67" s="289"/>
      <c r="CA67" s="327"/>
      <c r="CB67" s="289"/>
      <c r="CD67" s="327"/>
      <c r="CE67" s="289"/>
      <c r="CG67" s="327"/>
      <c r="CH67" s="289"/>
      <c r="CJ67" s="327"/>
      <c r="CK67" s="289"/>
      <c r="CM67" s="327"/>
      <c r="CN67" s="289"/>
      <c r="CP67" s="327"/>
      <c r="CQ67" s="289"/>
      <c r="CS67" s="327"/>
      <c r="CV67" s="327"/>
      <c r="CW67" s="289"/>
      <c r="CY67" s="327"/>
      <c r="DC67" s="335"/>
      <c r="DE67" s="327"/>
      <c r="DH67" s="327"/>
      <c r="DK67" s="327"/>
      <c r="DL67" s="289"/>
      <c r="DN67" s="327"/>
      <c r="DQ67" s="327"/>
      <c r="DT67" s="327"/>
      <c r="ED67" s="289"/>
      <c r="EJ67" s="289"/>
      <c r="FN67" s="289"/>
      <c r="FQ67" s="289"/>
      <c r="FT67" s="289"/>
      <c r="FW67" s="289"/>
      <c r="GC67" s="289"/>
      <c r="GK67" s="327"/>
      <c r="GU67" s="289"/>
      <c r="GX67" s="289"/>
      <c r="HA67" s="289"/>
      <c r="HD67" s="289"/>
      <c r="HG67" s="289"/>
      <c r="HJ67" s="289"/>
      <c r="HP67" s="289"/>
      <c r="HS67" s="289"/>
      <c r="HV67" s="289"/>
      <c r="HY67" s="289"/>
      <c r="IB67" s="289"/>
      <c r="IE67" s="289"/>
      <c r="IH67" s="289"/>
      <c r="IK67" s="289"/>
      <c r="IM67" s="327"/>
      <c r="IN67" s="289"/>
      <c r="IP67" s="327"/>
      <c r="IQ67" s="289"/>
      <c r="IS67" s="327"/>
      <c r="IT67" s="325" t="n">
        <f aca="false">(IU67*$H67+IV67*$G67)</f>
        <v>172402.304561532</v>
      </c>
      <c r="IU67" s="328" t="n">
        <f aca="false">IV67/$F67*IV$7</f>
        <v>172402.304561532</v>
      </c>
      <c r="IV67" s="327" t="n">
        <v>169041.24</v>
      </c>
      <c r="IW67" s="325" t="n">
        <f aca="false">(IX67*$H67+IY67*$G67)</f>
        <v>170479.785360453</v>
      </c>
      <c r="IX67" s="328" t="n">
        <f aca="false">IY67/$F67*IY$7</f>
        <v>170479.785360453</v>
      </c>
      <c r="IY67" s="327" t="n">
        <v>169041.24</v>
      </c>
      <c r="JC67" s="325" t="n">
        <f aca="false">(JD67*$H67+JE67*$G67)</f>
        <v>171479.349423253</v>
      </c>
      <c r="JD67" s="329" t="n">
        <f aca="false">JE67/$F67*JE$7</f>
        <v>171479.349423253</v>
      </c>
      <c r="JE67" s="327" t="n">
        <v>169041.24</v>
      </c>
      <c r="JF67" s="325" t="n">
        <f aca="false">(JG67*$H67+JH67*$G67)</f>
        <v>169818.881384624</v>
      </c>
      <c r="JG67" s="326" t="n">
        <f aca="false">JH67/$F67*JH$7</f>
        <v>169818.881384624</v>
      </c>
      <c r="JH67" s="327" t="n">
        <v>169041.24</v>
      </c>
      <c r="JI67" s="325" t="n">
        <f aca="false">(JJ67*$H67+JK67*$G67)</f>
        <v>168529.905829188</v>
      </c>
      <c r="JJ67" s="326" t="n">
        <f aca="false">JK67/$F67*JK$7</f>
        <v>168529.905829188</v>
      </c>
      <c r="JK67" s="327" t="n">
        <v>169041.24</v>
      </c>
      <c r="JL67" s="325" t="n">
        <f aca="false">(JM67*$H67+JN67*$G67)</f>
        <v>170300.4231959</v>
      </c>
      <c r="JM67" s="326" t="n">
        <f aca="false">JN67/$F67*JN$7</f>
        <v>170300.4231959</v>
      </c>
      <c r="JN67" s="327" t="n">
        <v>169041.24</v>
      </c>
      <c r="JO67" s="325" t="n">
        <f aca="false">(JP67*$H67+JQ67*$G67)</f>
        <v>166998.335346102</v>
      </c>
      <c r="JP67" s="326" t="n">
        <f aca="false">JQ67/$F67*JQ$7</f>
        <v>166998.335346102</v>
      </c>
      <c r="JQ67" s="327" t="n">
        <v>169041.24</v>
      </c>
      <c r="JR67" s="325" t="n">
        <f aca="false">(JS67*$H67+JT67*$G67)</f>
        <v>165338.47531481</v>
      </c>
      <c r="JS67" s="328" t="n">
        <f aca="false">JT67/$F67*JT$7</f>
        <v>165338.47531481</v>
      </c>
      <c r="JT67" s="327" t="n">
        <v>169041.24</v>
      </c>
      <c r="JU67" s="325" t="n">
        <f aca="false">(JV67*$H67+JW67*$G67)</f>
        <v>165502.637295927</v>
      </c>
      <c r="JV67" s="329" t="n">
        <f aca="false">JW67/$F67*JW$7</f>
        <v>165502.637295927</v>
      </c>
      <c r="JW67" s="327" t="n">
        <v>169041.24</v>
      </c>
      <c r="JX67" s="325" t="n">
        <f aca="false">(JY67*$H67+JZ67*$G67)</f>
        <v>162006.595105476</v>
      </c>
      <c r="JY67" s="329" t="n">
        <f aca="false">JZ67/$F67*JZ$7</f>
        <v>162006.595105476</v>
      </c>
      <c r="JZ67" s="327" t="n">
        <v>169041.24</v>
      </c>
      <c r="KA67" s="325" t="n">
        <f aca="false">(KB67*$H67+KC67*$G67)</f>
        <v>162354.983309846</v>
      </c>
      <c r="KB67" s="329" t="n">
        <f aca="false">KC67/$F67*KC$7</f>
        <v>162354.983309846</v>
      </c>
      <c r="KC67" s="327" t="n">
        <v>169041.24</v>
      </c>
      <c r="KD67" s="325" t="n">
        <f aca="false">(KE67*$H67+KF67*$G67)</f>
        <v>159735.687700027</v>
      </c>
      <c r="KE67" s="329" t="n">
        <f aca="false">KF67/$F67*KF$7</f>
        <v>159735.687700027</v>
      </c>
      <c r="KF67" s="327" t="n">
        <v>169041.24</v>
      </c>
      <c r="KG67" s="325" t="n">
        <f aca="false">(KH67*$H67+KI67*$G67)</f>
        <v>162087.46008136</v>
      </c>
      <c r="KH67" s="329" t="n">
        <f aca="false">KI67/$F67*KI$7</f>
        <v>162087.46008136</v>
      </c>
      <c r="KI67" s="327" t="n">
        <v>169041.24</v>
      </c>
      <c r="KJ67" s="325" t="n">
        <f aca="false">(KK67*$H67+KL67*$G67)</f>
        <v>165892.369999245</v>
      </c>
      <c r="KK67" s="329" t="n">
        <f aca="false">KL67/$F67*KL$7</f>
        <v>165892.369999245</v>
      </c>
      <c r="KL67" s="327" t="n">
        <v>169041.24</v>
      </c>
      <c r="KP67" s="325" t="n">
        <f aca="false">(KQ67*$H67+KR67*$G67)</f>
        <v>172735.492582466</v>
      </c>
      <c r="KQ67" s="329" t="n">
        <f aca="false">KR67/$F67*KR$7</f>
        <v>172735.492582466</v>
      </c>
      <c r="KR67" s="327" t="n">
        <v>169041.24</v>
      </c>
      <c r="KS67" s="325" t="n">
        <f aca="false">(KT67*$H67+KU67*$G67)</f>
        <v>176247.34296369</v>
      </c>
      <c r="KT67" s="329" t="n">
        <f aca="false">KU67/$F67*KU$7</f>
        <v>176247.34296369</v>
      </c>
      <c r="KU67" s="327" t="n">
        <v>169041.24</v>
      </c>
      <c r="KV67" s="325" t="n">
        <f aca="false">(KW67*$H67+KX67*$G67)</f>
        <v>177871.938569409</v>
      </c>
      <c r="KW67" s="329" t="n">
        <f aca="false">KX67/$F67*KX$7</f>
        <v>177871.938569409</v>
      </c>
      <c r="KX67" s="327" t="n">
        <v>169041.24</v>
      </c>
      <c r="KY67" s="325" t="n">
        <f aca="false">(KZ67*$H67+LA67*$G67)</f>
        <v>177871.938569409</v>
      </c>
      <c r="KZ67" s="329" t="n">
        <f aca="false">LA67/$F67*LA$7</f>
        <v>177871.938569409</v>
      </c>
      <c r="LA67" s="327" t="n">
        <v>169041.24</v>
      </c>
      <c r="LB67" s="325" t="n">
        <f aca="false">(LC67*$H67+LD67*$G67)</f>
        <v>177871.938569409</v>
      </c>
      <c r="LC67" s="329" t="n">
        <f aca="false">LD67/$F67*LD$7</f>
        <v>177871.938569409</v>
      </c>
      <c r="LD67" s="327" t="n">
        <v>169041.24</v>
      </c>
      <c r="LE67" s="325" t="n">
        <f aca="false">(LF67*$H67+LG67*$G67)</f>
        <v>177871.938569409</v>
      </c>
      <c r="LF67" s="329" t="n">
        <f aca="false">LG67/$F67*LG$7</f>
        <v>177871.938569409</v>
      </c>
      <c r="LG67" s="327" t="n">
        <v>169041.24</v>
      </c>
      <c r="LH67" s="325" t="n">
        <f aca="false">(LI67*$H67+LJ67*$G67)</f>
        <v>222339.771209927</v>
      </c>
      <c r="LI67" s="329" t="n">
        <f aca="false">LJ67/$F67*LJ$7</f>
        <v>222339.771209927</v>
      </c>
      <c r="LJ67" s="327" t="n">
        <v>169041.24</v>
      </c>
      <c r="LM67" s="327" t="n">
        <v>169041.24</v>
      </c>
      <c r="LP67" s="327" t="n">
        <v>169041.24</v>
      </c>
      <c r="LS67" s="327" t="n">
        <v>169041.24</v>
      </c>
      <c r="LV67" s="327" t="n">
        <v>169041.24</v>
      </c>
      <c r="LY67" s="327" t="n">
        <v>169041.24</v>
      </c>
      <c r="ME67" s="327" t="n">
        <v>169041.24</v>
      </c>
      <c r="MH67" s="327" t="n">
        <v>169041.24</v>
      </c>
      <c r="MK67" s="327" t="n">
        <v>169041.24</v>
      </c>
      <c r="MN67" s="327" t="n">
        <v>169041.24</v>
      </c>
      <c r="MQ67" s="327" t="n">
        <v>169041.24</v>
      </c>
      <c r="MT67" s="327" t="n">
        <v>169041.24</v>
      </c>
      <c r="MW67" s="327" t="n">
        <v>169041.24</v>
      </c>
      <c r="MZ67" s="327" t="n">
        <v>169041.24</v>
      </c>
      <c r="NC67" s="327" t="n">
        <v>169041.24</v>
      </c>
      <c r="NF67" s="327" t="n">
        <v>169041.24</v>
      </c>
      <c r="NI67" s="327" t="n">
        <v>169041.24</v>
      </c>
      <c r="NL67" s="327" t="n">
        <v>169041.24</v>
      </c>
      <c r="NR67" s="327" t="n">
        <v>169041.24</v>
      </c>
      <c r="NU67" s="327" t="n">
        <v>169041.24</v>
      </c>
      <c r="NX67" s="327" t="n">
        <v>169041.24</v>
      </c>
      <c r="OA67" s="327" t="n">
        <v>169041.24</v>
      </c>
      <c r="OD67" s="327" t="n">
        <v>169041.24</v>
      </c>
      <c r="OG67" s="327" t="n">
        <v>169041.24</v>
      </c>
      <c r="OJ67" s="327" t="n">
        <v>169041.24</v>
      </c>
      <c r="OM67" s="327" t="n">
        <v>169041.24</v>
      </c>
      <c r="OP67" s="327" t="n">
        <v>169041.24</v>
      </c>
      <c r="OS67" s="327" t="n">
        <v>169041.24</v>
      </c>
      <c r="OV67" s="327" t="n">
        <v>169041.24</v>
      </c>
      <c r="OY67" s="327" t="n">
        <v>169041.24</v>
      </c>
      <c r="PE67" s="327" t="n">
        <v>169041.24</v>
      </c>
      <c r="PH67" s="327" t="n">
        <v>169041.24</v>
      </c>
      <c r="PK67" s="327" t="n">
        <v>169041.24</v>
      </c>
      <c r="PN67" s="327" t="n">
        <v>169041.24</v>
      </c>
      <c r="PQ67" s="327" t="n">
        <v>169041.24</v>
      </c>
      <c r="PT67" s="327" t="n">
        <v>169041.24</v>
      </c>
      <c r="PW67" s="327" t="n">
        <v>169041.24</v>
      </c>
      <c r="PZ67" s="327" t="n">
        <v>169041.24</v>
      </c>
      <c r="QC67" s="327" t="n">
        <v>169041.24</v>
      </c>
      <c r="QF67" s="327" t="n">
        <v>169041.24</v>
      </c>
      <c r="QI67" s="327"/>
      <c r="QL67" s="327"/>
    </row>
    <row r="68" s="329" customFormat="true" ht="15" hidden="false" customHeight="false" outlineLevel="0" collapsed="false">
      <c r="A68" s="3" t="n">
        <v>5.26</v>
      </c>
      <c r="B68" s="342"/>
      <c r="C68" s="343" t="n">
        <v>1393442.03</v>
      </c>
      <c r="D68" s="342"/>
      <c r="E68" s="344"/>
      <c r="F68" s="60" t="n">
        <v>28.2673</v>
      </c>
      <c r="G68" s="345" t="n">
        <v>0</v>
      </c>
      <c r="H68" s="346" t="n">
        <f aca="false">1-G68</f>
        <v>1</v>
      </c>
      <c r="I68" s="349" t="n">
        <f aca="false">J68/F68*28.161</f>
        <v>267891.613122937</v>
      </c>
      <c r="J68" s="347" t="n">
        <v>268902.83</v>
      </c>
      <c r="K68" s="289"/>
      <c r="M68" s="327"/>
      <c r="N68" s="289"/>
      <c r="P68" s="327"/>
      <c r="Q68" s="289"/>
      <c r="S68" s="327"/>
      <c r="V68" s="327"/>
      <c r="W68" s="289"/>
      <c r="Y68" s="327"/>
      <c r="AC68" s="289"/>
      <c r="AE68" s="327"/>
      <c r="AF68" s="289"/>
      <c r="AH68" s="327"/>
      <c r="AI68" s="289"/>
      <c r="AK68" s="327"/>
      <c r="AL68" s="289"/>
      <c r="AN68" s="327"/>
      <c r="AO68" s="289"/>
      <c r="AQ68" s="327"/>
      <c r="AR68" s="289"/>
      <c r="AT68" s="327"/>
      <c r="AU68" s="289"/>
      <c r="AW68" s="327"/>
      <c r="AX68" s="289"/>
      <c r="AZ68" s="327"/>
      <c r="BA68" s="289"/>
      <c r="BC68" s="327"/>
      <c r="BD68" s="289"/>
      <c r="BF68" s="327"/>
      <c r="BG68" s="289"/>
      <c r="BI68" s="327"/>
      <c r="BJ68" s="289"/>
      <c r="BL68" s="327"/>
      <c r="BP68" s="289"/>
      <c r="BR68" s="327"/>
      <c r="BS68" s="289"/>
      <c r="BU68" s="327"/>
      <c r="BV68" s="289"/>
      <c r="BX68" s="327"/>
      <c r="BY68" s="289"/>
      <c r="CA68" s="327"/>
      <c r="CB68" s="289"/>
      <c r="CD68" s="327"/>
      <c r="CE68" s="289"/>
      <c r="CG68" s="327"/>
      <c r="CH68" s="289"/>
      <c r="CJ68" s="327"/>
      <c r="CK68" s="289"/>
      <c r="CM68" s="327"/>
      <c r="CN68" s="289"/>
      <c r="CP68" s="327"/>
      <c r="CQ68" s="289"/>
      <c r="CS68" s="327"/>
      <c r="CV68" s="327"/>
      <c r="CW68" s="289"/>
      <c r="CY68" s="327"/>
      <c r="DC68" s="335"/>
      <c r="DE68" s="327"/>
      <c r="DH68" s="327"/>
      <c r="DK68" s="327"/>
      <c r="DL68" s="289"/>
      <c r="DN68" s="327"/>
      <c r="DQ68" s="327"/>
      <c r="DT68" s="327"/>
      <c r="ED68" s="289"/>
      <c r="EJ68" s="289"/>
      <c r="FN68" s="289"/>
      <c r="FQ68" s="289"/>
      <c r="FT68" s="289"/>
      <c r="FW68" s="289"/>
      <c r="GC68" s="289"/>
      <c r="GK68" s="327"/>
      <c r="GU68" s="289"/>
      <c r="GX68" s="289"/>
      <c r="HA68" s="289"/>
      <c r="HD68" s="289"/>
      <c r="HG68" s="289"/>
      <c r="HJ68" s="289"/>
      <c r="HP68" s="289"/>
      <c r="HS68" s="289"/>
      <c r="HV68" s="289"/>
      <c r="HY68" s="289"/>
      <c r="IB68" s="289"/>
      <c r="IE68" s="289"/>
      <c r="IH68" s="289"/>
      <c r="IK68" s="289"/>
      <c r="IM68" s="327"/>
      <c r="IN68" s="289"/>
      <c r="IP68" s="327"/>
      <c r="IQ68" s="289"/>
      <c r="IS68" s="327"/>
      <c r="IT68" s="289"/>
      <c r="IV68" s="327"/>
      <c r="IW68" s="325" t="n">
        <f aca="false">(IX68*$H68+IY68*$G68)</f>
        <v>18591.0145189671</v>
      </c>
      <c r="IX68" s="328" t="n">
        <f aca="false">IY68/$F68*IY$7</f>
        <v>18591.0145189671</v>
      </c>
      <c r="IY68" s="327" t="n">
        <v>18742.32</v>
      </c>
      <c r="JC68" s="325" t="n">
        <f aca="false">(JD68*$H68+JE68*$G68)</f>
        <v>18700.0181170469</v>
      </c>
      <c r="JD68" s="329" t="n">
        <f aca="false">JE68/$F68*JE$7</f>
        <v>18700.0181170469</v>
      </c>
      <c r="JE68" s="327" t="n">
        <v>18742.32</v>
      </c>
      <c r="JF68" s="325" t="n">
        <f aca="false">(JG68*$H68+JH68*$G68)</f>
        <v>18518.9421886066</v>
      </c>
      <c r="JG68" s="326" t="n">
        <f aca="false">JH68/$F68*JH$7</f>
        <v>18518.9421886066</v>
      </c>
      <c r="JH68" s="327" t="n">
        <v>18742.32</v>
      </c>
      <c r="JI68" s="325" t="n">
        <f aca="false">(JJ68*$H68+JK68*$G68)</f>
        <v>18378.3779380415</v>
      </c>
      <c r="JJ68" s="326" t="n">
        <f aca="false">JK68/$F68*JK$7</f>
        <v>18378.3779380415</v>
      </c>
      <c r="JK68" s="327" t="n">
        <v>18742.32</v>
      </c>
      <c r="JL68" s="325" t="n">
        <f aca="false">(JM68*$H68+JN68*$G68)</f>
        <v>18571.4548708932</v>
      </c>
      <c r="JM68" s="326" t="n">
        <f aca="false">JN68/$F68*JN$7</f>
        <v>18571.4548708932</v>
      </c>
      <c r="JN68" s="327" t="n">
        <v>18742.32</v>
      </c>
      <c r="JO68" s="325" t="n">
        <f aca="false">(JP68*$H68+JQ68*$G68)</f>
        <v>18211.3584346577</v>
      </c>
      <c r="JP68" s="326" t="n">
        <f aca="false">JQ68/$F68*JQ$7</f>
        <v>18211.3584346577</v>
      </c>
      <c r="JQ68" s="327" t="n">
        <v>18742.32</v>
      </c>
      <c r="JR68" s="325" t="n">
        <f aca="false">(JS68*$H68+JT68*$G68)</f>
        <v>18030.3488101092</v>
      </c>
      <c r="JS68" s="328" t="n">
        <f aca="false">JT68/$F68*JT$7</f>
        <v>18030.3488101092</v>
      </c>
      <c r="JT68" s="327" t="n">
        <v>18742.32</v>
      </c>
      <c r="JU68" s="325" t="n">
        <f aca="false">(JV68*$H68+JW68*$G68)</f>
        <v>18048.2508608887</v>
      </c>
      <c r="JV68" s="329" t="n">
        <f aca="false">JW68/$F68*JW$7</f>
        <v>18048.2508608887</v>
      </c>
      <c r="JW68" s="327" t="n">
        <v>18742.32</v>
      </c>
      <c r="JX68" s="325" t="n">
        <f aca="false">(JY68*$H68+JZ68*$G68)</f>
        <v>17667.0034831767</v>
      </c>
      <c r="JY68" s="329" t="n">
        <f aca="false">JZ68/$F68*JZ$7</f>
        <v>17667.0034831767</v>
      </c>
      <c r="JZ68" s="327" t="n">
        <v>18742.32</v>
      </c>
      <c r="KA68" s="325" t="n">
        <f aca="false">(KB68*$H68+KC68*$G68)</f>
        <v>17704.9956131643</v>
      </c>
      <c r="KB68" s="329" t="n">
        <f aca="false">KC68/$F68*KC$7</f>
        <v>17704.9956131643</v>
      </c>
      <c r="KC68" s="327" t="n">
        <v>18742.32</v>
      </c>
      <c r="KD68" s="325" t="n">
        <f aca="false">(KE68*$H68+KF68*$G68)</f>
        <v>17419.3584473933</v>
      </c>
      <c r="KE68" s="329" t="n">
        <f aca="false">KF68/$F68*KF$7</f>
        <v>17419.3584473933</v>
      </c>
      <c r="KF68" s="327" t="n">
        <v>18742.32</v>
      </c>
      <c r="KG68" s="325" t="n">
        <f aca="false">(KH68*$H68+KI68*$G68)</f>
        <v>17675.8219007829</v>
      </c>
      <c r="KH68" s="329" t="n">
        <f aca="false">KI68/$F68*KI$7</f>
        <v>17675.8219007829</v>
      </c>
      <c r="KI68" s="327" t="n">
        <v>18742.32</v>
      </c>
      <c r="KJ68" s="325" t="n">
        <f aca="false">(KK68*$H68+KL68*$G68)</f>
        <v>18090.7516555172</v>
      </c>
      <c r="KK68" s="329" t="n">
        <f aca="false">KL68/$F68*KL$7</f>
        <v>18090.7516555172</v>
      </c>
      <c r="KL68" s="327" t="n">
        <v>18742.32</v>
      </c>
      <c r="KP68" s="325" t="n">
        <f aca="false">(KQ68*$H68+KR68*$G68)</f>
        <v>18837.0019574561</v>
      </c>
      <c r="KQ68" s="329" t="n">
        <f aca="false">KR68/$F68*KR$7</f>
        <v>18837.0019574561</v>
      </c>
      <c r="KR68" s="327" t="n">
        <v>18742.32</v>
      </c>
      <c r="KS68" s="325" t="n">
        <f aca="false">(KT68*$H68+KU68*$G68)</f>
        <v>19219.9732363544</v>
      </c>
      <c r="KT68" s="329" t="n">
        <f aca="false">KU68/$F68*KU$7</f>
        <v>19219.9732363544</v>
      </c>
      <c r="KU68" s="327" t="n">
        <v>18742.32</v>
      </c>
      <c r="KV68" s="325" t="n">
        <f aca="false">(KW68*$H68+KX68*$G68)</f>
        <v>19397.1372351799</v>
      </c>
      <c r="KW68" s="329" t="n">
        <f aca="false">KX68/$F68*KX$7</f>
        <v>19397.1372351799</v>
      </c>
      <c r="KX68" s="327" t="n">
        <v>18742.32</v>
      </c>
      <c r="KY68" s="325" t="n">
        <f aca="false">(KZ68*$H68+LA68*$G68)</f>
        <v>19397.1372351799</v>
      </c>
      <c r="KZ68" s="329" t="n">
        <f aca="false">LA68/$F68*LA$7</f>
        <v>19397.1372351799</v>
      </c>
      <c r="LA68" s="327" t="n">
        <v>18742.32</v>
      </c>
      <c r="LB68" s="325" t="n">
        <f aca="false">(LC68*$H68+LD68*$G68)</f>
        <v>19397.1372351799</v>
      </c>
      <c r="LC68" s="329" t="n">
        <f aca="false">LD68/$F68*LD$7</f>
        <v>19397.1372351799</v>
      </c>
      <c r="LD68" s="327" t="n">
        <v>18742.32</v>
      </c>
      <c r="LE68" s="325" t="n">
        <f aca="false">(LF68*$H68+LG68*$G68)</f>
        <v>19397.1372351799</v>
      </c>
      <c r="LF68" s="329" t="n">
        <f aca="false">LG68/$F68*LG$7</f>
        <v>19397.1372351799</v>
      </c>
      <c r="LG68" s="327" t="n">
        <v>18742.32</v>
      </c>
      <c r="LH68" s="325" t="n">
        <f aca="false">(LI68*$H68+LJ68*$G68)</f>
        <v>24246.4049680019</v>
      </c>
      <c r="LI68" s="329" t="n">
        <f aca="false">LJ68/$F68*LJ$7</f>
        <v>24246.4049680019</v>
      </c>
      <c r="LJ68" s="327" t="n">
        <v>18742.32</v>
      </c>
      <c r="LM68" s="327" t="n">
        <v>18742.32</v>
      </c>
      <c r="LP68" s="327" t="n">
        <v>18742.32</v>
      </c>
      <c r="LS68" s="327" t="n">
        <v>18742.32</v>
      </c>
      <c r="LV68" s="327" t="n">
        <v>18742.32</v>
      </c>
      <c r="LY68" s="327" t="n">
        <v>18742.32</v>
      </c>
      <c r="ME68" s="327" t="n">
        <v>18742.32</v>
      </c>
      <c r="MH68" s="327" t="n">
        <v>18742.32</v>
      </c>
      <c r="MK68" s="327" t="n">
        <v>18742.32</v>
      </c>
      <c r="MN68" s="327" t="n">
        <v>18742.32</v>
      </c>
      <c r="MQ68" s="327" t="n">
        <v>18742.32</v>
      </c>
      <c r="MT68" s="327" t="n">
        <v>18742.32</v>
      </c>
      <c r="MW68" s="327" t="n">
        <v>18742.32</v>
      </c>
      <c r="MZ68" s="327" t="n">
        <v>18742.32</v>
      </c>
      <c r="NC68" s="327" t="n">
        <v>18742.32</v>
      </c>
      <c r="NF68" s="327" t="n">
        <v>18742.32</v>
      </c>
      <c r="NI68" s="327" t="n">
        <v>18742.32</v>
      </c>
      <c r="NL68" s="327" t="n">
        <v>18742.32</v>
      </c>
      <c r="NR68" s="327" t="n">
        <v>18742.32</v>
      </c>
      <c r="NU68" s="327" t="n">
        <v>18742.32</v>
      </c>
      <c r="NX68" s="327" t="n">
        <v>18742.32</v>
      </c>
      <c r="OA68" s="327" t="n">
        <v>18742.32</v>
      </c>
      <c r="OD68" s="327" t="n">
        <v>18742.32</v>
      </c>
      <c r="OG68" s="327" t="n">
        <v>18742.32</v>
      </c>
      <c r="OJ68" s="327" t="n">
        <v>18742.32</v>
      </c>
      <c r="OM68" s="327" t="n">
        <v>18742.32</v>
      </c>
      <c r="OP68" s="327" t="n">
        <v>18742.32</v>
      </c>
      <c r="OS68" s="327" t="n">
        <v>18742.32</v>
      </c>
      <c r="OV68" s="327" t="n">
        <v>18742.32</v>
      </c>
      <c r="OY68" s="327" t="n">
        <v>18742.32</v>
      </c>
      <c r="PE68" s="327" t="n">
        <v>18742.32</v>
      </c>
      <c r="PH68" s="327" t="n">
        <v>18742.32</v>
      </c>
      <c r="PK68" s="327" t="n">
        <v>18742.32</v>
      </c>
      <c r="PN68" s="327" t="n">
        <v>18742.32</v>
      </c>
      <c r="PQ68" s="327" t="n">
        <v>18742.32</v>
      </c>
      <c r="PT68" s="327" t="n">
        <v>18742.32</v>
      </c>
      <c r="PW68" s="327" t="n">
        <v>18742.32</v>
      </c>
      <c r="PZ68" s="327" t="n">
        <v>18742.32</v>
      </c>
      <c r="QC68" s="327" t="n">
        <v>18742.32</v>
      </c>
      <c r="QF68" s="327" t="n">
        <v>18742.32</v>
      </c>
      <c r="QI68" s="327" t="n">
        <v>18742.32</v>
      </c>
      <c r="QL68" s="327"/>
    </row>
    <row r="69" s="329" customFormat="true" ht="15" hidden="false" customHeight="false" outlineLevel="0" collapsed="false">
      <c r="A69" s="28" t="n">
        <v>5.27</v>
      </c>
      <c r="B69" s="342"/>
      <c r="C69" s="343" t="n">
        <v>1393442.03</v>
      </c>
      <c r="D69" s="342"/>
      <c r="E69" s="344"/>
      <c r="F69" s="60" t="n">
        <v>28.2673</v>
      </c>
      <c r="G69" s="345" t="n">
        <v>0</v>
      </c>
      <c r="H69" s="346" t="n">
        <f aca="false">1-G69</f>
        <v>1</v>
      </c>
      <c r="I69" s="346" t="n">
        <f aca="false">J69/F69*28.324</f>
        <v>269442.209086825</v>
      </c>
      <c r="J69" s="347" t="n">
        <v>268902.83</v>
      </c>
      <c r="K69" s="289"/>
      <c r="M69" s="327"/>
      <c r="N69" s="289"/>
      <c r="P69" s="327"/>
      <c r="Q69" s="289"/>
      <c r="S69" s="327"/>
      <c r="V69" s="327"/>
      <c r="W69" s="289"/>
      <c r="Y69" s="327"/>
      <c r="AC69" s="289"/>
      <c r="AE69" s="327"/>
      <c r="AF69" s="289"/>
      <c r="AH69" s="327"/>
      <c r="AI69" s="289"/>
      <c r="AK69" s="327"/>
      <c r="AL69" s="289"/>
      <c r="AN69" s="327"/>
      <c r="AO69" s="289"/>
      <c r="AQ69" s="327"/>
      <c r="AR69" s="289"/>
      <c r="AT69" s="327"/>
      <c r="AU69" s="289"/>
      <c r="AW69" s="327"/>
      <c r="AX69" s="289"/>
      <c r="AZ69" s="327"/>
      <c r="BA69" s="289"/>
      <c r="BC69" s="327"/>
      <c r="BD69" s="289"/>
      <c r="BF69" s="327"/>
      <c r="BG69" s="289"/>
      <c r="BI69" s="327"/>
      <c r="BJ69" s="289"/>
      <c r="BL69" s="327"/>
      <c r="BP69" s="289"/>
      <c r="BR69" s="327"/>
      <c r="BS69" s="289"/>
      <c r="BU69" s="327"/>
      <c r="BV69" s="289"/>
      <c r="BX69" s="327"/>
      <c r="BY69" s="289"/>
      <c r="CA69" s="327"/>
      <c r="CB69" s="289"/>
      <c r="CD69" s="327"/>
      <c r="CE69" s="289"/>
      <c r="CG69" s="327"/>
      <c r="CH69" s="289"/>
      <c r="CJ69" s="327"/>
      <c r="CK69" s="289"/>
      <c r="CM69" s="327"/>
      <c r="CN69" s="289"/>
      <c r="CP69" s="327"/>
      <c r="CQ69" s="289"/>
      <c r="CS69" s="327"/>
      <c r="CV69" s="327"/>
      <c r="CW69" s="289"/>
      <c r="CY69" s="327"/>
      <c r="DC69" s="335"/>
      <c r="DE69" s="327"/>
      <c r="DH69" s="327"/>
      <c r="DK69" s="327"/>
      <c r="DL69" s="289"/>
      <c r="DN69" s="327"/>
      <c r="DQ69" s="327"/>
      <c r="DT69" s="327"/>
      <c r="ED69" s="289"/>
      <c r="EJ69" s="289"/>
      <c r="FN69" s="289"/>
      <c r="FQ69" s="289"/>
      <c r="FT69" s="289"/>
      <c r="FW69" s="289"/>
      <c r="GC69" s="289"/>
      <c r="GK69" s="327"/>
      <c r="GU69" s="289"/>
      <c r="GX69" s="289"/>
      <c r="HA69" s="289"/>
      <c r="HD69" s="289"/>
      <c r="HG69" s="289"/>
      <c r="HJ69" s="289"/>
      <c r="HP69" s="289"/>
      <c r="HS69" s="289"/>
      <c r="HV69" s="289"/>
      <c r="HY69" s="289"/>
      <c r="IB69" s="289"/>
      <c r="IE69" s="289"/>
      <c r="IH69" s="289"/>
      <c r="IK69" s="289"/>
      <c r="IM69" s="327"/>
      <c r="IN69" s="289"/>
      <c r="IP69" s="327"/>
      <c r="IQ69" s="289"/>
      <c r="IS69" s="327"/>
      <c r="IT69" s="325" t="n">
        <f aca="false">(IU69*$H69+IV69*$G69)</f>
        <v>18800.6674247629</v>
      </c>
      <c r="IU69" s="328" t="n">
        <f aca="false">IV69/$F69*IV$7</f>
        <v>18800.6674247629</v>
      </c>
      <c r="IV69" s="327" t="n">
        <v>18742.32</v>
      </c>
      <c r="IW69" s="325" t="n">
        <f aca="false">(IX69*$H69+IY69*$G69)</f>
        <v>18591.0145189671</v>
      </c>
      <c r="IX69" s="328" t="n">
        <f aca="false">IY69/$F69*IY$7</f>
        <v>18591.0145189671</v>
      </c>
      <c r="IY69" s="327" t="n">
        <v>18742.32</v>
      </c>
      <c r="JC69" s="325" t="n">
        <f aca="false">(JD69*$H69+JE69*$G69)</f>
        <v>18700.0181170469</v>
      </c>
      <c r="JD69" s="329" t="n">
        <f aca="false">JE69/$F69*JE$7</f>
        <v>18700.0181170469</v>
      </c>
      <c r="JE69" s="327" t="n">
        <v>18742.32</v>
      </c>
      <c r="JF69" s="325" t="n">
        <f aca="false">(JG69*$H69+JH69*$G69)</f>
        <v>18518.9421886066</v>
      </c>
      <c r="JG69" s="326" t="n">
        <f aca="false">JH69/$F69*JH$7</f>
        <v>18518.9421886066</v>
      </c>
      <c r="JH69" s="327" t="n">
        <v>18742.32</v>
      </c>
      <c r="JI69" s="325" t="n">
        <f aca="false">(JJ69*$H69+JK69*$G69)</f>
        <v>18378.3779380415</v>
      </c>
      <c r="JJ69" s="326" t="n">
        <f aca="false">JK69/$F69*JK$7</f>
        <v>18378.3779380415</v>
      </c>
      <c r="JK69" s="327" t="n">
        <v>18742.32</v>
      </c>
      <c r="JL69" s="325" t="n">
        <f aca="false">(JM69*$H69+JN69*$G69)</f>
        <v>18571.4548708932</v>
      </c>
      <c r="JM69" s="326" t="n">
        <f aca="false">JN69/$F69*JN$7</f>
        <v>18571.4548708932</v>
      </c>
      <c r="JN69" s="327" t="n">
        <v>18742.32</v>
      </c>
      <c r="JO69" s="325" t="n">
        <f aca="false">(JP69*$H69+JQ69*$G69)</f>
        <v>18211.3584346577</v>
      </c>
      <c r="JP69" s="326" t="n">
        <f aca="false">JQ69/$F69*JQ$7</f>
        <v>18211.3584346577</v>
      </c>
      <c r="JQ69" s="327" t="n">
        <v>18742.32</v>
      </c>
      <c r="JR69" s="325" t="n">
        <f aca="false">(JS69*$H69+JT69*$G69)</f>
        <v>18030.3488101092</v>
      </c>
      <c r="JS69" s="328" t="n">
        <f aca="false">JT69/$F69*JT$7</f>
        <v>18030.3488101092</v>
      </c>
      <c r="JT69" s="327" t="n">
        <v>18742.32</v>
      </c>
      <c r="JU69" s="325" t="n">
        <f aca="false">(JV69*$H69+JW69*$G69)</f>
        <v>18048.2508608887</v>
      </c>
      <c r="JV69" s="329" t="n">
        <f aca="false">JW69/$F69*JW$7</f>
        <v>18048.2508608887</v>
      </c>
      <c r="JW69" s="327" t="n">
        <v>18742.32</v>
      </c>
      <c r="JX69" s="325" t="n">
        <f aca="false">(JY69*$H69+JZ69*$G69)</f>
        <v>17667.0034831767</v>
      </c>
      <c r="JY69" s="329" t="n">
        <f aca="false">JZ69/$F69*JZ$7</f>
        <v>17667.0034831767</v>
      </c>
      <c r="JZ69" s="327" t="n">
        <v>18742.32</v>
      </c>
      <c r="KA69" s="325" t="n">
        <f aca="false">(KB69*$H69+KC69*$G69)</f>
        <v>17704.9956131643</v>
      </c>
      <c r="KB69" s="329" t="n">
        <f aca="false">KC69/$F69*KC$7</f>
        <v>17704.9956131643</v>
      </c>
      <c r="KC69" s="327" t="n">
        <v>18742.32</v>
      </c>
      <c r="KD69" s="325" t="n">
        <f aca="false">(KE69*$H69+KF69*$G69)</f>
        <v>17419.3584473933</v>
      </c>
      <c r="KE69" s="329" t="n">
        <f aca="false">KF69/$F69*KF$7</f>
        <v>17419.3584473933</v>
      </c>
      <c r="KF69" s="327" t="n">
        <v>18742.32</v>
      </c>
      <c r="KG69" s="325" t="n">
        <f aca="false">(KH69*$H69+KI69*$G69)</f>
        <v>17675.8219007829</v>
      </c>
      <c r="KH69" s="329" t="n">
        <f aca="false">KI69/$F69*KI$7</f>
        <v>17675.8219007829</v>
      </c>
      <c r="KI69" s="327" t="n">
        <v>18742.32</v>
      </c>
      <c r="KJ69" s="325" t="n">
        <f aca="false">(KK69*$H69+KL69*$G69)</f>
        <v>18090.7516555172</v>
      </c>
      <c r="KK69" s="329" t="n">
        <f aca="false">KL69/$F69*KL$7</f>
        <v>18090.7516555172</v>
      </c>
      <c r="KL69" s="327" t="n">
        <v>18742.32</v>
      </c>
      <c r="KP69" s="325" t="n">
        <f aca="false">(KQ69*$H69+KR69*$G69)</f>
        <v>18837.0019574561</v>
      </c>
      <c r="KQ69" s="329" t="n">
        <f aca="false">KR69/$F69*KR$7</f>
        <v>18837.0019574561</v>
      </c>
      <c r="KR69" s="327" t="n">
        <v>18742.32</v>
      </c>
      <c r="KS69" s="325" t="n">
        <f aca="false">(KT69*$H69+KU69*$G69)</f>
        <v>19219.9732363544</v>
      </c>
      <c r="KT69" s="329" t="n">
        <f aca="false">KU69/$F69*KU$7</f>
        <v>19219.9732363544</v>
      </c>
      <c r="KU69" s="327" t="n">
        <v>18742.32</v>
      </c>
      <c r="KV69" s="325" t="n">
        <f aca="false">(KW69*$H69+KX69*$G69)</f>
        <v>19397.1372351799</v>
      </c>
      <c r="KW69" s="329" t="n">
        <f aca="false">KX69/$F69*KX$7</f>
        <v>19397.1372351799</v>
      </c>
      <c r="KX69" s="327" t="n">
        <v>18742.32</v>
      </c>
      <c r="KY69" s="325" t="n">
        <f aca="false">(KZ69*$H69+LA69*$G69)</f>
        <v>19397.1372351799</v>
      </c>
      <c r="KZ69" s="329" t="n">
        <f aca="false">LA69/$F69*LA$7</f>
        <v>19397.1372351799</v>
      </c>
      <c r="LA69" s="327" t="n">
        <v>18742.32</v>
      </c>
      <c r="LB69" s="325" t="n">
        <f aca="false">(LC69*$H69+LD69*$G69)</f>
        <v>19397.1372351799</v>
      </c>
      <c r="LC69" s="329" t="n">
        <f aca="false">LD69/$F69*LD$7</f>
        <v>19397.1372351799</v>
      </c>
      <c r="LD69" s="327" t="n">
        <v>18742.32</v>
      </c>
      <c r="LE69" s="325" t="n">
        <f aca="false">(LF69*$H69+LG69*$G69)</f>
        <v>19397.1372351799</v>
      </c>
      <c r="LF69" s="329" t="n">
        <f aca="false">LG69/$F69*LG$7</f>
        <v>19397.1372351799</v>
      </c>
      <c r="LG69" s="327" t="n">
        <v>18742.32</v>
      </c>
      <c r="LH69" s="325" t="n">
        <f aca="false">(LI69*$H69+LJ69*$G69)</f>
        <v>24246.4049680019</v>
      </c>
      <c r="LI69" s="329" t="n">
        <f aca="false">LJ69/$F69*LJ$7</f>
        <v>24246.4049680019</v>
      </c>
      <c r="LJ69" s="327" t="n">
        <v>18742.32</v>
      </c>
      <c r="LM69" s="327" t="n">
        <v>18742.32</v>
      </c>
      <c r="LP69" s="327" t="n">
        <v>18742.32</v>
      </c>
      <c r="LS69" s="327" t="n">
        <v>18742.32</v>
      </c>
      <c r="LV69" s="327" t="n">
        <v>18742.32</v>
      </c>
      <c r="LY69" s="327" t="n">
        <v>18742.32</v>
      </c>
      <c r="ME69" s="327" t="n">
        <v>18742.32</v>
      </c>
      <c r="MH69" s="327" t="n">
        <v>18742.32</v>
      </c>
      <c r="MK69" s="327" t="n">
        <v>18742.32</v>
      </c>
      <c r="MN69" s="327" t="n">
        <v>18742.32</v>
      </c>
      <c r="MQ69" s="327" t="n">
        <v>18742.32</v>
      </c>
      <c r="MT69" s="327" t="n">
        <v>18742.32</v>
      </c>
      <c r="MW69" s="327" t="n">
        <v>18742.32</v>
      </c>
      <c r="MZ69" s="327" t="n">
        <v>18742.32</v>
      </c>
      <c r="NC69" s="327" t="n">
        <v>18742.32</v>
      </c>
      <c r="NF69" s="327" t="n">
        <v>18742.32</v>
      </c>
      <c r="NI69" s="327" t="n">
        <v>18742.32</v>
      </c>
      <c r="NL69" s="327" t="n">
        <v>18742.32</v>
      </c>
      <c r="NR69" s="327" t="n">
        <v>18742.32</v>
      </c>
      <c r="NU69" s="327" t="n">
        <v>18742.32</v>
      </c>
      <c r="NX69" s="327" t="n">
        <v>18742.32</v>
      </c>
      <c r="OA69" s="327" t="n">
        <v>18742.32</v>
      </c>
      <c r="OD69" s="327" t="n">
        <v>18742.32</v>
      </c>
      <c r="OG69" s="327" t="n">
        <v>18742.32</v>
      </c>
      <c r="OJ69" s="327" t="n">
        <v>18742.32</v>
      </c>
      <c r="OM69" s="327" t="n">
        <v>18742.32</v>
      </c>
      <c r="OP69" s="327" t="n">
        <v>18742.32</v>
      </c>
      <c r="OS69" s="327" t="n">
        <v>18742.32</v>
      </c>
      <c r="OV69" s="327" t="n">
        <v>18742.32</v>
      </c>
      <c r="OY69" s="327" t="n">
        <v>18742.32</v>
      </c>
      <c r="PE69" s="327" t="n">
        <v>18742.32</v>
      </c>
      <c r="PH69" s="327" t="n">
        <v>18742.32</v>
      </c>
      <c r="PK69" s="327" t="n">
        <v>18742.32</v>
      </c>
      <c r="PN69" s="327" t="n">
        <v>18742.32</v>
      </c>
      <c r="PQ69" s="327" t="n">
        <v>18742.32</v>
      </c>
      <c r="PT69" s="327" t="n">
        <v>18742.32</v>
      </c>
      <c r="PW69" s="327" t="n">
        <v>18742.32</v>
      </c>
      <c r="PZ69" s="327" t="n">
        <v>18742.32</v>
      </c>
      <c r="QC69" s="327" t="n">
        <v>18742.32</v>
      </c>
      <c r="QF69" s="327" t="n">
        <v>18742.32</v>
      </c>
      <c r="QI69" s="327"/>
      <c r="QL69" s="327"/>
    </row>
    <row r="70" s="329" customFormat="true" ht="15" hidden="false" customHeight="false" outlineLevel="0" collapsed="false">
      <c r="A70" s="146" t="s">
        <v>2728</v>
      </c>
      <c r="B70" s="342"/>
      <c r="C70" s="343" t="n">
        <v>702730.98</v>
      </c>
      <c r="D70" s="342"/>
      <c r="E70" s="344"/>
      <c r="F70" s="60" t="n">
        <v>27.1716</v>
      </c>
      <c r="G70" s="345" t="n">
        <v>0</v>
      </c>
      <c r="H70" s="346" t="n">
        <f aca="false">1-G70</f>
        <v>1</v>
      </c>
      <c r="I70" s="346" t="n">
        <f aca="false">J70/F70*28.3989</f>
        <v>151080.128734487</v>
      </c>
      <c r="J70" s="347" t="n">
        <v>144550.98</v>
      </c>
      <c r="K70" s="289"/>
      <c r="M70" s="327"/>
      <c r="N70" s="289"/>
      <c r="P70" s="327"/>
      <c r="Q70" s="289"/>
      <c r="S70" s="327"/>
      <c r="V70" s="327"/>
      <c r="W70" s="289"/>
      <c r="Y70" s="327"/>
      <c r="AC70" s="289"/>
      <c r="AE70" s="327"/>
      <c r="AF70" s="289"/>
      <c r="AH70" s="327"/>
      <c r="AI70" s="289"/>
      <c r="AK70" s="327"/>
      <c r="AL70" s="289"/>
      <c r="AN70" s="327"/>
      <c r="AO70" s="289"/>
      <c r="AQ70" s="327"/>
      <c r="AR70" s="289"/>
      <c r="AT70" s="327"/>
      <c r="AU70" s="289"/>
      <c r="AW70" s="327"/>
      <c r="AX70" s="289"/>
      <c r="AZ70" s="327"/>
      <c r="BA70" s="289"/>
      <c r="BC70" s="327"/>
      <c r="BD70" s="289"/>
      <c r="BF70" s="327"/>
      <c r="BG70" s="289"/>
      <c r="BI70" s="327"/>
      <c r="BJ70" s="289"/>
      <c r="BL70" s="327"/>
      <c r="BP70" s="289"/>
      <c r="BR70" s="327"/>
      <c r="BS70" s="289"/>
      <c r="BU70" s="327"/>
      <c r="BV70" s="289"/>
      <c r="BX70" s="327"/>
      <c r="BY70" s="289"/>
      <c r="CA70" s="327"/>
      <c r="CB70" s="289"/>
      <c r="CD70" s="327"/>
      <c r="CE70" s="289"/>
      <c r="CG70" s="327"/>
      <c r="CH70" s="289"/>
      <c r="CJ70" s="327"/>
      <c r="CK70" s="289"/>
      <c r="CM70" s="327"/>
      <c r="CN70" s="289"/>
      <c r="CP70" s="327"/>
      <c r="CQ70" s="289"/>
      <c r="CS70" s="327"/>
      <c r="CV70" s="327"/>
      <c r="CW70" s="289"/>
      <c r="CY70" s="327"/>
      <c r="DC70" s="335"/>
      <c r="DE70" s="327"/>
      <c r="DH70" s="327"/>
      <c r="DK70" s="327"/>
      <c r="DL70" s="289"/>
      <c r="DN70" s="327"/>
      <c r="DQ70" s="327"/>
      <c r="DT70" s="327"/>
      <c r="ED70" s="289"/>
      <c r="EJ70" s="289"/>
      <c r="FN70" s="289"/>
      <c r="FQ70" s="289"/>
      <c r="FT70" s="289"/>
      <c r="FW70" s="289"/>
      <c r="GC70" s="289"/>
      <c r="GK70" s="327"/>
      <c r="GU70" s="289"/>
      <c r="GX70" s="289"/>
      <c r="HA70" s="289"/>
      <c r="HD70" s="289"/>
      <c r="HG70" s="289"/>
      <c r="HJ70" s="289"/>
      <c r="HP70" s="289"/>
      <c r="HS70" s="289"/>
      <c r="HV70" s="289"/>
      <c r="HY70" s="289"/>
      <c r="IB70" s="289"/>
      <c r="IE70" s="289"/>
      <c r="IH70" s="289"/>
      <c r="IK70" s="289"/>
      <c r="IM70" s="327"/>
      <c r="IN70" s="289"/>
      <c r="IP70" s="327"/>
      <c r="IQ70" s="289"/>
      <c r="IS70" s="327"/>
      <c r="IT70" s="289"/>
      <c r="IV70" s="327"/>
      <c r="IW70" s="325" t="n">
        <f aca="false">(IX70*$H70+IY70*$G70)</f>
        <v>9600.01425385329</v>
      </c>
      <c r="IX70" s="328" t="n">
        <f aca="false">IY70/$F70*IY$7</f>
        <v>9600.01425385329</v>
      </c>
      <c r="IY70" s="327" t="n">
        <v>9303</v>
      </c>
      <c r="JC70" s="325" t="n">
        <f aca="false">(JD70*$H70+JE70*$G70)</f>
        <v>9656.30145077949</v>
      </c>
      <c r="JD70" s="329" t="n">
        <f aca="false">JE70/$F70*JE$7</f>
        <v>9656.30145077949</v>
      </c>
      <c r="JE70" s="327" t="n">
        <v>9303</v>
      </c>
      <c r="JF70" s="325" t="n">
        <f aca="false">(JG70*$H70+JH70*$G70)</f>
        <v>9562.7975974915</v>
      </c>
      <c r="JG70" s="326" t="n">
        <f aca="false">JH70/$F70*JH$7</f>
        <v>9562.7975974915</v>
      </c>
      <c r="JH70" s="327" t="n">
        <v>9303</v>
      </c>
      <c r="JI70" s="325" t="n">
        <f aca="false">(JJ70*$H70+JK70*$G70)</f>
        <v>9490.21313430199</v>
      </c>
      <c r="JJ70" s="326" t="n">
        <f aca="false">JK70/$F70*JK$7</f>
        <v>9490.21313430199</v>
      </c>
      <c r="JK70" s="327" t="n">
        <v>9303</v>
      </c>
      <c r="JL70" s="325" t="n">
        <f aca="false">(JM70*$H70+JN70*$G70)</f>
        <v>9589.91405732456</v>
      </c>
      <c r="JM70" s="326" t="n">
        <f aca="false">JN70/$F70*JN$7</f>
        <v>9589.91405732456</v>
      </c>
      <c r="JN70" s="327" t="n">
        <v>9303</v>
      </c>
      <c r="JO70" s="325" t="n">
        <f aca="false">(JP70*$H70+JQ70*$G70)</f>
        <v>9403.96772733295</v>
      </c>
      <c r="JP70" s="326" t="n">
        <f aca="false">JQ70/$F70*JQ$7</f>
        <v>9403.96772733295</v>
      </c>
      <c r="JQ70" s="327" t="n">
        <v>9303</v>
      </c>
      <c r="JR70" s="325" t="n">
        <f aca="false">(JS70*$H70+JT70*$G70)</f>
        <v>9310.49811199929</v>
      </c>
      <c r="JS70" s="328" t="n">
        <f aca="false">JT70/$F70*JT$7</f>
        <v>9310.49811199929</v>
      </c>
      <c r="JT70" s="327" t="n">
        <v>9303</v>
      </c>
      <c r="JU70" s="325" t="n">
        <f aca="false">(JV70*$H70+JW70*$G70)</f>
        <v>9319.74235966965</v>
      </c>
      <c r="JV70" s="329" t="n">
        <f aca="false">JW70/$F70*JW$7</f>
        <v>9319.74235966965</v>
      </c>
      <c r="JW70" s="327" t="n">
        <v>9303</v>
      </c>
      <c r="JX70" s="325" t="n">
        <f aca="false">(JY70*$H70+JZ70*$G70)</f>
        <v>9122.87412224529</v>
      </c>
      <c r="JY70" s="329" t="n">
        <f aca="false">JZ70/$F70*JZ$7</f>
        <v>9122.87412224529</v>
      </c>
      <c r="JZ70" s="327" t="n">
        <v>9303</v>
      </c>
      <c r="KA70" s="325" t="n">
        <f aca="false">(KB70*$H70+KC70*$G70)</f>
        <v>9142.49247007905</v>
      </c>
      <c r="KB70" s="329" t="n">
        <f aca="false">KC70/$F70*KC$7</f>
        <v>9142.49247007905</v>
      </c>
      <c r="KC70" s="327" t="n">
        <v>9303</v>
      </c>
      <c r="KD70" s="325" t="n">
        <f aca="false">(KE70*$H70+KF70*$G70)</f>
        <v>8994.99536280528</v>
      </c>
      <c r="KE70" s="329" t="n">
        <f aca="false">KF70/$F70*KF$7</f>
        <v>8994.99536280528</v>
      </c>
      <c r="KF70" s="327" t="n">
        <v>9303</v>
      </c>
      <c r="KG70" s="325" t="n">
        <f aca="false">(KH70*$H70+KI70*$G70)</f>
        <v>9127.4277701718</v>
      </c>
      <c r="KH70" s="329" t="n">
        <f aca="false">KI70/$F70*KI$7</f>
        <v>9127.4277701718</v>
      </c>
      <c r="KI70" s="327" t="n">
        <v>9303</v>
      </c>
      <c r="KJ70" s="325" t="n">
        <f aca="false">(KK70*$H70+KL70*$G70)</f>
        <v>9341.68888839818</v>
      </c>
      <c r="KK70" s="329" t="n">
        <f aca="false">KL70/$F70*KL$7</f>
        <v>9341.68888839818</v>
      </c>
      <c r="KL70" s="327" t="n">
        <v>9303</v>
      </c>
      <c r="KP70" s="325" t="n">
        <f aca="false">(KQ70*$H70+KR70*$G70)</f>
        <v>9727.03706443492</v>
      </c>
      <c r="KQ70" s="329" t="n">
        <f aca="false">KR70/$F70*KR$7</f>
        <v>9727.03706443492</v>
      </c>
      <c r="KR70" s="327" t="n">
        <v>9303</v>
      </c>
      <c r="KS70" s="325" t="n">
        <f aca="false">(KT70*$H70+KU70*$G70)</f>
        <v>9924.795488672</v>
      </c>
      <c r="KT70" s="329" t="n">
        <f aca="false">KU70/$F70*KU$7</f>
        <v>9924.795488672</v>
      </c>
      <c r="KU70" s="327" t="n">
        <v>9303</v>
      </c>
      <c r="KV70" s="325" t="n">
        <f aca="false">(KW70*$H70+KX70*$G70)</f>
        <v>10016.2793026542</v>
      </c>
      <c r="KW70" s="329" t="n">
        <f aca="false">KX70/$F70*KX$7</f>
        <v>10016.2793026542</v>
      </c>
      <c r="KX70" s="327" t="n">
        <v>9303</v>
      </c>
      <c r="KY70" s="325" t="n">
        <f aca="false">(KZ70*$H70+LA70*$G70)</f>
        <v>10016.2793026542</v>
      </c>
      <c r="KZ70" s="329" t="n">
        <f aca="false">LA70/$F70*LA$7</f>
        <v>10016.2793026542</v>
      </c>
      <c r="LA70" s="327" t="n">
        <v>9303</v>
      </c>
      <c r="LB70" s="325" t="n">
        <f aca="false">(LC70*$H70+LD70*$G70)</f>
        <v>10016.2793026542</v>
      </c>
      <c r="LC70" s="329" t="n">
        <f aca="false">LD70/$F70*LD$7</f>
        <v>10016.2793026542</v>
      </c>
      <c r="LD70" s="327" t="n">
        <v>9303</v>
      </c>
      <c r="LE70" s="325" t="n">
        <f aca="false">(LF70*$H70+LG70*$G70)</f>
        <v>10016.2793026542</v>
      </c>
      <c r="LF70" s="329" t="n">
        <f aca="false">LG70/$F70*LG$7</f>
        <v>10016.2793026542</v>
      </c>
      <c r="LG70" s="327" t="n">
        <v>9303</v>
      </c>
      <c r="LH70" s="325" t="n">
        <f aca="false">(LI70*$H70+LJ70*$G70)</f>
        <v>12520.3405688292</v>
      </c>
      <c r="LI70" s="329" t="n">
        <f aca="false">LJ70/$F70*LJ$7</f>
        <v>12520.3405688292</v>
      </c>
      <c r="LJ70" s="327" t="n">
        <v>9303</v>
      </c>
      <c r="LM70" s="327" t="n">
        <v>9303</v>
      </c>
      <c r="LP70" s="327" t="n">
        <v>9303</v>
      </c>
      <c r="LS70" s="327" t="n">
        <v>9303</v>
      </c>
      <c r="LV70" s="327" t="n">
        <v>9303</v>
      </c>
      <c r="LY70" s="327" t="n">
        <v>9303</v>
      </c>
      <c r="ME70" s="327" t="n">
        <v>9303</v>
      </c>
      <c r="MH70" s="327" t="n">
        <v>9303</v>
      </c>
      <c r="MK70" s="327" t="n">
        <v>9303</v>
      </c>
      <c r="MN70" s="327" t="n">
        <v>9303</v>
      </c>
      <c r="MQ70" s="327" t="n">
        <v>9303</v>
      </c>
      <c r="MT70" s="327" t="n">
        <v>9303</v>
      </c>
      <c r="MW70" s="327" t="n">
        <v>9303</v>
      </c>
      <c r="MZ70" s="327" t="n">
        <v>9303</v>
      </c>
      <c r="NC70" s="327" t="n">
        <v>9303</v>
      </c>
      <c r="NF70" s="327" t="n">
        <v>9303</v>
      </c>
      <c r="NI70" s="327" t="n">
        <v>9303</v>
      </c>
      <c r="NL70" s="327" t="n">
        <v>9303</v>
      </c>
      <c r="NR70" s="327" t="n">
        <v>9303</v>
      </c>
      <c r="NU70" s="327" t="n">
        <v>9303</v>
      </c>
      <c r="NX70" s="327" t="n">
        <v>9303</v>
      </c>
      <c r="OA70" s="327" t="n">
        <v>9303</v>
      </c>
      <c r="OD70" s="327" t="n">
        <v>9303</v>
      </c>
      <c r="OG70" s="327" t="n">
        <v>9303</v>
      </c>
      <c r="OJ70" s="327" t="n">
        <v>9303</v>
      </c>
      <c r="OM70" s="327" t="n">
        <v>9303</v>
      </c>
      <c r="OP70" s="327" t="n">
        <v>9303</v>
      </c>
      <c r="OS70" s="327" t="n">
        <v>9303</v>
      </c>
      <c r="OV70" s="327" t="n">
        <v>9303</v>
      </c>
      <c r="OY70" s="327" t="n">
        <v>9303</v>
      </c>
      <c r="PE70" s="327" t="n">
        <v>9303</v>
      </c>
      <c r="PH70" s="327" t="n">
        <v>9303</v>
      </c>
      <c r="PK70" s="327" t="n">
        <v>9303</v>
      </c>
      <c r="PN70" s="327" t="n">
        <v>9303</v>
      </c>
      <c r="PQ70" s="327" t="n">
        <v>9303</v>
      </c>
      <c r="PT70" s="327" t="n">
        <v>9303</v>
      </c>
      <c r="PW70" s="327" t="n">
        <v>9303</v>
      </c>
      <c r="PZ70" s="327" t="n">
        <v>9303</v>
      </c>
      <c r="QC70" s="327" t="n">
        <v>9303</v>
      </c>
      <c r="QF70" s="327" t="n">
        <v>9303</v>
      </c>
      <c r="QI70" s="327" t="n">
        <v>9303</v>
      </c>
      <c r="QL70" s="327"/>
    </row>
    <row r="71" s="329" customFormat="true" ht="15" hidden="false" customHeight="false" outlineLevel="0" collapsed="false">
      <c r="A71" s="28" t="n">
        <v>5.32</v>
      </c>
      <c r="B71" s="342"/>
      <c r="C71" s="343" t="n">
        <v>1707390.1</v>
      </c>
      <c r="D71" s="342"/>
      <c r="E71" s="344"/>
      <c r="F71" s="60" t="n">
        <v>24.4431</v>
      </c>
      <c r="G71" s="345" t="n">
        <v>0</v>
      </c>
      <c r="H71" s="346" t="n">
        <f aca="false">1-G71</f>
        <v>1</v>
      </c>
      <c r="I71" s="346" t="n">
        <f aca="false">J71/F71*27.1269</f>
        <v>428792.709013587</v>
      </c>
      <c r="J71" s="347" t="n">
        <v>386370.1</v>
      </c>
      <c r="K71" s="289"/>
      <c r="M71" s="327"/>
      <c r="N71" s="289"/>
      <c r="P71" s="327"/>
      <c r="Q71" s="289"/>
      <c r="S71" s="327"/>
      <c r="V71" s="327"/>
      <c r="W71" s="289"/>
      <c r="Y71" s="327"/>
      <c r="AC71" s="289"/>
      <c r="AE71" s="327"/>
      <c r="AF71" s="289"/>
      <c r="AH71" s="327"/>
      <c r="AI71" s="289"/>
      <c r="AK71" s="327"/>
      <c r="AL71" s="289"/>
      <c r="AN71" s="327"/>
      <c r="AO71" s="289"/>
      <c r="AQ71" s="327"/>
      <c r="AR71" s="289"/>
      <c r="AT71" s="327"/>
      <c r="AU71" s="289"/>
      <c r="AW71" s="327"/>
      <c r="AX71" s="289"/>
      <c r="AZ71" s="327"/>
      <c r="BA71" s="289"/>
      <c r="BC71" s="327"/>
      <c r="BD71" s="289"/>
      <c r="BF71" s="327"/>
      <c r="BG71" s="289"/>
      <c r="BI71" s="327"/>
      <c r="BJ71" s="289"/>
      <c r="BL71" s="327"/>
      <c r="BP71" s="289"/>
      <c r="BR71" s="327"/>
      <c r="BS71" s="289"/>
      <c r="BU71" s="327"/>
      <c r="BV71" s="289"/>
      <c r="BX71" s="327"/>
      <c r="BY71" s="289"/>
      <c r="CA71" s="327"/>
      <c r="CB71" s="289"/>
      <c r="CD71" s="327"/>
      <c r="CE71" s="289"/>
      <c r="CG71" s="327"/>
      <c r="CH71" s="289"/>
      <c r="CJ71" s="327"/>
      <c r="CK71" s="289"/>
      <c r="CM71" s="327"/>
      <c r="CN71" s="289"/>
      <c r="CP71" s="327"/>
      <c r="CQ71" s="289"/>
      <c r="CS71" s="327"/>
      <c r="CV71" s="327"/>
      <c r="CW71" s="289"/>
      <c r="CY71" s="327"/>
      <c r="DC71" s="335"/>
      <c r="DE71" s="327"/>
      <c r="DH71" s="327"/>
      <c r="DK71" s="327"/>
      <c r="DL71" s="289"/>
      <c r="DN71" s="327"/>
      <c r="DQ71" s="327"/>
      <c r="DT71" s="327"/>
      <c r="ED71" s="289"/>
      <c r="EJ71" s="289"/>
      <c r="FN71" s="289"/>
      <c r="FQ71" s="289"/>
      <c r="FT71" s="289"/>
      <c r="FW71" s="289"/>
      <c r="GC71" s="289"/>
      <c r="GK71" s="327"/>
      <c r="GU71" s="289"/>
      <c r="GX71" s="289"/>
      <c r="HA71" s="289"/>
      <c r="HD71" s="289"/>
      <c r="HG71" s="289"/>
      <c r="HJ71" s="289"/>
      <c r="HP71" s="289"/>
      <c r="HS71" s="289"/>
      <c r="HV71" s="289"/>
      <c r="HY71" s="289"/>
      <c r="IB71" s="289"/>
      <c r="IE71" s="289"/>
      <c r="IH71" s="289"/>
      <c r="IK71" s="325" t="n">
        <f aca="false">(IL71*$H71+IM71*$G71)</f>
        <v>24604.75029763</v>
      </c>
      <c r="IL71" s="328" t="n">
        <f aca="false">IM71/$F71*IM$7</f>
        <v>24604.75029763</v>
      </c>
      <c r="IM71" s="327" t="n">
        <v>22017</v>
      </c>
      <c r="IN71" s="325" t="n">
        <f aca="false">(IO71*$H71+IP71*$G71)</f>
        <v>25402.99051266</v>
      </c>
      <c r="IO71" s="328" t="n">
        <f aca="false">IP71/$F71*IP$7</f>
        <v>25402.99051266</v>
      </c>
      <c r="IP71" s="327" t="n">
        <v>22017</v>
      </c>
      <c r="IQ71" s="325" t="n">
        <f aca="false">(IR71*$H71+IS71*$G71)</f>
        <v>25554.7660444052</v>
      </c>
      <c r="IR71" s="328" t="n">
        <f aca="false">IS71/$F71*IS$7</f>
        <v>25554.7660444052</v>
      </c>
      <c r="IS71" s="327" t="n">
        <v>22017</v>
      </c>
      <c r="IT71" s="325" t="n">
        <f aca="false">(IU71*$H71+IV71*$G71)</f>
        <v>25540.8945714742</v>
      </c>
      <c r="IU71" s="328" t="n">
        <f aca="false">IV71/$F71*IV$7</f>
        <v>25540.8945714742</v>
      </c>
      <c r="IV71" s="327" t="n">
        <v>22017</v>
      </c>
      <c r="IW71" s="325" t="n">
        <f aca="false">(IX71*$H71+IY71*$G71)</f>
        <v>25256.0790038907</v>
      </c>
      <c r="IX71" s="328" t="n">
        <f aca="false">IY71/$F71*IY$7</f>
        <v>25256.0790038907</v>
      </c>
      <c r="IY71" s="327" t="n">
        <v>22017</v>
      </c>
      <c r="JC71" s="325" t="n">
        <f aca="false">(JD71*$H71+JE71*$G71)</f>
        <v>25404.1614811542</v>
      </c>
      <c r="JD71" s="329" t="n">
        <f aca="false">JE71/$F71*JE$7</f>
        <v>25404.1614811542</v>
      </c>
      <c r="JE71" s="327" t="n">
        <v>22017</v>
      </c>
      <c r="JF71" s="325" t="n">
        <f aca="false">(JG71*$H71+JH71*$G71)</f>
        <v>25158.1680228776</v>
      </c>
      <c r="JG71" s="326" t="n">
        <f aca="false">JH71/$F71*JH$7</f>
        <v>25158.1680228776</v>
      </c>
      <c r="JH71" s="327" t="n">
        <v>22017</v>
      </c>
      <c r="JI71" s="325" t="n">
        <f aca="false">(JJ71*$H71+JK71*$G71)</f>
        <v>24967.2100838273</v>
      </c>
      <c r="JJ71" s="326" t="n">
        <f aca="false">JK71/$F71*JK$7</f>
        <v>24967.2100838273</v>
      </c>
      <c r="JK71" s="327" t="n">
        <v>22017</v>
      </c>
      <c r="JL71" s="325" t="n">
        <f aca="false">(JM71*$H71+JN71*$G71)</f>
        <v>25229.5070265228</v>
      </c>
      <c r="JM71" s="326" t="n">
        <f aca="false">JN71/$F71*JN$7</f>
        <v>25229.5070265228</v>
      </c>
      <c r="JN71" s="327" t="n">
        <v>22017</v>
      </c>
      <c r="JO71" s="325" t="n">
        <f aca="false">(JP71*$H71+JQ71*$G71)</f>
        <v>24740.3124194558</v>
      </c>
      <c r="JP71" s="326" t="n">
        <f aca="false">JQ71/$F71*JQ$7</f>
        <v>24740.3124194558</v>
      </c>
      <c r="JQ71" s="327" t="n">
        <v>22017</v>
      </c>
      <c r="JR71" s="325" t="n">
        <f aca="false">(JS71*$H71+JT71*$G71)</f>
        <v>24494.4090356788</v>
      </c>
      <c r="JS71" s="328" t="n">
        <f aca="false">JT71/$F71*JT$7</f>
        <v>24494.4090356788</v>
      </c>
      <c r="JT71" s="327" t="n">
        <v>22017</v>
      </c>
      <c r="JU71" s="325" t="n">
        <f aca="false">(JV71*$H71+JW71*$G71)</f>
        <v>24518.7291505578</v>
      </c>
      <c r="JV71" s="329" t="n">
        <f aca="false">JW71/$F71*JW$7</f>
        <v>24518.7291505578</v>
      </c>
      <c r="JW71" s="327" t="n">
        <v>22017</v>
      </c>
      <c r="JX71" s="325" t="n">
        <f aca="false">(JY71*$H71+JZ71*$G71)</f>
        <v>24000.8007781337</v>
      </c>
      <c r="JY71" s="329" t="n">
        <f aca="false">JZ71/$F71*JZ$7</f>
        <v>24000.8007781337</v>
      </c>
      <c r="JZ71" s="327" t="n">
        <v>22017</v>
      </c>
      <c r="KA71" s="325" t="n">
        <f aca="false">(KB71*$H71+KC71*$G71)</f>
        <v>24052.413466377</v>
      </c>
      <c r="KB71" s="329" t="n">
        <f aca="false">KC71/$F71*KC$7</f>
        <v>24052.413466377</v>
      </c>
      <c r="KC71" s="327" t="n">
        <v>22017</v>
      </c>
      <c r="KD71" s="325" t="n">
        <f aca="false">(KE71*$H71+KF71*$G71)</f>
        <v>23664.3725223069</v>
      </c>
      <c r="KE71" s="329" t="n">
        <f aca="false">KF71/$F71*KF$7</f>
        <v>23664.3725223069</v>
      </c>
      <c r="KF71" s="327" t="n">
        <v>22017</v>
      </c>
      <c r="KG71" s="325" t="n">
        <f aca="false">(KH71*$H71+KI71*$G71)</f>
        <v>24012.7806865741</v>
      </c>
      <c r="KH71" s="329" t="n">
        <f aca="false">KI71/$F71*KI$7</f>
        <v>24012.7806865741</v>
      </c>
      <c r="KI71" s="327" t="n">
        <v>22017</v>
      </c>
      <c r="KJ71" s="325" t="n">
        <f aca="false">(KK71*$H71+KL71*$G71)</f>
        <v>24576.4669047707</v>
      </c>
      <c r="KK71" s="329" t="n">
        <f aca="false">KL71/$F71*KL$7</f>
        <v>24576.4669047707</v>
      </c>
      <c r="KL71" s="327" t="n">
        <v>22017</v>
      </c>
      <c r="KP71" s="325" t="n">
        <f aca="false">(KQ71*$H71+KR71*$G71)</f>
        <v>25590.2553972287</v>
      </c>
      <c r="KQ71" s="329" t="n">
        <f aca="false">KR71/$F71*KR$7</f>
        <v>25590.2553972287</v>
      </c>
      <c r="KR71" s="327" t="n">
        <v>22017</v>
      </c>
      <c r="KS71" s="325" t="n">
        <f aca="false">(KT71*$H71+KU71*$G71)</f>
        <v>26110.5257066411</v>
      </c>
      <c r="KT71" s="329" t="n">
        <f aca="false">KU71/$F71*KU$7</f>
        <v>26110.5257066411</v>
      </c>
      <c r="KU71" s="327" t="n">
        <v>22017</v>
      </c>
      <c r="KV71" s="325" t="n">
        <f aca="false">(KW71*$H71+KX71*$G71)</f>
        <v>26351.2047694441</v>
      </c>
      <c r="KW71" s="329" t="n">
        <f aca="false">KX71/$F71*KX$7</f>
        <v>26351.2047694441</v>
      </c>
      <c r="KX71" s="327" t="n">
        <v>22017</v>
      </c>
      <c r="KY71" s="325" t="n">
        <f aca="false">(KZ71*$H71+LA71*$G71)</f>
        <v>26351.2047694441</v>
      </c>
      <c r="KZ71" s="329" t="n">
        <f aca="false">LA71/$F71*LA$7</f>
        <v>26351.2047694441</v>
      </c>
      <c r="LA71" s="327" t="n">
        <v>22017</v>
      </c>
      <c r="LB71" s="325" t="n">
        <f aca="false">(LC71*$H71+LD71*$G71)</f>
        <v>26351.2047694441</v>
      </c>
      <c r="LC71" s="329" t="n">
        <f aca="false">LD71/$F71*LD$7</f>
        <v>26351.2047694441</v>
      </c>
      <c r="LD71" s="327" t="n">
        <v>22017</v>
      </c>
      <c r="LE71" s="325" t="n">
        <f aca="false">(LF71*$H71+LG71*$G71)</f>
        <v>26351.2047694441</v>
      </c>
      <c r="LF71" s="329" t="n">
        <f aca="false">LG71/$F71*LG$7</f>
        <v>26351.2047694441</v>
      </c>
      <c r="LG71" s="327" t="n">
        <v>22017</v>
      </c>
      <c r="LH71" s="325" t="n">
        <f aca="false">(LI71*$H71+LJ71*$G71)</f>
        <v>32938.9834431803</v>
      </c>
      <c r="LI71" s="329" t="n">
        <f aca="false">LJ71/$F71*LJ$7</f>
        <v>32938.9834431803</v>
      </c>
      <c r="LJ71" s="327" t="n">
        <v>22017</v>
      </c>
      <c r="LM71" s="327" t="n">
        <v>22017</v>
      </c>
      <c r="LP71" s="327" t="n">
        <v>22017</v>
      </c>
      <c r="LS71" s="327" t="n">
        <v>22017</v>
      </c>
      <c r="LV71" s="327" t="n">
        <v>22017</v>
      </c>
      <c r="LY71" s="327" t="n">
        <v>22017</v>
      </c>
      <c r="ME71" s="327" t="n">
        <v>22017</v>
      </c>
      <c r="MH71" s="327" t="n">
        <v>22017</v>
      </c>
      <c r="MK71" s="327" t="n">
        <v>22017</v>
      </c>
      <c r="MN71" s="327" t="n">
        <v>22017</v>
      </c>
      <c r="MQ71" s="327" t="n">
        <v>22017</v>
      </c>
      <c r="MT71" s="327" t="n">
        <v>22017</v>
      </c>
      <c r="MW71" s="327" t="n">
        <v>22017</v>
      </c>
      <c r="MZ71" s="327" t="n">
        <v>22017</v>
      </c>
      <c r="NC71" s="327" t="n">
        <v>22017</v>
      </c>
      <c r="NF71" s="327" t="n">
        <v>22017</v>
      </c>
      <c r="NI71" s="327" t="n">
        <v>22017</v>
      </c>
      <c r="NL71" s="327" t="n">
        <v>22017</v>
      </c>
      <c r="NR71" s="327" t="n">
        <v>22017</v>
      </c>
      <c r="NU71" s="327" t="n">
        <v>22017</v>
      </c>
      <c r="NX71" s="327" t="n">
        <v>22017</v>
      </c>
      <c r="OA71" s="327" t="n">
        <v>22017</v>
      </c>
      <c r="OD71" s="327" t="n">
        <v>22017</v>
      </c>
      <c r="OG71" s="327" t="n">
        <v>22017</v>
      </c>
      <c r="OJ71" s="327" t="n">
        <v>22017</v>
      </c>
      <c r="OM71" s="327" t="n">
        <v>22017</v>
      </c>
      <c r="OP71" s="327" t="n">
        <v>22017</v>
      </c>
      <c r="OS71" s="327" t="n">
        <v>22017</v>
      </c>
      <c r="OV71" s="327" t="n">
        <v>22017</v>
      </c>
      <c r="OY71" s="327" t="n">
        <v>22017</v>
      </c>
      <c r="PE71" s="327" t="n">
        <v>22017</v>
      </c>
      <c r="PH71" s="327" t="n">
        <v>22017</v>
      </c>
      <c r="PK71" s="327" t="n">
        <v>22017</v>
      </c>
      <c r="PN71" s="327" t="n">
        <v>22017</v>
      </c>
      <c r="PQ71" s="327" t="n">
        <v>22017</v>
      </c>
      <c r="PT71" s="327" t="n">
        <v>22017</v>
      </c>
      <c r="PW71" s="327" t="n">
        <v>22017</v>
      </c>
    </row>
    <row r="72" s="329" customFormat="true" ht="15" hidden="false" customHeight="false" outlineLevel="0" collapsed="false">
      <c r="A72" s="70" t="n">
        <v>5.33</v>
      </c>
      <c r="B72" s="333"/>
      <c r="C72" s="351" t="n">
        <v>2382975.91</v>
      </c>
      <c r="D72" s="333"/>
      <c r="E72" s="334"/>
      <c r="F72" s="167" t="n">
        <v>28.1206</v>
      </c>
      <c r="G72" s="352" t="n">
        <v>0</v>
      </c>
      <c r="H72" s="353" t="n">
        <f aca="false">1-G72</f>
        <v>1</v>
      </c>
      <c r="I72" s="353" t="n">
        <f aca="false">J72/F72*28.13</f>
        <v>452101.38547186</v>
      </c>
      <c r="J72" s="354" t="n">
        <v>451950.31</v>
      </c>
      <c r="K72" s="289"/>
      <c r="M72" s="327"/>
      <c r="N72" s="289"/>
      <c r="P72" s="327"/>
      <c r="Q72" s="289"/>
      <c r="S72" s="327"/>
      <c r="V72" s="327"/>
      <c r="W72" s="289"/>
      <c r="Y72" s="327"/>
      <c r="AC72" s="289"/>
      <c r="AE72" s="327"/>
      <c r="AF72" s="289"/>
      <c r="AH72" s="327"/>
      <c r="AI72" s="289"/>
      <c r="AK72" s="327"/>
      <c r="AL72" s="289"/>
      <c r="AN72" s="327"/>
      <c r="AO72" s="289"/>
      <c r="AQ72" s="327"/>
      <c r="AR72" s="289"/>
      <c r="AT72" s="327"/>
      <c r="AU72" s="289"/>
      <c r="AW72" s="327"/>
      <c r="AX72" s="289"/>
      <c r="AZ72" s="327"/>
      <c r="BA72" s="289"/>
      <c r="BC72" s="327"/>
      <c r="BD72" s="289"/>
      <c r="BF72" s="327"/>
      <c r="BG72" s="289"/>
      <c r="BI72" s="327"/>
      <c r="BJ72" s="289"/>
      <c r="BL72" s="327"/>
      <c r="BP72" s="289"/>
      <c r="BR72" s="327"/>
      <c r="BS72" s="289"/>
      <c r="BU72" s="327"/>
      <c r="BV72" s="289"/>
      <c r="BX72" s="327"/>
      <c r="BY72" s="289"/>
      <c r="CA72" s="327"/>
      <c r="CB72" s="289"/>
      <c r="CD72" s="327"/>
      <c r="CE72" s="289"/>
      <c r="CG72" s="327"/>
      <c r="CH72" s="289"/>
      <c r="CJ72" s="327"/>
      <c r="CK72" s="289"/>
      <c r="CM72" s="327"/>
      <c r="CN72" s="289"/>
      <c r="CP72" s="327"/>
      <c r="CQ72" s="289"/>
      <c r="CS72" s="327"/>
      <c r="CV72" s="327"/>
      <c r="CW72" s="289"/>
      <c r="CY72" s="327"/>
      <c r="DC72" s="335"/>
      <c r="DE72" s="327"/>
      <c r="DH72" s="327"/>
      <c r="DK72" s="327"/>
      <c r="DL72" s="289"/>
      <c r="DN72" s="327"/>
      <c r="DQ72" s="327"/>
      <c r="DT72" s="327"/>
      <c r="ED72" s="289"/>
      <c r="EJ72" s="289"/>
      <c r="FN72" s="289"/>
      <c r="FQ72" s="289"/>
      <c r="FT72" s="289"/>
      <c r="FW72" s="289"/>
      <c r="GC72" s="289"/>
      <c r="GK72" s="327"/>
      <c r="GU72" s="289"/>
      <c r="GX72" s="289"/>
      <c r="HA72" s="289"/>
      <c r="HD72" s="289"/>
      <c r="HG72" s="289"/>
      <c r="HJ72" s="289"/>
      <c r="HP72" s="289"/>
      <c r="HS72" s="289"/>
      <c r="HV72" s="289"/>
      <c r="HY72" s="289"/>
      <c r="IB72" s="289"/>
      <c r="IE72" s="289"/>
      <c r="IH72" s="289"/>
      <c r="IK72" s="325"/>
      <c r="IL72" s="328"/>
      <c r="IM72" s="327"/>
      <c r="IN72" s="325"/>
      <c r="IO72" s="328"/>
      <c r="IP72" s="327"/>
      <c r="IQ72" s="325"/>
      <c r="IR72" s="328"/>
      <c r="IS72" s="327"/>
      <c r="IT72" s="328"/>
      <c r="IU72" s="328"/>
      <c r="IV72" s="327"/>
      <c r="IW72" s="325" t="n">
        <f aca="false">(IX72*$H72+IY72*$G72)</f>
        <v>32090.4840229583</v>
      </c>
      <c r="IX72" s="328" t="n">
        <f aca="false">IY72/$F72*IY$7</f>
        <v>32090.4840229583</v>
      </c>
      <c r="IY72" s="327" t="n">
        <v>32183.76</v>
      </c>
      <c r="JC72" s="325" t="n">
        <f aca="false">(JD72*$H72+JE72*$G72)</f>
        <v>32278.6382637639</v>
      </c>
      <c r="JD72" s="329" t="n">
        <f aca="false">JE72/$F72*JE$7</f>
        <v>32278.6382637639</v>
      </c>
      <c r="JE72" s="327" t="n">
        <v>32183.76</v>
      </c>
      <c r="JF72" s="325" t="n">
        <f aca="false">(JG72*$H72+JH72*$G72)</f>
        <v>31966.0779038854</v>
      </c>
      <c r="JG72" s="326" t="n">
        <f aca="false">JH72/$F72*JH$7</f>
        <v>31966.0779038854</v>
      </c>
      <c r="JH72" s="327" t="n">
        <v>32183.76</v>
      </c>
      <c r="JI72" s="325" t="n">
        <f aca="false">(JJ72*$H72+JK72*$G72)</f>
        <v>31723.4459145253</v>
      </c>
      <c r="JJ72" s="326" t="n">
        <f aca="false">JK72/$F72*JK$7</f>
        <v>31723.4459145253</v>
      </c>
      <c r="JK72" s="327" t="n">
        <v>32183.76</v>
      </c>
      <c r="JL72" s="325" t="n">
        <f aca="false">(JM72*$H72+JN72*$G72)</f>
        <v>32056.7215527407</v>
      </c>
      <c r="JM72" s="326" t="n">
        <f aca="false">JN72/$F72*JN$7</f>
        <v>32056.7215527407</v>
      </c>
      <c r="JN72" s="327" t="n">
        <v>32183.76</v>
      </c>
      <c r="JO72" s="325" t="n">
        <f aca="false">(JP72*$H72+JQ72*$G72)</f>
        <v>31435.1487535828</v>
      </c>
      <c r="JP72" s="326" t="n">
        <f aca="false">JQ72/$F72*JQ$7</f>
        <v>31435.1487535828</v>
      </c>
      <c r="JQ72" s="327" t="n">
        <v>32183.76</v>
      </c>
      <c r="JR72" s="325" t="n">
        <f aca="false">(JS72*$H72+JT72*$G72)</f>
        <v>31122.7028427558</v>
      </c>
      <c r="JS72" s="328" t="n">
        <f aca="false">JT72/$F72*JT$7</f>
        <v>31122.7028427558</v>
      </c>
      <c r="JT72" s="327" t="n">
        <v>32183.76</v>
      </c>
      <c r="JU72" s="325" t="n">
        <f aca="false">(JV72*$H72+JW72*$G72)</f>
        <v>31153.6040866838</v>
      </c>
      <c r="JV72" s="329" t="n">
        <f aca="false">JW72/$F72*JW$7</f>
        <v>31153.6040866838</v>
      </c>
      <c r="JW72" s="327" t="n">
        <v>32183.76</v>
      </c>
      <c r="JX72" s="325" t="n">
        <f aca="false">(JY72*$H72+JZ72*$G72)</f>
        <v>30495.5220400703</v>
      </c>
      <c r="JY72" s="329" t="n">
        <f aca="false">JZ72/$F72*JZ$7</f>
        <v>30495.5220400703</v>
      </c>
      <c r="JZ72" s="327" t="n">
        <v>32183.76</v>
      </c>
      <c r="KA72" s="325" t="n">
        <f aca="false">(KB72*$H72+KC72*$G72)</f>
        <v>30561.1013466284</v>
      </c>
      <c r="KB72" s="329" t="n">
        <f aca="false">KC72/$F72*KC$7</f>
        <v>30561.1013466284</v>
      </c>
      <c r="KC72" s="327" t="n">
        <v>32183.76</v>
      </c>
      <c r="KD72" s="325" t="n">
        <f aca="false">(KE72*$H72+KF72*$G72)</f>
        <v>30068.0548324004</v>
      </c>
      <c r="KE72" s="329" t="n">
        <f aca="false">KF72/$F72*KF$7</f>
        <v>30068.0548324004</v>
      </c>
      <c r="KF72" s="327" t="n">
        <v>32183.76</v>
      </c>
      <c r="KG72" s="325" t="n">
        <f aca="false">(KH72*$H72+KI72*$G72)</f>
        <v>30510.7437639311</v>
      </c>
      <c r="KH72" s="329" t="n">
        <f aca="false">KI72/$F72*KI$7</f>
        <v>30510.7437639311</v>
      </c>
      <c r="KI72" s="327" t="n">
        <v>32183.76</v>
      </c>
      <c r="KJ72" s="325" t="n">
        <f aca="false">(KK72*$H72+KL72*$G72)</f>
        <v>31226.9659287497</v>
      </c>
      <c r="KK72" s="329" t="n">
        <f aca="false">KL72/$F72*KL$7</f>
        <v>31226.9659287497</v>
      </c>
      <c r="KL72" s="327" t="n">
        <v>32183.76</v>
      </c>
      <c r="KP72" s="325" t="n">
        <f aca="false">(KQ72*$H72+KR72*$G72)</f>
        <v>32515.0900043385</v>
      </c>
      <c r="KQ72" s="329" t="n">
        <f aca="false">KR72/$F72*KR$7</f>
        <v>32515.0900043385</v>
      </c>
      <c r="KR72" s="327" t="n">
        <v>32183.76</v>
      </c>
      <c r="KS72" s="325" t="n">
        <f aca="false">(KT72*$H72+KU72*$G72)</f>
        <v>33176.1477262932</v>
      </c>
      <c r="KT72" s="329" t="n">
        <f aca="false">KU72/$F72*KU$7</f>
        <v>33176.1477262932</v>
      </c>
      <c r="KU72" s="327" t="n">
        <v>32183.76</v>
      </c>
      <c r="KV72" s="325" t="n">
        <f aca="false">(KW72*$H72+KX72*$G72)</f>
        <v>33481.9555921282</v>
      </c>
      <c r="KW72" s="329" t="n">
        <f aca="false">KX72/$F72*KX$7</f>
        <v>33481.9555921282</v>
      </c>
      <c r="KX72" s="327" t="n">
        <v>32183.76</v>
      </c>
      <c r="KY72" s="325" t="n">
        <f aca="false">(KZ72*$H72+LA72*$G72)</f>
        <v>33481.9555921282</v>
      </c>
      <c r="KZ72" s="329" t="n">
        <f aca="false">LA72/$F72*LA$7</f>
        <v>33481.9555921282</v>
      </c>
      <c r="LA72" s="327" t="n">
        <v>32183.76</v>
      </c>
      <c r="LB72" s="325" t="n">
        <f aca="false">(LC72*$H72+LD72*$G72)</f>
        <v>33481.9555921282</v>
      </c>
      <c r="LC72" s="329" t="n">
        <f aca="false">LD72/$F72*LD$7</f>
        <v>33481.9555921282</v>
      </c>
      <c r="LD72" s="327" t="n">
        <v>32183.76</v>
      </c>
      <c r="LE72" s="325" t="n">
        <f aca="false">(LF72*$H72+LG72*$G72)</f>
        <v>33481.9555921282</v>
      </c>
      <c r="LF72" s="329" t="n">
        <f aca="false">LG72/$F72*LG$7</f>
        <v>33481.9555921282</v>
      </c>
      <c r="LG72" s="327" t="n">
        <v>32183.76</v>
      </c>
      <c r="LH72" s="325" t="n">
        <f aca="false">(LI72*$H72+LJ72*$G72)</f>
        <v>41852.4158778973</v>
      </c>
      <c r="LI72" s="329" t="n">
        <f aca="false">LJ72/$F72*LJ$7</f>
        <v>41852.4158778973</v>
      </c>
      <c r="LJ72" s="327" t="n">
        <v>32183.76</v>
      </c>
      <c r="LM72" s="327" t="n">
        <v>32183.76</v>
      </c>
      <c r="LP72" s="327" t="n">
        <v>32183.76</v>
      </c>
      <c r="LS72" s="327" t="n">
        <v>32183.76</v>
      </c>
      <c r="LV72" s="327" t="n">
        <v>32183.76</v>
      </c>
      <c r="LY72" s="327" t="n">
        <v>32183.76</v>
      </c>
      <c r="ME72" s="327" t="n">
        <v>32183.76</v>
      </c>
      <c r="MH72" s="327" t="n">
        <v>32183.76</v>
      </c>
      <c r="MK72" s="327" t="n">
        <v>32183.76</v>
      </c>
      <c r="MN72" s="327" t="n">
        <v>32183.76</v>
      </c>
      <c r="MQ72" s="327" t="n">
        <v>32183.76</v>
      </c>
      <c r="MT72" s="327" t="n">
        <v>32183.76</v>
      </c>
      <c r="MW72" s="327" t="n">
        <v>32183.76</v>
      </c>
      <c r="MZ72" s="327" t="n">
        <v>32183.76</v>
      </c>
      <c r="NC72" s="327" t="n">
        <v>32183.76</v>
      </c>
      <c r="NF72" s="327" t="n">
        <v>32183.76</v>
      </c>
      <c r="NI72" s="327" t="n">
        <v>32183.76</v>
      </c>
      <c r="NL72" s="327" t="n">
        <v>32183.76</v>
      </c>
      <c r="NR72" s="327" t="n">
        <v>32183.76</v>
      </c>
      <c r="NU72" s="327" t="n">
        <v>32183.76</v>
      </c>
      <c r="NX72" s="327" t="n">
        <v>32183.76</v>
      </c>
      <c r="OA72" s="327" t="n">
        <v>32183.76</v>
      </c>
      <c r="OD72" s="327" t="n">
        <v>32183.76</v>
      </c>
      <c r="OG72" s="327" t="n">
        <v>32183.76</v>
      </c>
      <c r="OJ72" s="327" t="n">
        <v>32183.76</v>
      </c>
      <c r="OM72" s="327" t="n">
        <v>32183.76</v>
      </c>
      <c r="OP72" s="327" t="n">
        <v>32183.76</v>
      </c>
      <c r="OS72" s="327" t="n">
        <v>32183.76</v>
      </c>
      <c r="OV72" s="327" t="n">
        <v>32183.76</v>
      </c>
      <c r="OY72" s="327" t="n">
        <v>32183.76</v>
      </c>
      <c r="PE72" s="327" t="n">
        <v>32183.76</v>
      </c>
      <c r="PH72" s="327" t="n">
        <v>32183.76</v>
      </c>
      <c r="PK72" s="327" t="n">
        <v>32183.76</v>
      </c>
      <c r="PN72" s="327" t="n">
        <v>32183.76</v>
      </c>
      <c r="PQ72" s="327" t="n">
        <v>32183.76</v>
      </c>
      <c r="PT72" s="327" t="n">
        <v>32183.76</v>
      </c>
      <c r="PW72" s="327" t="n">
        <v>32183.76</v>
      </c>
      <c r="PZ72" s="327" t="n">
        <v>32183.76</v>
      </c>
      <c r="QC72" s="327" t="n">
        <v>32183.76</v>
      </c>
      <c r="QF72" s="327" t="n">
        <v>32183.76</v>
      </c>
      <c r="QI72" s="327" t="n">
        <v>32183.76</v>
      </c>
    </row>
    <row r="73" s="329" customFormat="true" ht="15" hidden="false" customHeight="false" outlineLevel="0" collapsed="false">
      <c r="A73" s="28" t="n">
        <v>5.34</v>
      </c>
      <c r="B73" s="342"/>
      <c r="C73" s="343" t="n">
        <v>2738159.86</v>
      </c>
      <c r="D73" s="342"/>
      <c r="E73" s="344"/>
      <c r="F73" s="60" t="n">
        <v>26.3356</v>
      </c>
      <c r="G73" s="345" t="n">
        <v>0</v>
      </c>
      <c r="H73" s="346" t="n">
        <f aca="false">1-G73</f>
        <v>1</v>
      </c>
      <c r="I73" s="346" t="n">
        <f aca="false">J73/F73*26.3356</f>
        <v>501458.28</v>
      </c>
      <c r="J73" s="347" t="n">
        <v>501458.28</v>
      </c>
      <c r="K73" s="289"/>
      <c r="M73" s="327"/>
      <c r="N73" s="289"/>
      <c r="P73" s="327"/>
      <c r="Q73" s="289"/>
      <c r="S73" s="327"/>
      <c r="V73" s="327"/>
      <c r="W73" s="289"/>
      <c r="Y73" s="327"/>
      <c r="AC73" s="289"/>
      <c r="AE73" s="327"/>
      <c r="AF73" s="289"/>
      <c r="AH73" s="327"/>
      <c r="AI73" s="289"/>
      <c r="AK73" s="327"/>
      <c r="AL73" s="289"/>
      <c r="AN73" s="327"/>
      <c r="AO73" s="289"/>
      <c r="AQ73" s="327"/>
      <c r="AR73" s="289"/>
      <c r="AT73" s="327"/>
      <c r="AU73" s="289"/>
      <c r="AW73" s="327"/>
      <c r="AX73" s="289"/>
      <c r="AZ73" s="327"/>
      <c r="BA73" s="289"/>
      <c r="BC73" s="327"/>
      <c r="BD73" s="289"/>
      <c r="BF73" s="327"/>
      <c r="BG73" s="289"/>
      <c r="BI73" s="327"/>
      <c r="BJ73" s="289"/>
      <c r="BL73" s="327"/>
      <c r="BP73" s="289"/>
      <c r="BR73" s="327"/>
      <c r="BS73" s="289"/>
      <c r="BU73" s="327"/>
      <c r="BV73" s="289"/>
      <c r="BX73" s="327"/>
      <c r="BY73" s="289"/>
      <c r="CA73" s="327"/>
      <c r="CB73" s="289"/>
      <c r="CD73" s="327"/>
      <c r="CE73" s="289"/>
      <c r="CG73" s="327"/>
      <c r="CH73" s="289"/>
      <c r="CJ73" s="327"/>
      <c r="CK73" s="289"/>
      <c r="CM73" s="327"/>
      <c r="CN73" s="289"/>
      <c r="CP73" s="327"/>
      <c r="CQ73" s="289"/>
      <c r="CS73" s="327"/>
      <c r="CV73" s="327"/>
      <c r="CW73" s="289"/>
      <c r="CY73" s="327"/>
      <c r="DC73" s="335"/>
      <c r="DE73" s="327"/>
      <c r="DH73" s="327"/>
      <c r="DK73" s="327"/>
      <c r="DL73" s="289"/>
      <c r="DN73" s="327"/>
      <c r="DQ73" s="327"/>
      <c r="DT73" s="327"/>
      <c r="ED73" s="289"/>
      <c r="EJ73" s="289"/>
      <c r="FN73" s="289"/>
      <c r="FQ73" s="289"/>
      <c r="FT73" s="289"/>
      <c r="FW73" s="289"/>
      <c r="GC73" s="289"/>
      <c r="GK73" s="327"/>
      <c r="GU73" s="289"/>
      <c r="GX73" s="289"/>
      <c r="HA73" s="289"/>
      <c r="HD73" s="289"/>
      <c r="HG73" s="289"/>
      <c r="HJ73" s="289"/>
      <c r="HP73" s="289"/>
      <c r="HS73" s="289"/>
      <c r="HV73" s="289"/>
      <c r="HY73" s="289"/>
      <c r="IB73" s="289"/>
      <c r="IE73" s="289"/>
      <c r="IH73" s="289"/>
      <c r="IK73" s="325"/>
      <c r="IL73" s="328"/>
      <c r="IM73" s="327"/>
      <c r="IN73" s="325"/>
      <c r="IO73" s="328"/>
      <c r="IP73" s="327"/>
      <c r="IQ73" s="325"/>
      <c r="IR73" s="328"/>
      <c r="IS73" s="327"/>
      <c r="IT73" s="328"/>
      <c r="IU73" s="328"/>
      <c r="IV73" s="327"/>
      <c r="IW73" s="325"/>
      <c r="IX73" s="328"/>
      <c r="IY73" s="327"/>
      <c r="JC73" s="325"/>
      <c r="JE73" s="327"/>
      <c r="JF73" s="325"/>
      <c r="JG73" s="326"/>
      <c r="JH73" s="327"/>
      <c r="JI73" s="325"/>
      <c r="JJ73" s="326"/>
      <c r="JK73" s="327"/>
      <c r="JL73" s="325"/>
      <c r="JM73" s="326"/>
      <c r="JN73" s="327"/>
      <c r="JO73" s="325"/>
      <c r="JP73" s="326"/>
      <c r="JQ73" s="327"/>
      <c r="JR73" s="325"/>
      <c r="JS73" s="328"/>
      <c r="JT73" s="327"/>
      <c r="JU73" s="325"/>
      <c r="JW73" s="327"/>
      <c r="JX73" s="325"/>
      <c r="JZ73" s="327"/>
      <c r="KA73" s="325"/>
      <c r="KC73" s="327"/>
      <c r="KD73" s="325"/>
      <c r="KF73" s="327"/>
      <c r="KG73" s="325" t="n">
        <f aca="false">(KH73*$H73+KI73*$G73)</f>
        <v>37735.8535050654</v>
      </c>
      <c r="KH73" s="329" t="n">
        <f aca="false">KI73/$F73*KI$7</f>
        <v>37735.8535050654</v>
      </c>
      <c r="KI73" s="327" t="n">
        <v>37278.36</v>
      </c>
      <c r="KJ73" s="325" t="n">
        <f aca="false">(KK73*$H73+KL73*$G73)</f>
        <v>38621.6809662966</v>
      </c>
      <c r="KK73" s="329" t="n">
        <f aca="false">KL73/$F73*KL$7</f>
        <v>38621.6809662966</v>
      </c>
      <c r="KL73" s="327" t="n">
        <v>37278.36</v>
      </c>
      <c r="KP73" s="325" t="n">
        <f aca="false">(KQ73*$H73+KR73*$G73)</f>
        <v>40214.8398151552</v>
      </c>
      <c r="KQ73" s="329" t="n">
        <f aca="false">KR73/$F73*KR$7</f>
        <v>40214.8398151552</v>
      </c>
      <c r="KR73" s="327" t="n">
        <v>37278.36</v>
      </c>
      <c r="KS73" s="325" t="n">
        <f aca="false">(KT73*$H73+KU73*$G73)</f>
        <v>41032.4395940096</v>
      </c>
      <c r="KT73" s="329" t="n">
        <f aca="false">KU73/$F73*KU$7</f>
        <v>41032.4395940096</v>
      </c>
      <c r="KU73" s="327" t="n">
        <v>37278.36</v>
      </c>
      <c r="KV73" s="325" t="n">
        <f aca="false">(KW73*$H73+KX73*$G73)</f>
        <v>41410.6644224548</v>
      </c>
      <c r="KW73" s="329" t="n">
        <f aca="false">KX73/$F73*KX$7</f>
        <v>41410.6644224548</v>
      </c>
      <c r="KX73" s="327" t="n">
        <v>37278.36</v>
      </c>
      <c r="KY73" s="325" t="n">
        <f aca="false">(KZ73*$H73+LA73*$G73)</f>
        <v>41410.6644224548</v>
      </c>
      <c r="KZ73" s="329" t="n">
        <f aca="false">LA73/$F73*LA$7</f>
        <v>41410.6644224548</v>
      </c>
      <c r="LA73" s="327" t="n">
        <v>37278.36</v>
      </c>
      <c r="LB73" s="325" t="n">
        <f aca="false">(LC73*$H73+LD73*$G73)</f>
        <v>41410.6644224548</v>
      </c>
      <c r="LC73" s="329" t="n">
        <f aca="false">LD73/$F73*LD$7</f>
        <v>41410.6644224548</v>
      </c>
      <c r="LD73" s="327" t="n">
        <v>37278.36</v>
      </c>
      <c r="LE73" s="325" t="n">
        <f aca="false">(LF73*$H73+LG73*$G73)</f>
        <v>41410.6644224548</v>
      </c>
      <c r="LF73" s="329" t="n">
        <f aca="false">LG73/$F73*LG$7</f>
        <v>41410.6644224548</v>
      </c>
      <c r="LG73" s="327" t="n">
        <v>37278.36</v>
      </c>
      <c r="LH73" s="325" t="n">
        <f aca="false">(LI73*$H73+LJ73*$G73)</f>
        <v>51763.2951402664</v>
      </c>
      <c r="LI73" s="329" t="n">
        <f aca="false">LJ73/$F73*LJ$7</f>
        <v>51763.2951402664</v>
      </c>
      <c r="LJ73" s="327" t="n">
        <v>37278.36</v>
      </c>
      <c r="LM73" s="327" t="n">
        <v>37278.36</v>
      </c>
      <c r="LP73" s="327" t="n">
        <v>37278.36</v>
      </c>
      <c r="LS73" s="327" t="n">
        <v>37278.36</v>
      </c>
      <c r="LV73" s="327" t="n">
        <v>37278.36</v>
      </c>
      <c r="LY73" s="327" t="n">
        <v>37278.36</v>
      </c>
      <c r="ME73" s="327" t="n">
        <v>37278.36</v>
      </c>
      <c r="MH73" s="327" t="n">
        <v>37278.36</v>
      </c>
      <c r="MK73" s="327" t="n">
        <v>37278.36</v>
      </c>
      <c r="MN73" s="327" t="n">
        <v>37278.36</v>
      </c>
      <c r="MQ73" s="327" t="n">
        <v>37278.36</v>
      </c>
      <c r="MT73" s="327" t="n">
        <v>37278.36</v>
      </c>
      <c r="MW73" s="327" t="n">
        <v>37278.36</v>
      </c>
      <c r="MZ73" s="327" t="n">
        <v>37278.36</v>
      </c>
      <c r="NC73" s="327" t="n">
        <v>37278.36</v>
      </c>
      <c r="NF73" s="327" t="n">
        <v>37278.36</v>
      </c>
      <c r="NI73" s="327" t="n">
        <v>37278.36</v>
      </c>
      <c r="NL73" s="327" t="n">
        <v>37278.36</v>
      </c>
      <c r="NR73" s="327" t="n">
        <v>37278.36</v>
      </c>
      <c r="NU73" s="327" t="n">
        <v>37278.36</v>
      </c>
      <c r="NX73" s="327" t="n">
        <v>37278.36</v>
      </c>
      <c r="OA73" s="327" t="n">
        <v>37278.36</v>
      </c>
      <c r="OD73" s="327" t="n">
        <v>37278.36</v>
      </c>
      <c r="OG73" s="327" t="n">
        <v>37278.36</v>
      </c>
      <c r="OJ73" s="327" t="n">
        <v>37278.36</v>
      </c>
      <c r="OM73" s="327" t="n">
        <v>37278.36</v>
      </c>
      <c r="OP73" s="327" t="n">
        <v>37278.36</v>
      </c>
      <c r="OS73" s="327" t="n">
        <v>37278.36</v>
      </c>
      <c r="OV73" s="327" t="n">
        <v>37278.36</v>
      </c>
      <c r="OY73" s="327" t="n">
        <v>37278.36</v>
      </c>
      <c r="PE73" s="327" t="n">
        <v>37278.36</v>
      </c>
      <c r="PH73" s="327" t="n">
        <v>37278.36</v>
      </c>
      <c r="PK73" s="327" t="n">
        <v>37278.36</v>
      </c>
      <c r="PN73" s="327" t="n">
        <v>37278.36</v>
      </c>
      <c r="PQ73" s="327" t="n">
        <v>37278.36</v>
      </c>
      <c r="PT73" s="327" t="n">
        <v>37278.36</v>
      </c>
      <c r="PW73" s="327" t="n">
        <v>37278.36</v>
      </c>
      <c r="PZ73" s="327" t="n">
        <v>37278.36</v>
      </c>
      <c r="QC73" s="327" t="n">
        <v>37278.36</v>
      </c>
      <c r="QF73" s="327" t="n">
        <v>37278.36</v>
      </c>
      <c r="QI73" s="327" t="n">
        <v>37278.36</v>
      </c>
      <c r="QL73" s="327" t="n">
        <v>37278.36</v>
      </c>
      <c r="QR73" s="327" t="n">
        <v>37278.36</v>
      </c>
      <c r="QU73" s="327" t="n">
        <v>37278.36</v>
      </c>
      <c r="QX73" s="327" t="n">
        <v>37278.36</v>
      </c>
      <c r="RA73" s="327" t="n">
        <v>37278.36</v>
      </c>
      <c r="RD73" s="327" t="n">
        <v>37278.36</v>
      </c>
      <c r="RG73" s="327" t="n">
        <v>37278.36</v>
      </c>
      <c r="RJ73" s="327" t="n">
        <v>37278.36</v>
      </c>
      <c r="RM73" s="327" t="n">
        <v>37278.36</v>
      </c>
      <c r="RP73" s="327" t="n">
        <v>37278.36</v>
      </c>
      <c r="RS73" s="327" t="n">
        <v>37278.36</v>
      </c>
    </row>
    <row r="74" s="329" customFormat="true" ht="15" hidden="false" customHeight="false" outlineLevel="0" collapsed="false">
      <c r="A74" s="83"/>
      <c r="B74" s="333"/>
      <c r="C74" s="355"/>
      <c r="D74" s="333"/>
      <c r="E74" s="334"/>
      <c r="F74" s="356"/>
      <c r="G74" s="323"/>
      <c r="H74" s="324"/>
      <c r="I74" s="324"/>
      <c r="J74" s="319"/>
      <c r="K74" s="289"/>
      <c r="M74" s="327"/>
      <c r="N74" s="289"/>
      <c r="P74" s="327"/>
      <c r="Q74" s="289"/>
      <c r="S74" s="327"/>
      <c r="V74" s="327"/>
      <c r="W74" s="289"/>
      <c r="Y74" s="327"/>
      <c r="AC74" s="289"/>
      <c r="AE74" s="327"/>
      <c r="AF74" s="289"/>
      <c r="AH74" s="327"/>
      <c r="AI74" s="289"/>
      <c r="AK74" s="327"/>
      <c r="AL74" s="289"/>
      <c r="AN74" s="327"/>
      <c r="AO74" s="289"/>
      <c r="AQ74" s="327"/>
      <c r="AR74" s="289"/>
      <c r="AT74" s="327"/>
      <c r="AU74" s="289"/>
      <c r="AW74" s="327"/>
      <c r="AX74" s="289"/>
      <c r="AZ74" s="327"/>
      <c r="BA74" s="289"/>
      <c r="BC74" s="327"/>
      <c r="BD74" s="289"/>
      <c r="BF74" s="327"/>
      <c r="BG74" s="289"/>
      <c r="BI74" s="327"/>
      <c r="BJ74" s="289"/>
      <c r="BL74" s="327"/>
      <c r="BP74" s="289"/>
      <c r="BR74" s="327"/>
      <c r="BS74" s="289"/>
      <c r="BU74" s="327"/>
      <c r="BV74" s="289"/>
      <c r="BX74" s="327"/>
      <c r="BY74" s="289"/>
      <c r="CA74" s="327"/>
      <c r="CB74" s="289"/>
      <c r="CD74" s="327"/>
      <c r="CE74" s="289"/>
      <c r="CG74" s="327"/>
      <c r="CH74" s="289"/>
      <c r="CJ74" s="327"/>
      <c r="CK74" s="289"/>
      <c r="CM74" s="327"/>
      <c r="CN74" s="289"/>
      <c r="CP74" s="327"/>
      <c r="CQ74" s="289"/>
      <c r="CS74" s="327"/>
      <c r="CV74" s="327"/>
      <c r="CW74" s="289"/>
      <c r="CY74" s="327"/>
      <c r="DC74" s="335"/>
      <c r="DE74" s="327"/>
      <c r="DH74" s="327"/>
      <c r="DK74" s="327"/>
      <c r="DL74" s="289"/>
      <c r="DN74" s="327"/>
      <c r="DQ74" s="327"/>
      <c r="DT74" s="327"/>
      <c r="ED74" s="289"/>
      <c r="EJ74" s="289"/>
      <c r="FN74" s="289"/>
      <c r="FQ74" s="289"/>
      <c r="FT74" s="289"/>
      <c r="FW74" s="289"/>
      <c r="GC74" s="289"/>
      <c r="GK74" s="327"/>
      <c r="GU74" s="289"/>
      <c r="GX74" s="289"/>
      <c r="HA74" s="289"/>
      <c r="HD74" s="289"/>
      <c r="HG74" s="289"/>
      <c r="HJ74" s="289"/>
      <c r="HP74" s="289"/>
      <c r="HS74" s="289"/>
      <c r="HV74" s="289"/>
      <c r="HY74" s="289"/>
      <c r="IB74" s="289"/>
      <c r="IE74" s="289"/>
      <c r="JC74" s="326"/>
    </row>
    <row r="75" s="329" customFormat="true" ht="15" hidden="false" customHeight="false" outlineLevel="0" collapsed="false">
      <c r="A75" s="83"/>
      <c r="B75" s="333"/>
      <c r="C75" s="355"/>
      <c r="D75" s="333"/>
      <c r="E75" s="334"/>
      <c r="F75" s="356"/>
      <c r="G75" s="323"/>
      <c r="H75" s="324"/>
      <c r="I75" s="324"/>
      <c r="J75" s="319"/>
      <c r="K75" s="289"/>
      <c r="M75" s="327"/>
      <c r="N75" s="289"/>
      <c r="P75" s="327"/>
      <c r="Q75" s="289"/>
      <c r="S75" s="327"/>
      <c r="V75" s="327"/>
      <c r="W75" s="289"/>
      <c r="Y75" s="327"/>
      <c r="AC75" s="289"/>
      <c r="AE75" s="327"/>
      <c r="AF75" s="289"/>
      <c r="AH75" s="327"/>
      <c r="AI75" s="289"/>
      <c r="AK75" s="327"/>
      <c r="AL75" s="289"/>
      <c r="AN75" s="327"/>
      <c r="AO75" s="289"/>
      <c r="AQ75" s="327"/>
      <c r="AR75" s="289"/>
      <c r="AT75" s="327"/>
      <c r="AU75" s="289"/>
      <c r="AW75" s="327"/>
      <c r="AX75" s="289"/>
      <c r="AZ75" s="327"/>
      <c r="BA75" s="289"/>
      <c r="BC75" s="327"/>
      <c r="BD75" s="289"/>
      <c r="BF75" s="327"/>
      <c r="BG75" s="289"/>
      <c r="BI75" s="327"/>
      <c r="BJ75" s="289"/>
      <c r="BL75" s="327"/>
      <c r="BP75" s="289"/>
      <c r="BR75" s="327"/>
      <c r="BS75" s="289"/>
      <c r="BU75" s="327"/>
      <c r="BV75" s="289"/>
      <c r="BX75" s="327"/>
      <c r="BY75" s="289"/>
      <c r="CA75" s="327"/>
      <c r="CB75" s="289"/>
      <c r="CD75" s="327"/>
      <c r="CE75" s="289"/>
      <c r="CG75" s="327"/>
      <c r="CH75" s="289"/>
      <c r="CJ75" s="327"/>
      <c r="CK75" s="289"/>
      <c r="CM75" s="327"/>
      <c r="CN75" s="289"/>
      <c r="CP75" s="327"/>
      <c r="CQ75" s="289"/>
      <c r="CS75" s="327"/>
      <c r="CV75" s="327"/>
      <c r="CW75" s="289"/>
      <c r="CY75" s="327"/>
      <c r="DC75" s="335"/>
      <c r="DE75" s="327"/>
      <c r="DH75" s="327"/>
      <c r="DK75" s="327"/>
      <c r="DL75" s="289"/>
      <c r="DN75" s="327"/>
      <c r="DQ75" s="327"/>
      <c r="DT75" s="327"/>
      <c r="ED75" s="289"/>
      <c r="EJ75" s="289"/>
      <c r="FN75" s="289"/>
      <c r="FQ75" s="289"/>
      <c r="FT75" s="289"/>
      <c r="FW75" s="289"/>
      <c r="GC75" s="289"/>
      <c r="GK75" s="327"/>
      <c r="GU75" s="289"/>
      <c r="GX75" s="289"/>
      <c r="HA75" s="289"/>
      <c r="HD75" s="289"/>
      <c r="HG75" s="289"/>
      <c r="HJ75" s="289"/>
      <c r="HP75" s="289"/>
      <c r="HS75" s="289"/>
      <c r="HV75" s="289"/>
      <c r="HY75" s="289"/>
      <c r="IB75" s="289"/>
      <c r="IE75" s="289"/>
      <c r="JC75" s="326"/>
    </row>
    <row r="76" s="363" customFormat="true" ht="12.75" hidden="false" customHeight="false" outlineLevel="0" collapsed="false">
      <c r="A76" s="357" t="s">
        <v>4188</v>
      </c>
      <c r="B76" s="358" t="n">
        <f aca="false">SUM(B11:B21)</f>
        <v>0</v>
      </c>
      <c r="C76" s="358" t="n">
        <f aca="false">SUM(C11:C71)</f>
        <v>266104617.21</v>
      </c>
      <c r="D76" s="358" t="n">
        <f aca="false">SUM(D11:D21)</f>
        <v>0</v>
      </c>
      <c r="E76" s="357"/>
      <c r="F76" s="359"/>
      <c r="G76" s="359"/>
      <c r="H76" s="359"/>
      <c r="I76" s="359"/>
      <c r="J76" s="360" t="n">
        <f aca="false">SUM(J11:J71)</f>
        <v>55415452.56</v>
      </c>
      <c r="K76" s="361" t="n">
        <f aca="false">SUM(K11:K29)</f>
        <v>0</v>
      </c>
      <c r="L76" s="362" t="n">
        <f aca="false">SUM(L11:L29)</f>
        <v>0</v>
      </c>
      <c r="N76" s="361" t="n">
        <f aca="false">SUM(N11:N29)</f>
        <v>0</v>
      </c>
      <c r="O76" s="362" t="n">
        <f aca="false">SUM(O11:O29)</f>
        <v>0</v>
      </c>
      <c r="Q76" s="361" t="n">
        <f aca="false">SUM(Q11:Q29)</f>
        <v>0</v>
      </c>
      <c r="R76" s="362" t="n">
        <f aca="false">SUM(R11:R29)</f>
        <v>0</v>
      </c>
      <c r="T76" s="364" t="n">
        <f aca="false">SUM(T11:T29)</f>
        <v>0</v>
      </c>
      <c r="U76" s="362" t="n">
        <f aca="false">SUM(U11:U29)</f>
        <v>0</v>
      </c>
      <c r="V76" s="362" t="n">
        <f aca="false">SUM(V11:V29)</f>
        <v>0</v>
      </c>
      <c r="W76" s="361" t="n">
        <f aca="false">SUM(W11:W29)</f>
        <v>0</v>
      </c>
      <c r="X76" s="362" t="n">
        <f aca="false">SUM(X11:X29)</f>
        <v>0</v>
      </c>
      <c r="AC76" s="361" t="n">
        <f aca="false">SUM(AC11:AC29)</f>
        <v>0</v>
      </c>
      <c r="AD76" s="362" t="n">
        <f aca="false">SUM(AD11:AD29)</f>
        <v>0</v>
      </c>
      <c r="AF76" s="361" t="n">
        <f aca="false">SUM(AF11:AF29)</f>
        <v>0</v>
      </c>
      <c r="AG76" s="362" t="n">
        <f aca="false">SUM(AG11:AG29)</f>
        <v>0</v>
      </c>
      <c r="AI76" s="361" t="n">
        <f aca="false">SUM(AI11:AI29)</f>
        <v>0</v>
      </c>
      <c r="AJ76" s="362" t="n">
        <f aca="false">SUM(AJ11:AJ29)</f>
        <v>0</v>
      </c>
      <c r="AL76" s="361" t="n">
        <f aca="false">SUM(AL11:AL29)</f>
        <v>0</v>
      </c>
      <c r="AM76" s="362" t="n">
        <f aca="false">SUM(AM11:AM29)</f>
        <v>0</v>
      </c>
      <c r="AO76" s="361" t="n">
        <f aca="false">SUM(AO11:AO29)</f>
        <v>0</v>
      </c>
      <c r="AP76" s="362" t="n">
        <f aca="false">SUM(AP11:AP29)</f>
        <v>0</v>
      </c>
      <c r="AR76" s="361" t="n">
        <f aca="false">SUM(AR11:AR29)</f>
        <v>0</v>
      </c>
      <c r="AS76" s="362" t="n">
        <f aca="false">SUM(AS11:AS29)</f>
        <v>0</v>
      </c>
      <c r="AU76" s="361" t="n">
        <f aca="false">SUM(AU11:AU29)</f>
        <v>0</v>
      </c>
      <c r="AV76" s="362" t="n">
        <f aca="false">SUM(AV11:AV29)</f>
        <v>0</v>
      </c>
      <c r="AX76" s="361" t="n">
        <f aca="false">SUM(AX11:AX29)</f>
        <v>0</v>
      </c>
      <c r="AY76" s="362" t="n">
        <f aca="false">SUM(AY11:AY29)</f>
        <v>0</v>
      </c>
      <c r="BA76" s="361" t="n">
        <f aca="false">SUM(BA11:BA29)</f>
        <v>0</v>
      </c>
      <c r="BB76" s="362" t="n">
        <f aca="false">SUM(BB11:BB29)</f>
        <v>0</v>
      </c>
      <c r="BD76" s="361" t="n">
        <f aca="false">SUM(BD11:BD29)</f>
        <v>0</v>
      </c>
      <c r="BE76" s="362" t="n">
        <f aca="false">SUM(BE11:BE29)</f>
        <v>0</v>
      </c>
      <c r="BG76" s="361" t="n">
        <f aca="false">SUM(BG11:BG29)</f>
        <v>19643.484762823</v>
      </c>
      <c r="BH76" s="362" t="n">
        <f aca="false">SUM(BH11:BH29)</f>
        <v>19643.484762823</v>
      </c>
      <c r="BJ76" s="361" t="n">
        <f aca="false">SUM(BJ11:BJ29)</f>
        <v>19261.4812311777</v>
      </c>
      <c r="BK76" s="362" t="n">
        <f aca="false">SUM(BK11:BK29)</f>
        <v>19261.4812311777</v>
      </c>
      <c r="BP76" s="361" t="n">
        <f aca="false">SUM(BP11:BP29)</f>
        <v>20197.5120792366</v>
      </c>
      <c r="BQ76" s="362" t="n">
        <f aca="false">SUM(BQ11:BQ29)</f>
        <v>20197.5120792366</v>
      </c>
      <c r="BS76" s="361" t="n">
        <f aca="false">SUM(BS11:BS29)</f>
        <v>81574.3893285633</v>
      </c>
      <c r="BT76" s="362" t="n">
        <f aca="false">SUM(BT11:BT29)</f>
        <v>81574.3893285633</v>
      </c>
      <c r="BV76" s="361" t="n">
        <f aca="false">SUM(BV11:BV29)</f>
        <v>131308.459345887</v>
      </c>
      <c r="BW76" s="362" t="n">
        <f aca="false">SUM(BW11:BW29)</f>
        <v>131308.413550828</v>
      </c>
      <c r="BY76" s="361" t="n">
        <f aca="false">SUM(BY11:BY29)</f>
        <v>127831.766314985</v>
      </c>
      <c r="CB76" s="361" t="n">
        <f aca="false">SUM(CB11:CB29)</f>
        <v>161490.723375307</v>
      </c>
      <c r="CE76" s="361" t="n">
        <f aca="false">SUM(CE11:CE29)</f>
        <v>159510.991052749</v>
      </c>
      <c r="CH76" s="361" t="n">
        <f aca="false">SUM(CH11:CH29)</f>
        <v>181074.564969181</v>
      </c>
      <c r="CK76" s="361" t="n">
        <f aca="false">SUM(CK11:CK29)</f>
        <v>189364.816074711</v>
      </c>
      <c r="CN76" s="361" t="n">
        <f aca="false">SUM(CN11:CN29)</f>
        <v>195828.254874271</v>
      </c>
      <c r="CQ76" s="361" t="n">
        <f aca="false">SUM(CQ11:CQ29)</f>
        <v>187584.203781294</v>
      </c>
      <c r="CT76" s="365" t="n">
        <f aca="false">SUM(CT11:CT29)</f>
        <v>188169.83029504</v>
      </c>
      <c r="CW76" s="366" t="n">
        <f aca="false">SUM(CW11:CW29)</f>
        <v>200681.07676749</v>
      </c>
      <c r="DC76" s="365" t="n">
        <f aca="false">SUM(DC11:DC29)</f>
        <v>328574.147755451</v>
      </c>
      <c r="DD76" s="363" t="n">
        <f aca="false">SUM(DD11:DD29)</f>
        <v>326074.147755451</v>
      </c>
      <c r="DE76" s="363" t="n">
        <f aca="false">SUM(DE11:DE29)</f>
        <v>294426.54</v>
      </c>
      <c r="DF76" s="365" t="n">
        <f aca="false">SUM(DF11:DF29)</f>
        <v>321120.919795751</v>
      </c>
      <c r="DG76" s="363" t="n">
        <f aca="false">SUM(DG11:DG29)</f>
        <v>321120.919795751</v>
      </c>
      <c r="DH76" s="363" t="n">
        <f aca="false">SUM(DH11:DH29)</f>
        <v>294426.54</v>
      </c>
      <c r="DI76" s="365" t="n">
        <f aca="false">SUM(DI11:DI29)</f>
        <v>319487.89688299</v>
      </c>
      <c r="DJ76" s="363" t="n">
        <f aca="false">SUM(DJ11:DJ29)</f>
        <v>319487.89688299</v>
      </c>
      <c r="DK76" s="363" t="n">
        <f aca="false">SUM(DK11:DK29)</f>
        <v>294426.54</v>
      </c>
      <c r="DL76" s="366" t="n">
        <f aca="false">SUM(DL11:DL29)</f>
        <v>318290.369719284</v>
      </c>
      <c r="DM76" s="363" t="n">
        <f aca="false">SUM(DM11:DM29)</f>
        <v>318290.369719284</v>
      </c>
      <c r="DO76" s="365" t="n">
        <f aca="false">SUM(DO11:DO29)</f>
        <v>313330.452061985</v>
      </c>
      <c r="DP76" s="363" t="n">
        <f aca="false">SUM(DP11:DP29)</f>
        <v>313330.452061985</v>
      </c>
      <c r="DR76" s="365" t="n">
        <f aca="false">SUM(DR11:DR29)</f>
        <v>309212.865954997</v>
      </c>
      <c r="DS76" s="363" t="n">
        <f aca="false">SUM(DS11:DS29)</f>
        <v>309212.865954997</v>
      </c>
      <c r="DU76" s="364" t="n">
        <f aca="false">SUM(DU11:DU29)</f>
        <v>308274.205135699</v>
      </c>
      <c r="DX76" s="364" t="n">
        <f aca="false">SUM(DX11:DX29)</f>
        <v>302882.902982221</v>
      </c>
      <c r="DY76" s="364" t="n">
        <f aca="false">SUM(DY11:DY29)</f>
        <v>302882.902982221</v>
      </c>
      <c r="EA76" s="364" t="n">
        <f aca="false">SUM(EA11:EA29)</f>
        <v>350438.974404123</v>
      </c>
      <c r="EB76" s="364" t="n">
        <f aca="false">SUM(EB11:EB29)</f>
        <v>347938.974404123</v>
      </c>
      <c r="ED76" s="361" t="n">
        <f aca="false">SUM(ED11:ED29)</f>
        <v>352913.249429066</v>
      </c>
      <c r="EE76" s="364" t="n">
        <f aca="false">SUM(EE11:EE29)</f>
        <v>352913.249429066</v>
      </c>
      <c r="EG76" s="325" t="n">
        <f aca="false">SUM(EG11:EG29)</f>
        <v>352901.756421183</v>
      </c>
      <c r="EH76" s="328" t="n">
        <f aca="false">SUM(EH11:EH29)</f>
        <v>352901.756421183</v>
      </c>
      <c r="EI76" s="327" t="n">
        <f aca="false">SUM(EI11:EI29)</f>
        <v>332097.54</v>
      </c>
      <c r="EJ76" s="328" t="n">
        <f aca="false">SUM(EJ11:EJ29)</f>
        <v>398416.938837794</v>
      </c>
      <c r="EK76" s="328" t="n">
        <f aca="false">SUM(EK11:EK29)</f>
        <v>390916.938837794</v>
      </c>
      <c r="EP76" s="364" t="n">
        <f aca="false">SUM(EP11:EP29)</f>
        <v>426453.537903674</v>
      </c>
      <c r="EQ76" s="364" t="n">
        <f aca="false">SUM(EQ11:EQ29)</f>
        <v>426453.537903674</v>
      </c>
      <c r="ES76" s="364" t="n">
        <f aca="false">SUM(ES11:ES29)</f>
        <v>399044.324124493</v>
      </c>
      <c r="ET76" s="364" t="n">
        <f aca="false">SUM(ET11:ET29)</f>
        <v>399044.324124493</v>
      </c>
      <c r="EV76" s="364" t="n">
        <f aca="false">SUM(EV11:EV29)</f>
        <v>390841.269085481</v>
      </c>
      <c r="EW76" s="364" t="n">
        <f aca="false">SUM(EW11:EW29)</f>
        <v>390841.269085481</v>
      </c>
      <c r="EY76" s="364" t="n">
        <f aca="false">SUM(EY11:EY29)</f>
        <v>387735.345799427</v>
      </c>
      <c r="EZ76" s="364" t="n">
        <f aca="false">SUM(EZ11:EZ29)</f>
        <v>387735.345799427</v>
      </c>
      <c r="FB76" s="364" t="n">
        <f aca="false">SUM(FB11:FB29)</f>
        <v>386582.161949806</v>
      </c>
      <c r="FC76" s="364" t="n">
        <f aca="false">SUM(FC11:FC29)</f>
        <v>386582.161949806</v>
      </c>
      <c r="FE76" s="364" t="n">
        <f aca="false">SUM(FE11:FE29)</f>
        <v>390994.953010055</v>
      </c>
      <c r="FF76" s="364" t="n">
        <f aca="false">SUM(FF11:FF29)</f>
        <v>390994.953010055</v>
      </c>
      <c r="FH76" s="364" t="n">
        <f aca="false">SUM(FH11:FH29)</f>
        <v>391379.258920146</v>
      </c>
      <c r="FI76" s="364" t="n">
        <f aca="false">SUM(FI11:FI29)</f>
        <v>391379.258920146</v>
      </c>
      <c r="FK76" s="364" t="n">
        <f aca="false">SUM(FK11:FK29)</f>
        <v>412463.614109956</v>
      </c>
      <c r="FL76" s="364" t="n">
        <f aca="false">SUM(FL11:FL29)</f>
        <v>412463.614109956</v>
      </c>
      <c r="FN76" s="361" t="n">
        <f aca="false">SUM(FN11:FN29)</f>
        <v>415740.59300037</v>
      </c>
      <c r="FO76" s="364" t="n">
        <f aca="false">SUM(FO11:FO29)</f>
        <v>415740.59300037</v>
      </c>
      <c r="FQ76" s="361" t="n">
        <f aca="false">SUM(FQ11:FQ29)</f>
        <v>414505.23740926</v>
      </c>
      <c r="FR76" s="364" t="n">
        <f aca="false">SUM(FR11:FR29)</f>
        <v>414505.23740926</v>
      </c>
      <c r="FT76" s="361" t="n">
        <f aca="false">SUM(FT11:FT29)</f>
        <v>410486.569106231</v>
      </c>
      <c r="FU76" s="364" t="n">
        <f aca="false">SUM(FU11:FU29)</f>
        <v>410486.569106231</v>
      </c>
      <c r="FW76" s="361" t="n">
        <f aca="false">SUM(FW11:FW29)</f>
        <v>411715.360420044</v>
      </c>
      <c r="FX76" s="364" t="n">
        <f aca="false">SUM(FX11:FX29)</f>
        <v>411715.360420044</v>
      </c>
      <c r="GC76" s="361" t="n">
        <f aca="false">SUM(GC11:GC29)</f>
        <v>413680.045658406</v>
      </c>
      <c r="GD76" s="364" t="n">
        <f aca="false">SUM(GD11:GD29)</f>
        <v>413680.045658406</v>
      </c>
      <c r="GF76" s="364" t="n">
        <f aca="false">SUM(GF11:GF48)</f>
        <v>401740.43839609</v>
      </c>
      <c r="GI76" s="364" t="n">
        <f aca="false">SUM(GI11:GI48)</f>
        <v>1002151.66392808</v>
      </c>
      <c r="GL76" s="364" t="n">
        <f aca="false">SUM(GL11:GL48)</f>
        <v>987673.075249701</v>
      </c>
      <c r="GO76" s="364" t="n">
        <f aca="false">SUM(GO11:GO48)</f>
        <v>1215520.40219453</v>
      </c>
      <c r="GR76" s="364" t="n">
        <f aca="false">SUM(GR11:GR48)</f>
        <v>1530829.43912491</v>
      </c>
      <c r="GU76" s="361" t="n">
        <f aca="false">SUM(GU11:GU48)</f>
        <v>1789394.6998426</v>
      </c>
      <c r="GX76" s="361" t="n">
        <f aca="false">SUM(GX11:GX48)</f>
        <v>1839412.5253756</v>
      </c>
      <c r="HA76" s="361" t="n">
        <f aca="false">SUM(HA11:HA48)</f>
        <v>1820325.96011634</v>
      </c>
      <c r="HD76" s="361" t="n">
        <f aca="false">SUM(HD11:HD48)</f>
        <v>1873113.92532051</v>
      </c>
      <c r="HG76" s="361" t="n">
        <f aca="false">SUM(HG11:HG48)</f>
        <v>1810928.14093697</v>
      </c>
      <c r="HJ76" s="361" t="n">
        <f aca="false">SUM(HJ11:HJ48)</f>
        <v>1751757.66113572</v>
      </c>
      <c r="HP76" s="361" t="n">
        <f aca="false">SUM(HP11:HP48)</f>
        <v>1814577.955622</v>
      </c>
      <c r="HS76" s="361" t="n">
        <f aca="false">SUM(HS11:HS48)</f>
        <v>1828824.43973003</v>
      </c>
      <c r="HV76" s="361" t="n">
        <f aca="false">SUM(HV11:HV48)</f>
        <v>2080173.59548496</v>
      </c>
      <c r="HY76" s="361" t="n">
        <f aca="false">SUM(HY11:HY48)</f>
        <v>2015143.10379682</v>
      </c>
      <c r="IB76" s="361" t="n">
        <f aca="false">SUM(IB11:IB48)</f>
        <v>1968383.7120154</v>
      </c>
      <c r="IE76" s="361" t="n">
        <f aca="false">SUM(IE11:IE48)</f>
        <v>1982630.38482484</v>
      </c>
      <c r="IH76" s="363" t="n">
        <f aca="false">SUM(IH11:IH75)</f>
        <v>2607241.81179998</v>
      </c>
      <c r="IK76" s="363" t="n">
        <f aca="false">SUM(IK11:IK75)</f>
        <v>2919322.78682393</v>
      </c>
      <c r="IN76" s="363" t="n">
        <f aca="false">SUM(IN11:IN75)</f>
        <v>3345878.23692095</v>
      </c>
      <c r="IQ76" s="364" t="n">
        <f aca="false">SUM(IQ11:IQ75)</f>
        <v>3379081.20330805</v>
      </c>
      <c r="IT76" s="364" t="n">
        <f aca="false">SUM(IT11:IT75)</f>
        <v>3585959.80939356</v>
      </c>
      <c r="IW76" s="364" t="n">
        <f aca="false">SUM(IW11:IW75)</f>
        <v>3521583.9486459</v>
      </c>
      <c r="JC76" s="364" t="n">
        <f aca="false">SUM(JC11:JC75)</f>
        <v>3412514.23448503</v>
      </c>
      <c r="JF76" s="364" t="n">
        <f aca="false">SUM(JF11:JF75)</f>
        <v>3387439.44259397</v>
      </c>
      <c r="JI76" s="364" t="n">
        <f aca="false">SUM(JI11:JI75)</f>
        <v>3361727.77495477</v>
      </c>
      <c r="JL76" s="364" t="n">
        <f aca="false">SUM(JL11:JL75)</f>
        <v>3397044.93352334</v>
      </c>
      <c r="JO76" s="364" t="n">
        <f aca="false">SUM(JO11:JO75)</f>
        <v>3331176.97741555</v>
      </c>
      <c r="JR76" s="364" t="n">
        <f aca="false">SUM(JR11:JR75)</f>
        <v>3298067.14125753</v>
      </c>
      <c r="JU76" s="364" t="n">
        <f aca="false">SUM(JU11:JU75)</f>
        <v>3157867.6914502</v>
      </c>
      <c r="JX76" s="364" t="n">
        <f aca="false">SUM(JX19:JX75)</f>
        <v>3091162.42483715</v>
      </c>
      <c r="KA76" s="364" t="n">
        <f aca="false">SUM(KA19:KA75)</f>
        <v>3097808.9818797</v>
      </c>
      <c r="KD76" s="363" t="n">
        <f aca="false">SUM(KD18:KD75)</f>
        <v>3016491.57112416</v>
      </c>
      <c r="KG76" s="364" t="n">
        <f aca="false">SUM(KG20:KG75)</f>
        <v>3060377.30923322</v>
      </c>
      <c r="KJ76" s="364" t="n">
        <f aca="false">SUM(KJ20:KJ75)</f>
        <v>3132216.87666213</v>
      </c>
      <c r="KP76" s="363" t="n">
        <f aca="false">SUM(KP11:KP75)</f>
        <v>3250629.05568925</v>
      </c>
      <c r="KS76" s="364" t="n">
        <f aca="false">SUM(KS11:KS75)</f>
        <v>3316716.937906</v>
      </c>
      <c r="KV76" s="364" t="n">
        <f aca="false">SUM(KV20:KV75)</f>
        <v>3347289.44851597</v>
      </c>
      <c r="KY76" s="364" t="n">
        <f aca="false">SUM(KY20:KY75)</f>
        <v>3347289.44851597</v>
      </c>
      <c r="LB76" s="364" t="n">
        <f aca="false">SUM(LB11:LB75)</f>
        <v>3347289.44851597</v>
      </c>
      <c r="LE76" s="364" t="n">
        <f aca="false">SUM(LE20:LE75)</f>
        <v>3347289.44851597</v>
      </c>
      <c r="LH76" s="364" t="n">
        <f aca="false">SUM(LH20:LH75)</f>
        <v>4184108.95019299</v>
      </c>
    </row>
    <row r="77" customFormat="false" ht="12.75" hidden="false" customHeight="false" outlineLevel="0" collapsed="false">
      <c r="A77" s="367"/>
      <c r="B77" s="367"/>
      <c r="C77" s="367"/>
      <c r="D77" s="367"/>
      <c r="E77" s="367"/>
      <c r="F77" s="222" t="n">
        <v>28.5</v>
      </c>
      <c r="G77" s="222"/>
      <c r="H77" s="222"/>
      <c r="I77" s="222"/>
      <c r="V77" s="289"/>
      <c r="W77" s="0"/>
      <c r="AB77" s="289"/>
      <c r="AC77" s="0"/>
      <c r="AN77" s="289"/>
      <c r="AO77" s="0"/>
      <c r="AQ77" s="289"/>
      <c r="AR77" s="0"/>
      <c r="AT77" s="289"/>
      <c r="AU77" s="0"/>
      <c r="AW77" s="289"/>
      <c r="AX77" s="0"/>
      <c r="BC77" s="289"/>
      <c r="BD77" s="0"/>
      <c r="BF77" s="289"/>
      <c r="BG77" s="0"/>
      <c r="BI77" s="289"/>
      <c r="BJ77" s="0"/>
      <c r="BO77" s="289"/>
      <c r="BP77" s="0"/>
      <c r="BR77" s="289"/>
      <c r="BS77" s="0"/>
      <c r="BU77" s="289"/>
      <c r="BV77" s="0"/>
      <c r="BX77" s="289"/>
      <c r="BY77" s="0"/>
      <c r="CA77" s="289"/>
      <c r="CB77" s="0"/>
      <c r="CD77" s="289"/>
      <c r="CE77" s="0"/>
      <c r="CG77" s="289"/>
      <c r="CH77" s="0"/>
      <c r="CJ77" s="289"/>
      <c r="CK77" s="0"/>
      <c r="CP77" s="289"/>
      <c r="CQ77" s="0"/>
      <c r="CV77" s="289"/>
      <c r="CW77" s="0"/>
      <c r="DK77" s="289"/>
      <c r="DL77" s="0"/>
      <c r="EC77" s="289"/>
      <c r="ED77" s="0"/>
      <c r="FM77" s="289"/>
      <c r="FN77" s="0"/>
      <c r="GW77" s="289"/>
      <c r="GX77" s="0"/>
    </row>
    <row r="78" customFormat="false" ht="12.75" hidden="false" customHeight="false" outlineLevel="0" collapsed="false">
      <c r="A78" s="367"/>
      <c r="B78" s="367"/>
      <c r="C78" s="367"/>
      <c r="D78" s="367"/>
      <c r="E78" s="367"/>
      <c r="F78" s="222"/>
      <c r="G78" s="222"/>
      <c r="H78" s="222"/>
      <c r="I78" s="358"/>
      <c r="V78" s="289"/>
      <c r="W78" s="0"/>
      <c r="AB78" s="289"/>
      <c r="AC78" s="0"/>
      <c r="AN78" s="289"/>
      <c r="AO78" s="0"/>
      <c r="AQ78" s="289"/>
      <c r="AR78" s="0"/>
      <c r="AT78" s="289"/>
      <c r="AU78" s="0"/>
      <c r="AW78" s="289"/>
      <c r="AX78" s="0"/>
      <c r="BC78" s="289"/>
      <c r="BD78" s="0"/>
      <c r="BF78" s="289"/>
      <c r="BG78" s="0"/>
      <c r="BI78" s="289"/>
      <c r="BJ78" s="0"/>
      <c r="BO78" s="289"/>
      <c r="BP78" s="0"/>
      <c r="BR78" s="289"/>
      <c r="BS78" s="0"/>
      <c r="BU78" s="289"/>
      <c r="BV78" s="0"/>
      <c r="BX78" s="289"/>
      <c r="BY78" s="0"/>
      <c r="CA78" s="289"/>
      <c r="CB78" s="0"/>
      <c r="CD78" s="289"/>
      <c r="CE78" s="0"/>
      <c r="CG78" s="289"/>
      <c r="CH78" s="0"/>
      <c r="CJ78" s="289"/>
      <c r="CK78" s="0"/>
      <c r="CP78" s="289"/>
      <c r="CQ78" s="0"/>
      <c r="CV78" s="289"/>
      <c r="CW78" s="0"/>
      <c r="DK78" s="289"/>
      <c r="DL78" s="0"/>
      <c r="EC78" s="289"/>
      <c r="ED78" s="0"/>
      <c r="FM78" s="289"/>
      <c r="FN78" s="0"/>
      <c r="GW78" s="289"/>
      <c r="GX78" s="0"/>
    </row>
    <row r="79" customFormat="false" ht="12.75" hidden="false" customHeight="false" outlineLevel="0" collapsed="false">
      <c r="A79" s="367"/>
      <c r="B79" s="367"/>
      <c r="C79" s="367"/>
      <c r="D79" s="367"/>
      <c r="E79" s="367"/>
      <c r="F79" s="222"/>
      <c r="G79" s="222"/>
      <c r="H79" s="222"/>
      <c r="U79" s="289"/>
      <c r="W79" s="0"/>
      <c r="AA79" s="289"/>
      <c r="AC79" s="0"/>
      <c r="AM79" s="289"/>
      <c r="AO79" s="0"/>
      <c r="AP79" s="289"/>
      <c r="AR79" s="0"/>
      <c r="AS79" s="289"/>
      <c r="AU79" s="0"/>
      <c r="AV79" s="289"/>
      <c r="AX79" s="0"/>
      <c r="BB79" s="289"/>
      <c r="BD79" s="0"/>
      <c r="BE79" s="289"/>
      <c r="BG79" s="0"/>
      <c r="BH79" s="289"/>
      <c r="BJ79" s="0"/>
      <c r="BN79" s="289"/>
      <c r="BP79" s="0"/>
      <c r="BQ79" s="289"/>
      <c r="BS79" s="0"/>
      <c r="BT79" s="289"/>
      <c r="BV79" s="0"/>
      <c r="BW79" s="289"/>
      <c r="BY79" s="0"/>
      <c r="BZ79" s="289"/>
      <c r="CB79" s="0"/>
      <c r="CC79" s="289"/>
      <c r="CE79" s="0"/>
      <c r="CF79" s="289"/>
      <c r="CH79" s="0"/>
      <c r="CI79" s="289"/>
      <c r="CK79" s="0"/>
      <c r="CO79" s="289"/>
      <c r="CQ79" s="0"/>
      <c r="CU79" s="289"/>
      <c r="CW79" s="0"/>
      <c r="DJ79" s="289"/>
      <c r="DL79" s="0"/>
      <c r="EB79" s="289"/>
      <c r="ED79" s="0"/>
      <c r="FL79" s="289"/>
      <c r="FN79" s="0"/>
      <c r="GW79" s="289"/>
      <c r="GX79" s="0"/>
      <c r="LH79" s="368"/>
    </row>
    <row r="80" customFormat="false" ht="12.75" hidden="false" customHeight="false" outlineLevel="0" collapsed="false">
      <c r="A80" s="367"/>
      <c r="B80" s="367"/>
      <c r="C80" s="367"/>
      <c r="D80" s="367"/>
      <c r="E80" s="367"/>
      <c r="F80" s="222"/>
      <c r="G80" s="222"/>
      <c r="H80" s="222"/>
      <c r="I80" s="368" t="n">
        <f aca="false">I52+I60</f>
        <v>1429224.12021649</v>
      </c>
      <c r="U80" s="289"/>
      <c r="W80" s="0"/>
      <c r="AA80" s="289"/>
      <c r="AC80" s="0"/>
      <c r="AM80" s="289"/>
      <c r="AO80" s="0"/>
      <c r="AP80" s="289"/>
      <c r="AR80" s="0"/>
      <c r="AS80" s="289"/>
      <c r="AU80" s="0"/>
      <c r="AV80" s="289"/>
      <c r="AX80" s="0"/>
      <c r="BB80" s="289"/>
      <c r="BD80" s="0"/>
      <c r="BE80" s="289"/>
      <c r="BG80" s="0"/>
      <c r="BH80" s="289"/>
      <c r="BJ80" s="0"/>
      <c r="BN80" s="289"/>
      <c r="BP80" s="0"/>
      <c r="BQ80" s="289"/>
      <c r="BS80" s="0"/>
      <c r="BT80" s="289"/>
      <c r="BV80" s="0"/>
      <c r="BW80" s="289"/>
      <c r="BY80" s="0"/>
      <c r="BZ80" s="289"/>
      <c r="CB80" s="0"/>
      <c r="CC80" s="289"/>
      <c r="CE80" s="0"/>
      <c r="CF80" s="289"/>
      <c r="CH80" s="0"/>
      <c r="CI80" s="289"/>
      <c r="CK80" s="0"/>
      <c r="CO80" s="289"/>
      <c r="CQ80" s="0"/>
      <c r="CU80" s="289"/>
      <c r="CW80" s="0"/>
      <c r="DJ80" s="289"/>
      <c r="DL80" s="0"/>
      <c r="EB80" s="289"/>
      <c r="ED80" s="0"/>
      <c r="FL80" s="289"/>
      <c r="FN80" s="0"/>
      <c r="GW80" s="289"/>
      <c r="GX80" s="0"/>
    </row>
    <row r="81" customFormat="false" ht="12.75" hidden="false" customHeight="false" outlineLevel="0" collapsed="false">
      <c r="A81" s="367"/>
      <c r="B81" s="367"/>
      <c r="C81" s="367"/>
      <c r="D81" s="367"/>
      <c r="E81" s="367"/>
      <c r="F81" s="222"/>
      <c r="G81" s="222"/>
      <c r="H81" s="222"/>
      <c r="I81" s="369"/>
      <c r="U81" s="289"/>
      <c r="W81" s="0"/>
      <c r="AA81" s="289"/>
      <c r="AC81" s="0"/>
      <c r="AM81" s="289"/>
      <c r="AO81" s="0"/>
      <c r="AP81" s="289"/>
      <c r="AR81" s="0"/>
      <c r="AS81" s="289"/>
      <c r="AU81" s="0"/>
      <c r="AV81" s="289"/>
      <c r="AX81" s="0"/>
      <c r="BB81" s="289"/>
      <c r="BD81" s="0"/>
      <c r="BE81" s="289"/>
      <c r="BG81" s="0"/>
      <c r="BH81" s="289"/>
      <c r="BJ81" s="0"/>
      <c r="BN81" s="289"/>
      <c r="BP81" s="0"/>
      <c r="BQ81" s="289"/>
      <c r="BS81" s="0"/>
      <c r="BT81" s="289"/>
      <c r="BV81" s="0"/>
      <c r="BW81" s="289"/>
      <c r="BY81" s="0"/>
      <c r="BZ81" s="289"/>
      <c r="CB81" s="0"/>
      <c r="CC81" s="289"/>
      <c r="CE81" s="0"/>
      <c r="CF81" s="289"/>
      <c r="CH81" s="0"/>
      <c r="CI81" s="289"/>
      <c r="CK81" s="0"/>
      <c r="CO81" s="289"/>
      <c r="CQ81" s="0"/>
      <c r="CU81" s="289"/>
      <c r="CW81" s="0"/>
      <c r="DJ81" s="289"/>
      <c r="DL81" s="0"/>
      <c r="EB81" s="289"/>
      <c r="ED81" s="0"/>
      <c r="FL81" s="289"/>
      <c r="FN81" s="0"/>
      <c r="GW81" s="289"/>
      <c r="GX81" s="0"/>
    </row>
    <row r="82" customFormat="false" ht="12.75" hidden="false" customHeight="false" outlineLevel="0" collapsed="false">
      <c r="A82" s="367"/>
      <c r="B82" s="367"/>
      <c r="C82" s="367"/>
      <c r="D82" s="367"/>
      <c r="E82" s="367"/>
      <c r="F82" s="222"/>
      <c r="G82" s="222"/>
      <c r="H82" s="222"/>
      <c r="I82" s="358"/>
      <c r="V82" s="289"/>
      <c r="W82" s="0"/>
      <c r="AB82" s="289"/>
      <c r="AC82" s="0"/>
      <c r="AN82" s="289"/>
      <c r="AO82" s="0"/>
      <c r="AQ82" s="289"/>
      <c r="AR82" s="0"/>
      <c r="AT82" s="289"/>
      <c r="AU82" s="0"/>
      <c r="AW82" s="289"/>
      <c r="AX82" s="0"/>
      <c r="BC82" s="289"/>
      <c r="BD82" s="0"/>
      <c r="BF82" s="289"/>
      <c r="BG82" s="0"/>
      <c r="BI82" s="289"/>
      <c r="BJ82" s="0"/>
      <c r="BO82" s="289"/>
      <c r="BP82" s="0"/>
      <c r="BR82" s="289"/>
      <c r="BS82" s="0"/>
      <c r="BU82" s="289"/>
      <c r="BV82" s="0"/>
      <c r="BX82" s="289"/>
      <c r="BY82" s="0"/>
      <c r="CA82" s="289"/>
      <c r="CB82" s="0"/>
      <c r="CD82" s="289"/>
      <c r="CE82" s="0"/>
      <c r="CG82" s="289"/>
      <c r="CH82" s="0"/>
      <c r="CJ82" s="289"/>
      <c r="CK82" s="0"/>
      <c r="CP82" s="289"/>
      <c r="CQ82" s="0"/>
      <c r="CV82" s="289"/>
      <c r="CW82" s="0"/>
      <c r="DK82" s="289"/>
      <c r="DL82" s="0"/>
      <c r="EC82" s="289"/>
      <c r="ED82" s="0"/>
      <c r="FM82" s="289"/>
      <c r="FN82" s="0"/>
      <c r="GW82" s="289"/>
      <c r="GX82" s="0"/>
    </row>
    <row r="83" customFormat="false" ht="12.75" hidden="false" customHeight="false" outlineLevel="0" collapsed="false">
      <c r="A83" s="367"/>
      <c r="B83" s="367"/>
      <c r="C83" s="367"/>
      <c r="D83" s="367"/>
      <c r="E83" s="367"/>
      <c r="F83" s="222"/>
      <c r="G83" s="222"/>
      <c r="H83" s="222"/>
      <c r="I83" s="369"/>
      <c r="J83" s="222"/>
    </row>
    <row r="84" customFormat="false" ht="12.75" hidden="false" customHeight="false" outlineLevel="0" collapsed="false">
      <c r="A84" s="367"/>
      <c r="B84" s="367"/>
      <c r="C84" s="367"/>
      <c r="D84" s="367"/>
      <c r="E84" s="367"/>
      <c r="F84" s="222"/>
      <c r="G84" s="222"/>
      <c r="H84" s="222"/>
      <c r="I84" s="222"/>
      <c r="J84" s="222"/>
    </row>
    <row r="85" customFormat="false" ht="12.75" hidden="false" customHeight="false" outlineLevel="0" collapsed="false">
      <c r="A85" s="367"/>
      <c r="B85" s="367"/>
      <c r="C85" s="367"/>
      <c r="D85" s="367"/>
      <c r="E85" s="367"/>
      <c r="F85" s="222"/>
      <c r="G85" s="222"/>
      <c r="H85" s="222"/>
      <c r="I85" s="222"/>
      <c r="J85" s="222"/>
    </row>
    <row r="86" customFormat="false" ht="12.75" hidden="false" customHeight="false" outlineLevel="0" collapsed="false">
      <c r="A86" s="367"/>
      <c r="B86" s="367"/>
      <c r="C86" s="367"/>
      <c r="D86" s="367"/>
      <c r="E86" s="367"/>
      <c r="F86" s="222"/>
      <c r="G86" s="222"/>
      <c r="H86" s="222"/>
      <c r="I86" s="222"/>
      <c r="J86" s="222"/>
    </row>
    <row r="87" customFormat="false" ht="12.75" hidden="false" customHeight="false" outlineLevel="0" collapsed="false">
      <c r="A87" s="367"/>
      <c r="B87" s="367"/>
      <c r="C87" s="367"/>
      <c r="D87" s="367"/>
      <c r="E87" s="367"/>
      <c r="F87" s="222"/>
      <c r="G87" s="222"/>
      <c r="H87" s="222"/>
      <c r="I87" s="222"/>
      <c r="J87" s="222"/>
    </row>
    <row r="88" customFormat="false" ht="12.75" hidden="false" customHeight="false" outlineLevel="0" collapsed="false">
      <c r="A88" s="367"/>
      <c r="B88" s="367"/>
      <c r="C88" s="367"/>
      <c r="D88" s="367"/>
      <c r="E88" s="367"/>
      <c r="F88" s="222"/>
      <c r="G88" s="222"/>
      <c r="H88" s="222"/>
      <c r="I88" s="222"/>
      <c r="J88" s="222"/>
    </row>
    <row r="89" customFormat="false" ht="12.75" hidden="false" customHeight="false" outlineLevel="0" collapsed="false">
      <c r="A89" s="367"/>
      <c r="B89" s="367"/>
      <c r="C89" s="367"/>
      <c r="D89" s="367"/>
      <c r="E89" s="367"/>
      <c r="F89" s="222"/>
      <c r="G89" s="222"/>
      <c r="H89" s="222"/>
      <c r="I89" s="222"/>
      <c r="J89" s="222"/>
    </row>
    <row r="90" customFormat="false" ht="12.75" hidden="false" customHeight="false" outlineLevel="0" collapsed="false">
      <c r="A90" s="367"/>
      <c r="B90" s="367"/>
      <c r="C90" s="367"/>
      <c r="D90" s="367"/>
      <c r="E90" s="367"/>
      <c r="F90" s="222"/>
      <c r="G90" s="222"/>
      <c r="H90" s="222"/>
      <c r="I90" s="222"/>
      <c r="J90" s="222"/>
    </row>
    <row r="91" customFormat="false" ht="12.75" hidden="false" customHeight="false" outlineLevel="0" collapsed="false">
      <c r="A91" s="367"/>
      <c r="B91" s="367"/>
      <c r="C91" s="367"/>
      <c r="D91" s="367"/>
      <c r="E91" s="367"/>
      <c r="F91" s="222"/>
      <c r="G91" s="222"/>
      <c r="H91" s="222"/>
      <c r="I91" s="222"/>
      <c r="J91" s="222"/>
    </row>
    <row r="92" customFormat="false" ht="12.75" hidden="false" customHeight="false" outlineLevel="0" collapsed="false">
      <c r="A92" s="367"/>
      <c r="B92" s="367"/>
      <c r="C92" s="367"/>
      <c r="D92" s="367"/>
      <c r="E92" s="367"/>
      <c r="F92" s="222"/>
      <c r="G92" s="222"/>
      <c r="H92" s="222"/>
      <c r="I92" s="222"/>
      <c r="J92" s="222"/>
    </row>
    <row r="93" customFormat="false" ht="12.75" hidden="false" customHeight="false" outlineLevel="0" collapsed="false">
      <c r="A93" s="367"/>
      <c r="B93" s="367"/>
      <c r="C93" s="367"/>
      <c r="D93" s="367"/>
      <c r="E93" s="367"/>
      <c r="F93" s="222"/>
      <c r="G93" s="222"/>
      <c r="H93" s="222"/>
      <c r="I93" s="222"/>
      <c r="J93" s="222"/>
    </row>
    <row r="94" customFormat="false" ht="12.75" hidden="false" customHeight="false" outlineLevel="0" collapsed="false">
      <c r="A94" s="367"/>
      <c r="B94" s="367"/>
      <c r="C94" s="367"/>
      <c r="D94" s="367"/>
      <c r="E94" s="367"/>
      <c r="F94" s="222"/>
      <c r="G94" s="222"/>
      <c r="H94" s="222"/>
      <c r="I94" s="222"/>
      <c r="J94" s="222"/>
    </row>
    <row r="95" customFormat="false" ht="12.75" hidden="false" customHeight="false" outlineLevel="0" collapsed="false">
      <c r="A95" s="367"/>
      <c r="B95" s="367"/>
      <c r="C95" s="367"/>
      <c r="D95" s="367"/>
      <c r="E95" s="367"/>
      <c r="F95" s="222"/>
      <c r="G95" s="222"/>
      <c r="H95" s="222"/>
      <c r="I95" s="222"/>
      <c r="J95" s="222"/>
    </row>
    <row r="96" customFormat="false" ht="12.75" hidden="false" customHeight="false" outlineLevel="0" collapsed="false">
      <c r="A96" s="367"/>
      <c r="B96" s="367"/>
      <c r="C96" s="367"/>
      <c r="D96" s="367"/>
      <c r="E96" s="367"/>
      <c r="F96" s="222"/>
      <c r="G96" s="222"/>
      <c r="H96" s="222"/>
      <c r="I96" s="222"/>
      <c r="J96" s="222"/>
    </row>
    <row r="97" customFormat="false" ht="12.75" hidden="false" customHeight="false" outlineLevel="0" collapsed="false">
      <c r="A97" s="367"/>
      <c r="B97" s="367"/>
      <c r="C97" s="367"/>
      <c r="D97" s="367"/>
      <c r="E97" s="367"/>
      <c r="F97" s="222"/>
      <c r="G97" s="222"/>
      <c r="H97" s="222"/>
      <c r="I97" s="222"/>
      <c r="J97" s="222"/>
    </row>
    <row r="98" customFormat="false" ht="12.75" hidden="false" customHeight="false" outlineLevel="0" collapsed="false">
      <c r="A98" s="367"/>
      <c r="B98" s="367"/>
      <c r="C98" s="367"/>
      <c r="D98" s="367"/>
      <c r="E98" s="367"/>
      <c r="F98" s="222"/>
      <c r="G98" s="222"/>
      <c r="H98" s="222"/>
      <c r="I98" s="222"/>
      <c r="J98" s="222"/>
    </row>
    <row r="99" customFormat="false" ht="12.75" hidden="false" customHeight="false" outlineLevel="0" collapsed="false">
      <c r="A99" s="367"/>
      <c r="B99" s="367"/>
      <c r="C99" s="367"/>
      <c r="D99" s="367"/>
      <c r="E99" s="367"/>
      <c r="F99" s="222"/>
      <c r="G99" s="222"/>
      <c r="H99" s="222"/>
      <c r="I99" s="222"/>
      <c r="J99" s="222"/>
    </row>
    <row r="100" customFormat="false" ht="12.75" hidden="false" customHeight="false" outlineLevel="0" collapsed="false">
      <c r="A100" s="367"/>
      <c r="B100" s="367"/>
      <c r="C100" s="367"/>
      <c r="D100" s="367"/>
      <c r="E100" s="367"/>
      <c r="F100" s="222"/>
      <c r="G100" s="222"/>
      <c r="H100" s="222"/>
      <c r="I100" s="222"/>
      <c r="J100" s="222"/>
    </row>
    <row r="101" customFormat="false" ht="12.75" hidden="false" customHeight="false" outlineLevel="0" collapsed="false">
      <c r="A101" s="367"/>
      <c r="B101" s="367"/>
      <c r="C101" s="367"/>
      <c r="D101" s="367"/>
      <c r="E101" s="367"/>
      <c r="F101" s="222"/>
      <c r="G101" s="222"/>
      <c r="H101" s="222"/>
      <c r="I101" s="222"/>
      <c r="J101" s="222"/>
    </row>
    <row r="102" customFormat="false" ht="12.75" hidden="false" customHeight="false" outlineLevel="0" collapsed="false">
      <c r="A102" s="367"/>
      <c r="B102" s="367"/>
      <c r="C102" s="367"/>
      <c r="D102" s="367"/>
      <c r="E102" s="367"/>
      <c r="F102" s="222"/>
      <c r="G102" s="222"/>
      <c r="H102" s="222"/>
      <c r="I102" s="222"/>
      <c r="J102" s="222"/>
    </row>
    <row r="103" customFormat="false" ht="12.75" hidden="false" customHeight="false" outlineLevel="0" collapsed="false">
      <c r="A103" s="367"/>
      <c r="B103" s="367"/>
      <c r="C103" s="367"/>
      <c r="D103" s="367"/>
      <c r="E103" s="367"/>
      <c r="F103" s="222"/>
      <c r="G103" s="222"/>
      <c r="H103" s="222"/>
      <c r="I103" s="222"/>
      <c r="J103" s="222"/>
    </row>
    <row r="104" customFormat="false" ht="12.75" hidden="false" customHeight="false" outlineLevel="0" collapsed="false">
      <c r="A104" s="367"/>
      <c r="B104" s="367"/>
      <c r="C104" s="367"/>
      <c r="D104" s="367"/>
      <c r="E104" s="367"/>
      <c r="F104" s="222"/>
      <c r="G104" s="222"/>
      <c r="H104" s="222"/>
      <c r="I104" s="222"/>
      <c r="J104" s="222"/>
    </row>
    <row r="105" customFormat="false" ht="12.75" hidden="false" customHeight="false" outlineLevel="0" collapsed="false">
      <c r="A105" s="367"/>
      <c r="B105" s="367"/>
      <c r="C105" s="367"/>
      <c r="D105" s="367"/>
      <c r="E105" s="367"/>
      <c r="F105" s="222"/>
      <c r="G105" s="222"/>
      <c r="H105" s="222"/>
      <c r="I105" s="222"/>
      <c r="J105" s="222"/>
    </row>
    <row r="106" customFormat="false" ht="12.75" hidden="false" customHeight="false" outlineLevel="0" collapsed="false">
      <c r="A106" s="367"/>
      <c r="B106" s="367"/>
      <c r="C106" s="367"/>
      <c r="D106" s="367"/>
      <c r="E106" s="367"/>
      <c r="F106" s="222"/>
      <c r="G106" s="222"/>
      <c r="H106" s="222"/>
      <c r="I106" s="222"/>
      <c r="J106" s="222"/>
    </row>
    <row r="107" customFormat="false" ht="12.75" hidden="false" customHeight="false" outlineLevel="0" collapsed="false">
      <c r="A107" s="367"/>
      <c r="B107" s="367"/>
      <c r="C107" s="367"/>
      <c r="D107" s="367"/>
      <c r="E107" s="367"/>
      <c r="F107" s="222"/>
      <c r="G107" s="222"/>
      <c r="H107" s="222"/>
      <c r="I107" s="222"/>
      <c r="J107" s="222"/>
    </row>
    <row r="108" customFormat="false" ht="12.75" hidden="false" customHeight="false" outlineLevel="0" collapsed="false">
      <c r="A108" s="367"/>
      <c r="B108" s="367"/>
      <c r="C108" s="367"/>
      <c r="D108" s="367"/>
      <c r="E108" s="367"/>
      <c r="F108" s="222"/>
      <c r="G108" s="222"/>
      <c r="H108" s="222"/>
      <c r="I108" s="222"/>
      <c r="J108" s="222"/>
    </row>
    <row r="109" customFormat="false" ht="12.75" hidden="false" customHeight="false" outlineLevel="0" collapsed="false">
      <c r="A109" s="367"/>
      <c r="B109" s="367"/>
      <c r="C109" s="367"/>
      <c r="D109" s="367"/>
      <c r="E109" s="367"/>
      <c r="F109" s="222"/>
      <c r="G109" s="222"/>
      <c r="H109" s="222"/>
      <c r="I109" s="222"/>
      <c r="J109" s="222"/>
    </row>
    <row r="110" customFormat="false" ht="12.75" hidden="false" customHeight="false" outlineLevel="0" collapsed="false">
      <c r="A110" s="367"/>
      <c r="B110" s="367"/>
      <c r="C110" s="367"/>
      <c r="D110" s="367"/>
      <c r="E110" s="367"/>
      <c r="F110" s="222"/>
      <c r="G110" s="222"/>
      <c r="H110" s="222"/>
      <c r="I110" s="222"/>
      <c r="J110" s="222"/>
    </row>
    <row r="111" customFormat="false" ht="12.75" hidden="false" customHeight="false" outlineLevel="0" collapsed="false">
      <c r="A111" s="367"/>
      <c r="B111" s="367"/>
      <c r="C111" s="367"/>
      <c r="D111" s="367"/>
      <c r="E111" s="367"/>
      <c r="F111" s="222"/>
      <c r="G111" s="222"/>
      <c r="H111" s="222"/>
      <c r="I111" s="222"/>
      <c r="J111" s="222"/>
    </row>
    <row r="112" customFormat="false" ht="12.75" hidden="false" customHeight="false" outlineLevel="0" collapsed="false">
      <c r="A112" s="367"/>
      <c r="B112" s="367"/>
      <c r="C112" s="367"/>
      <c r="D112" s="367"/>
      <c r="E112" s="367"/>
      <c r="F112" s="222"/>
      <c r="G112" s="222"/>
      <c r="H112" s="222"/>
      <c r="I112" s="222"/>
      <c r="J112" s="222"/>
    </row>
    <row r="113" customFormat="false" ht="12.75" hidden="false" customHeight="false" outlineLevel="0" collapsed="false">
      <c r="A113" s="367"/>
      <c r="B113" s="367"/>
      <c r="C113" s="367"/>
      <c r="D113" s="367"/>
      <c r="E113" s="367"/>
      <c r="F113" s="222"/>
      <c r="G113" s="222"/>
      <c r="H113" s="222"/>
      <c r="I113" s="222"/>
      <c r="J113" s="222"/>
    </row>
    <row r="114" customFormat="false" ht="12.75" hidden="false" customHeight="false" outlineLevel="0" collapsed="false">
      <c r="A114" s="367"/>
      <c r="B114" s="367"/>
      <c r="C114" s="367"/>
      <c r="D114" s="367"/>
      <c r="E114" s="367"/>
      <c r="F114" s="222"/>
      <c r="G114" s="222"/>
      <c r="H114" s="222"/>
      <c r="I114" s="222"/>
      <c r="J114" s="222"/>
    </row>
    <row r="115" customFormat="false" ht="12.75" hidden="false" customHeight="false" outlineLevel="0" collapsed="false">
      <c r="A115" s="367"/>
      <c r="B115" s="367"/>
      <c r="C115" s="367"/>
      <c r="D115" s="367"/>
      <c r="E115" s="367"/>
      <c r="F115" s="222"/>
      <c r="G115" s="222"/>
      <c r="H115" s="222"/>
      <c r="I115" s="222"/>
      <c r="J115" s="222"/>
    </row>
    <row r="116" customFormat="false" ht="12.75" hidden="false" customHeight="false" outlineLevel="0" collapsed="false">
      <c r="A116" s="367"/>
      <c r="B116" s="367"/>
      <c r="C116" s="367"/>
      <c r="D116" s="367"/>
      <c r="E116" s="367"/>
      <c r="F116" s="222"/>
      <c r="G116" s="222"/>
      <c r="H116" s="222"/>
      <c r="I116" s="222"/>
      <c r="J116" s="222"/>
    </row>
    <row r="117" customFormat="false" ht="12.75" hidden="false" customHeight="false" outlineLevel="0" collapsed="false">
      <c r="A117" s="367"/>
      <c r="B117" s="367"/>
      <c r="C117" s="367"/>
      <c r="D117" s="367"/>
      <c r="E117" s="367"/>
      <c r="F117" s="222"/>
      <c r="G117" s="222"/>
      <c r="H117" s="222"/>
      <c r="I117" s="222"/>
      <c r="J117" s="222"/>
    </row>
    <row r="118" customFormat="false" ht="12.75" hidden="false" customHeight="false" outlineLevel="0" collapsed="false">
      <c r="A118" s="367"/>
      <c r="B118" s="367"/>
      <c r="C118" s="367"/>
      <c r="D118" s="367"/>
      <c r="E118" s="367"/>
      <c r="F118" s="222"/>
      <c r="G118" s="222"/>
      <c r="H118" s="222"/>
      <c r="I118" s="222"/>
      <c r="J118" s="222"/>
    </row>
    <row r="119" customFormat="false" ht="12.75" hidden="false" customHeight="false" outlineLevel="0" collapsed="false">
      <c r="A119" s="367"/>
      <c r="B119" s="367"/>
      <c r="C119" s="367"/>
      <c r="D119" s="367"/>
      <c r="E119" s="367"/>
      <c r="F119" s="222"/>
      <c r="G119" s="222"/>
      <c r="H119" s="222"/>
      <c r="I119" s="222"/>
      <c r="J119" s="222"/>
    </row>
    <row r="120" customFormat="false" ht="12.75" hidden="false" customHeight="false" outlineLevel="0" collapsed="false">
      <c r="A120" s="367"/>
      <c r="B120" s="367"/>
      <c r="C120" s="367"/>
      <c r="D120" s="367"/>
      <c r="E120" s="367"/>
      <c r="F120" s="222"/>
      <c r="G120" s="222"/>
      <c r="H120" s="222"/>
      <c r="I120" s="222"/>
      <c r="J120" s="222"/>
    </row>
    <row r="121" customFormat="false" ht="12.75" hidden="false" customHeight="false" outlineLevel="0" collapsed="false">
      <c r="A121" s="367"/>
      <c r="B121" s="367"/>
      <c r="C121" s="367"/>
      <c r="D121" s="367"/>
      <c r="E121" s="367"/>
      <c r="F121" s="222"/>
      <c r="G121" s="222"/>
      <c r="H121" s="222"/>
      <c r="I121" s="222"/>
      <c r="J121" s="222"/>
    </row>
    <row r="122" customFormat="false" ht="12.75" hidden="false" customHeight="false" outlineLevel="0" collapsed="false">
      <c r="A122" s="367"/>
      <c r="B122" s="367"/>
      <c r="C122" s="367"/>
      <c r="D122" s="367"/>
      <c r="E122" s="367"/>
      <c r="F122" s="222"/>
      <c r="G122" s="222"/>
      <c r="H122" s="222"/>
      <c r="I122" s="222"/>
      <c r="J122" s="222"/>
    </row>
    <row r="123" customFormat="false" ht="12.75" hidden="false" customHeight="false" outlineLevel="0" collapsed="false">
      <c r="A123" s="367"/>
      <c r="B123" s="367"/>
      <c r="C123" s="367"/>
      <c r="D123" s="367"/>
      <c r="E123" s="367"/>
      <c r="F123" s="222"/>
      <c r="G123" s="222"/>
      <c r="H123" s="222"/>
      <c r="I123" s="222"/>
      <c r="J123" s="222"/>
    </row>
    <row r="124" customFormat="false" ht="12.75" hidden="false" customHeight="false" outlineLevel="0" collapsed="false">
      <c r="A124" s="367"/>
      <c r="B124" s="367"/>
      <c r="C124" s="367"/>
      <c r="D124" s="367"/>
      <c r="E124" s="367"/>
      <c r="F124" s="222"/>
      <c r="G124" s="222"/>
      <c r="H124" s="222"/>
      <c r="I124" s="222"/>
      <c r="J124" s="222"/>
    </row>
    <row r="125" customFormat="false" ht="12.75" hidden="false" customHeight="false" outlineLevel="0" collapsed="false">
      <c r="A125" s="367"/>
      <c r="B125" s="367"/>
      <c r="C125" s="367"/>
      <c r="D125" s="367"/>
      <c r="E125" s="367"/>
      <c r="F125" s="222"/>
      <c r="G125" s="222"/>
      <c r="H125" s="222"/>
      <c r="I125" s="222"/>
      <c r="J125" s="222"/>
    </row>
    <row r="126" customFormat="false" ht="12.75" hidden="false" customHeight="false" outlineLevel="0" collapsed="false">
      <c r="A126" s="367"/>
      <c r="B126" s="367"/>
      <c r="C126" s="367"/>
      <c r="D126" s="367"/>
      <c r="E126" s="367"/>
      <c r="F126" s="222"/>
      <c r="G126" s="222"/>
      <c r="H126" s="222"/>
      <c r="I126" s="222"/>
      <c r="J126" s="222"/>
    </row>
    <row r="127" customFormat="false" ht="12.75" hidden="false" customHeight="false" outlineLevel="0" collapsed="false">
      <c r="A127" s="367"/>
      <c r="B127" s="367"/>
      <c r="C127" s="367"/>
      <c r="D127" s="367"/>
      <c r="E127" s="367"/>
      <c r="F127" s="222"/>
      <c r="G127" s="222"/>
      <c r="H127" s="222"/>
      <c r="I127" s="222"/>
      <c r="J127" s="222"/>
    </row>
    <row r="128" customFormat="false" ht="12.75" hidden="false" customHeight="false" outlineLevel="0" collapsed="false">
      <c r="A128" s="367"/>
      <c r="B128" s="367"/>
      <c r="C128" s="367"/>
      <c r="D128" s="367"/>
      <c r="E128" s="367"/>
      <c r="F128" s="222"/>
      <c r="G128" s="222"/>
      <c r="H128" s="222"/>
      <c r="I128" s="222"/>
      <c r="J128" s="222"/>
    </row>
    <row r="129" customFormat="false" ht="12.75" hidden="false" customHeight="false" outlineLevel="0" collapsed="false">
      <c r="A129" s="367"/>
      <c r="B129" s="367"/>
      <c r="C129" s="367"/>
      <c r="D129" s="367"/>
      <c r="E129" s="367"/>
      <c r="F129" s="222"/>
      <c r="G129" s="222"/>
      <c r="H129" s="222"/>
      <c r="I129" s="222"/>
      <c r="J129" s="222"/>
    </row>
    <row r="130" customFormat="false" ht="12.75" hidden="false" customHeight="false" outlineLevel="0" collapsed="false">
      <c r="A130" s="367"/>
      <c r="B130" s="367"/>
      <c r="C130" s="367"/>
      <c r="D130" s="367"/>
      <c r="E130" s="367"/>
      <c r="F130" s="222"/>
      <c r="G130" s="222"/>
      <c r="H130" s="222"/>
      <c r="I130" s="222"/>
      <c r="J130" s="222"/>
    </row>
    <row r="131" customFormat="false" ht="12.75" hidden="false" customHeight="false" outlineLevel="0" collapsed="false">
      <c r="A131" s="367"/>
      <c r="B131" s="367"/>
      <c r="C131" s="367"/>
      <c r="D131" s="367"/>
      <c r="E131" s="367"/>
      <c r="F131" s="222"/>
      <c r="G131" s="222"/>
      <c r="H131" s="222"/>
      <c r="I131" s="222"/>
      <c r="J131" s="222"/>
    </row>
    <row r="132" customFormat="false" ht="12.75" hidden="false" customHeight="false" outlineLevel="0" collapsed="false">
      <c r="A132" s="367"/>
      <c r="B132" s="367"/>
      <c r="C132" s="367"/>
      <c r="D132" s="367"/>
      <c r="E132" s="367"/>
      <c r="F132" s="222"/>
      <c r="G132" s="222"/>
      <c r="H132" s="222"/>
      <c r="I132" s="222"/>
      <c r="J132" s="222"/>
    </row>
    <row r="133" customFormat="false" ht="12.75" hidden="false" customHeight="false" outlineLevel="0" collapsed="false">
      <c r="A133" s="367"/>
      <c r="B133" s="367"/>
      <c r="C133" s="367"/>
      <c r="D133" s="367"/>
      <c r="E133" s="367"/>
      <c r="F133" s="222"/>
      <c r="G133" s="222"/>
      <c r="H133" s="222"/>
      <c r="I133" s="222"/>
      <c r="J133" s="222"/>
    </row>
    <row r="134" customFormat="false" ht="12.75" hidden="false" customHeight="false" outlineLevel="0" collapsed="false">
      <c r="A134" s="367"/>
      <c r="B134" s="367"/>
      <c r="C134" s="367"/>
      <c r="D134" s="367"/>
      <c r="E134" s="367"/>
      <c r="F134" s="222"/>
      <c r="G134" s="222"/>
      <c r="H134" s="222"/>
      <c r="I134" s="222"/>
      <c r="J134" s="222"/>
    </row>
    <row r="135" customFormat="false" ht="12.75" hidden="false" customHeight="false" outlineLevel="0" collapsed="false">
      <c r="A135" s="367"/>
      <c r="B135" s="367"/>
      <c r="C135" s="367"/>
      <c r="D135" s="367"/>
      <c r="E135" s="367"/>
      <c r="F135" s="222"/>
      <c r="G135" s="222"/>
      <c r="H135" s="222"/>
      <c r="I135" s="222"/>
      <c r="J135" s="222"/>
    </row>
    <row r="136" customFormat="false" ht="12.75" hidden="false" customHeight="false" outlineLevel="0" collapsed="false">
      <c r="A136" s="367"/>
      <c r="B136" s="367"/>
      <c r="C136" s="367"/>
      <c r="D136" s="367"/>
      <c r="E136" s="367"/>
      <c r="F136" s="222"/>
      <c r="G136" s="222"/>
      <c r="H136" s="222"/>
      <c r="I136" s="222"/>
      <c r="J136" s="222"/>
    </row>
    <row r="137" customFormat="false" ht="12.75" hidden="false" customHeight="false" outlineLevel="0" collapsed="false">
      <c r="A137" s="367"/>
      <c r="B137" s="367"/>
      <c r="C137" s="367"/>
      <c r="D137" s="367"/>
      <c r="E137" s="367"/>
      <c r="F137" s="222"/>
      <c r="G137" s="222"/>
      <c r="H137" s="222"/>
      <c r="I137" s="222"/>
      <c r="J137" s="222"/>
    </row>
    <row r="138" customFormat="false" ht="12.75" hidden="false" customHeight="false" outlineLevel="0" collapsed="false">
      <c r="A138" s="367"/>
      <c r="B138" s="367"/>
      <c r="C138" s="367"/>
      <c r="D138" s="367"/>
      <c r="E138" s="367"/>
      <c r="F138" s="222"/>
      <c r="G138" s="222"/>
      <c r="H138" s="222"/>
      <c r="I138" s="222"/>
      <c r="J138" s="222"/>
    </row>
    <row r="139" customFormat="false" ht="12.75" hidden="false" customHeight="false" outlineLevel="0" collapsed="false">
      <c r="A139" s="367"/>
      <c r="B139" s="367"/>
      <c r="C139" s="367"/>
      <c r="D139" s="367"/>
      <c r="E139" s="367"/>
      <c r="F139" s="222"/>
      <c r="G139" s="222"/>
      <c r="H139" s="222"/>
      <c r="I139" s="222"/>
      <c r="J139" s="222"/>
    </row>
    <row r="140" customFormat="false" ht="12.75" hidden="false" customHeight="false" outlineLevel="0" collapsed="false">
      <c r="A140" s="367"/>
      <c r="B140" s="367"/>
      <c r="C140" s="367"/>
      <c r="D140" s="367"/>
      <c r="E140" s="367"/>
      <c r="F140" s="222"/>
      <c r="G140" s="222"/>
      <c r="H140" s="222"/>
      <c r="I140" s="222"/>
      <c r="J140" s="222"/>
    </row>
    <row r="141" customFormat="false" ht="12.75" hidden="false" customHeight="false" outlineLevel="0" collapsed="false">
      <c r="A141" s="367"/>
      <c r="B141" s="367"/>
      <c r="C141" s="367"/>
      <c r="D141" s="367"/>
      <c r="E141" s="367"/>
      <c r="F141" s="222"/>
      <c r="G141" s="222"/>
      <c r="H141" s="222"/>
      <c r="I141" s="222"/>
      <c r="J141" s="222"/>
    </row>
    <row r="142" customFormat="false" ht="12.75" hidden="false" customHeight="false" outlineLevel="0" collapsed="false">
      <c r="A142" s="367"/>
      <c r="B142" s="367"/>
      <c r="C142" s="367"/>
      <c r="D142" s="367"/>
      <c r="E142" s="367"/>
      <c r="F142" s="222"/>
      <c r="G142" s="222"/>
      <c r="H142" s="222"/>
      <c r="I142" s="222"/>
      <c r="J142" s="222"/>
    </row>
    <row r="143" customFormat="false" ht="12.75" hidden="false" customHeight="false" outlineLevel="0" collapsed="false">
      <c r="A143" s="367"/>
      <c r="B143" s="367"/>
      <c r="C143" s="367"/>
      <c r="D143" s="367"/>
      <c r="E143" s="367"/>
      <c r="F143" s="222"/>
      <c r="G143" s="222"/>
      <c r="H143" s="222"/>
      <c r="I143" s="222"/>
      <c r="J143" s="222"/>
    </row>
    <row r="144" customFormat="false" ht="12.75" hidden="false" customHeight="false" outlineLevel="0" collapsed="false">
      <c r="A144" s="367"/>
      <c r="B144" s="367"/>
      <c r="C144" s="367"/>
      <c r="D144" s="367"/>
      <c r="E144" s="367"/>
      <c r="F144" s="222"/>
      <c r="G144" s="222"/>
      <c r="H144" s="222"/>
      <c r="I144" s="222"/>
      <c r="J144" s="222"/>
    </row>
    <row r="145" customFormat="false" ht="12.75" hidden="false" customHeight="false" outlineLevel="0" collapsed="false">
      <c r="A145" s="367"/>
      <c r="B145" s="367"/>
      <c r="C145" s="367"/>
      <c r="D145" s="367"/>
      <c r="E145" s="367"/>
      <c r="F145" s="222"/>
      <c r="G145" s="222"/>
      <c r="H145" s="222"/>
      <c r="I145" s="222"/>
      <c r="J145" s="222"/>
    </row>
    <row r="146" customFormat="false" ht="12.75" hidden="false" customHeight="false" outlineLevel="0" collapsed="false">
      <c r="A146" s="367"/>
      <c r="B146" s="367"/>
      <c r="C146" s="367"/>
      <c r="D146" s="367"/>
      <c r="E146" s="367"/>
      <c r="F146" s="222"/>
      <c r="G146" s="222"/>
      <c r="H146" s="222"/>
      <c r="I146" s="222"/>
      <c r="J146" s="222"/>
    </row>
    <row r="147" customFormat="false" ht="12.75" hidden="false" customHeight="false" outlineLevel="0" collapsed="false">
      <c r="A147" s="367"/>
      <c r="B147" s="367"/>
      <c r="C147" s="367"/>
      <c r="D147" s="367"/>
      <c r="E147" s="367"/>
      <c r="F147" s="222"/>
      <c r="G147" s="222"/>
      <c r="H147" s="222"/>
      <c r="I147" s="222"/>
      <c r="J147" s="222"/>
    </row>
    <row r="148" customFormat="false" ht="12.75" hidden="false" customHeight="false" outlineLevel="0" collapsed="false">
      <c r="A148" s="367"/>
      <c r="B148" s="367"/>
      <c r="C148" s="367"/>
      <c r="D148" s="367"/>
      <c r="E148" s="367"/>
      <c r="F148" s="222"/>
      <c r="G148" s="222"/>
      <c r="H148" s="222"/>
      <c r="I148" s="222"/>
      <c r="J148" s="222"/>
    </row>
    <row r="149" customFormat="false" ht="12.75" hidden="false" customHeight="false" outlineLevel="0" collapsed="false">
      <c r="A149" s="367"/>
      <c r="B149" s="367"/>
      <c r="C149" s="367"/>
      <c r="D149" s="367"/>
      <c r="E149" s="367"/>
      <c r="F149" s="222"/>
      <c r="G149" s="222"/>
      <c r="H149" s="222"/>
      <c r="I149" s="222"/>
      <c r="J149" s="222"/>
    </row>
    <row r="150" customFormat="false" ht="12.75" hidden="false" customHeight="false" outlineLevel="0" collapsed="false">
      <c r="A150" s="367"/>
      <c r="B150" s="367"/>
      <c r="C150" s="367"/>
      <c r="D150" s="367"/>
      <c r="E150" s="367"/>
      <c r="F150" s="222"/>
      <c r="G150" s="222"/>
      <c r="H150" s="222"/>
      <c r="I150" s="222"/>
      <c r="J150" s="222"/>
    </row>
    <row r="151" customFormat="false" ht="12.75" hidden="false" customHeight="false" outlineLevel="0" collapsed="false">
      <c r="A151" s="367"/>
      <c r="B151" s="367"/>
      <c r="C151" s="367"/>
      <c r="D151" s="367"/>
      <c r="E151" s="367"/>
      <c r="F151" s="222"/>
      <c r="G151" s="222"/>
      <c r="H151" s="222"/>
      <c r="I151" s="222"/>
      <c r="J151" s="222"/>
    </row>
    <row r="152" customFormat="false" ht="12.75" hidden="false" customHeight="false" outlineLevel="0" collapsed="false">
      <c r="A152" s="367"/>
      <c r="B152" s="367"/>
      <c r="C152" s="367"/>
      <c r="D152" s="367"/>
      <c r="E152" s="367"/>
      <c r="F152" s="222"/>
      <c r="G152" s="222"/>
      <c r="H152" s="222"/>
      <c r="I152" s="222"/>
      <c r="J152" s="222"/>
    </row>
    <row r="153" customFormat="false" ht="12.75" hidden="false" customHeight="false" outlineLevel="0" collapsed="false">
      <c r="A153" s="367"/>
      <c r="B153" s="367"/>
      <c r="C153" s="367"/>
      <c r="D153" s="367"/>
      <c r="E153" s="367"/>
      <c r="F153" s="222"/>
      <c r="G153" s="222"/>
      <c r="H153" s="222"/>
      <c r="I153" s="222"/>
      <c r="J153" s="222"/>
    </row>
    <row r="154" customFormat="false" ht="12.75" hidden="false" customHeight="false" outlineLevel="0" collapsed="false">
      <c r="A154" s="367"/>
      <c r="B154" s="367"/>
      <c r="C154" s="367"/>
      <c r="D154" s="367"/>
      <c r="E154" s="367"/>
      <c r="F154" s="222"/>
      <c r="G154" s="222"/>
      <c r="H154" s="222"/>
      <c r="I154" s="222"/>
      <c r="J154" s="222"/>
    </row>
    <row r="155" customFormat="false" ht="12.75" hidden="false" customHeight="false" outlineLevel="0" collapsed="false">
      <c r="A155" s="367"/>
      <c r="B155" s="367"/>
      <c r="C155" s="367"/>
      <c r="D155" s="367"/>
      <c r="E155" s="367"/>
      <c r="F155" s="222"/>
      <c r="G155" s="222"/>
      <c r="H155" s="222"/>
      <c r="I155" s="222"/>
      <c r="J155" s="222"/>
    </row>
    <row r="156" customFormat="false" ht="12.75" hidden="false" customHeight="false" outlineLevel="0" collapsed="false">
      <c r="A156" s="367"/>
      <c r="B156" s="367"/>
      <c r="C156" s="367"/>
      <c r="D156" s="367"/>
      <c r="E156" s="367"/>
      <c r="F156" s="222"/>
      <c r="G156" s="222"/>
      <c r="H156" s="222"/>
      <c r="I156" s="222"/>
      <c r="J156" s="222"/>
    </row>
    <row r="157" customFormat="false" ht="12.75" hidden="false" customHeight="false" outlineLevel="0" collapsed="false">
      <c r="A157" s="367"/>
      <c r="B157" s="367"/>
      <c r="C157" s="367"/>
      <c r="D157" s="367"/>
      <c r="E157" s="367"/>
      <c r="F157" s="222"/>
      <c r="G157" s="222"/>
      <c r="H157" s="222"/>
      <c r="I157" s="222"/>
      <c r="J157" s="222"/>
    </row>
    <row r="158" customFormat="false" ht="12.75" hidden="false" customHeight="false" outlineLevel="0" collapsed="false">
      <c r="A158" s="367"/>
      <c r="B158" s="367"/>
      <c r="C158" s="367"/>
      <c r="D158" s="367"/>
      <c r="E158" s="367"/>
      <c r="F158" s="222"/>
      <c r="G158" s="222"/>
      <c r="H158" s="222"/>
      <c r="I158" s="222"/>
      <c r="J158" s="222"/>
    </row>
    <row r="159" customFormat="false" ht="12.75" hidden="false" customHeight="false" outlineLevel="0" collapsed="false">
      <c r="A159" s="367"/>
      <c r="B159" s="367"/>
      <c r="C159" s="367"/>
      <c r="D159" s="367"/>
      <c r="E159" s="367"/>
      <c r="F159" s="222"/>
      <c r="G159" s="222"/>
      <c r="H159" s="222"/>
      <c r="I159" s="222"/>
      <c r="J159" s="222"/>
    </row>
    <row r="160" customFormat="false" ht="12.75" hidden="false" customHeight="false" outlineLevel="0" collapsed="false">
      <c r="A160" s="367"/>
      <c r="B160" s="367"/>
      <c r="C160" s="367"/>
      <c r="D160" s="367"/>
      <c r="E160" s="367"/>
      <c r="F160" s="222"/>
      <c r="G160" s="222"/>
      <c r="H160" s="222"/>
      <c r="I160" s="222"/>
      <c r="J160" s="222"/>
    </row>
    <row r="161" customFormat="false" ht="12.75" hidden="false" customHeight="false" outlineLevel="0" collapsed="false">
      <c r="A161" s="367"/>
      <c r="B161" s="367"/>
      <c r="C161" s="367"/>
      <c r="D161" s="367"/>
      <c r="E161" s="367"/>
      <c r="F161" s="222"/>
      <c r="G161" s="222"/>
      <c r="H161" s="222"/>
      <c r="I161" s="222"/>
      <c r="J161" s="222"/>
    </row>
    <row r="162" customFormat="false" ht="12.75" hidden="false" customHeight="false" outlineLevel="0" collapsed="false">
      <c r="A162" s="367"/>
      <c r="B162" s="367"/>
      <c r="C162" s="367"/>
      <c r="D162" s="367"/>
      <c r="E162" s="367"/>
      <c r="F162" s="222"/>
      <c r="G162" s="222"/>
      <c r="H162" s="222"/>
      <c r="I162" s="222"/>
      <c r="J162" s="222"/>
    </row>
    <row r="163" customFormat="false" ht="12.75" hidden="false" customHeight="false" outlineLevel="0" collapsed="false">
      <c r="A163" s="367"/>
      <c r="B163" s="367"/>
      <c r="C163" s="367"/>
      <c r="D163" s="367"/>
      <c r="E163" s="367"/>
      <c r="F163" s="222"/>
      <c r="G163" s="222"/>
      <c r="H163" s="222"/>
      <c r="I163" s="222"/>
      <c r="J163" s="222"/>
    </row>
    <row r="164" customFormat="false" ht="12.75" hidden="false" customHeight="false" outlineLevel="0" collapsed="false">
      <c r="A164" s="367"/>
      <c r="B164" s="367"/>
      <c r="C164" s="367"/>
      <c r="D164" s="367"/>
      <c r="E164" s="367"/>
      <c r="F164" s="222"/>
      <c r="G164" s="222"/>
      <c r="H164" s="222"/>
      <c r="I164" s="222"/>
      <c r="J164" s="222"/>
    </row>
    <row r="165" customFormat="false" ht="12.75" hidden="false" customHeight="false" outlineLevel="0" collapsed="false">
      <c r="A165" s="367"/>
      <c r="B165" s="367"/>
      <c r="C165" s="367"/>
      <c r="D165" s="367"/>
      <c r="E165" s="367"/>
      <c r="F165" s="222"/>
      <c r="G165" s="222"/>
      <c r="H165" s="222"/>
      <c r="I165" s="222"/>
      <c r="J165" s="222"/>
    </row>
    <row r="166" customFormat="false" ht="12.75" hidden="false" customHeight="false" outlineLevel="0" collapsed="false">
      <c r="A166" s="367"/>
      <c r="B166" s="367"/>
      <c r="C166" s="367"/>
      <c r="D166" s="367"/>
      <c r="E166" s="367"/>
      <c r="F166" s="222"/>
      <c r="G166" s="222"/>
      <c r="H166" s="222"/>
      <c r="I166" s="222"/>
      <c r="J166" s="222"/>
    </row>
    <row r="167" customFormat="false" ht="12.75" hidden="false" customHeight="false" outlineLevel="0" collapsed="false">
      <c r="A167" s="367"/>
      <c r="B167" s="367"/>
      <c r="C167" s="367"/>
      <c r="D167" s="367"/>
      <c r="E167" s="367"/>
      <c r="F167" s="222"/>
      <c r="G167" s="222"/>
      <c r="H167" s="222"/>
      <c r="I167" s="222"/>
      <c r="J167" s="222"/>
    </row>
    <row r="168" customFormat="false" ht="12.75" hidden="false" customHeight="false" outlineLevel="0" collapsed="false">
      <c r="A168" s="367"/>
      <c r="B168" s="367"/>
      <c r="C168" s="367"/>
      <c r="D168" s="367"/>
      <c r="E168" s="367"/>
      <c r="F168" s="222"/>
      <c r="G168" s="222"/>
      <c r="H168" s="222"/>
      <c r="I168" s="222"/>
      <c r="J168" s="222"/>
    </row>
    <row r="169" customFormat="false" ht="12.75" hidden="false" customHeight="false" outlineLevel="0" collapsed="false">
      <c r="A169" s="367"/>
      <c r="B169" s="367"/>
      <c r="C169" s="367"/>
      <c r="D169" s="367"/>
      <c r="E169" s="367"/>
      <c r="F169" s="222"/>
      <c r="G169" s="222"/>
      <c r="H169" s="222"/>
      <c r="I169" s="222"/>
      <c r="J169" s="222"/>
    </row>
    <row r="170" customFormat="false" ht="12.75" hidden="false" customHeight="false" outlineLevel="0" collapsed="false">
      <c r="A170" s="367"/>
      <c r="B170" s="367"/>
      <c r="C170" s="367"/>
      <c r="D170" s="367"/>
      <c r="E170" s="367"/>
      <c r="F170" s="222"/>
      <c r="G170" s="222"/>
      <c r="H170" s="222"/>
      <c r="I170" s="222"/>
      <c r="J170" s="222"/>
    </row>
    <row r="171" customFormat="false" ht="12.75" hidden="false" customHeight="false" outlineLevel="0" collapsed="false">
      <c r="A171" s="367"/>
      <c r="B171" s="367"/>
      <c r="C171" s="367"/>
      <c r="D171" s="367"/>
      <c r="E171" s="367"/>
      <c r="F171" s="222"/>
      <c r="G171" s="222"/>
      <c r="H171" s="222"/>
      <c r="I171" s="222"/>
      <c r="J171" s="222"/>
    </row>
    <row r="172" customFormat="false" ht="12.75" hidden="false" customHeight="false" outlineLevel="0" collapsed="false">
      <c r="A172" s="367"/>
      <c r="B172" s="367"/>
      <c r="C172" s="367"/>
      <c r="D172" s="367"/>
      <c r="E172" s="367"/>
      <c r="F172" s="222"/>
      <c r="G172" s="222"/>
      <c r="H172" s="222"/>
      <c r="I172" s="222"/>
      <c r="J172" s="370"/>
    </row>
    <row r="173" customFormat="false" ht="12.75" hidden="false" customHeight="false" outlineLevel="0" collapsed="false">
      <c r="A173" s="370" t="s">
        <v>4200</v>
      </c>
      <c r="B173" s="370"/>
      <c r="C173" s="370"/>
      <c r="D173" s="370"/>
      <c r="E173" s="370"/>
      <c r="F173" s="370"/>
      <c r="G173" s="370"/>
      <c r="H173" s="370"/>
      <c r="I173" s="370"/>
    </row>
    <row r="174" customFormat="false" ht="12.75" hidden="false" customHeight="false" outlineLevel="0" collapsed="false">
      <c r="A174" s="0" t="s">
        <v>4201</v>
      </c>
    </row>
  </sheetData>
  <sheetProtection sheet="true"/>
  <mergeCells count="435">
    <mergeCell ref="K2:L2"/>
    <mergeCell ref="N2:O2"/>
    <mergeCell ref="Q2:R2"/>
    <mergeCell ref="T2:U2"/>
    <mergeCell ref="W2:X2"/>
    <mergeCell ref="AC2:AD2"/>
    <mergeCell ref="AF2:AG2"/>
    <mergeCell ref="AI2:AJ2"/>
    <mergeCell ref="AL2:AM2"/>
    <mergeCell ref="AO2:AP2"/>
    <mergeCell ref="AR2:AS2"/>
    <mergeCell ref="AU2:AV2"/>
    <mergeCell ref="AX2:AY2"/>
    <mergeCell ref="BA2:BB2"/>
    <mergeCell ref="BD2:BE2"/>
    <mergeCell ref="BG2:BH2"/>
    <mergeCell ref="BJ2:BK2"/>
    <mergeCell ref="BP2:BQ2"/>
    <mergeCell ref="BS2:BT2"/>
    <mergeCell ref="BV2:BW2"/>
    <mergeCell ref="BY2:BZ2"/>
    <mergeCell ref="CB2:CC2"/>
    <mergeCell ref="CE2:CF2"/>
    <mergeCell ref="CH2:CI2"/>
    <mergeCell ref="CK2:CL2"/>
    <mergeCell ref="CN2:CO2"/>
    <mergeCell ref="CQ2:CR2"/>
    <mergeCell ref="CT2:CU2"/>
    <mergeCell ref="CW2:CX2"/>
    <mergeCell ref="DC2:DD2"/>
    <mergeCell ref="DF2:DG2"/>
    <mergeCell ref="DI2:DJ2"/>
    <mergeCell ref="DL2:DM2"/>
    <mergeCell ref="DO2:DP2"/>
    <mergeCell ref="DR2:DS2"/>
    <mergeCell ref="DU2:DV2"/>
    <mergeCell ref="DX2:DY2"/>
    <mergeCell ref="EA2:EB2"/>
    <mergeCell ref="ED2:EE2"/>
    <mergeCell ref="EG2:EH2"/>
    <mergeCell ref="EJ2:EK2"/>
    <mergeCell ref="EP2:EQ2"/>
    <mergeCell ref="ES2:ET2"/>
    <mergeCell ref="EV2:EW2"/>
    <mergeCell ref="EY2:EZ2"/>
    <mergeCell ref="FB2:FC2"/>
    <mergeCell ref="FE2:FF2"/>
    <mergeCell ref="FH2:FI2"/>
    <mergeCell ref="FK2:FL2"/>
    <mergeCell ref="FN2:FO2"/>
    <mergeCell ref="FQ2:FR2"/>
    <mergeCell ref="FT2:FU2"/>
    <mergeCell ref="FW2:FX2"/>
    <mergeCell ref="GC2:GD2"/>
    <mergeCell ref="GF2:GG2"/>
    <mergeCell ref="K5:L5"/>
    <mergeCell ref="N5:O5"/>
    <mergeCell ref="Q5:R5"/>
    <mergeCell ref="T5:U5"/>
    <mergeCell ref="W5:X5"/>
    <mergeCell ref="AC5:AD5"/>
    <mergeCell ref="AF5:AG5"/>
    <mergeCell ref="AI5:AJ5"/>
    <mergeCell ref="AL5:AM5"/>
    <mergeCell ref="AO5:AP5"/>
    <mergeCell ref="AR5:AS5"/>
    <mergeCell ref="AU5:AV5"/>
    <mergeCell ref="AX5:AY5"/>
    <mergeCell ref="BA5:BB5"/>
    <mergeCell ref="BD5:BE5"/>
    <mergeCell ref="BG5:BH5"/>
    <mergeCell ref="BJ5:BK5"/>
    <mergeCell ref="BP5:BQ5"/>
    <mergeCell ref="BS5:BT5"/>
    <mergeCell ref="BV5:BW5"/>
    <mergeCell ref="BY5:BZ5"/>
    <mergeCell ref="CB5:CC5"/>
    <mergeCell ref="CE5:CF5"/>
    <mergeCell ref="CH5:CI5"/>
    <mergeCell ref="CK5:CL5"/>
    <mergeCell ref="CN5:CO5"/>
    <mergeCell ref="CQ5:CR5"/>
    <mergeCell ref="CT5:CU5"/>
    <mergeCell ref="CW5:CX5"/>
    <mergeCell ref="DC5:DD5"/>
    <mergeCell ref="DF5:DG5"/>
    <mergeCell ref="DI5:DJ5"/>
    <mergeCell ref="DL5:DM5"/>
    <mergeCell ref="DO5:DP5"/>
    <mergeCell ref="DR5:DS5"/>
    <mergeCell ref="DU5:DV5"/>
    <mergeCell ref="DX5:DY5"/>
    <mergeCell ref="EA5:EB5"/>
    <mergeCell ref="ED5:EE5"/>
    <mergeCell ref="EG5:EH5"/>
    <mergeCell ref="EJ5:EK5"/>
    <mergeCell ref="EP5:EQ5"/>
    <mergeCell ref="ES5:ET5"/>
    <mergeCell ref="EV5:EW5"/>
    <mergeCell ref="EY5:EZ5"/>
    <mergeCell ref="FB5:FC5"/>
    <mergeCell ref="FE5:FF5"/>
    <mergeCell ref="FH5:FI5"/>
    <mergeCell ref="FK5:FL5"/>
    <mergeCell ref="FN5:FO5"/>
    <mergeCell ref="FQ5:FR5"/>
    <mergeCell ref="FT5:FU5"/>
    <mergeCell ref="FW5:FX5"/>
    <mergeCell ref="GC5:GD5"/>
    <mergeCell ref="GF5:GG5"/>
    <mergeCell ref="E8:F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  <mergeCell ref="IH8:IJ8"/>
    <mergeCell ref="IK8:IM8"/>
    <mergeCell ref="IN8:IP8"/>
    <mergeCell ref="IQ8:IS8"/>
    <mergeCell ref="IT8:IV8"/>
    <mergeCell ref="IW8:IY8"/>
    <mergeCell ref="IZ8:JB8"/>
    <mergeCell ref="JC8:JE8"/>
    <mergeCell ref="JF8:JH8"/>
    <mergeCell ref="JI8:JK8"/>
    <mergeCell ref="JL8:JN8"/>
    <mergeCell ref="JO8:JQ8"/>
    <mergeCell ref="JR8:JT8"/>
    <mergeCell ref="JU8:JW8"/>
    <mergeCell ref="JX8:JZ8"/>
    <mergeCell ref="KA8:KC8"/>
    <mergeCell ref="KD8:KF8"/>
    <mergeCell ref="KG8:KI8"/>
    <mergeCell ref="KJ8:KL8"/>
    <mergeCell ref="KM8:KO8"/>
    <mergeCell ref="KP8:KR8"/>
    <mergeCell ref="KS8:KU8"/>
    <mergeCell ref="KV8:KX8"/>
    <mergeCell ref="KY8:LA8"/>
    <mergeCell ref="LB8:LD8"/>
    <mergeCell ref="LE8:LG8"/>
    <mergeCell ref="LH8:LJ8"/>
    <mergeCell ref="LK8:LM8"/>
    <mergeCell ref="LN8:LP8"/>
    <mergeCell ref="LQ8:LS8"/>
    <mergeCell ref="LT8:LV8"/>
    <mergeCell ref="LW8:LY8"/>
    <mergeCell ref="LZ8:MB8"/>
    <mergeCell ref="MC8:ME8"/>
    <mergeCell ref="MF8:MH8"/>
    <mergeCell ref="MI8:MK8"/>
    <mergeCell ref="ML8:MN8"/>
    <mergeCell ref="MO8:MQ8"/>
    <mergeCell ref="MR8:MT8"/>
    <mergeCell ref="MU8:MW8"/>
    <mergeCell ref="MX8:MZ8"/>
    <mergeCell ref="NA8:NC8"/>
    <mergeCell ref="ND8:NF8"/>
    <mergeCell ref="NG8:NI8"/>
    <mergeCell ref="NJ8:NL8"/>
    <mergeCell ref="NM8:NO8"/>
    <mergeCell ref="NP8:NR8"/>
    <mergeCell ref="NS8:NU8"/>
    <mergeCell ref="NV8:NX8"/>
    <mergeCell ref="NY8:OA8"/>
    <mergeCell ref="OB8:OD8"/>
    <mergeCell ref="OE8:OG8"/>
    <mergeCell ref="OH8:OJ8"/>
    <mergeCell ref="OK8:OM8"/>
    <mergeCell ref="ON8:OP8"/>
    <mergeCell ref="OQ8:OS8"/>
    <mergeCell ref="OT8:OV8"/>
    <mergeCell ref="OW8:OY8"/>
    <mergeCell ref="OZ8:PB8"/>
    <mergeCell ref="PC8:PE8"/>
    <mergeCell ref="PF8:PH8"/>
    <mergeCell ref="PI8:PK8"/>
    <mergeCell ref="PL8:PN8"/>
    <mergeCell ref="PO8:PQ8"/>
    <mergeCell ref="PR8:PT8"/>
    <mergeCell ref="PU8:PW8"/>
    <mergeCell ref="PX8:PZ8"/>
    <mergeCell ref="QA8:QC8"/>
    <mergeCell ref="QD8:QF8"/>
    <mergeCell ref="QG8:QI8"/>
    <mergeCell ref="QJ8:QL8"/>
    <mergeCell ref="QM8:QO8"/>
    <mergeCell ref="QP8:QR8"/>
    <mergeCell ref="QS8:QU8"/>
    <mergeCell ref="QV8:QX8"/>
    <mergeCell ref="QY8:RA8"/>
    <mergeCell ref="RB8:RD8"/>
    <mergeCell ref="RE8:RG8"/>
    <mergeCell ref="RH8:RJ8"/>
    <mergeCell ref="RK8:RM8"/>
    <mergeCell ref="RN8:RP8"/>
    <mergeCell ref="RQ8:RS8"/>
    <mergeCell ref="RT8:RV8"/>
    <mergeCell ref="RW8:RY8"/>
    <mergeCell ref="RZ8:SB8"/>
    <mergeCell ref="K9:M9"/>
    <mergeCell ref="N9:P9"/>
    <mergeCell ref="Q9:S9"/>
    <mergeCell ref="T9:V9"/>
    <mergeCell ref="W9:Y9"/>
    <mergeCell ref="Z9:AB9"/>
    <mergeCell ref="AC9:AE9"/>
    <mergeCell ref="AF9:AH9"/>
    <mergeCell ref="AI9:AK9"/>
    <mergeCell ref="AL9:AN9"/>
    <mergeCell ref="AO9:AQ9"/>
    <mergeCell ref="AR9:AT9"/>
    <mergeCell ref="AU9:AW9"/>
    <mergeCell ref="AX9:AZ9"/>
    <mergeCell ref="BA9:BC9"/>
    <mergeCell ref="BD9:BF9"/>
    <mergeCell ref="BG9:BI9"/>
    <mergeCell ref="BJ9:BL9"/>
    <mergeCell ref="BM9:BO9"/>
    <mergeCell ref="BP9:BR9"/>
    <mergeCell ref="BS9:BU9"/>
    <mergeCell ref="BV9:BX9"/>
    <mergeCell ref="BY9:CA9"/>
    <mergeCell ref="CB9:CD9"/>
    <mergeCell ref="CE9:CG9"/>
    <mergeCell ref="CH9:CJ9"/>
    <mergeCell ref="CK9:CM9"/>
    <mergeCell ref="CN9:CP9"/>
    <mergeCell ref="CQ9:CS9"/>
    <mergeCell ref="CT9:CV9"/>
    <mergeCell ref="CW9:CY9"/>
    <mergeCell ref="CZ9:DB9"/>
    <mergeCell ref="DC9:DE9"/>
    <mergeCell ref="DF9:DH9"/>
    <mergeCell ref="DI9:DK9"/>
    <mergeCell ref="DL9:DN9"/>
    <mergeCell ref="DO9:DQ9"/>
    <mergeCell ref="DR9:DT9"/>
    <mergeCell ref="DU9:DW9"/>
    <mergeCell ref="DX9:DZ9"/>
    <mergeCell ref="EA9:EC9"/>
    <mergeCell ref="ED9:EF9"/>
    <mergeCell ref="EG9:EI9"/>
    <mergeCell ref="EJ9:EL9"/>
    <mergeCell ref="EM9:EO9"/>
    <mergeCell ref="EP9:ER9"/>
    <mergeCell ref="ES9:EU9"/>
    <mergeCell ref="EV9:EX9"/>
    <mergeCell ref="EY9:FA9"/>
    <mergeCell ref="FB9:FD9"/>
    <mergeCell ref="FE9:FG9"/>
    <mergeCell ref="FH9:FJ9"/>
    <mergeCell ref="FK9:FM9"/>
    <mergeCell ref="FN9:FP9"/>
    <mergeCell ref="FQ9:FS9"/>
    <mergeCell ref="FT9:FV9"/>
    <mergeCell ref="FW9:FY9"/>
    <mergeCell ref="FZ9:GB9"/>
    <mergeCell ref="GC9:GE9"/>
    <mergeCell ref="GF9:GH9"/>
    <mergeCell ref="GI9:GK9"/>
    <mergeCell ref="GL9:GN9"/>
    <mergeCell ref="GO9:GQ9"/>
    <mergeCell ref="GR9:GT9"/>
    <mergeCell ref="GU9:GW9"/>
    <mergeCell ref="GX9:GZ9"/>
    <mergeCell ref="HA9:HC9"/>
    <mergeCell ref="HD9:HF9"/>
    <mergeCell ref="HG9:HI9"/>
    <mergeCell ref="HJ9:HL9"/>
    <mergeCell ref="HM9:HO9"/>
    <mergeCell ref="HP9:HR9"/>
    <mergeCell ref="HS9:HU9"/>
    <mergeCell ref="HV9:HX9"/>
    <mergeCell ref="HY9:IA9"/>
    <mergeCell ref="IB9:ID9"/>
    <mergeCell ref="IE9:IG9"/>
    <mergeCell ref="IH9:IJ9"/>
    <mergeCell ref="IK9:IM9"/>
    <mergeCell ref="IN9:IP9"/>
    <mergeCell ref="IQ9:IS9"/>
    <mergeCell ref="IT9:IV9"/>
    <mergeCell ref="IW9:IY9"/>
    <mergeCell ref="IZ9:JB9"/>
    <mergeCell ref="JC9:JE9"/>
    <mergeCell ref="JF9:JH9"/>
    <mergeCell ref="JI9:JK9"/>
    <mergeCell ref="JL9:JN9"/>
    <mergeCell ref="JO9:JQ9"/>
    <mergeCell ref="JR9:JT9"/>
    <mergeCell ref="JU9:JW9"/>
    <mergeCell ref="JX9:JZ9"/>
    <mergeCell ref="KA9:KC9"/>
    <mergeCell ref="KD9:KF9"/>
    <mergeCell ref="KG9:KI9"/>
    <mergeCell ref="KJ9:KL9"/>
    <mergeCell ref="KM9:KO9"/>
    <mergeCell ref="KP9:KR9"/>
    <mergeCell ref="KS9:KU9"/>
    <mergeCell ref="KV9:KX9"/>
    <mergeCell ref="KY9:LA9"/>
    <mergeCell ref="LB9:LD9"/>
    <mergeCell ref="LE9:LG9"/>
    <mergeCell ref="LH9:LJ9"/>
    <mergeCell ref="LK9:LM9"/>
    <mergeCell ref="LN9:LP9"/>
    <mergeCell ref="LQ9:LS9"/>
    <mergeCell ref="LT9:LV9"/>
    <mergeCell ref="LW9:LY9"/>
    <mergeCell ref="LZ9:MB9"/>
    <mergeCell ref="MC9:ME9"/>
    <mergeCell ref="MF9:MH9"/>
    <mergeCell ref="MI9:MK9"/>
    <mergeCell ref="ML9:MN9"/>
    <mergeCell ref="MO9:MQ9"/>
    <mergeCell ref="MR9:MT9"/>
    <mergeCell ref="MU9:MW9"/>
    <mergeCell ref="MX9:MZ9"/>
    <mergeCell ref="NA9:NC9"/>
    <mergeCell ref="ND9:NF9"/>
    <mergeCell ref="NG9:NI9"/>
    <mergeCell ref="NJ9:NL9"/>
    <mergeCell ref="NM9:NO9"/>
    <mergeCell ref="NP9:NR9"/>
    <mergeCell ref="NS9:NU9"/>
    <mergeCell ref="NV9:NX9"/>
    <mergeCell ref="NY9:OA9"/>
    <mergeCell ref="OB9:OD9"/>
    <mergeCell ref="OE9:OG9"/>
    <mergeCell ref="OH9:OJ9"/>
    <mergeCell ref="OK9:OM9"/>
    <mergeCell ref="ON9:OP9"/>
    <mergeCell ref="OQ9:OS9"/>
    <mergeCell ref="OT9:OV9"/>
    <mergeCell ref="OW9:OY9"/>
    <mergeCell ref="OZ9:PB9"/>
    <mergeCell ref="PC9:PE9"/>
    <mergeCell ref="PF9:PH9"/>
    <mergeCell ref="PI9:PK9"/>
    <mergeCell ref="PL9:PN9"/>
    <mergeCell ref="PO9:PQ9"/>
    <mergeCell ref="PR9:PT9"/>
    <mergeCell ref="PU9:PW9"/>
    <mergeCell ref="PX9:PZ9"/>
    <mergeCell ref="QA9:QC9"/>
    <mergeCell ref="QD9:QF9"/>
    <mergeCell ref="QG9:QI9"/>
    <mergeCell ref="QJ9:QL9"/>
    <mergeCell ref="QM9:QO9"/>
    <mergeCell ref="QP9:QR9"/>
    <mergeCell ref="QS9:QU9"/>
    <mergeCell ref="QV9:QX9"/>
    <mergeCell ref="QY9:RA9"/>
    <mergeCell ref="RB9:RD9"/>
    <mergeCell ref="RE9:RG9"/>
    <mergeCell ref="RH9:RJ9"/>
    <mergeCell ref="RK9:RM9"/>
    <mergeCell ref="RN9:RP9"/>
    <mergeCell ref="RQ9:RS9"/>
    <mergeCell ref="RT9:RV9"/>
    <mergeCell ref="RW9:RY9"/>
    <mergeCell ref="RZ9:SB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9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60" workbookViewId="0">
      <selection pane="topLeft" activeCell="A1" activeCellId="0" sqref="A1"/>
    </sheetView>
  </sheetViews>
  <sheetFormatPr defaultColWidth="8.6875" defaultRowHeight="12.75" zeroHeight="false" outlineLevelRow="0" outlineLevelCol="0"/>
  <cols>
    <col collapsed="false" customWidth="true" hidden="false" outlineLevel="0" max="1" min="1" style="371" width="12.14"/>
    <col collapsed="false" customWidth="true" hidden="false" outlineLevel="0" max="2" min="2" style="371" width="14.7"/>
    <col collapsed="false" customWidth="true" hidden="false" outlineLevel="0" max="3" min="3" style="372" width="12.71"/>
    <col collapsed="false" customWidth="true" hidden="false" outlineLevel="0" max="4" min="4" style="0" width="17.42"/>
    <col collapsed="false" customWidth="true" hidden="false" outlineLevel="0" max="5" min="5" style="0" width="17.14"/>
    <col collapsed="false" customWidth="true" hidden="false" outlineLevel="0" max="6" min="6" style="0" width="14.28"/>
    <col collapsed="false" customWidth="true" hidden="true" outlineLevel="0" max="7" min="7" style="0" width="11.71"/>
    <col collapsed="false" customWidth="true" hidden="false" outlineLevel="0" max="8" min="8" style="368" width="16.14"/>
    <col collapsed="false" customWidth="true" hidden="false" outlineLevel="0" max="9" min="9" style="0" width="12.42"/>
    <col collapsed="false" customWidth="true" hidden="false" outlineLevel="0" max="10" min="10" style="0" width="13.29"/>
    <col collapsed="false" customWidth="true" hidden="false" outlineLevel="0" max="12" min="11" style="368" width="42.57"/>
    <col collapsed="false" customWidth="true" hidden="false" outlineLevel="0" max="123" min="13" style="0" width="40.42"/>
    <col collapsed="false" customWidth="true" hidden="false" outlineLevel="0" max="124" min="124" style="0" width="20.71"/>
    <col collapsed="false" customWidth="true" hidden="false" outlineLevel="0" max="125" min="125" style="0" width="17"/>
    <col collapsed="false" customWidth="true" hidden="false" outlineLevel="0" max="126" min="126" style="0" width="17.86"/>
    <col collapsed="false" customWidth="true" hidden="false" outlineLevel="0" max="127" min="127" style="0" width="44.99"/>
  </cols>
  <sheetData>
    <row r="2" customFormat="false" ht="12.75" hidden="false" customHeight="false" outlineLevel="0" collapsed="false">
      <c r="A2" s="373"/>
      <c r="B2" s="373"/>
      <c r="C2" s="374"/>
      <c r="D2" s="375" t="s">
        <v>8</v>
      </c>
      <c r="E2" s="64" t="s">
        <v>96</v>
      </c>
      <c r="H2" s="0"/>
    </row>
    <row r="3" customFormat="false" ht="12.75" hidden="false" customHeight="false" outlineLevel="0" collapsed="false">
      <c r="A3" s="85" t="n">
        <v>2.53</v>
      </c>
      <c r="C3" s="328"/>
      <c r="D3" s="375" t="s">
        <v>26</v>
      </c>
      <c r="E3" s="64" t="s">
        <v>4202</v>
      </c>
      <c r="H3" s="0"/>
    </row>
    <row r="4" customFormat="false" ht="12.75" hidden="false" customHeight="false" outlineLevel="0" collapsed="false">
      <c r="A4" s="85" t="n">
        <v>2.57</v>
      </c>
      <c r="C4" s="328"/>
      <c r="H4" s="0"/>
    </row>
    <row r="5" customFormat="false" ht="12.75" hidden="false" customHeight="false" outlineLevel="0" collapsed="false">
      <c r="A5" s="85" t="n">
        <v>2.58</v>
      </c>
      <c r="C5" s="328"/>
      <c r="D5" s="376"/>
      <c r="E5" s="377"/>
      <c r="F5" s="378"/>
      <c r="G5" s="379" t="s">
        <v>4203</v>
      </c>
      <c r="H5" s="380"/>
      <c r="K5" s="0"/>
      <c r="L5" s="0"/>
    </row>
    <row r="6" customFormat="false" ht="12.75" hidden="false" customHeight="false" outlineLevel="0" collapsed="false">
      <c r="A6" s="85" t="n">
        <v>2.68</v>
      </c>
      <c r="C6" s="328"/>
      <c r="D6" s="381" t="s">
        <v>16</v>
      </c>
      <c r="E6" s="382" t="s">
        <v>15</v>
      </c>
      <c r="F6" s="382" t="s">
        <v>18</v>
      </c>
      <c r="G6" s="383" t="s">
        <v>4204</v>
      </c>
      <c r="H6" s="384" t="s">
        <v>4205</v>
      </c>
      <c r="K6" s="0"/>
      <c r="L6" s="0"/>
    </row>
    <row r="7" customFormat="false" ht="12.75" hidden="false" customHeight="false" outlineLevel="0" collapsed="false">
      <c r="A7" s="85" t="n">
        <v>2.79</v>
      </c>
      <c r="C7" s="328"/>
      <c r="D7" s="385" t="n">
        <v>1000</v>
      </c>
      <c r="E7" s="386" t="s">
        <v>420</v>
      </c>
      <c r="F7" s="386" t="n">
        <v>4290</v>
      </c>
      <c r="G7" s="387" t="n">
        <v>15058.5374919457</v>
      </c>
      <c r="H7" s="388" t="n">
        <v>2749.30008333333</v>
      </c>
      <c r="K7" s="0"/>
      <c r="L7" s="0"/>
    </row>
    <row r="8" customFormat="false" ht="12.75" hidden="false" customHeight="false" outlineLevel="0" collapsed="false">
      <c r="A8" s="85" t="s">
        <v>3972</v>
      </c>
      <c r="C8" s="328"/>
      <c r="D8" s="389"/>
      <c r="E8" s="390" t="s">
        <v>327</v>
      </c>
      <c r="F8" s="390" t="n">
        <v>4171</v>
      </c>
      <c r="G8" s="391" t="n">
        <v>9202.3524258186</v>
      </c>
      <c r="H8" s="392" t="n">
        <v>1895.91424561404</v>
      </c>
      <c r="K8" s="0"/>
      <c r="L8" s="0"/>
    </row>
    <row r="9" customFormat="false" ht="12.75" hidden="false" customHeight="false" outlineLevel="0" collapsed="false">
      <c r="A9" s="85" t="n">
        <v>2.83</v>
      </c>
      <c r="C9" s="328"/>
      <c r="D9" s="389"/>
      <c r="E9" s="393"/>
      <c r="F9" s="393" t="n">
        <v>4191</v>
      </c>
      <c r="G9" s="394" t="n">
        <v>13245.8050981402</v>
      </c>
      <c r="H9" s="395" t="n">
        <v>2347.6545</v>
      </c>
      <c r="K9" s="0"/>
      <c r="L9" s="0"/>
    </row>
    <row r="10" customFormat="false" ht="12.75" hidden="false" customHeight="false" outlineLevel="0" collapsed="false">
      <c r="A10" s="85" t="n">
        <v>2.84</v>
      </c>
      <c r="C10" s="328"/>
      <c r="D10" s="389"/>
      <c r="E10" s="386" t="s">
        <v>181</v>
      </c>
      <c r="F10" s="386" t="n">
        <v>4193</v>
      </c>
      <c r="G10" s="387" t="n">
        <v>13245.8050981402</v>
      </c>
      <c r="H10" s="388" t="n">
        <v>2347.6545</v>
      </c>
      <c r="K10" s="0"/>
      <c r="L10" s="0"/>
    </row>
    <row r="11" customFormat="false" ht="12.75" hidden="false" customHeight="false" outlineLevel="0" collapsed="false">
      <c r="A11" s="85" t="n">
        <v>2.85</v>
      </c>
      <c r="C11" s="328"/>
      <c r="D11" s="389"/>
      <c r="E11" s="386" t="s">
        <v>132</v>
      </c>
      <c r="F11" s="386" t="n">
        <v>5311</v>
      </c>
      <c r="G11" s="387" t="n">
        <v>65556.9645241911</v>
      </c>
      <c r="H11" s="388" t="n">
        <v>12741.5305</v>
      </c>
      <c r="K11" s="0"/>
      <c r="L11" s="0"/>
    </row>
    <row r="12" customFormat="false" ht="12.75" hidden="false" customHeight="false" outlineLevel="0" collapsed="false">
      <c r="A12" s="85" t="n">
        <v>2.86</v>
      </c>
      <c r="C12" s="328" t="n">
        <v>25857.8978588913</v>
      </c>
      <c r="D12" s="389"/>
      <c r="E12" s="386" t="s">
        <v>77</v>
      </c>
      <c r="F12" s="386" t="n">
        <v>5311</v>
      </c>
      <c r="G12" s="387" t="n">
        <v>11456.8773882581</v>
      </c>
      <c r="H12" s="388" t="n">
        <v>2284.31433333333</v>
      </c>
      <c r="K12" s="0"/>
      <c r="L12" s="0"/>
    </row>
    <row r="13" customFormat="false" ht="12.75" hidden="false" customHeight="false" outlineLevel="0" collapsed="false">
      <c r="A13" s="85" t="n">
        <v>2.88</v>
      </c>
      <c r="C13" s="328" t="n">
        <v>13892.3426940868</v>
      </c>
      <c r="D13" s="389"/>
      <c r="E13" s="386" t="s">
        <v>91</v>
      </c>
      <c r="F13" s="386" t="n">
        <v>4198</v>
      </c>
      <c r="G13" s="387" t="n">
        <v>20593.5866666667</v>
      </c>
      <c r="H13" s="388" t="n">
        <v>3618.63466666667</v>
      </c>
      <c r="K13" s="0"/>
      <c r="L13" s="0"/>
    </row>
    <row r="14" customFormat="false" ht="12.75" hidden="false" customHeight="false" outlineLevel="0" collapsed="false">
      <c r="A14" s="283" t="n">
        <v>4.1</v>
      </c>
      <c r="C14" s="328" t="n">
        <v>73493</v>
      </c>
      <c r="D14" s="389"/>
      <c r="E14" s="386" t="s">
        <v>121</v>
      </c>
      <c r="F14" s="386" t="n">
        <v>4120</v>
      </c>
      <c r="G14" s="387" t="n">
        <v>37742.158099892</v>
      </c>
      <c r="H14" s="388" t="n">
        <v>6513.53154166667</v>
      </c>
      <c r="K14" s="0"/>
      <c r="L14" s="0"/>
    </row>
    <row r="15" customFormat="false" ht="12.75" hidden="false" customHeight="false" outlineLevel="0" collapsed="false">
      <c r="A15" s="283" t="n">
        <v>4.2</v>
      </c>
      <c r="C15" s="328" t="n">
        <v>19729.4549711586</v>
      </c>
      <c r="D15" s="389"/>
      <c r="E15" s="390" t="s">
        <v>143</v>
      </c>
      <c r="F15" s="390" t="n">
        <v>4146</v>
      </c>
      <c r="G15" s="391" t="n">
        <v>18404.766064181</v>
      </c>
      <c r="H15" s="392" t="n">
        <v>3947.61696</v>
      </c>
      <c r="K15" s="0"/>
      <c r="L15" s="0"/>
    </row>
    <row r="16" customFormat="false" ht="12.75" hidden="false" customHeight="false" outlineLevel="0" collapsed="false">
      <c r="A16" s="283" t="n">
        <v>4.3</v>
      </c>
      <c r="C16" s="328" t="n">
        <v>61780.76</v>
      </c>
      <c r="D16" s="389"/>
      <c r="E16" s="393"/>
      <c r="F16" s="393" t="n">
        <v>4196</v>
      </c>
      <c r="G16" s="394" t="n">
        <v>20593.5866666667</v>
      </c>
      <c r="H16" s="395" t="n">
        <v>3618.63466666667</v>
      </c>
      <c r="K16" s="0"/>
      <c r="L16" s="0"/>
    </row>
    <row r="17" customFormat="false" ht="12.75" hidden="false" customHeight="false" outlineLevel="0" collapsed="false">
      <c r="A17" s="283" t="n">
        <v>4.4</v>
      </c>
      <c r="C17" s="328" t="n">
        <v>248464.341866444</v>
      </c>
      <c r="D17" s="389"/>
      <c r="E17" s="386" t="s">
        <v>160</v>
      </c>
      <c r="F17" s="386" t="n">
        <v>4190</v>
      </c>
      <c r="G17" s="387" t="n">
        <v>20593.5866666667</v>
      </c>
      <c r="H17" s="388" t="n">
        <v>3618.63466666667</v>
      </c>
      <c r="K17" s="0"/>
      <c r="L17" s="0"/>
    </row>
    <row r="18" customFormat="false" ht="12.75" hidden="false" customHeight="false" outlineLevel="0" collapsed="false">
      <c r="A18" s="283" t="n">
        <v>4.5</v>
      </c>
      <c r="C18" s="328" t="n">
        <v>50267</v>
      </c>
      <c r="D18" s="389"/>
      <c r="E18" s="390" t="s">
        <v>298</v>
      </c>
      <c r="F18" s="390" t="n">
        <v>4176</v>
      </c>
      <c r="G18" s="391" t="n">
        <v>50054.5916471972</v>
      </c>
      <c r="H18" s="392" t="n">
        <v>10158.2569165863</v>
      </c>
      <c r="K18" s="0"/>
      <c r="L18" s="0"/>
    </row>
    <row r="19" customFormat="false" ht="12.75" hidden="false" customHeight="false" outlineLevel="0" collapsed="false">
      <c r="A19" s="283" t="n">
        <v>4.6</v>
      </c>
      <c r="C19" s="328" t="n">
        <v>79470.8950979025</v>
      </c>
      <c r="D19" s="389"/>
      <c r="E19" s="396"/>
      <c r="F19" s="396" t="n">
        <v>4178</v>
      </c>
      <c r="G19" s="397" t="n">
        <v>27607.0889610613</v>
      </c>
      <c r="H19" s="398" t="n">
        <v>5804.1838766557</v>
      </c>
      <c r="K19" s="0"/>
      <c r="L19" s="0"/>
    </row>
    <row r="20" customFormat="false" ht="12.75" hidden="false" customHeight="false" outlineLevel="0" collapsed="false">
      <c r="A20" s="283" t="n">
        <v>4.7</v>
      </c>
      <c r="C20" s="328" t="n">
        <v>30117.0749838913</v>
      </c>
      <c r="D20" s="389"/>
      <c r="E20" s="393"/>
      <c r="F20" s="393" t="n">
        <v>4173</v>
      </c>
      <c r="G20" s="394" t="n">
        <v>66312.7021535976</v>
      </c>
      <c r="H20" s="395" t="n">
        <v>13522.4233602187</v>
      </c>
      <c r="K20" s="0"/>
      <c r="L20" s="0"/>
    </row>
    <row r="21" customFormat="false" ht="12.75" hidden="false" customHeight="false" outlineLevel="0" collapsed="false">
      <c r="A21" s="283" t="n">
        <v>4.8</v>
      </c>
      <c r="C21" s="328" t="n">
        <v>33297.0225754672</v>
      </c>
      <c r="D21" s="389"/>
      <c r="E21" s="390" t="s">
        <v>228</v>
      </c>
      <c r="F21" s="390" t="n">
        <v>4171</v>
      </c>
      <c r="G21" s="391" t="n">
        <v>44893.6865308222</v>
      </c>
      <c r="H21" s="392" t="n">
        <v>8572.22922619047</v>
      </c>
      <c r="K21" s="0"/>
      <c r="L21" s="0"/>
    </row>
    <row r="22" customFormat="false" ht="12.75" hidden="false" customHeight="false" outlineLevel="0" collapsed="false">
      <c r="A22" s="283" t="n">
        <v>4.9</v>
      </c>
      <c r="C22" s="328" t="n">
        <v>86783.6767931977</v>
      </c>
      <c r="D22" s="389"/>
      <c r="E22" s="396"/>
      <c r="F22" s="396" t="n">
        <v>4174</v>
      </c>
      <c r="G22" s="397" t="n">
        <v>22448.1881302308</v>
      </c>
      <c r="H22" s="398" t="n">
        <v>4321.46298</v>
      </c>
      <c r="K22" s="0"/>
      <c r="L22" s="0"/>
    </row>
    <row r="23" customFormat="false" ht="12.75" hidden="false" customHeight="false" outlineLevel="0" collapsed="false">
      <c r="A23" s="336" t="s">
        <v>1016</v>
      </c>
      <c r="C23" s="328" t="n">
        <v>26875.7628318814</v>
      </c>
      <c r="D23" s="389"/>
      <c r="E23" s="393"/>
      <c r="F23" s="393" t="n">
        <v>4173</v>
      </c>
      <c r="G23" s="394" t="n">
        <v>27607.0554965574</v>
      </c>
      <c r="H23" s="395" t="n">
        <v>5704.72871428571</v>
      </c>
      <c r="K23" s="0"/>
      <c r="L23" s="0"/>
    </row>
    <row r="24" customFormat="false" ht="12.75" hidden="false" customHeight="false" outlineLevel="0" collapsed="false">
      <c r="A24" s="336" t="n">
        <v>4.11</v>
      </c>
      <c r="C24" s="328" t="n">
        <v>66229.0254907012</v>
      </c>
      <c r="D24" s="389"/>
      <c r="E24" s="390" t="s">
        <v>1030</v>
      </c>
      <c r="F24" s="390" t="n">
        <v>4170</v>
      </c>
      <c r="G24" s="391" t="n">
        <v>13245.8050981402</v>
      </c>
      <c r="H24" s="392" t="n">
        <v>2347.6545</v>
      </c>
      <c r="K24" s="0"/>
      <c r="L24" s="0"/>
    </row>
    <row r="25" customFormat="false" ht="12.75" hidden="false" customHeight="false" outlineLevel="0" collapsed="false">
      <c r="A25" s="283" t="n">
        <v>4.13</v>
      </c>
      <c r="C25" s="328"/>
      <c r="D25" s="389"/>
      <c r="E25" s="393"/>
      <c r="F25" s="393" t="n">
        <v>4171</v>
      </c>
      <c r="G25" s="394" t="n">
        <v>13245.8</v>
      </c>
      <c r="H25" s="395" t="n">
        <v>2248.7155</v>
      </c>
      <c r="K25" s="0"/>
      <c r="L25" s="0"/>
    </row>
    <row r="26" customFormat="false" ht="12.75" hidden="false" customHeight="false" outlineLevel="0" collapsed="false">
      <c r="A26" s="283" t="n">
        <v>4.14</v>
      </c>
      <c r="C26" s="328" t="n">
        <v>73493.303091025</v>
      </c>
      <c r="D26" s="389"/>
      <c r="E26" s="386" t="s">
        <v>383</v>
      </c>
      <c r="F26" s="386" t="n">
        <v>3690</v>
      </c>
      <c r="G26" s="387" t="n">
        <v>65325.1837072393</v>
      </c>
      <c r="H26" s="388" t="n">
        <v>10761.694</v>
      </c>
      <c r="K26" s="0"/>
      <c r="L26" s="0"/>
    </row>
    <row r="27" customFormat="false" ht="12.75" hidden="false" customHeight="false" outlineLevel="0" collapsed="false">
      <c r="A27" s="283" t="n">
        <v>4.15</v>
      </c>
      <c r="C27" s="328" t="n">
        <v>20838.1286332914</v>
      </c>
      <c r="D27" s="389"/>
      <c r="E27" s="386" t="s">
        <v>394</v>
      </c>
      <c r="F27" s="386" t="n">
        <v>5411</v>
      </c>
      <c r="G27" s="387" t="n">
        <v>13245.1491829838</v>
      </c>
      <c r="H27" s="388" t="n">
        <v>2419.61188888889</v>
      </c>
      <c r="K27" s="0"/>
      <c r="L27" s="0"/>
    </row>
    <row r="28" customFormat="false" ht="12.75" hidden="false" customHeight="false" outlineLevel="0" collapsed="false">
      <c r="A28" s="283" t="n">
        <v>4.16</v>
      </c>
      <c r="C28" s="328" t="n">
        <v>122084.483175428</v>
      </c>
      <c r="D28" s="389"/>
      <c r="E28" s="386" t="s">
        <v>404</v>
      </c>
      <c r="F28" s="386" t="n">
        <v>4290</v>
      </c>
      <c r="G28" s="387" t="n">
        <v>13245.1491829838</v>
      </c>
      <c r="H28" s="388" t="n">
        <v>2419.61188888889</v>
      </c>
      <c r="K28" s="0"/>
      <c r="L28" s="0"/>
    </row>
    <row r="29" customFormat="false" ht="12.75" hidden="false" customHeight="false" outlineLevel="0" collapsed="false">
      <c r="A29" s="283" t="n">
        <v>4.17</v>
      </c>
      <c r="C29" s="328" t="n">
        <v>11098.6037347045</v>
      </c>
      <c r="D29" s="389"/>
      <c r="E29" s="386" t="s">
        <v>430</v>
      </c>
      <c r="F29" s="386" t="n">
        <v>3699</v>
      </c>
      <c r="G29" s="387" t="n">
        <v>13245.1491829838</v>
      </c>
      <c r="H29" s="388" t="n">
        <v>2419.61188888889</v>
      </c>
      <c r="K29" s="0"/>
      <c r="L29" s="0"/>
    </row>
    <row r="30" customFormat="false" ht="12.75" hidden="false" customHeight="false" outlineLevel="0" collapsed="false">
      <c r="A30" s="283" t="n">
        <v>4.18</v>
      </c>
      <c r="C30" s="328" t="n">
        <v>57284.3869412906</v>
      </c>
      <c r="D30" s="389"/>
      <c r="E30" s="386" t="s">
        <v>439</v>
      </c>
      <c r="F30" s="386" t="n">
        <v>4170</v>
      </c>
      <c r="G30" s="387" t="n">
        <v>22447.5016088024</v>
      </c>
      <c r="H30" s="388" t="n">
        <v>4315.52613450292</v>
      </c>
      <c r="K30" s="0"/>
      <c r="L30" s="0"/>
    </row>
    <row r="31" customFormat="false" ht="12.75" hidden="false" customHeight="false" outlineLevel="0" collapsed="false">
      <c r="A31" s="283" t="n">
        <v>4.19</v>
      </c>
      <c r="C31" s="328" t="n">
        <v>52977.9657329012</v>
      </c>
      <c r="D31" s="389"/>
      <c r="E31" s="386" t="s">
        <v>456</v>
      </c>
      <c r="F31" s="386" t="n">
        <v>5221</v>
      </c>
      <c r="G31" s="387" t="n">
        <v>15058.5374919457</v>
      </c>
      <c r="H31" s="388" t="n">
        <v>2749.30008333333</v>
      </c>
      <c r="K31" s="0"/>
      <c r="L31" s="0"/>
    </row>
    <row r="32" customFormat="false" ht="12.75" hidden="false" customHeight="false" outlineLevel="0" collapsed="false">
      <c r="A32" s="283" t="n">
        <v>4.21</v>
      </c>
      <c r="C32" s="328" t="n">
        <v>248463.544585109</v>
      </c>
      <c r="D32" s="389"/>
      <c r="E32" s="386" t="s">
        <v>491</v>
      </c>
      <c r="F32" s="386" t="n">
        <v>4390</v>
      </c>
      <c r="G32" s="387" t="n">
        <v>43391.8383965988</v>
      </c>
      <c r="H32" s="388" t="n">
        <v>7266.26033333333</v>
      </c>
      <c r="K32" s="0"/>
      <c r="L32" s="0"/>
    </row>
    <row r="33" customFormat="false" ht="12.75" hidden="false" customHeight="false" outlineLevel="0" collapsed="false">
      <c r="A33" s="283" t="n">
        <v>4.22</v>
      </c>
      <c r="C33" s="328" t="n">
        <v>174844.696090553</v>
      </c>
      <c r="D33" s="389"/>
      <c r="E33" s="386" t="s">
        <v>501</v>
      </c>
      <c r="F33" s="386" t="n">
        <v>4190</v>
      </c>
      <c r="G33" s="387" t="n">
        <v>43391.8383965988</v>
      </c>
      <c r="H33" s="388" t="n">
        <v>7266.26033333333</v>
      </c>
      <c r="K33" s="0"/>
      <c r="L33" s="0"/>
    </row>
    <row r="34" customFormat="false" ht="12.75" hidden="false" customHeight="false" outlineLevel="0" collapsed="false">
      <c r="A34" s="283" t="n">
        <v>4.23</v>
      </c>
      <c r="C34" s="328" t="n">
        <v>257665.851301203</v>
      </c>
      <c r="D34" s="389"/>
      <c r="E34" s="386" t="s">
        <v>509</v>
      </c>
      <c r="F34" s="386" t="n">
        <v>5220</v>
      </c>
      <c r="G34" s="387" t="n">
        <v>24497.7676970083</v>
      </c>
      <c r="H34" s="388" t="n">
        <v>3977.61144444444</v>
      </c>
      <c r="K34" s="0"/>
      <c r="L34" s="0"/>
    </row>
    <row r="35" customFormat="false" ht="12.75" hidden="false" customHeight="false" outlineLevel="0" collapsed="false">
      <c r="A35" s="283" t="n">
        <v>4.24</v>
      </c>
      <c r="C35" s="328" t="n">
        <v>19561.9948323346</v>
      </c>
      <c r="D35" s="389"/>
      <c r="E35" s="386" t="s">
        <v>517</v>
      </c>
      <c r="F35" s="386" t="n">
        <v>4170</v>
      </c>
      <c r="G35" s="387" t="n">
        <v>37743.5727951486</v>
      </c>
      <c r="H35" s="388" t="n">
        <v>6325.26594444444</v>
      </c>
      <c r="K35" s="0"/>
      <c r="L35" s="0"/>
    </row>
    <row r="36" customFormat="false" ht="12.75" hidden="false" customHeight="false" outlineLevel="0" collapsed="false">
      <c r="A36" s="283" t="n">
        <v>4.25</v>
      </c>
      <c r="C36" s="328" t="n">
        <v>24497.7495627419</v>
      </c>
      <c r="D36" s="389"/>
      <c r="E36" s="386" t="s">
        <v>525</v>
      </c>
      <c r="F36" s="386" t="n">
        <v>4390</v>
      </c>
      <c r="G36" s="387" t="n">
        <v>24497.7676970083</v>
      </c>
      <c r="H36" s="388" t="n">
        <v>3977.61144444444</v>
      </c>
      <c r="K36" s="0"/>
      <c r="L36" s="0"/>
    </row>
    <row r="37" customFormat="false" ht="12.75" hidden="false" customHeight="false" outlineLevel="0" collapsed="false">
      <c r="A37" s="283" t="n">
        <v>4.26</v>
      </c>
      <c r="C37" s="328" t="n">
        <v>15058.1837072393</v>
      </c>
      <c r="D37" s="389"/>
      <c r="E37" s="386" t="s">
        <v>534</v>
      </c>
      <c r="F37" s="386" t="n">
        <v>5411</v>
      </c>
      <c r="G37" s="387" t="n">
        <v>40400.1234656259</v>
      </c>
      <c r="H37" s="388" t="n">
        <v>6450.9665</v>
      </c>
      <c r="K37" s="0"/>
      <c r="L37" s="0"/>
    </row>
    <row r="38" customFormat="false" ht="12.75" hidden="false" customHeight="false" outlineLevel="0" collapsed="false">
      <c r="A38" s="283" t="n">
        <v>4.27</v>
      </c>
      <c r="C38" s="328" t="n">
        <v>13245.8</v>
      </c>
      <c r="D38" s="389"/>
      <c r="E38" s="386" t="s">
        <v>660</v>
      </c>
      <c r="F38" s="386" t="n">
        <v>4190</v>
      </c>
      <c r="G38" s="387" t="n">
        <v>24497.7495627419</v>
      </c>
      <c r="H38" s="388" t="n">
        <v>3842.06</v>
      </c>
      <c r="K38" s="0"/>
      <c r="L38" s="0"/>
    </row>
    <row r="39" customFormat="false" ht="12.75" hidden="false" customHeight="false" outlineLevel="0" collapsed="false">
      <c r="A39" s="340" t="s">
        <v>1278</v>
      </c>
      <c r="C39" s="328" t="n">
        <v>26490.5224530882</v>
      </c>
      <c r="D39" s="389"/>
      <c r="E39" s="386" t="s">
        <v>977</v>
      </c>
      <c r="F39" s="386" t="n">
        <v>3480</v>
      </c>
      <c r="G39" s="387" t="n">
        <v>9202.3524258186</v>
      </c>
      <c r="H39" s="388" t="n">
        <v>1895.91424561404</v>
      </c>
      <c r="K39" s="0"/>
      <c r="L39" s="0"/>
    </row>
    <row r="40" customFormat="false" ht="12.75" hidden="false" customHeight="false" outlineLevel="0" collapsed="false">
      <c r="A40" s="28" t="n">
        <v>5.1</v>
      </c>
      <c r="C40" s="328" t="n">
        <v>33873.0699991409</v>
      </c>
      <c r="D40" s="399"/>
      <c r="E40" s="386" t="s">
        <v>1013</v>
      </c>
      <c r="F40" s="386" t="n">
        <v>5110</v>
      </c>
      <c r="G40" s="387" t="n">
        <v>26875.7628318814</v>
      </c>
      <c r="H40" s="388" t="n">
        <v>4115.4185</v>
      </c>
      <c r="K40" s="0"/>
      <c r="L40" s="0"/>
    </row>
    <row r="41" customFormat="false" ht="12.75" hidden="false" customHeight="false" outlineLevel="0" collapsed="false">
      <c r="A41" s="28" t="n">
        <v>5.2</v>
      </c>
      <c r="C41" s="328" t="n">
        <v>31907.36</v>
      </c>
      <c r="D41" s="400" t="n">
        <v>4000</v>
      </c>
      <c r="E41" s="386" t="s">
        <v>101</v>
      </c>
      <c r="F41" s="386" t="n">
        <v>3699</v>
      </c>
      <c r="G41" s="387" t="n">
        <v>24497.6666666667</v>
      </c>
      <c r="H41" s="388" t="n">
        <v>4128.99316666667</v>
      </c>
      <c r="K41" s="0"/>
      <c r="L41" s="0"/>
    </row>
    <row r="42" customFormat="false" ht="12.75" hidden="false" customHeight="false" outlineLevel="0" collapsed="false">
      <c r="A42" s="225" t="n">
        <v>5.3</v>
      </c>
      <c r="C42" s="328" t="n">
        <v>11291.0831758656</v>
      </c>
      <c r="D42" s="400" t="n">
        <v>7010</v>
      </c>
      <c r="E42" s="386" t="s">
        <v>327</v>
      </c>
      <c r="F42" s="386" t="n">
        <v>4131</v>
      </c>
      <c r="G42" s="387" t="n">
        <v>27607.0554965574</v>
      </c>
      <c r="H42" s="388" t="n">
        <v>5704.72871428571</v>
      </c>
      <c r="K42" s="0"/>
      <c r="L42" s="0"/>
    </row>
    <row r="43" customFormat="false" ht="12.75" hidden="false" customHeight="false" outlineLevel="0" collapsed="false">
      <c r="A43" s="28" t="n">
        <v>5.4</v>
      </c>
      <c r="C43" s="328" t="n">
        <v>12521.1223913497</v>
      </c>
      <c r="D43" s="400" t="n">
        <v>7011</v>
      </c>
      <c r="E43" s="386" t="s">
        <v>327</v>
      </c>
      <c r="F43" s="386" t="n">
        <v>4131</v>
      </c>
      <c r="G43" s="387" t="n">
        <v>36809.4073287433</v>
      </c>
      <c r="H43" s="388" t="n">
        <v>7606.30495238095</v>
      </c>
      <c r="K43" s="0"/>
      <c r="L43" s="0"/>
    </row>
    <row r="44" customFormat="false" ht="12.75" hidden="false" customHeight="false" outlineLevel="0" collapsed="false">
      <c r="A44" s="28" t="n">
        <v>5.5</v>
      </c>
      <c r="C44" s="328" t="n">
        <v>67911.9071560612</v>
      </c>
      <c r="D44" s="400" t="n">
        <v>7020</v>
      </c>
      <c r="E44" s="386" t="s">
        <v>181</v>
      </c>
      <c r="F44" s="386" t="n">
        <v>4133</v>
      </c>
      <c r="G44" s="387" t="n">
        <v>18404.7036643716</v>
      </c>
      <c r="H44" s="388" t="n">
        <v>3803.15247619048</v>
      </c>
      <c r="K44" s="0"/>
      <c r="L44" s="0"/>
    </row>
    <row r="45" customFormat="false" ht="12.75" hidden="false" customHeight="false" outlineLevel="0" collapsed="false">
      <c r="A45" s="28" t="n">
        <v>5.6</v>
      </c>
      <c r="C45" s="328" t="n">
        <v>181164.139644808</v>
      </c>
      <c r="D45" s="400" t="n">
        <v>7023</v>
      </c>
      <c r="E45" s="386" t="s">
        <v>181</v>
      </c>
      <c r="F45" s="386" t="n">
        <v>4133</v>
      </c>
      <c r="G45" s="387" t="n">
        <v>38705.6598248947</v>
      </c>
      <c r="H45" s="388" t="n">
        <v>7783.36822180451</v>
      </c>
      <c r="K45" s="0"/>
      <c r="L45" s="0"/>
    </row>
    <row r="46" customFormat="false" ht="12.75" hidden="false" customHeight="false" outlineLevel="0" collapsed="false">
      <c r="A46" s="28" t="n">
        <v>5.7</v>
      </c>
      <c r="C46" s="328" t="n">
        <v>247041.92</v>
      </c>
      <c r="D46" s="400" t="n">
        <v>7030</v>
      </c>
      <c r="E46" s="386" t="s">
        <v>181</v>
      </c>
      <c r="F46" s="386" t="n">
        <v>4133</v>
      </c>
      <c r="G46" s="387" t="n">
        <v>18404.7348642763</v>
      </c>
      <c r="H46" s="388" t="n">
        <v>3875.38471809524</v>
      </c>
      <c r="K46" s="0"/>
      <c r="L46" s="0"/>
    </row>
    <row r="47" customFormat="false" ht="12.75" hidden="false" customHeight="false" outlineLevel="0" collapsed="false">
      <c r="A47" s="28" t="n">
        <v>5.8</v>
      </c>
      <c r="C47" s="328" t="n">
        <v>361304.42</v>
      </c>
      <c r="D47" s="400" t="n">
        <v>7031</v>
      </c>
      <c r="E47" s="386" t="s">
        <v>181</v>
      </c>
      <c r="F47" s="386" t="n">
        <v>4133</v>
      </c>
      <c r="G47" s="387" t="n">
        <v>46011.8232317048</v>
      </c>
      <c r="H47" s="388" t="n">
        <v>9685.23058723214</v>
      </c>
      <c r="K47" s="0"/>
      <c r="L47" s="0"/>
    </row>
    <row r="48" customFormat="false" ht="12.75" hidden="false" customHeight="false" outlineLevel="0" collapsed="false">
      <c r="A48" s="186" t="s">
        <v>1938</v>
      </c>
      <c r="C48" s="328" t="n">
        <v>156455.279204684</v>
      </c>
      <c r="D48" s="385" t="n">
        <v>7032</v>
      </c>
      <c r="E48" s="390" t="s">
        <v>198</v>
      </c>
      <c r="F48" s="390" t="n">
        <v>4134</v>
      </c>
      <c r="G48" s="391" t="n">
        <v>27607.0889610613</v>
      </c>
      <c r="H48" s="392" t="n">
        <v>5804.1838766557</v>
      </c>
      <c r="K48" s="0"/>
      <c r="L48" s="0"/>
    </row>
    <row r="49" customFormat="false" ht="12.75" hidden="false" customHeight="false" outlineLevel="0" collapsed="false">
      <c r="A49" s="28" t="n">
        <v>5.11</v>
      </c>
      <c r="C49" s="328" t="n">
        <v>139989.467816439</v>
      </c>
      <c r="D49" s="399"/>
      <c r="E49" s="393"/>
      <c r="F49" s="393" t="n">
        <v>4144</v>
      </c>
      <c r="G49" s="394" t="n">
        <v>9202.35350315218</v>
      </c>
      <c r="H49" s="395" t="n">
        <v>1934.46115104167</v>
      </c>
      <c r="K49" s="0"/>
      <c r="L49" s="0"/>
    </row>
    <row r="50" customFormat="false" ht="12.75" hidden="false" customHeight="false" outlineLevel="0" collapsed="false">
      <c r="A50" s="28" t="n">
        <v>5.12</v>
      </c>
      <c r="C50" s="328" t="n">
        <v>22582.16</v>
      </c>
      <c r="D50" s="385" t="n">
        <v>7040</v>
      </c>
      <c r="E50" s="390" t="s">
        <v>198</v>
      </c>
      <c r="F50" s="390" t="n">
        <v>4134</v>
      </c>
      <c r="G50" s="391" t="n">
        <v>27607.059432123</v>
      </c>
      <c r="H50" s="392" t="n">
        <v>5764.83654769737</v>
      </c>
      <c r="K50" s="0"/>
      <c r="L50" s="0"/>
    </row>
    <row r="51" customFormat="false" ht="12.75" hidden="false" customHeight="false" outlineLevel="0" collapsed="false">
      <c r="A51" s="28" t="n">
        <v>5.13</v>
      </c>
      <c r="C51" s="328" t="n">
        <v>79036.643916109</v>
      </c>
      <c r="D51" s="399"/>
      <c r="E51" s="393"/>
      <c r="F51" s="393" t="n">
        <v>4144</v>
      </c>
      <c r="G51" s="394" t="n">
        <v>9202.38303209051</v>
      </c>
      <c r="H51" s="395" t="n">
        <v>1973.80848</v>
      </c>
      <c r="K51" s="0"/>
      <c r="L51" s="0"/>
    </row>
    <row r="52" customFormat="false" ht="12.75" hidden="false" customHeight="false" outlineLevel="0" collapsed="false">
      <c r="A52" s="28" t="n">
        <v>5.15</v>
      </c>
      <c r="C52" s="328" t="n">
        <v>59122.9632925702</v>
      </c>
      <c r="D52" s="400" t="n">
        <v>7042</v>
      </c>
      <c r="E52" s="386" t="s">
        <v>198</v>
      </c>
      <c r="F52" s="386" t="n">
        <v>4134</v>
      </c>
      <c r="G52" s="387" t="n">
        <v>73618.9166120325</v>
      </c>
      <c r="H52" s="388" t="n">
        <v>15593.7311952083</v>
      </c>
      <c r="K52" s="0"/>
      <c r="L52" s="0"/>
    </row>
    <row r="53" customFormat="false" ht="12.75" hidden="false" customHeight="false" outlineLevel="0" collapsed="false">
      <c r="A53" s="28" t="n">
        <v>5.16</v>
      </c>
      <c r="C53" s="328" t="n">
        <v>11291.0617468566</v>
      </c>
      <c r="D53" s="400" t="n">
        <v>7050</v>
      </c>
      <c r="E53" s="386" t="s">
        <v>327</v>
      </c>
      <c r="F53" s="386" t="n">
        <v>4131</v>
      </c>
      <c r="G53" s="387" t="n">
        <v>27607.0883674285</v>
      </c>
      <c r="H53" s="388" t="n">
        <v>5809.84586913691</v>
      </c>
      <c r="K53" s="0"/>
      <c r="L53" s="0"/>
    </row>
    <row r="54" customFormat="false" ht="12.75" hidden="false" customHeight="false" outlineLevel="0" collapsed="false">
      <c r="A54" s="28" t="n">
        <v>5.17</v>
      </c>
      <c r="C54" s="328" t="n">
        <v>45271.4</v>
      </c>
      <c r="D54" s="400" t="n">
        <v>7060</v>
      </c>
      <c r="E54" s="386" t="s">
        <v>143</v>
      </c>
      <c r="F54" s="386" t="n">
        <v>4136</v>
      </c>
      <c r="G54" s="387" t="n">
        <v>36809.4709158182</v>
      </c>
      <c r="H54" s="388" t="n">
        <v>7739.44545122807</v>
      </c>
      <c r="K54" s="0"/>
      <c r="L54" s="0"/>
    </row>
    <row r="55" customFormat="false" ht="12.75" hidden="false" customHeight="false" outlineLevel="0" collapsed="false">
      <c r="A55" s="28" t="n">
        <v>5.18</v>
      </c>
      <c r="C55" s="328" t="n">
        <v>327440.871752401</v>
      </c>
      <c r="D55" s="400" t="n">
        <v>7063</v>
      </c>
      <c r="E55" s="386" t="s">
        <v>143</v>
      </c>
      <c r="F55" s="386" t="n">
        <v>4136</v>
      </c>
      <c r="G55" s="387" t="n">
        <v>9202.35350315218</v>
      </c>
      <c r="H55" s="388" t="n">
        <v>1934.46115104167</v>
      </c>
      <c r="K55" s="0"/>
      <c r="L55" s="0"/>
    </row>
    <row r="56" customFormat="false" ht="12.75" hidden="false" customHeight="false" outlineLevel="0" collapsed="false">
      <c r="A56" s="28" t="n">
        <v>5.19</v>
      </c>
      <c r="C56" s="328" t="n">
        <v>12521.1223913497</v>
      </c>
      <c r="D56" s="385" t="n">
        <v>7080</v>
      </c>
      <c r="E56" s="386" t="s">
        <v>181</v>
      </c>
      <c r="F56" s="386" t="n">
        <v>4138</v>
      </c>
      <c r="G56" s="387" t="n">
        <v>9202.3524258186</v>
      </c>
      <c r="H56" s="388" t="n">
        <v>1895.91424561404</v>
      </c>
      <c r="K56" s="0"/>
      <c r="L56" s="0"/>
    </row>
    <row r="57" customFormat="false" ht="12.75" hidden="false" customHeight="false" outlineLevel="0" collapsed="false">
      <c r="A57" s="146" t="s">
        <v>2508</v>
      </c>
      <c r="C57" s="328" t="n">
        <v>17030.0940080687</v>
      </c>
      <c r="D57" s="389"/>
      <c r="E57" s="390" t="s">
        <v>91</v>
      </c>
      <c r="F57" s="390" t="n">
        <v>4138</v>
      </c>
      <c r="G57" s="391" t="n">
        <v>18404.7059289708</v>
      </c>
      <c r="H57" s="392" t="n">
        <v>3830.3753966557</v>
      </c>
      <c r="K57" s="0"/>
      <c r="L57" s="0"/>
    </row>
    <row r="58" customFormat="false" ht="12.75" hidden="false" customHeight="false" outlineLevel="0" collapsed="false">
      <c r="A58" s="28" t="n">
        <v>5.21</v>
      </c>
      <c r="C58" s="328" t="n">
        <v>22581.68</v>
      </c>
      <c r="D58" s="399"/>
      <c r="E58" s="393"/>
      <c r="F58" s="393" t="n">
        <v>4148</v>
      </c>
      <c r="G58" s="394" t="n">
        <v>9202.35350315218</v>
      </c>
      <c r="H58" s="395" t="n">
        <v>1934.46115104167</v>
      </c>
      <c r="K58" s="0"/>
      <c r="L58" s="0"/>
    </row>
    <row r="59" customFormat="false" ht="12.75" hidden="false" customHeight="false" outlineLevel="0" collapsed="false">
      <c r="A59" s="28" t="n">
        <v>5.24</v>
      </c>
      <c r="C59" s="328" t="n">
        <v>222339.771209927</v>
      </c>
      <c r="D59" s="400" t="n">
        <v>7081</v>
      </c>
      <c r="E59" s="386" t="s">
        <v>91</v>
      </c>
      <c r="F59" s="386" t="n">
        <v>4138</v>
      </c>
      <c r="G59" s="387" t="n">
        <v>9202.38303209051</v>
      </c>
      <c r="H59" s="388" t="n">
        <v>1973.80848</v>
      </c>
      <c r="K59" s="0"/>
      <c r="L59" s="0"/>
    </row>
    <row r="60" customFormat="false" ht="12.75" hidden="false" customHeight="false" outlineLevel="0" collapsed="false">
      <c r="A60" s="3" t="n">
        <v>5.26</v>
      </c>
      <c r="C60" s="328" t="n">
        <v>24246.4049680019</v>
      </c>
      <c r="D60" s="400" t="n">
        <v>7083</v>
      </c>
      <c r="E60" s="386" t="s">
        <v>91</v>
      </c>
      <c r="F60" s="386" t="n">
        <v>4138</v>
      </c>
      <c r="G60" s="387" t="n">
        <v>46011.8561025759</v>
      </c>
      <c r="H60" s="388" t="n">
        <v>9790.34774208334</v>
      </c>
      <c r="K60" s="0"/>
      <c r="L60" s="0"/>
    </row>
    <row r="61" customFormat="false" ht="12.75" hidden="false" customHeight="false" outlineLevel="0" collapsed="false">
      <c r="A61" s="28" t="n">
        <v>5.27</v>
      </c>
      <c r="C61" s="328" t="n">
        <v>24246.4049680019</v>
      </c>
      <c r="D61" s="385" t="n">
        <v>7900</v>
      </c>
      <c r="E61" s="386" t="s">
        <v>593</v>
      </c>
      <c r="F61" s="386" t="n">
        <v>4143</v>
      </c>
      <c r="G61" s="387" t="n">
        <v>11098.5893795843</v>
      </c>
      <c r="H61" s="388" t="n">
        <v>2129.95190909091</v>
      </c>
      <c r="K61" s="0"/>
      <c r="L61" s="0"/>
    </row>
    <row r="62" customFormat="false" ht="12.75" hidden="false" customHeight="false" outlineLevel="0" collapsed="false">
      <c r="A62" s="146" t="s">
        <v>2728</v>
      </c>
      <c r="C62" s="328" t="n">
        <v>12520.3405688292</v>
      </c>
      <c r="D62" s="389"/>
      <c r="E62" s="386" t="s">
        <v>327</v>
      </c>
      <c r="F62" s="386" t="n">
        <v>4141</v>
      </c>
      <c r="G62" s="387" t="n">
        <v>33296.1862843244</v>
      </c>
      <c r="H62" s="388" t="n">
        <v>6461.22570707071</v>
      </c>
      <c r="K62" s="0"/>
      <c r="L62" s="0"/>
    </row>
    <row r="63" customFormat="false" ht="12.75" hidden="false" customHeight="false" outlineLevel="0" collapsed="false">
      <c r="A63" s="28" t="n">
        <v>5.32</v>
      </c>
      <c r="C63" s="328" t="n">
        <v>32938.9834431803</v>
      </c>
      <c r="D63" s="389"/>
      <c r="E63" s="386" t="s">
        <v>198</v>
      </c>
      <c r="F63" s="386" t="n">
        <v>4134</v>
      </c>
      <c r="G63" s="387" t="n">
        <v>11098.5893795843</v>
      </c>
      <c r="H63" s="388" t="n">
        <v>2129.95190909091</v>
      </c>
      <c r="K63" s="0"/>
      <c r="L63" s="0"/>
    </row>
    <row r="64" customFormat="false" ht="12.75" hidden="false" customHeight="false" outlineLevel="0" collapsed="false">
      <c r="A64" s="70" t="n">
        <v>5.33</v>
      </c>
      <c r="C64" s="328" t="n">
        <v>41852.4158778973</v>
      </c>
      <c r="D64" s="389"/>
      <c r="E64" s="390" t="s">
        <v>181</v>
      </c>
      <c r="F64" s="390" t="n">
        <v>4143</v>
      </c>
      <c r="G64" s="391" t="n">
        <v>66591.9544230774</v>
      </c>
      <c r="H64" s="392" t="n">
        <v>12851.0814343434</v>
      </c>
      <c r="K64" s="0"/>
      <c r="L64" s="0"/>
    </row>
    <row r="65" customFormat="false" ht="12.75" hidden="false" customHeight="false" outlineLevel="0" collapsed="false">
      <c r="A65" s="28" t="n">
        <v>5.34</v>
      </c>
      <c r="C65" s="328" t="n">
        <v>51763.2951402664</v>
      </c>
      <c r="D65" s="399"/>
      <c r="E65" s="393"/>
      <c r="F65" s="393" t="n">
        <v>4133</v>
      </c>
      <c r="G65" s="394" t="n">
        <v>22197.59690474</v>
      </c>
      <c r="H65" s="395" t="n">
        <v>4331.2737979798</v>
      </c>
      <c r="K65" s="0"/>
      <c r="L65" s="0"/>
    </row>
    <row r="66" customFormat="false" ht="12.75" hidden="false" customHeight="false" outlineLevel="0" collapsed="false">
      <c r="A66" s="100"/>
      <c r="C66" s="328"/>
      <c r="D66" s="400" t="n">
        <v>7065</v>
      </c>
      <c r="E66" s="386" t="s">
        <v>143</v>
      </c>
      <c r="F66" s="386" t="n">
        <v>4136</v>
      </c>
      <c r="G66" s="387" t="n">
        <v>64416.50297367</v>
      </c>
      <c r="H66" s="388" t="n">
        <v>13542.0284808224</v>
      </c>
      <c r="K66" s="0"/>
      <c r="L66" s="0"/>
    </row>
    <row r="67" customFormat="false" ht="12.75" hidden="false" customHeight="false" outlineLevel="0" collapsed="false">
      <c r="A67" s="357" t="s">
        <v>4188</v>
      </c>
      <c r="C67" s="328" t="n">
        <f aca="false">SUM(C12:C66)</f>
        <v>4184108.85167634</v>
      </c>
      <c r="D67" s="385" t="n">
        <v>6000</v>
      </c>
      <c r="E67" s="386" t="s">
        <v>111</v>
      </c>
      <c r="F67" s="386" t="n">
        <v>3699</v>
      </c>
      <c r="G67" s="387" t="n">
        <v>24497.6666666667</v>
      </c>
      <c r="H67" s="388" t="n">
        <v>4128.99316666667</v>
      </c>
      <c r="K67" s="0"/>
      <c r="L67" s="0"/>
    </row>
    <row r="68" customFormat="false" ht="12.75" hidden="false" customHeight="false" outlineLevel="0" collapsed="false">
      <c r="A68" s="57"/>
      <c r="C68" s="328" t="n">
        <f aca="false">C67-GETPIVOTDATA("Сумма с НДС",$D$5)</f>
        <v>2289995.62322478</v>
      </c>
      <c r="D68" s="399"/>
      <c r="E68" s="386" t="s">
        <v>1277</v>
      </c>
      <c r="F68" s="386" t="n">
        <v>3511</v>
      </c>
      <c r="G68" s="387" t="n">
        <v>13245.2612265441</v>
      </c>
      <c r="H68" s="388" t="n">
        <v>2248.13166666667</v>
      </c>
      <c r="K68" s="0"/>
      <c r="L68" s="0"/>
    </row>
    <row r="69" customFormat="false" ht="12.75" hidden="false" customHeight="false" outlineLevel="0" collapsed="false">
      <c r="A69" s="269"/>
      <c r="C69" s="328"/>
      <c r="D69" s="400" t="n">
        <v>7014</v>
      </c>
      <c r="E69" s="386" t="s">
        <v>327</v>
      </c>
      <c r="F69" s="386" t="n">
        <v>4131</v>
      </c>
      <c r="G69" s="387" t="n">
        <v>46011.7603481946</v>
      </c>
      <c r="H69" s="388" t="n">
        <v>9496.55720551379</v>
      </c>
      <c r="K69" s="0"/>
      <c r="L69" s="0"/>
    </row>
    <row r="70" customFormat="false" ht="12.75" hidden="false" customHeight="false" outlineLevel="0" collapsed="false">
      <c r="A70" s="57"/>
      <c r="C70" s="328"/>
      <c r="D70" s="385" t="n">
        <v>9000</v>
      </c>
      <c r="E70" s="386" t="s">
        <v>420</v>
      </c>
      <c r="F70" s="386" t="n">
        <v>4130</v>
      </c>
      <c r="G70" s="387" t="n">
        <v>13245.1491829838</v>
      </c>
      <c r="H70" s="388" t="n">
        <v>2419.61188888889</v>
      </c>
      <c r="K70" s="0"/>
      <c r="L70" s="0"/>
    </row>
    <row r="71" customFormat="false" ht="12.75" hidden="false" customHeight="false" outlineLevel="0" collapsed="false">
      <c r="A71" s="57"/>
      <c r="C71" s="328"/>
      <c r="D71" s="389"/>
      <c r="E71" s="390" t="s">
        <v>170</v>
      </c>
      <c r="F71" s="390" t="n">
        <v>4140</v>
      </c>
      <c r="G71" s="391" t="n">
        <v>9202.35350315218</v>
      </c>
      <c r="H71" s="392" t="n">
        <v>1934.46115104167</v>
      </c>
      <c r="K71" s="0"/>
      <c r="L71" s="0"/>
    </row>
    <row r="72" customFormat="false" ht="12.75" hidden="false" customHeight="false" outlineLevel="0" collapsed="false">
      <c r="A72" s="100"/>
      <c r="C72" s="328"/>
      <c r="D72" s="389"/>
      <c r="E72" s="393"/>
      <c r="F72" s="393" t="n">
        <v>4130</v>
      </c>
      <c r="G72" s="394" t="n">
        <v>9202.38303209051</v>
      </c>
      <c r="H72" s="395" t="n">
        <v>1973.80848</v>
      </c>
      <c r="K72" s="0"/>
      <c r="L72" s="0"/>
    </row>
    <row r="73" customFormat="false" ht="12.75" hidden="false" customHeight="false" outlineLevel="0" collapsed="false">
      <c r="A73" s="100"/>
      <c r="C73" s="328"/>
      <c r="D73" s="389"/>
      <c r="E73" s="390" t="s">
        <v>188</v>
      </c>
      <c r="F73" s="390" t="n">
        <v>4170</v>
      </c>
      <c r="G73" s="391" t="n">
        <v>18404.766064181</v>
      </c>
      <c r="H73" s="392" t="n">
        <v>3947.61696</v>
      </c>
      <c r="K73" s="0"/>
      <c r="L73" s="0"/>
    </row>
    <row r="74" customFormat="false" ht="12.75" hidden="false" customHeight="false" outlineLevel="0" collapsed="false">
      <c r="A74" s="401"/>
      <c r="C74" s="328"/>
      <c r="D74" s="389"/>
      <c r="E74" s="396"/>
      <c r="F74" s="396" t="n">
        <v>4140</v>
      </c>
      <c r="G74" s="397" t="n">
        <v>18404.7365352427</v>
      </c>
      <c r="H74" s="398" t="n">
        <v>3908.26963104167</v>
      </c>
      <c r="K74" s="0"/>
      <c r="L74" s="0"/>
    </row>
    <row r="75" customFormat="false" ht="12.75" hidden="false" customHeight="false" outlineLevel="0" collapsed="false">
      <c r="A75" s="57"/>
      <c r="C75" s="328"/>
      <c r="D75" s="389"/>
      <c r="E75" s="393"/>
      <c r="F75" s="393" t="n">
        <v>4130</v>
      </c>
      <c r="G75" s="394" t="n">
        <v>9202.38303209051</v>
      </c>
      <c r="H75" s="395" t="n">
        <v>1973.80848</v>
      </c>
      <c r="K75" s="0"/>
      <c r="L75" s="0"/>
    </row>
    <row r="76" customFormat="false" ht="12.75" hidden="false" customHeight="false" outlineLevel="0" collapsed="false">
      <c r="A76" s="100"/>
      <c r="C76" s="328"/>
      <c r="D76" s="389"/>
      <c r="E76" s="386" t="s">
        <v>660</v>
      </c>
      <c r="F76" s="386" t="n">
        <v>4130</v>
      </c>
      <c r="G76" s="387" t="n">
        <v>13244.4914332253</v>
      </c>
      <c r="H76" s="388" t="n">
        <v>2384.538375</v>
      </c>
      <c r="K76" s="0"/>
      <c r="L76" s="0"/>
    </row>
    <row r="77" customFormat="false" ht="12.75" hidden="false" customHeight="false" outlineLevel="0" collapsed="false">
      <c r="A77" s="100"/>
      <c r="C77" s="328"/>
      <c r="D77" s="389"/>
      <c r="E77" s="390" t="s">
        <v>832</v>
      </c>
      <c r="F77" s="390" t="n">
        <v>4140</v>
      </c>
      <c r="G77" s="391" t="n">
        <v>9202.35183218582</v>
      </c>
      <c r="H77" s="392" t="n">
        <v>1901.57623809524</v>
      </c>
      <c r="K77" s="0"/>
      <c r="L77" s="0"/>
    </row>
    <row r="78" customFormat="false" ht="12.75" hidden="false" customHeight="false" outlineLevel="0" collapsed="false">
      <c r="A78" s="401"/>
      <c r="C78" s="361"/>
      <c r="D78" s="389"/>
      <c r="E78" s="393"/>
      <c r="F78" s="393" t="n">
        <v>4130</v>
      </c>
      <c r="G78" s="394" t="n">
        <v>18404.705335338</v>
      </c>
      <c r="H78" s="395" t="n">
        <v>3836.0373891369</v>
      </c>
      <c r="K78" s="0"/>
      <c r="L78" s="0"/>
    </row>
    <row r="79" customFormat="false" ht="12.75" hidden="false" customHeight="false" outlineLevel="0" collapsed="false">
      <c r="A79" s="57"/>
      <c r="C79" s="328"/>
      <c r="D79" s="389"/>
      <c r="E79" s="386" t="s">
        <v>920</v>
      </c>
      <c r="F79" s="386" t="n">
        <v>4130</v>
      </c>
      <c r="G79" s="387" t="n">
        <v>9202.3524258186</v>
      </c>
      <c r="H79" s="388" t="n">
        <v>1895.91424561404</v>
      </c>
      <c r="K79" s="0"/>
      <c r="L79" s="0"/>
    </row>
    <row r="80" customFormat="false" ht="12.75" hidden="false" customHeight="false" outlineLevel="0" collapsed="false">
      <c r="A80" s="100"/>
      <c r="C80" s="328"/>
      <c r="D80" s="389"/>
      <c r="E80" s="386" t="s">
        <v>219</v>
      </c>
      <c r="F80" s="386" t="n">
        <v>4170</v>
      </c>
      <c r="G80" s="387" t="n">
        <v>9202.38303209051</v>
      </c>
      <c r="H80" s="388" t="n">
        <v>1973.80848</v>
      </c>
      <c r="K80" s="0"/>
      <c r="L80" s="0"/>
    </row>
    <row r="81" customFormat="false" ht="12.75" hidden="false" customHeight="false" outlineLevel="0" collapsed="false">
      <c r="A81" s="100"/>
      <c r="C81" s="328"/>
      <c r="D81" s="399"/>
      <c r="E81" s="386" t="s">
        <v>1286</v>
      </c>
      <c r="F81" s="386" t="n">
        <v>4170</v>
      </c>
      <c r="G81" s="387" t="n">
        <v>13245.2612265441</v>
      </c>
      <c r="H81" s="388" t="n">
        <v>2248.13166666667</v>
      </c>
      <c r="K81" s="0"/>
      <c r="L81" s="0"/>
    </row>
    <row r="82" customFormat="false" ht="12.75" hidden="false" customHeight="false" outlineLevel="0" collapsed="false">
      <c r="A82" s="401"/>
      <c r="C82" s="328"/>
      <c r="D82" s="402" t="s">
        <v>4206</v>
      </c>
      <c r="E82" s="403"/>
      <c r="F82" s="404"/>
      <c r="G82" s="405" t="n">
        <v>1894113.22845156</v>
      </c>
      <c r="H82" s="406" t="n">
        <v>364849.422204792</v>
      </c>
      <c r="K82" s="0"/>
      <c r="L82" s="0"/>
    </row>
    <row r="83" customFormat="false" ht="12.75" hidden="false" customHeight="false" outlineLevel="0" collapsed="false">
      <c r="A83" s="407"/>
      <c r="C83" s="328"/>
      <c r="H83" s="0"/>
      <c r="K83" s="0"/>
      <c r="L83" s="0"/>
    </row>
    <row r="84" customFormat="false" ht="12.75" hidden="false" customHeight="false" outlineLevel="0" collapsed="false">
      <c r="A84" s="407"/>
      <c r="C84" s="328"/>
      <c r="H84" s="0"/>
      <c r="K84" s="0"/>
      <c r="L84" s="0"/>
    </row>
    <row r="85" customFormat="false" ht="12.75" hidden="false" customHeight="false" outlineLevel="0" collapsed="false">
      <c r="A85" s="407"/>
      <c r="C85" s="328"/>
      <c r="H85" s="0"/>
      <c r="K85" s="0"/>
      <c r="L85" s="0"/>
    </row>
    <row r="86" customFormat="false" ht="12.75" hidden="false" customHeight="false" outlineLevel="0" collapsed="false">
      <c r="A86" s="407"/>
      <c r="C86" s="328"/>
      <c r="H86" s="0"/>
      <c r="K86" s="0"/>
      <c r="L86" s="0"/>
    </row>
    <row r="87" customFormat="false" ht="12.75" hidden="false" customHeight="false" outlineLevel="0" collapsed="false">
      <c r="A87" s="407"/>
      <c r="C87" s="328"/>
      <c r="H87" s="0"/>
      <c r="K87" s="0"/>
      <c r="L87" s="0"/>
    </row>
    <row r="88" customFormat="false" ht="12.75" hidden="false" customHeight="false" outlineLevel="0" collapsed="false">
      <c r="A88" s="407"/>
      <c r="C88" s="328"/>
      <c r="H88" s="0"/>
      <c r="K88" s="0"/>
      <c r="L88" s="0"/>
    </row>
    <row r="89" customFormat="false" ht="12.75" hidden="false" customHeight="false" outlineLevel="0" collapsed="false">
      <c r="A89" s="407"/>
      <c r="C89" s="328"/>
      <c r="H89" s="0"/>
      <c r="K89" s="0"/>
      <c r="L89" s="0"/>
    </row>
    <row r="90" customFormat="false" ht="12.75" hidden="false" customHeight="false" outlineLevel="0" collapsed="false">
      <c r="A90" s="407"/>
      <c r="C90" s="328"/>
      <c r="H90" s="0"/>
      <c r="K90" s="0"/>
      <c r="L90" s="0"/>
    </row>
    <row r="91" customFormat="false" ht="12.75" hidden="false" customHeight="false" outlineLevel="0" collapsed="false">
      <c r="A91" s="407"/>
      <c r="C91" s="328"/>
      <c r="H91" s="0"/>
      <c r="K91" s="0"/>
      <c r="L91" s="0"/>
    </row>
    <row r="92" customFormat="false" ht="12.75" hidden="false" customHeight="false" outlineLevel="0" collapsed="false">
      <c r="A92" s="407"/>
      <c r="C92" s="328"/>
      <c r="H92" s="0"/>
      <c r="K92" s="0"/>
      <c r="L92" s="0"/>
    </row>
    <row r="93" customFormat="false" ht="12.75" hidden="false" customHeight="false" outlineLevel="0" collapsed="false">
      <c r="A93" s="407"/>
      <c r="C93" s="328"/>
      <c r="H93" s="0"/>
      <c r="K93" s="0"/>
      <c r="L93" s="0"/>
    </row>
    <row r="94" customFormat="false" ht="12.75" hidden="false" customHeight="false" outlineLevel="0" collapsed="false">
      <c r="A94" s="407"/>
      <c r="C94" s="328"/>
      <c r="H94" s="0"/>
      <c r="K94" s="0"/>
      <c r="L94" s="0"/>
    </row>
    <row r="95" customFormat="false" ht="12.75" hidden="false" customHeight="false" outlineLevel="0" collapsed="false">
      <c r="A95" s="407"/>
      <c r="C95" s="328"/>
      <c r="H95" s="0"/>
      <c r="K95" s="0"/>
      <c r="L95" s="0"/>
    </row>
    <row r="96" customFormat="false" ht="12.75" hidden="false" customHeight="false" outlineLevel="0" collapsed="false">
      <c r="A96" s="407"/>
      <c r="C96" s="328"/>
      <c r="H96" s="0"/>
      <c r="K96" s="0"/>
      <c r="L96" s="0"/>
    </row>
    <row r="97" customFormat="false" ht="12.75" hidden="false" customHeight="false" outlineLevel="0" collapsed="false">
      <c r="A97" s="407"/>
      <c r="B97" s="408"/>
      <c r="C97" s="328"/>
      <c r="H97" s="0"/>
      <c r="K97" s="0"/>
      <c r="L97" s="0"/>
    </row>
    <row r="98" customFormat="false" ht="12.75" hidden="false" customHeight="false" outlineLevel="0" collapsed="false">
      <c r="A98" s="407"/>
      <c r="B98" s="408"/>
      <c r="C98" s="328"/>
      <c r="H98" s="0"/>
      <c r="K98" s="0"/>
      <c r="L98" s="0"/>
    </row>
    <row r="99" customFormat="false" ht="12.75" hidden="false" customHeight="false" outlineLevel="0" collapsed="false">
      <c r="A99" s="407"/>
      <c r="B99" s="408"/>
      <c r="C99" s="328"/>
      <c r="H99" s="0"/>
      <c r="K99" s="0"/>
      <c r="L99" s="0"/>
    </row>
    <row r="100" customFormat="false" ht="12.75" hidden="false" customHeight="false" outlineLevel="0" collapsed="false">
      <c r="A100" s="328"/>
      <c r="B100" s="408"/>
      <c r="C100" s="328"/>
      <c r="H100" s="0"/>
      <c r="K100" s="0"/>
      <c r="L100" s="0"/>
    </row>
    <row r="101" customFormat="false" ht="12.75" hidden="false" customHeight="false" outlineLevel="0" collapsed="false">
      <c r="A101" s="328"/>
      <c r="B101" s="408"/>
      <c r="C101" s="328"/>
      <c r="H101" s="0"/>
      <c r="K101" s="0"/>
      <c r="L101" s="0"/>
    </row>
    <row r="102" customFormat="false" ht="12.75" hidden="false" customHeight="false" outlineLevel="0" collapsed="false">
      <c r="A102" s="328"/>
      <c r="B102" s="408"/>
      <c r="C102" s="409"/>
      <c r="H102" s="0"/>
      <c r="K102" s="0"/>
      <c r="L102" s="0"/>
    </row>
    <row r="103" customFormat="false" ht="12.75" hidden="false" customHeight="false" outlineLevel="0" collapsed="false">
      <c r="A103" s="328"/>
      <c r="B103" s="408"/>
      <c r="C103" s="328"/>
      <c r="H103" s="0"/>
      <c r="K103" s="0"/>
      <c r="L103" s="0"/>
    </row>
    <row r="104" customFormat="false" ht="12.75" hidden="false" customHeight="false" outlineLevel="0" collapsed="false">
      <c r="A104" s="328"/>
      <c r="B104" s="408"/>
      <c r="C104" s="289"/>
      <c r="H104" s="0"/>
      <c r="K104" s="0"/>
      <c r="L104" s="0"/>
    </row>
    <row r="105" customFormat="false" ht="12.75" hidden="false" customHeight="false" outlineLevel="0" collapsed="false">
      <c r="A105" s="328"/>
      <c r="B105" s="408"/>
      <c r="C105" s="361"/>
      <c r="H105" s="0"/>
      <c r="K105" s="0"/>
      <c r="L105" s="0"/>
    </row>
    <row r="106" customFormat="false" ht="12.75" hidden="false" customHeight="false" outlineLevel="0" collapsed="false">
      <c r="A106" s="401"/>
      <c r="B106" s="408"/>
      <c r="C106" s="407"/>
      <c r="H106" s="0"/>
      <c r="K106" s="0"/>
      <c r="L106" s="0"/>
    </row>
    <row r="107" customFormat="false" ht="12.75" hidden="false" customHeight="false" outlineLevel="0" collapsed="false">
      <c r="A107" s="401"/>
      <c r="B107" s="408"/>
      <c r="C107" s="407"/>
      <c r="H107" s="0"/>
      <c r="K107" s="0"/>
      <c r="L107" s="0"/>
    </row>
    <row r="108" customFormat="false" ht="12.75" hidden="false" customHeight="false" outlineLevel="0" collapsed="false">
      <c r="B108" s="408"/>
      <c r="C108" s="407"/>
      <c r="H108" s="0"/>
      <c r="K108" s="0"/>
      <c r="L108" s="0"/>
    </row>
    <row r="109" customFormat="false" ht="12.75" hidden="false" customHeight="false" outlineLevel="0" collapsed="false">
      <c r="B109" s="408"/>
      <c r="C109" s="407"/>
      <c r="H109" s="0"/>
      <c r="K109" s="0"/>
      <c r="L109" s="0"/>
    </row>
    <row r="110" customFormat="false" ht="12.75" hidden="false" customHeight="false" outlineLevel="0" collapsed="false">
      <c r="B110" s="408"/>
      <c r="C110" s="407"/>
      <c r="H110" s="0"/>
      <c r="K110" s="0"/>
      <c r="L110" s="0"/>
    </row>
    <row r="111" customFormat="false" ht="12.75" hidden="false" customHeight="false" outlineLevel="0" collapsed="false">
      <c r="B111" s="408"/>
      <c r="C111" s="407"/>
      <c r="H111" s="0"/>
      <c r="K111" s="0"/>
      <c r="L111" s="0"/>
    </row>
    <row r="112" customFormat="false" ht="12.75" hidden="false" customHeight="false" outlineLevel="0" collapsed="false">
      <c r="B112" s="408"/>
      <c r="C112" s="407"/>
      <c r="H112" s="0"/>
      <c r="K112" s="0"/>
      <c r="L112" s="0"/>
    </row>
    <row r="113" customFormat="false" ht="12.75" hidden="false" customHeight="false" outlineLevel="0" collapsed="false">
      <c r="B113" s="408"/>
      <c r="C113" s="407"/>
      <c r="H113" s="0"/>
      <c r="K113" s="0"/>
      <c r="L113" s="0"/>
    </row>
    <row r="114" customFormat="false" ht="12.75" hidden="false" customHeight="false" outlineLevel="0" collapsed="false">
      <c r="B114" s="408"/>
      <c r="C114" s="407"/>
      <c r="H114" s="0"/>
      <c r="K114" s="0"/>
      <c r="L114" s="0"/>
    </row>
    <row r="115" customFormat="false" ht="12.75" hidden="false" customHeight="false" outlineLevel="0" collapsed="false">
      <c r="B115" s="408"/>
      <c r="C115" s="407"/>
      <c r="H115" s="0"/>
      <c r="K115" s="0"/>
      <c r="L115" s="0"/>
    </row>
    <row r="116" customFormat="false" ht="12.75" hidden="false" customHeight="false" outlineLevel="0" collapsed="false">
      <c r="B116" s="408"/>
      <c r="C116" s="407"/>
      <c r="H116" s="0"/>
      <c r="K116" s="0"/>
      <c r="L116" s="0"/>
    </row>
    <row r="117" customFormat="false" ht="12.75" hidden="false" customHeight="false" outlineLevel="0" collapsed="false">
      <c r="B117" s="408"/>
      <c r="C117" s="407"/>
      <c r="H117" s="0"/>
      <c r="K117" s="0"/>
      <c r="L117" s="0"/>
    </row>
    <row r="118" customFormat="false" ht="12.75" hidden="false" customHeight="false" outlineLevel="0" collapsed="false">
      <c r="B118" s="408"/>
      <c r="C118" s="407"/>
      <c r="H118" s="0"/>
      <c r="K118" s="0"/>
      <c r="L118" s="0"/>
    </row>
    <row r="119" customFormat="false" ht="12.75" hidden="false" customHeight="false" outlineLevel="0" collapsed="false">
      <c r="B119" s="408"/>
      <c r="C119" s="407"/>
      <c r="H119" s="0"/>
      <c r="K119" s="0"/>
      <c r="L119" s="0"/>
    </row>
    <row r="120" customFormat="false" ht="12.75" hidden="false" customHeight="false" outlineLevel="0" collapsed="false">
      <c r="B120" s="408"/>
      <c r="C120" s="407"/>
      <c r="H120" s="0"/>
      <c r="K120" s="0"/>
      <c r="L120" s="0"/>
    </row>
    <row r="121" customFormat="false" ht="12.75" hidden="false" customHeight="false" outlineLevel="0" collapsed="false">
      <c r="B121" s="408"/>
      <c r="C121" s="407"/>
      <c r="H121" s="0"/>
      <c r="K121" s="0"/>
      <c r="L121" s="0"/>
    </row>
    <row r="122" customFormat="false" ht="12.75" hidden="false" customHeight="false" outlineLevel="0" collapsed="false">
      <c r="B122" s="408"/>
      <c r="C122" s="407"/>
      <c r="H122" s="0"/>
      <c r="K122" s="0"/>
      <c r="L122" s="0"/>
    </row>
    <row r="123" customFormat="false" ht="12.75" hidden="false" customHeight="false" outlineLevel="0" collapsed="false">
      <c r="B123" s="408"/>
      <c r="C123" s="407"/>
      <c r="H123" s="0"/>
      <c r="K123" s="0"/>
      <c r="L123" s="0"/>
    </row>
    <row r="124" customFormat="false" ht="12.75" hidden="false" customHeight="false" outlineLevel="0" collapsed="false">
      <c r="B124" s="408"/>
      <c r="C124" s="407"/>
      <c r="H124" s="0"/>
      <c r="K124" s="0"/>
      <c r="L124" s="0"/>
    </row>
    <row r="125" customFormat="false" ht="12.75" hidden="false" customHeight="false" outlineLevel="0" collapsed="false">
      <c r="B125" s="408"/>
      <c r="C125" s="407"/>
      <c r="H125" s="0"/>
      <c r="K125" s="0"/>
      <c r="L125" s="0"/>
    </row>
    <row r="126" customFormat="false" ht="12.75" hidden="false" customHeight="false" outlineLevel="0" collapsed="false">
      <c r="B126" s="408"/>
      <c r="C126" s="407"/>
      <c r="H126" s="0"/>
      <c r="K126" s="0"/>
      <c r="L126" s="0"/>
    </row>
    <row r="127" customFormat="false" ht="12.75" hidden="false" customHeight="false" outlineLevel="0" collapsed="false">
      <c r="B127" s="408"/>
      <c r="C127" s="407"/>
      <c r="H127" s="0"/>
      <c r="K127" s="0"/>
      <c r="L127" s="0"/>
    </row>
    <row r="128" customFormat="false" ht="12.75" hidden="false" customHeight="false" outlineLevel="0" collapsed="false">
      <c r="B128" s="408"/>
      <c r="C128" s="407"/>
      <c r="H128" s="0"/>
      <c r="K128" s="0"/>
      <c r="L128" s="0"/>
    </row>
    <row r="129" customFormat="false" ht="12.75" hidden="false" customHeight="false" outlineLevel="0" collapsed="false">
      <c r="B129" s="408"/>
      <c r="C129" s="407"/>
      <c r="H129" s="0"/>
      <c r="K129" s="0"/>
      <c r="L129" s="0"/>
    </row>
    <row r="130" customFormat="false" ht="12.75" hidden="false" customHeight="false" outlineLevel="0" collapsed="false">
      <c r="B130" s="408"/>
      <c r="C130" s="407"/>
      <c r="H130" s="0"/>
      <c r="K130" s="0"/>
      <c r="L130" s="0"/>
    </row>
    <row r="131" customFormat="false" ht="12.75" hidden="false" customHeight="false" outlineLevel="0" collapsed="false">
      <c r="B131" s="408"/>
      <c r="C131" s="407"/>
      <c r="H131" s="0"/>
      <c r="K131" s="0"/>
      <c r="L131" s="0"/>
    </row>
    <row r="132" customFormat="false" ht="12.75" hidden="false" customHeight="false" outlineLevel="0" collapsed="false">
      <c r="B132" s="408"/>
      <c r="C132" s="407"/>
      <c r="H132" s="0"/>
      <c r="K132" s="0"/>
      <c r="L132" s="0"/>
    </row>
    <row r="133" customFormat="false" ht="12.75" hidden="false" customHeight="false" outlineLevel="0" collapsed="false">
      <c r="B133" s="408"/>
      <c r="C133" s="407"/>
      <c r="H133" s="0"/>
      <c r="K133" s="0"/>
      <c r="L133" s="0"/>
    </row>
    <row r="134" customFormat="false" ht="12.75" hidden="false" customHeight="false" outlineLevel="0" collapsed="false">
      <c r="B134" s="408"/>
      <c r="C134" s="407"/>
      <c r="H134" s="0"/>
      <c r="K134" s="0"/>
      <c r="L134" s="0"/>
    </row>
    <row r="135" customFormat="false" ht="12.75" hidden="false" customHeight="false" outlineLevel="0" collapsed="false">
      <c r="B135" s="408"/>
      <c r="C135" s="407"/>
      <c r="H135" s="0"/>
      <c r="K135" s="0"/>
      <c r="L135" s="0"/>
    </row>
    <row r="136" customFormat="false" ht="12.75" hidden="false" customHeight="false" outlineLevel="0" collapsed="false">
      <c r="B136" s="408"/>
      <c r="C136" s="407"/>
      <c r="H136" s="0"/>
      <c r="K136" s="0"/>
      <c r="L136" s="0"/>
    </row>
    <row r="137" customFormat="false" ht="12.75" hidden="false" customHeight="false" outlineLevel="0" collapsed="false">
      <c r="B137" s="91"/>
      <c r="C137" s="407"/>
      <c r="H137" s="0"/>
      <c r="K137" s="0"/>
      <c r="L137" s="0"/>
    </row>
    <row r="138" customFormat="false" ht="12.75" hidden="false" customHeight="false" outlineLevel="0" collapsed="false">
      <c r="B138" s="91"/>
      <c r="C138" s="407"/>
      <c r="H138" s="0"/>
      <c r="K138" s="0"/>
      <c r="L138" s="0"/>
    </row>
    <row r="139" customFormat="false" ht="12.75" hidden="false" customHeight="false" outlineLevel="0" collapsed="false">
      <c r="B139" s="91"/>
      <c r="C139" s="407"/>
      <c r="H139" s="0"/>
      <c r="K139" s="0"/>
      <c r="L139" s="0"/>
    </row>
    <row r="140" customFormat="false" ht="12.75" hidden="false" customHeight="false" outlineLevel="0" collapsed="false">
      <c r="B140" s="91"/>
      <c r="C140" s="407"/>
      <c r="H140" s="0"/>
      <c r="K140" s="0"/>
      <c r="L140" s="0"/>
    </row>
    <row r="141" customFormat="false" ht="12.75" hidden="false" customHeight="false" outlineLevel="0" collapsed="false">
      <c r="B141" s="91"/>
      <c r="C141" s="407"/>
      <c r="H141" s="0"/>
      <c r="K141" s="0"/>
      <c r="L141" s="0"/>
    </row>
    <row r="142" customFormat="false" ht="12.75" hidden="false" customHeight="false" outlineLevel="0" collapsed="false">
      <c r="B142" s="91"/>
      <c r="C142" s="407"/>
      <c r="H142" s="0"/>
      <c r="K142" s="0"/>
      <c r="L142" s="0"/>
    </row>
    <row r="143" customFormat="false" ht="12.75" hidden="false" customHeight="false" outlineLevel="0" collapsed="false">
      <c r="B143" s="91"/>
      <c r="C143" s="407"/>
      <c r="H143" s="0"/>
      <c r="K143" s="0"/>
      <c r="L143" s="0"/>
    </row>
    <row r="144" customFormat="false" ht="12.75" hidden="false" customHeight="false" outlineLevel="0" collapsed="false">
      <c r="B144" s="91"/>
      <c r="C144" s="407"/>
      <c r="H144" s="0"/>
      <c r="K144" s="0"/>
      <c r="L144" s="0"/>
    </row>
    <row r="145" customFormat="false" ht="12.75" hidden="false" customHeight="false" outlineLevel="0" collapsed="false">
      <c r="B145" s="91"/>
      <c r="C145" s="407"/>
      <c r="H145" s="0"/>
      <c r="K145" s="0"/>
      <c r="L145" s="0"/>
    </row>
    <row r="146" customFormat="false" ht="12.75" hidden="false" customHeight="false" outlineLevel="0" collapsed="false">
      <c r="C146" s="407"/>
      <c r="H146" s="0"/>
      <c r="K146" s="0"/>
      <c r="L146" s="0"/>
    </row>
    <row r="147" customFormat="false" ht="12.75" hidden="false" customHeight="false" outlineLevel="0" collapsed="false">
      <c r="C147" s="407"/>
      <c r="H147" s="0"/>
      <c r="K147" s="0"/>
      <c r="L147" s="0"/>
    </row>
    <row r="148" customFormat="false" ht="12.75" hidden="false" customHeight="false" outlineLevel="0" collapsed="false">
      <c r="C148" s="407"/>
      <c r="H148" s="0"/>
      <c r="K148" s="0"/>
      <c r="L148" s="0"/>
    </row>
    <row r="149" customFormat="false" ht="12.75" hidden="false" customHeight="false" outlineLevel="0" collapsed="false">
      <c r="C149" s="407"/>
      <c r="H149" s="0"/>
      <c r="K149" s="0"/>
      <c r="L149" s="0"/>
    </row>
    <row r="150" customFormat="false" ht="12.75" hidden="false" customHeight="false" outlineLevel="0" collapsed="false">
      <c r="C150" s="407"/>
      <c r="H150" s="0"/>
      <c r="K150" s="0"/>
      <c r="L150" s="0"/>
    </row>
    <row r="151" customFormat="false" ht="12.75" hidden="false" customHeight="false" outlineLevel="0" collapsed="false">
      <c r="C151" s="407"/>
      <c r="H151" s="0"/>
      <c r="K151" s="0"/>
      <c r="L151" s="0"/>
    </row>
    <row r="152" customFormat="false" ht="12.75" hidden="false" customHeight="false" outlineLevel="0" collapsed="false">
      <c r="C152" s="410"/>
      <c r="H152" s="0"/>
      <c r="K152" s="0"/>
      <c r="L152" s="0"/>
    </row>
    <row r="153" customFormat="false" ht="12.75" hidden="false" customHeight="false" outlineLevel="0" collapsed="false">
      <c r="C153" s="407"/>
      <c r="H153" s="0"/>
      <c r="K153" s="0"/>
      <c r="L153" s="0"/>
    </row>
    <row r="154" customFormat="false" ht="12.75" hidden="false" customHeight="false" outlineLevel="0" collapsed="false">
      <c r="C154" s="407"/>
      <c r="H154" s="0"/>
      <c r="K154" s="0"/>
      <c r="L154" s="0"/>
    </row>
    <row r="155" customFormat="false" ht="12.75" hidden="false" customHeight="false" outlineLevel="0" collapsed="false">
      <c r="C155" s="407"/>
      <c r="H155" s="0"/>
      <c r="K155" s="0"/>
      <c r="L155" s="0"/>
    </row>
    <row r="156" customFormat="false" ht="12.75" hidden="false" customHeight="false" outlineLevel="0" collapsed="false">
      <c r="C156" s="407"/>
      <c r="H156" s="0"/>
      <c r="K156" s="0"/>
      <c r="L156" s="0"/>
    </row>
    <row r="157" customFormat="false" ht="12.75" hidden="false" customHeight="false" outlineLevel="0" collapsed="false">
      <c r="C157" s="407"/>
      <c r="H157" s="0"/>
      <c r="K157" s="0"/>
      <c r="L157" s="0"/>
    </row>
    <row r="158" customFormat="false" ht="12.75" hidden="false" customHeight="false" outlineLevel="0" collapsed="false">
      <c r="C158" s="407"/>
      <c r="H158" s="0"/>
      <c r="K158" s="0"/>
      <c r="L158" s="0"/>
    </row>
    <row r="159" customFormat="false" ht="12.75" hidden="false" customHeight="false" outlineLevel="0" collapsed="false">
      <c r="C159" s="407"/>
      <c r="H159" s="0"/>
      <c r="K159" s="0"/>
      <c r="L159" s="0"/>
    </row>
    <row r="160" customFormat="false" ht="12.75" hidden="false" customHeight="false" outlineLevel="0" collapsed="false">
      <c r="C160" s="407"/>
      <c r="H160" s="0"/>
      <c r="K160" s="0"/>
      <c r="L160" s="0"/>
    </row>
    <row r="161" customFormat="false" ht="12.75" hidden="false" customHeight="false" outlineLevel="0" collapsed="false">
      <c r="C161" s="407"/>
      <c r="H161" s="0"/>
      <c r="K161" s="0"/>
      <c r="L161" s="0"/>
    </row>
    <row r="162" customFormat="false" ht="12.75" hidden="false" customHeight="false" outlineLevel="0" collapsed="false">
      <c r="C162" s="407"/>
      <c r="H162" s="0"/>
      <c r="K162" s="0"/>
      <c r="L162" s="0"/>
    </row>
    <row r="163" customFormat="false" ht="12.75" hidden="false" customHeight="false" outlineLevel="0" collapsed="false">
      <c r="C163" s="407"/>
      <c r="H163" s="0"/>
      <c r="K163" s="0"/>
      <c r="L163" s="0"/>
    </row>
    <row r="164" customFormat="false" ht="12.75" hidden="false" customHeight="false" outlineLevel="0" collapsed="false">
      <c r="C164" s="407"/>
      <c r="H164" s="0"/>
      <c r="K164" s="0"/>
      <c r="L164" s="0"/>
    </row>
    <row r="165" customFormat="false" ht="12.75" hidden="false" customHeight="false" outlineLevel="0" collapsed="false">
      <c r="C165" s="407"/>
      <c r="H165" s="0"/>
      <c r="K165" s="0"/>
      <c r="L165" s="0"/>
    </row>
    <row r="166" customFormat="false" ht="12.75" hidden="false" customHeight="false" outlineLevel="0" collapsed="false">
      <c r="C166" s="407"/>
      <c r="H166" s="0"/>
      <c r="K166" s="0"/>
      <c r="L166" s="0"/>
    </row>
    <row r="167" customFormat="false" ht="12.75" hidden="false" customHeight="false" outlineLevel="0" collapsed="false">
      <c r="H167" s="0"/>
      <c r="K167" s="0"/>
      <c r="L167" s="0"/>
    </row>
    <row r="168" customFormat="false" ht="12.75" hidden="false" customHeight="false" outlineLevel="0" collapsed="false">
      <c r="H168" s="0"/>
      <c r="K168" s="0"/>
      <c r="L168" s="0"/>
    </row>
    <row r="169" customFormat="false" ht="12.75" hidden="false" customHeight="false" outlineLevel="0" collapsed="false">
      <c r="H169" s="0"/>
      <c r="K169" s="0"/>
      <c r="L169" s="0"/>
    </row>
    <row r="170" customFormat="false" ht="12.75" hidden="false" customHeight="false" outlineLevel="0" collapsed="false">
      <c r="H170" s="0"/>
      <c r="K170" s="0"/>
      <c r="L170" s="0"/>
    </row>
    <row r="171" customFormat="false" ht="12.75" hidden="false" customHeight="false" outlineLevel="0" collapsed="false">
      <c r="H171" s="0"/>
      <c r="K171" s="0"/>
      <c r="L171" s="0"/>
    </row>
    <row r="172" customFormat="false" ht="12.75" hidden="false" customHeight="false" outlineLevel="0" collapsed="false">
      <c r="H172" s="0"/>
      <c r="K172" s="0"/>
      <c r="L172" s="0"/>
    </row>
    <row r="173" customFormat="false" ht="12.75" hidden="false" customHeight="false" outlineLevel="0" collapsed="false">
      <c r="H173" s="0"/>
      <c r="K173" s="0"/>
      <c r="L173" s="0"/>
    </row>
    <row r="174" customFormat="false" ht="12.75" hidden="false" customHeight="false" outlineLevel="0" collapsed="false">
      <c r="H174" s="0"/>
      <c r="K174" s="0"/>
      <c r="L174" s="0"/>
    </row>
    <row r="175" customFormat="false" ht="12.75" hidden="false" customHeight="false" outlineLevel="0" collapsed="false">
      <c r="H175" s="0"/>
      <c r="K175" s="0"/>
      <c r="L175" s="0"/>
    </row>
    <row r="176" customFormat="false" ht="12.75" hidden="false" customHeight="false" outlineLevel="0" collapsed="false">
      <c r="H176" s="0"/>
      <c r="K176" s="0"/>
      <c r="L176" s="0"/>
    </row>
    <row r="177" customFormat="false" ht="12.75" hidden="false" customHeight="false" outlineLevel="0" collapsed="false">
      <c r="H177" s="0"/>
      <c r="K177" s="0"/>
      <c r="L177" s="0"/>
    </row>
    <row r="178" customFormat="false" ht="12.75" hidden="false" customHeight="false" outlineLevel="0" collapsed="false">
      <c r="H178" s="0"/>
      <c r="K178" s="0"/>
      <c r="L178" s="0"/>
    </row>
    <row r="179" customFormat="false" ht="12.75" hidden="false" customHeight="false" outlineLevel="0" collapsed="false">
      <c r="H179" s="0"/>
      <c r="K179" s="0"/>
      <c r="L179" s="0"/>
    </row>
    <row r="180" customFormat="false" ht="12.75" hidden="false" customHeight="false" outlineLevel="0" collapsed="false">
      <c r="H180" s="0"/>
      <c r="K180" s="0"/>
      <c r="L180" s="0"/>
    </row>
    <row r="181" customFormat="false" ht="12.75" hidden="false" customHeight="false" outlineLevel="0" collapsed="false">
      <c r="H181" s="0"/>
      <c r="K181" s="0"/>
      <c r="L181" s="0"/>
    </row>
    <row r="182" customFormat="false" ht="12.75" hidden="false" customHeight="false" outlineLevel="0" collapsed="false">
      <c r="H182" s="0"/>
      <c r="K182" s="0"/>
      <c r="L182" s="0"/>
    </row>
    <row r="183" customFormat="false" ht="12.75" hidden="false" customHeight="false" outlineLevel="0" collapsed="false">
      <c r="H183" s="0"/>
      <c r="K183" s="0"/>
      <c r="L183" s="0"/>
    </row>
    <row r="184" customFormat="false" ht="12.75" hidden="false" customHeight="false" outlineLevel="0" collapsed="false">
      <c r="H184" s="0"/>
      <c r="K184" s="0"/>
      <c r="L184" s="0"/>
    </row>
    <row r="185" customFormat="false" ht="12.75" hidden="false" customHeight="false" outlineLevel="0" collapsed="false">
      <c r="H185" s="0"/>
      <c r="K185" s="0"/>
      <c r="L185" s="0"/>
    </row>
    <row r="186" customFormat="false" ht="12.75" hidden="false" customHeight="false" outlineLevel="0" collapsed="false">
      <c r="H186" s="0"/>
      <c r="K186" s="0"/>
      <c r="L186" s="0"/>
    </row>
    <row r="187" customFormat="false" ht="12.75" hidden="false" customHeight="false" outlineLevel="0" collapsed="false">
      <c r="H187" s="0"/>
      <c r="K187" s="0"/>
      <c r="L187" s="0"/>
    </row>
    <row r="188" customFormat="false" ht="12.75" hidden="false" customHeight="false" outlineLevel="0" collapsed="false">
      <c r="H188" s="0"/>
      <c r="K188" s="0"/>
      <c r="L188" s="0"/>
    </row>
    <row r="189" customFormat="false" ht="12.75" hidden="false" customHeight="false" outlineLevel="0" collapsed="false">
      <c r="H189" s="0"/>
      <c r="K189" s="0"/>
      <c r="L189" s="0"/>
    </row>
    <row r="190" customFormat="false" ht="12.75" hidden="false" customHeight="false" outlineLevel="0" collapsed="false">
      <c r="H190" s="0"/>
      <c r="K190" s="0"/>
      <c r="L190" s="0"/>
    </row>
    <row r="191" customFormat="false" ht="12.75" hidden="false" customHeight="false" outlineLevel="0" collapsed="false">
      <c r="H191" s="0"/>
      <c r="K191" s="0"/>
      <c r="L191" s="0"/>
    </row>
    <row r="192" customFormat="false" ht="12.75" hidden="false" customHeight="false" outlineLevel="0" collapsed="false">
      <c r="H192" s="0"/>
      <c r="K192" s="0"/>
      <c r="L192" s="0"/>
    </row>
    <row r="193" customFormat="false" ht="12.75" hidden="false" customHeight="false" outlineLevel="0" collapsed="false">
      <c r="H193" s="0"/>
      <c r="K193" s="0"/>
      <c r="L193" s="0"/>
    </row>
    <row r="194" customFormat="false" ht="12.75" hidden="false" customHeight="false" outlineLevel="0" collapsed="false">
      <c r="H194" s="0"/>
      <c r="K194" s="0"/>
      <c r="L194" s="0"/>
    </row>
    <row r="195" customFormat="false" ht="12.75" hidden="false" customHeight="false" outlineLevel="0" collapsed="false">
      <c r="H195" s="0"/>
      <c r="K195" s="0"/>
      <c r="L195" s="0"/>
    </row>
    <row r="196" customFormat="false" ht="12.75" hidden="false" customHeight="false" outlineLevel="0" collapsed="false">
      <c r="H196" s="0"/>
      <c r="K196" s="0"/>
      <c r="L196" s="0"/>
    </row>
    <row r="197" customFormat="false" ht="12.75" hidden="false" customHeight="false" outlineLevel="0" collapsed="false">
      <c r="H197" s="0"/>
      <c r="K197" s="0"/>
      <c r="L197" s="0"/>
    </row>
    <row r="198" customFormat="false" ht="12.75" hidden="false" customHeight="false" outlineLevel="0" collapsed="false">
      <c r="H198" s="0"/>
      <c r="K198" s="0"/>
      <c r="L198" s="0"/>
    </row>
    <row r="199" customFormat="false" ht="12.75" hidden="false" customHeight="false" outlineLevel="0" collapsed="false">
      <c r="H199" s="0"/>
      <c r="K199" s="0"/>
      <c r="L199" s="0"/>
    </row>
    <row r="200" customFormat="false" ht="12.75" hidden="false" customHeight="false" outlineLevel="0" collapsed="false">
      <c r="H200" s="0"/>
      <c r="K200" s="0"/>
      <c r="L200" s="0"/>
    </row>
    <row r="201" customFormat="false" ht="12.75" hidden="false" customHeight="false" outlineLevel="0" collapsed="false">
      <c r="H201" s="0"/>
      <c r="K201" s="0"/>
      <c r="L201" s="0"/>
    </row>
    <row r="202" customFormat="false" ht="12.75" hidden="false" customHeight="false" outlineLevel="0" collapsed="false">
      <c r="H202" s="0"/>
      <c r="K202" s="0"/>
      <c r="L202" s="0"/>
    </row>
    <row r="203" customFormat="false" ht="12.75" hidden="false" customHeight="false" outlineLevel="0" collapsed="false">
      <c r="H203" s="0"/>
      <c r="K203" s="0"/>
      <c r="L203" s="0"/>
    </row>
    <row r="204" customFormat="false" ht="12.75" hidden="false" customHeight="false" outlineLevel="0" collapsed="false">
      <c r="H204" s="0"/>
      <c r="K204" s="0"/>
      <c r="L204" s="0"/>
    </row>
    <row r="205" customFormat="false" ht="12.75" hidden="false" customHeight="false" outlineLevel="0" collapsed="false">
      <c r="H205" s="0"/>
      <c r="K205" s="0"/>
      <c r="L205" s="0"/>
    </row>
    <row r="206" customFormat="false" ht="12.75" hidden="false" customHeight="false" outlineLevel="0" collapsed="false">
      <c r="H206" s="0"/>
      <c r="K206" s="0"/>
      <c r="L206" s="0"/>
    </row>
    <row r="207" customFormat="false" ht="12.75" hidden="false" customHeight="false" outlineLevel="0" collapsed="false">
      <c r="H207" s="0"/>
      <c r="K207" s="0"/>
      <c r="L207" s="0"/>
    </row>
    <row r="208" customFormat="false" ht="12.75" hidden="false" customHeight="false" outlineLevel="0" collapsed="false">
      <c r="H208" s="0"/>
      <c r="K208" s="0"/>
      <c r="L208" s="0"/>
    </row>
    <row r="209" customFormat="false" ht="12.75" hidden="false" customHeight="false" outlineLevel="0" collapsed="false">
      <c r="H209" s="0"/>
      <c r="K209" s="0"/>
      <c r="L209" s="0"/>
    </row>
    <row r="210" customFormat="false" ht="12.75" hidden="false" customHeight="false" outlineLevel="0" collapsed="false">
      <c r="H210" s="0"/>
      <c r="K210" s="0"/>
      <c r="L210" s="0"/>
    </row>
    <row r="211" customFormat="false" ht="12.75" hidden="false" customHeight="false" outlineLevel="0" collapsed="false">
      <c r="H211" s="0"/>
      <c r="K211" s="0"/>
      <c r="L211" s="0"/>
    </row>
    <row r="212" customFormat="false" ht="12.75" hidden="false" customHeight="false" outlineLevel="0" collapsed="false">
      <c r="H212" s="0"/>
      <c r="K212" s="0"/>
      <c r="L212" s="0"/>
    </row>
    <row r="213" customFormat="false" ht="12.75" hidden="false" customHeight="false" outlineLevel="0" collapsed="false">
      <c r="H213" s="0"/>
      <c r="K213" s="0"/>
      <c r="L213" s="0"/>
    </row>
    <row r="214" customFormat="false" ht="12.75" hidden="false" customHeight="false" outlineLevel="0" collapsed="false">
      <c r="H214" s="0"/>
      <c r="K214" s="0"/>
      <c r="L214" s="0"/>
    </row>
    <row r="215" customFormat="false" ht="12.75" hidden="false" customHeight="false" outlineLevel="0" collapsed="false">
      <c r="H215" s="0"/>
      <c r="K215" s="0"/>
      <c r="L215" s="0"/>
    </row>
    <row r="216" customFormat="false" ht="12.75" hidden="false" customHeight="false" outlineLevel="0" collapsed="false">
      <c r="H216" s="0"/>
      <c r="K216" s="0"/>
      <c r="L216" s="0"/>
    </row>
    <row r="217" customFormat="false" ht="12.75" hidden="false" customHeight="false" outlineLevel="0" collapsed="false">
      <c r="H217" s="0"/>
      <c r="K217" s="0"/>
      <c r="L217" s="0"/>
    </row>
    <row r="218" customFormat="false" ht="12.75" hidden="false" customHeight="false" outlineLevel="0" collapsed="false">
      <c r="H218" s="0"/>
      <c r="K218" s="0"/>
      <c r="L218" s="0"/>
    </row>
    <row r="219" customFormat="false" ht="12.75" hidden="false" customHeight="false" outlineLevel="0" collapsed="false">
      <c r="H219" s="0"/>
      <c r="K219" s="0"/>
      <c r="L219" s="0"/>
    </row>
    <row r="220" customFormat="false" ht="12.75" hidden="false" customHeight="false" outlineLevel="0" collapsed="false">
      <c r="H220" s="0"/>
      <c r="K220" s="0"/>
      <c r="L220" s="0"/>
    </row>
    <row r="221" customFormat="false" ht="12.75" hidden="false" customHeight="false" outlineLevel="0" collapsed="false">
      <c r="H221" s="0"/>
      <c r="K221" s="0"/>
      <c r="L221" s="0"/>
    </row>
    <row r="222" customFormat="false" ht="12.75" hidden="false" customHeight="false" outlineLevel="0" collapsed="false">
      <c r="H222" s="0"/>
      <c r="K222" s="0"/>
      <c r="L222" s="0"/>
    </row>
    <row r="223" customFormat="false" ht="12.75" hidden="false" customHeight="false" outlineLevel="0" collapsed="false">
      <c r="H223" s="0"/>
      <c r="K223" s="0"/>
      <c r="L223" s="0"/>
    </row>
    <row r="224" customFormat="false" ht="12.75" hidden="false" customHeight="false" outlineLevel="0" collapsed="false">
      <c r="H224" s="0"/>
      <c r="K224" s="0"/>
      <c r="L224" s="0"/>
    </row>
    <row r="225" customFormat="false" ht="12.75" hidden="false" customHeight="false" outlineLevel="0" collapsed="false">
      <c r="H225" s="0"/>
      <c r="K225" s="0"/>
      <c r="L225" s="0"/>
    </row>
    <row r="226" customFormat="false" ht="12.75" hidden="false" customHeight="false" outlineLevel="0" collapsed="false">
      <c r="H226" s="0"/>
      <c r="K226" s="0"/>
      <c r="L226" s="0"/>
    </row>
    <row r="227" customFormat="false" ht="12.75" hidden="false" customHeight="false" outlineLevel="0" collapsed="false">
      <c r="H227" s="0"/>
      <c r="K227" s="0"/>
      <c r="L227" s="0"/>
    </row>
    <row r="228" customFormat="false" ht="12.75" hidden="false" customHeight="false" outlineLevel="0" collapsed="false">
      <c r="H228" s="0"/>
      <c r="K228" s="0"/>
      <c r="L228" s="0"/>
    </row>
    <row r="229" customFormat="false" ht="12.75" hidden="false" customHeight="false" outlineLevel="0" collapsed="false">
      <c r="H229" s="0"/>
      <c r="K229" s="0"/>
      <c r="L229" s="0"/>
    </row>
    <row r="230" customFormat="false" ht="12.75" hidden="false" customHeight="false" outlineLevel="0" collapsed="false">
      <c r="H230" s="0"/>
      <c r="K230" s="0"/>
      <c r="L230" s="0"/>
    </row>
    <row r="231" customFormat="false" ht="12.75" hidden="false" customHeight="false" outlineLevel="0" collapsed="false">
      <c r="H231" s="0"/>
      <c r="K231" s="0"/>
      <c r="L231" s="0"/>
    </row>
    <row r="232" customFormat="false" ht="12.75" hidden="false" customHeight="false" outlineLevel="0" collapsed="false">
      <c r="H232" s="0"/>
      <c r="K232" s="0"/>
      <c r="L232" s="0"/>
    </row>
    <row r="233" customFormat="false" ht="12.75" hidden="false" customHeight="false" outlineLevel="0" collapsed="false">
      <c r="H233" s="0"/>
      <c r="K233" s="0"/>
      <c r="L233" s="0"/>
    </row>
    <row r="234" customFormat="false" ht="12.75" hidden="false" customHeight="false" outlineLevel="0" collapsed="false">
      <c r="H234" s="0"/>
      <c r="K234" s="0"/>
      <c r="L234" s="0"/>
    </row>
    <row r="235" customFormat="false" ht="12.75" hidden="false" customHeight="false" outlineLevel="0" collapsed="false">
      <c r="H235" s="0"/>
      <c r="K235" s="0"/>
      <c r="L235" s="0"/>
    </row>
    <row r="236" customFormat="false" ht="12.75" hidden="false" customHeight="false" outlineLevel="0" collapsed="false">
      <c r="H236" s="0"/>
      <c r="K236" s="0"/>
      <c r="L236" s="0"/>
    </row>
    <row r="237" customFormat="false" ht="12.75" hidden="false" customHeight="false" outlineLevel="0" collapsed="false">
      <c r="A237" s="411"/>
      <c r="H237" s="0"/>
      <c r="K237" s="0"/>
      <c r="L237" s="0"/>
    </row>
    <row r="238" customFormat="false" ht="12.75" hidden="false" customHeight="false" outlineLevel="0" collapsed="false">
      <c r="A238" s="411"/>
      <c r="H238" s="0"/>
      <c r="K238" s="0"/>
      <c r="L238" s="0"/>
    </row>
    <row r="239" customFormat="false" ht="12.75" hidden="false" customHeight="false" outlineLevel="0" collapsed="false">
      <c r="A239" s="411"/>
      <c r="H239" s="0"/>
      <c r="K239" s="0"/>
      <c r="L239" s="0"/>
    </row>
    <row r="240" customFormat="false" ht="12.75" hidden="false" customHeight="false" outlineLevel="0" collapsed="false">
      <c r="A240" s="412"/>
      <c r="H240" s="0"/>
      <c r="K240" s="0"/>
      <c r="L240" s="0"/>
    </row>
    <row r="241" customFormat="false" ht="12.75" hidden="false" customHeight="false" outlineLevel="0" collapsed="false">
      <c r="A241" s="412"/>
      <c r="H241" s="0"/>
      <c r="K241" s="0"/>
      <c r="L241" s="0"/>
    </row>
    <row r="242" customFormat="false" ht="12.75" hidden="false" customHeight="false" outlineLevel="0" collapsed="false">
      <c r="A242" s="412"/>
      <c r="H242" s="0"/>
      <c r="K242" s="0"/>
      <c r="L242" s="0"/>
    </row>
    <row r="243" customFormat="false" ht="12.75" hidden="false" customHeight="false" outlineLevel="0" collapsed="false">
      <c r="A243" s="413"/>
      <c r="H243" s="0"/>
      <c r="K243" s="0"/>
      <c r="L243" s="0"/>
    </row>
    <row r="244" customFormat="false" ht="12.75" hidden="false" customHeight="false" outlineLevel="0" collapsed="false">
      <c r="A244" s="412"/>
      <c r="H244" s="0"/>
      <c r="K244" s="0"/>
      <c r="L244" s="0"/>
    </row>
    <row r="245" customFormat="false" ht="12.75" hidden="false" customHeight="false" outlineLevel="0" collapsed="false">
      <c r="H245" s="0"/>
      <c r="K245" s="0"/>
      <c r="L245" s="0"/>
    </row>
    <row r="246" customFormat="false" ht="12.75" hidden="false" customHeight="false" outlineLevel="0" collapsed="false">
      <c r="H246" s="0"/>
      <c r="K246" s="0"/>
      <c r="L246" s="0"/>
    </row>
    <row r="247" customFormat="false" ht="12.75" hidden="false" customHeight="false" outlineLevel="0" collapsed="false">
      <c r="H247" s="0"/>
      <c r="K247" s="0"/>
      <c r="L247" s="0"/>
    </row>
    <row r="248" customFormat="false" ht="12.75" hidden="false" customHeight="false" outlineLevel="0" collapsed="false">
      <c r="H248" s="0"/>
      <c r="K248" s="0"/>
      <c r="L248" s="0"/>
    </row>
    <row r="249" customFormat="false" ht="12.75" hidden="false" customHeight="false" outlineLevel="0" collapsed="false">
      <c r="H249" s="0"/>
      <c r="K249" s="0"/>
      <c r="L249" s="0"/>
    </row>
    <row r="250" customFormat="false" ht="12.75" hidden="false" customHeight="false" outlineLevel="0" collapsed="false">
      <c r="H250" s="0"/>
      <c r="K250" s="0"/>
      <c r="L250" s="0"/>
    </row>
    <row r="251" customFormat="false" ht="12.75" hidden="false" customHeight="false" outlineLevel="0" collapsed="false">
      <c r="H251" s="0"/>
      <c r="K251" s="0"/>
      <c r="L251" s="0"/>
    </row>
    <row r="252" customFormat="false" ht="12.75" hidden="false" customHeight="false" outlineLevel="0" collapsed="false">
      <c r="H252" s="0"/>
      <c r="K252" s="0"/>
      <c r="L252" s="0"/>
    </row>
    <row r="253" customFormat="false" ht="12.75" hidden="false" customHeight="false" outlineLevel="0" collapsed="false">
      <c r="H253" s="0"/>
      <c r="K253" s="0"/>
      <c r="L253" s="0"/>
    </row>
    <row r="254" customFormat="false" ht="12.75" hidden="false" customHeight="false" outlineLevel="0" collapsed="false">
      <c r="H254" s="0"/>
      <c r="K254" s="0"/>
      <c r="L254" s="0"/>
    </row>
    <row r="255" customFormat="false" ht="12.75" hidden="false" customHeight="false" outlineLevel="0" collapsed="false">
      <c r="H255" s="0"/>
      <c r="K255" s="0"/>
      <c r="L255" s="0"/>
    </row>
    <row r="256" customFormat="false" ht="12.75" hidden="false" customHeight="false" outlineLevel="0" collapsed="false">
      <c r="H256" s="0"/>
      <c r="K256" s="0"/>
      <c r="L256" s="0"/>
    </row>
    <row r="257" customFormat="false" ht="12.75" hidden="false" customHeight="false" outlineLevel="0" collapsed="false">
      <c r="H257" s="0"/>
      <c r="K257" s="0"/>
      <c r="L257" s="0"/>
    </row>
    <row r="258" customFormat="false" ht="12.75" hidden="false" customHeight="false" outlineLevel="0" collapsed="false">
      <c r="H258" s="0"/>
      <c r="K258" s="0"/>
      <c r="L258" s="0"/>
    </row>
    <row r="259" customFormat="false" ht="12.75" hidden="false" customHeight="false" outlineLevel="0" collapsed="false">
      <c r="H259" s="0"/>
      <c r="K259" s="0"/>
      <c r="L259" s="0"/>
    </row>
    <row r="260" customFormat="false" ht="12.75" hidden="false" customHeight="false" outlineLevel="0" collapsed="false">
      <c r="H260" s="0"/>
      <c r="K260" s="0"/>
      <c r="L260" s="0"/>
    </row>
    <row r="261" customFormat="false" ht="12.75" hidden="false" customHeight="false" outlineLevel="0" collapsed="false">
      <c r="H261" s="0"/>
      <c r="K261" s="0"/>
      <c r="L261" s="0"/>
    </row>
    <row r="262" customFormat="false" ht="12.75" hidden="false" customHeight="false" outlineLevel="0" collapsed="false">
      <c r="H262" s="0"/>
      <c r="K262" s="0"/>
      <c r="L262" s="0"/>
    </row>
    <row r="263" customFormat="false" ht="12.75" hidden="false" customHeight="false" outlineLevel="0" collapsed="false">
      <c r="H263" s="0"/>
      <c r="K263" s="0"/>
      <c r="L263" s="0"/>
    </row>
    <row r="264" customFormat="false" ht="12.75" hidden="false" customHeight="false" outlineLevel="0" collapsed="false">
      <c r="H264" s="0"/>
      <c r="K264" s="0"/>
      <c r="L264" s="0"/>
    </row>
    <row r="265" customFormat="false" ht="12.75" hidden="false" customHeight="false" outlineLevel="0" collapsed="false">
      <c r="H265" s="0"/>
      <c r="K265" s="0"/>
      <c r="L265" s="0"/>
    </row>
    <row r="266" customFormat="false" ht="12.75" hidden="false" customHeight="false" outlineLevel="0" collapsed="false">
      <c r="H266" s="0"/>
      <c r="K266" s="0"/>
      <c r="L266" s="0"/>
    </row>
    <row r="267" customFormat="false" ht="12.75" hidden="false" customHeight="false" outlineLevel="0" collapsed="false">
      <c r="H267" s="0"/>
      <c r="K267" s="0"/>
      <c r="L267" s="0"/>
    </row>
    <row r="268" customFormat="false" ht="12.75" hidden="false" customHeight="false" outlineLevel="0" collapsed="false">
      <c r="H268" s="0"/>
      <c r="K268" s="0"/>
      <c r="L268" s="0"/>
    </row>
    <row r="269" customFormat="false" ht="12.75" hidden="false" customHeight="false" outlineLevel="0" collapsed="false">
      <c r="H269" s="0"/>
      <c r="K269" s="0"/>
      <c r="L269" s="0"/>
    </row>
    <row r="270" customFormat="false" ht="12.75" hidden="false" customHeight="false" outlineLevel="0" collapsed="false">
      <c r="H270" s="0"/>
      <c r="K270" s="0"/>
      <c r="L270" s="0"/>
    </row>
    <row r="271" customFormat="false" ht="12.75" hidden="false" customHeight="false" outlineLevel="0" collapsed="false">
      <c r="H271" s="0"/>
      <c r="K271" s="0"/>
      <c r="L271" s="0"/>
    </row>
    <row r="272" customFormat="false" ht="12.75" hidden="false" customHeight="false" outlineLevel="0" collapsed="false">
      <c r="H272" s="0"/>
      <c r="K272" s="0"/>
      <c r="L272" s="0"/>
    </row>
    <row r="273" customFormat="false" ht="12.75" hidden="false" customHeight="false" outlineLevel="0" collapsed="false">
      <c r="H273" s="0"/>
      <c r="K273" s="0"/>
      <c r="L273" s="0"/>
    </row>
    <row r="274" customFormat="false" ht="12.75" hidden="false" customHeight="false" outlineLevel="0" collapsed="false">
      <c r="H274" s="0"/>
      <c r="K274" s="0"/>
      <c r="L274" s="0"/>
    </row>
    <row r="275" customFormat="false" ht="12.75" hidden="false" customHeight="false" outlineLevel="0" collapsed="false">
      <c r="H275" s="0"/>
      <c r="K275" s="0"/>
      <c r="L275" s="0"/>
    </row>
    <row r="276" customFormat="false" ht="12.75" hidden="false" customHeight="false" outlineLevel="0" collapsed="false">
      <c r="H276" s="0"/>
      <c r="K276" s="0"/>
      <c r="L276" s="0"/>
    </row>
    <row r="277" customFormat="false" ht="12.75" hidden="false" customHeight="false" outlineLevel="0" collapsed="false">
      <c r="H277" s="0"/>
      <c r="K277" s="0"/>
      <c r="L277" s="0"/>
    </row>
    <row r="278" customFormat="false" ht="12.75" hidden="false" customHeight="false" outlineLevel="0" collapsed="false">
      <c r="H278" s="0"/>
      <c r="K278" s="0"/>
      <c r="L278" s="0"/>
    </row>
    <row r="279" customFormat="false" ht="12.75" hidden="false" customHeight="false" outlineLevel="0" collapsed="false">
      <c r="H279" s="0"/>
      <c r="K279" s="0"/>
      <c r="L279" s="0"/>
    </row>
    <row r="280" customFormat="false" ht="12.75" hidden="false" customHeight="false" outlineLevel="0" collapsed="false">
      <c r="H280" s="0"/>
      <c r="K280" s="0"/>
      <c r="L280" s="0"/>
    </row>
    <row r="281" customFormat="false" ht="12.75" hidden="false" customHeight="false" outlineLevel="0" collapsed="false">
      <c r="H281" s="0"/>
      <c r="K281" s="0"/>
      <c r="L281" s="0"/>
    </row>
    <row r="282" customFormat="false" ht="12.75" hidden="false" customHeight="false" outlineLevel="0" collapsed="false">
      <c r="H282" s="0"/>
      <c r="K282" s="0"/>
      <c r="L282" s="0"/>
    </row>
    <row r="283" customFormat="false" ht="12.75" hidden="false" customHeight="false" outlineLevel="0" collapsed="false">
      <c r="H283" s="0"/>
      <c r="K283" s="0"/>
      <c r="L283" s="0"/>
    </row>
    <row r="284" customFormat="false" ht="12.75" hidden="false" customHeight="false" outlineLevel="0" collapsed="false">
      <c r="H284" s="0"/>
      <c r="K284" s="0"/>
      <c r="L284" s="0"/>
    </row>
    <row r="285" customFormat="false" ht="12.75" hidden="false" customHeight="false" outlineLevel="0" collapsed="false">
      <c r="H285" s="0"/>
      <c r="K285" s="0"/>
      <c r="L285" s="0"/>
    </row>
    <row r="286" customFormat="false" ht="12.75" hidden="false" customHeight="false" outlineLevel="0" collapsed="false">
      <c r="H286" s="0"/>
      <c r="K286" s="0"/>
      <c r="L286" s="0"/>
    </row>
    <row r="287" customFormat="false" ht="12.75" hidden="false" customHeight="false" outlineLevel="0" collapsed="false">
      <c r="H287" s="0"/>
      <c r="K287" s="0"/>
      <c r="L287" s="0"/>
    </row>
    <row r="288" customFormat="false" ht="12.75" hidden="false" customHeight="false" outlineLevel="0" collapsed="false">
      <c r="H288" s="0"/>
      <c r="K288" s="0"/>
      <c r="L288" s="0"/>
    </row>
    <row r="289" customFormat="false" ht="12.75" hidden="false" customHeight="false" outlineLevel="0" collapsed="false">
      <c r="H289" s="0"/>
      <c r="K289" s="0"/>
      <c r="L289" s="0"/>
    </row>
    <row r="290" customFormat="false" ht="12.75" hidden="false" customHeight="false" outlineLevel="0" collapsed="false">
      <c r="H290" s="0"/>
      <c r="K290" s="0"/>
      <c r="L290" s="0"/>
    </row>
    <row r="291" customFormat="false" ht="12.75" hidden="false" customHeight="false" outlineLevel="0" collapsed="false">
      <c r="H291" s="0"/>
      <c r="K291" s="0"/>
      <c r="L291" s="0"/>
    </row>
    <row r="292" customFormat="false" ht="12.75" hidden="false" customHeight="false" outlineLevel="0" collapsed="false">
      <c r="H292" s="0"/>
      <c r="K292" s="0"/>
      <c r="L292" s="0"/>
    </row>
    <row r="293" customFormat="false" ht="12.75" hidden="false" customHeight="false" outlineLevel="0" collapsed="false">
      <c r="H293" s="0"/>
      <c r="K293" s="0"/>
      <c r="L293" s="0"/>
    </row>
    <row r="294" customFormat="false" ht="12.75" hidden="false" customHeight="false" outlineLevel="0" collapsed="false">
      <c r="H294" s="0"/>
      <c r="K294" s="0"/>
      <c r="L294" s="0"/>
    </row>
    <row r="295" customFormat="false" ht="12.75" hidden="false" customHeight="false" outlineLevel="0" collapsed="false">
      <c r="H295" s="0"/>
      <c r="K295" s="0"/>
      <c r="L295" s="0"/>
    </row>
    <row r="296" customFormat="false" ht="12.75" hidden="false" customHeight="false" outlineLevel="0" collapsed="false">
      <c r="H296" s="0"/>
      <c r="K296" s="0"/>
      <c r="L296" s="0"/>
    </row>
    <row r="297" customFormat="false" ht="12.75" hidden="false" customHeight="false" outlineLevel="0" collapsed="false">
      <c r="H297" s="0"/>
      <c r="K297" s="0"/>
      <c r="L297" s="0"/>
    </row>
    <row r="298" customFormat="false" ht="12.75" hidden="false" customHeight="false" outlineLevel="0" collapsed="false">
      <c r="H298" s="0"/>
      <c r="K298" s="0"/>
      <c r="L298" s="0"/>
    </row>
    <row r="299" customFormat="false" ht="12.75" hidden="false" customHeight="false" outlineLevel="0" collapsed="false">
      <c r="H299" s="0"/>
      <c r="K299" s="0"/>
      <c r="L299" s="0"/>
    </row>
    <row r="300" customFormat="false" ht="12.75" hidden="false" customHeight="false" outlineLevel="0" collapsed="false">
      <c r="H300" s="0"/>
      <c r="K300" s="0"/>
      <c r="L300" s="0"/>
    </row>
    <row r="301" customFormat="false" ht="12.75" hidden="false" customHeight="false" outlineLevel="0" collapsed="false">
      <c r="H301" s="0"/>
      <c r="K301" s="0"/>
      <c r="L301" s="0"/>
    </row>
    <row r="302" customFormat="false" ht="12.75" hidden="false" customHeight="false" outlineLevel="0" collapsed="false">
      <c r="H302" s="0"/>
      <c r="K302" s="0"/>
      <c r="L302" s="0"/>
    </row>
    <row r="303" customFormat="false" ht="12.75" hidden="false" customHeight="false" outlineLevel="0" collapsed="false">
      <c r="H303" s="0"/>
      <c r="K303" s="0"/>
      <c r="L303" s="0"/>
    </row>
    <row r="304" customFormat="false" ht="12.75" hidden="false" customHeight="false" outlineLevel="0" collapsed="false">
      <c r="H304" s="0"/>
      <c r="K304" s="0"/>
      <c r="L304" s="0"/>
    </row>
    <row r="305" customFormat="false" ht="12.75" hidden="false" customHeight="false" outlineLevel="0" collapsed="false">
      <c r="H305" s="0"/>
      <c r="K305" s="0"/>
      <c r="L305" s="0"/>
    </row>
    <row r="306" customFormat="false" ht="12.75" hidden="false" customHeight="false" outlineLevel="0" collapsed="false">
      <c r="H306" s="0"/>
      <c r="K306" s="0"/>
      <c r="L306" s="0"/>
    </row>
    <row r="307" customFormat="false" ht="12.75" hidden="false" customHeight="false" outlineLevel="0" collapsed="false">
      <c r="H307" s="0"/>
      <c r="K307" s="0"/>
      <c r="L307" s="0"/>
    </row>
    <row r="308" customFormat="false" ht="12.75" hidden="false" customHeight="false" outlineLevel="0" collapsed="false">
      <c r="H308" s="0"/>
      <c r="K308" s="0"/>
      <c r="L308" s="0"/>
    </row>
    <row r="309" customFormat="false" ht="12.75" hidden="false" customHeight="false" outlineLevel="0" collapsed="false">
      <c r="H309" s="0"/>
      <c r="K309" s="0"/>
      <c r="L309" s="0"/>
    </row>
    <row r="310" customFormat="false" ht="12.75" hidden="false" customHeight="false" outlineLevel="0" collapsed="false">
      <c r="H310" s="0"/>
      <c r="K310" s="0"/>
      <c r="L310" s="0"/>
    </row>
    <row r="311" customFormat="false" ht="12.75" hidden="false" customHeight="false" outlineLevel="0" collapsed="false">
      <c r="H311" s="0"/>
      <c r="K311" s="0"/>
      <c r="L311" s="0"/>
    </row>
    <row r="312" customFormat="false" ht="12.75" hidden="false" customHeight="false" outlineLevel="0" collapsed="false">
      <c r="H312" s="0"/>
      <c r="K312" s="0"/>
      <c r="L312" s="0"/>
    </row>
    <row r="313" customFormat="false" ht="12.75" hidden="false" customHeight="false" outlineLevel="0" collapsed="false">
      <c r="H313" s="0"/>
      <c r="K313" s="0"/>
      <c r="L313" s="0"/>
    </row>
    <row r="314" customFormat="false" ht="12.75" hidden="false" customHeight="false" outlineLevel="0" collapsed="false">
      <c r="H314" s="0"/>
      <c r="K314" s="0"/>
      <c r="L314" s="0"/>
    </row>
    <row r="315" customFormat="false" ht="12.75" hidden="false" customHeight="false" outlineLevel="0" collapsed="false">
      <c r="H315" s="0"/>
      <c r="K315" s="0"/>
      <c r="L315" s="0"/>
    </row>
    <row r="316" customFormat="false" ht="12.75" hidden="false" customHeight="false" outlineLevel="0" collapsed="false">
      <c r="H316" s="0"/>
      <c r="K316" s="0"/>
      <c r="L316" s="0"/>
    </row>
    <row r="317" customFormat="false" ht="12.75" hidden="false" customHeight="false" outlineLevel="0" collapsed="false">
      <c r="H317" s="0"/>
      <c r="K317" s="0"/>
      <c r="L317" s="0"/>
    </row>
    <row r="318" customFormat="false" ht="12.75" hidden="false" customHeight="false" outlineLevel="0" collapsed="false">
      <c r="H318" s="0"/>
      <c r="K318" s="0"/>
      <c r="L318" s="0"/>
    </row>
    <row r="319" customFormat="false" ht="12.75" hidden="false" customHeight="false" outlineLevel="0" collapsed="false">
      <c r="H319" s="0"/>
      <c r="K319" s="0"/>
      <c r="L319" s="0"/>
    </row>
    <row r="320" customFormat="false" ht="12.75" hidden="false" customHeight="false" outlineLevel="0" collapsed="false">
      <c r="H320" s="0"/>
      <c r="K320" s="0"/>
      <c r="L320" s="0"/>
    </row>
    <row r="321" customFormat="false" ht="12.75" hidden="false" customHeight="false" outlineLevel="0" collapsed="false">
      <c r="H321" s="0"/>
      <c r="K321" s="0"/>
      <c r="L321" s="0"/>
    </row>
    <row r="322" customFormat="false" ht="12.75" hidden="false" customHeight="false" outlineLevel="0" collapsed="false">
      <c r="H322" s="0"/>
      <c r="K322" s="0"/>
      <c r="L322" s="0"/>
    </row>
    <row r="323" customFormat="false" ht="12.75" hidden="false" customHeight="false" outlineLevel="0" collapsed="false">
      <c r="H323" s="0"/>
      <c r="K323" s="0"/>
      <c r="L323" s="0"/>
    </row>
    <row r="324" customFormat="false" ht="12.75" hidden="false" customHeight="false" outlineLevel="0" collapsed="false">
      <c r="H324" s="0"/>
      <c r="K324" s="0"/>
      <c r="L324" s="0"/>
    </row>
    <row r="325" customFormat="false" ht="12.75" hidden="false" customHeight="false" outlineLevel="0" collapsed="false">
      <c r="H325" s="0"/>
      <c r="K325" s="0"/>
      <c r="L325" s="0"/>
    </row>
    <row r="326" customFormat="false" ht="12.75" hidden="false" customHeight="false" outlineLevel="0" collapsed="false">
      <c r="H326" s="0"/>
      <c r="K326" s="0"/>
      <c r="L326" s="0"/>
    </row>
    <row r="327" customFormat="false" ht="12.75" hidden="false" customHeight="false" outlineLevel="0" collapsed="false">
      <c r="H327" s="0"/>
      <c r="K327" s="0"/>
      <c r="L327" s="0"/>
    </row>
    <row r="328" customFormat="false" ht="12.75" hidden="false" customHeight="false" outlineLevel="0" collapsed="false">
      <c r="H328" s="0"/>
      <c r="K328" s="0"/>
      <c r="L328" s="0"/>
    </row>
    <row r="329" customFormat="false" ht="12.75" hidden="false" customHeight="false" outlineLevel="0" collapsed="false">
      <c r="H329" s="0"/>
      <c r="K329" s="0"/>
      <c r="L329" s="0"/>
    </row>
    <row r="330" customFormat="false" ht="12.75" hidden="false" customHeight="false" outlineLevel="0" collapsed="false">
      <c r="H330" s="0"/>
      <c r="K330" s="0"/>
      <c r="L330" s="0"/>
    </row>
    <row r="331" customFormat="false" ht="12.75" hidden="false" customHeight="false" outlineLevel="0" collapsed="false">
      <c r="H331" s="0"/>
      <c r="K331" s="0"/>
      <c r="L331" s="0"/>
    </row>
    <row r="332" customFormat="false" ht="12.75" hidden="false" customHeight="false" outlineLevel="0" collapsed="false">
      <c r="H332" s="0"/>
      <c r="K332" s="0"/>
      <c r="L332" s="0"/>
    </row>
    <row r="333" customFormat="false" ht="12.75" hidden="false" customHeight="false" outlineLevel="0" collapsed="false">
      <c r="H333" s="0"/>
      <c r="K333" s="0"/>
      <c r="L333" s="0"/>
    </row>
    <row r="334" customFormat="false" ht="12.75" hidden="false" customHeight="false" outlineLevel="0" collapsed="false">
      <c r="H334" s="0"/>
      <c r="K334" s="0"/>
      <c r="L334" s="0"/>
    </row>
    <row r="335" customFormat="false" ht="12.75" hidden="false" customHeight="false" outlineLevel="0" collapsed="false">
      <c r="H335" s="0"/>
      <c r="K335" s="0"/>
      <c r="L335" s="0"/>
    </row>
    <row r="336" customFormat="false" ht="12.75" hidden="false" customHeight="false" outlineLevel="0" collapsed="false">
      <c r="H336" s="0"/>
      <c r="K336" s="0"/>
      <c r="L336" s="0"/>
    </row>
    <row r="337" customFormat="false" ht="12.75" hidden="false" customHeight="false" outlineLevel="0" collapsed="false">
      <c r="H337" s="0"/>
      <c r="K337" s="0"/>
      <c r="L337" s="0"/>
    </row>
    <row r="338" customFormat="false" ht="12.75" hidden="false" customHeight="false" outlineLevel="0" collapsed="false">
      <c r="H338" s="0"/>
      <c r="K338" s="0"/>
      <c r="L338" s="0"/>
    </row>
    <row r="339" customFormat="false" ht="12.75" hidden="false" customHeight="false" outlineLevel="0" collapsed="false">
      <c r="H339" s="0"/>
      <c r="K339" s="0"/>
      <c r="L339" s="0"/>
    </row>
    <row r="340" customFormat="false" ht="12.75" hidden="false" customHeight="false" outlineLevel="0" collapsed="false">
      <c r="H340" s="0"/>
      <c r="K340" s="0"/>
      <c r="L340" s="0"/>
    </row>
    <row r="341" customFormat="false" ht="12.75" hidden="false" customHeight="false" outlineLevel="0" collapsed="false">
      <c r="H341" s="0"/>
      <c r="K341" s="0"/>
      <c r="L341" s="0"/>
    </row>
    <row r="342" customFormat="false" ht="12.75" hidden="false" customHeight="false" outlineLevel="0" collapsed="false">
      <c r="H342" s="0"/>
      <c r="K342" s="0"/>
      <c r="L342" s="0"/>
    </row>
    <row r="343" customFormat="false" ht="12.75" hidden="false" customHeight="false" outlineLevel="0" collapsed="false">
      <c r="H343" s="0"/>
      <c r="K343" s="0"/>
      <c r="L343" s="0"/>
    </row>
    <row r="344" customFormat="false" ht="12.75" hidden="false" customHeight="false" outlineLevel="0" collapsed="false">
      <c r="H344" s="0"/>
      <c r="K344" s="0"/>
      <c r="L344" s="0"/>
    </row>
    <row r="345" customFormat="false" ht="12.75" hidden="false" customHeight="false" outlineLevel="0" collapsed="false">
      <c r="H345" s="0"/>
      <c r="K345" s="0"/>
      <c r="L345" s="0"/>
    </row>
    <row r="346" customFormat="false" ht="12.75" hidden="false" customHeight="false" outlineLevel="0" collapsed="false">
      <c r="H346" s="0"/>
      <c r="K346" s="0"/>
      <c r="L346" s="0"/>
    </row>
    <row r="347" customFormat="false" ht="12.75" hidden="false" customHeight="false" outlineLevel="0" collapsed="false">
      <c r="H347" s="0"/>
      <c r="K347" s="0"/>
      <c r="L347" s="0"/>
    </row>
    <row r="348" customFormat="false" ht="12.75" hidden="false" customHeight="false" outlineLevel="0" collapsed="false">
      <c r="H348" s="0"/>
      <c r="K348" s="0"/>
      <c r="L348" s="0"/>
    </row>
    <row r="349" customFormat="false" ht="12.75" hidden="false" customHeight="false" outlineLevel="0" collapsed="false">
      <c r="H349" s="0"/>
      <c r="K349" s="0"/>
      <c r="L349" s="0"/>
    </row>
    <row r="350" customFormat="false" ht="12.75" hidden="false" customHeight="false" outlineLevel="0" collapsed="false">
      <c r="H350" s="0"/>
      <c r="K350" s="0"/>
      <c r="L350" s="0"/>
    </row>
    <row r="351" customFormat="false" ht="12.75" hidden="false" customHeight="false" outlineLevel="0" collapsed="false">
      <c r="H351" s="0"/>
      <c r="K351" s="0"/>
      <c r="L351" s="0"/>
    </row>
    <row r="352" customFormat="false" ht="12.75" hidden="false" customHeight="false" outlineLevel="0" collapsed="false">
      <c r="H352" s="0"/>
      <c r="K352" s="0"/>
      <c r="L352" s="0"/>
    </row>
    <row r="353" customFormat="false" ht="12.75" hidden="false" customHeight="false" outlineLevel="0" collapsed="false">
      <c r="H353" s="0"/>
      <c r="K353" s="0"/>
      <c r="L353" s="0"/>
    </row>
    <row r="354" customFormat="false" ht="12.75" hidden="false" customHeight="false" outlineLevel="0" collapsed="false">
      <c r="H354" s="0"/>
      <c r="K354" s="0"/>
      <c r="L354" s="0"/>
    </row>
    <row r="355" customFormat="false" ht="12.75" hidden="false" customHeight="false" outlineLevel="0" collapsed="false">
      <c r="H355" s="0"/>
      <c r="K355" s="0"/>
      <c r="L355" s="0"/>
    </row>
    <row r="356" customFormat="false" ht="12.75" hidden="false" customHeight="false" outlineLevel="0" collapsed="false">
      <c r="H356" s="0"/>
      <c r="K356" s="0"/>
      <c r="L356" s="0"/>
    </row>
    <row r="357" customFormat="false" ht="12.75" hidden="false" customHeight="false" outlineLevel="0" collapsed="false">
      <c r="H357" s="0"/>
      <c r="K357" s="0"/>
      <c r="L357" s="0"/>
    </row>
    <row r="358" customFormat="false" ht="12.75" hidden="false" customHeight="false" outlineLevel="0" collapsed="false">
      <c r="H358" s="0"/>
      <c r="K358" s="0"/>
      <c r="L358" s="0"/>
    </row>
    <row r="359" customFormat="false" ht="12.75" hidden="false" customHeight="false" outlineLevel="0" collapsed="false">
      <c r="H359" s="0"/>
      <c r="K359" s="0"/>
      <c r="L359" s="0"/>
    </row>
    <row r="360" customFormat="false" ht="12.75" hidden="false" customHeight="false" outlineLevel="0" collapsed="false">
      <c r="H360" s="0"/>
      <c r="K360" s="0"/>
      <c r="L360" s="0"/>
    </row>
    <row r="361" customFormat="false" ht="12.75" hidden="false" customHeight="false" outlineLevel="0" collapsed="false">
      <c r="H361" s="0"/>
      <c r="K361" s="0"/>
      <c r="L361" s="0"/>
    </row>
    <row r="362" customFormat="false" ht="12.75" hidden="false" customHeight="false" outlineLevel="0" collapsed="false">
      <c r="H362" s="0"/>
      <c r="K362" s="0"/>
      <c r="L362" s="0"/>
    </row>
    <row r="363" customFormat="false" ht="12.75" hidden="false" customHeight="false" outlineLevel="0" collapsed="false">
      <c r="H363" s="0"/>
      <c r="K363" s="0"/>
      <c r="L363" s="0"/>
    </row>
    <row r="364" customFormat="false" ht="12.75" hidden="false" customHeight="false" outlineLevel="0" collapsed="false">
      <c r="H364" s="0"/>
      <c r="K364" s="0"/>
      <c r="L364" s="0"/>
    </row>
    <row r="365" customFormat="false" ht="12.75" hidden="false" customHeight="false" outlineLevel="0" collapsed="false">
      <c r="H365" s="0"/>
      <c r="K365" s="0"/>
      <c r="L365" s="0"/>
    </row>
    <row r="366" customFormat="false" ht="12.75" hidden="false" customHeight="false" outlineLevel="0" collapsed="false">
      <c r="H366" s="0"/>
      <c r="K366" s="0"/>
      <c r="L366" s="0"/>
    </row>
    <row r="367" customFormat="false" ht="12.75" hidden="false" customHeight="false" outlineLevel="0" collapsed="false">
      <c r="H367" s="0"/>
      <c r="K367" s="0"/>
      <c r="L367" s="0"/>
    </row>
    <row r="368" customFormat="false" ht="12.75" hidden="false" customHeight="false" outlineLevel="0" collapsed="false">
      <c r="H368" s="0"/>
      <c r="K368" s="0"/>
      <c r="L368" s="0"/>
    </row>
    <row r="369" customFormat="false" ht="12.75" hidden="false" customHeight="false" outlineLevel="0" collapsed="false">
      <c r="H369" s="0"/>
      <c r="K369" s="0"/>
      <c r="L369" s="0"/>
    </row>
    <row r="370" customFormat="false" ht="12.75" hidden="false" customHeight="false" outlineLevel="0" collapsed="false">
      <c r="H370" s="0"/>
      <c r="K370" s="0"/>
      <c r="L370" s="0"/>
    </row>
    <row r="371" customFormat="false" ht="12.75" hidden="false" customHeight="false" outlineLevel="0" collapsed="false">
      <c r="H371" s="0"/>
      <c r="K371" s="0"/>
      <c r="L371" s="0"/>
    </row>
    <row r="372" customFormat="false" ht="12.75" hidden="false" customHeight="false" outlineLevel="0" collapsed="false">
      <c r="H372" s="0"/>
      <c r="K372" s="0"/>
      <c r="L372" s="0"/>
    </row>
    <row r="373" customFormat="false" ht="12.75" hidden="false" customHeight="false" outlineLevel="0" collapsed="false">
      <c r="H373" s="0"/>
      <c r="K373" s="0"/>
      <c r="L373" s="0"/>
    </row>
    <row r="374" customFormat="false" ht="12.75" hidden="false" customHeight="false" outlineLevel="0" collapsed="false">
      <c r="H374" s="0"/>
      <c r="K374" s="0"/>
      <c r="L374" s="0"/>
    </row>
    <row r="375" customFormat="false" ht="12.75" hidden="false" customHeight="false" outlineLevel="0" collapsed="false">
      <c r="H375" s="0"/>
      <c r="K375" s="0"/>
      <c r="L375" s="0"/>
    </row>
    <row r="376" customFormat="false" ht="12.75" hidden="false" customHeight="false" outlineLevel="0" collapsed="false">
      <c r="H376" s="0"/>
      <c r="K376" s="0"/>
      <c r="L376" s="0"/>
    </row>
    <row r="377" customFormat="false" ht="12.75" hidden="false" customHeight="false" outlineLevel="0" collapsed="false">
      <c r="H377" s="0"/>
      <c r="K377" s="0"/>
      <c r="L377" s="0"/>
    </row>
    <row r="378" customFormat="false" ht="12.75" hidden="false" customHeight="false" outlineLevel="0" collapsed="false">
      <c r="H378" s="0"/>
      <c r="K378" s="0"/>
      <c r="L378" s="0"/>
    </row>
    <row r="379" customFormat="false" ht="12.75" hidden="false" customHeight="false" outlineLevel="0" collapsed="false">
      <c r="H379" s="0"/>
      <c r="K379" s="0"/>
      <c r="L379" s="0"/>
    </row>
    <row r="380" customFormat="false" ht="12.75" hidden="false" customHeight="false" outlineLevel="0" collapsed="false">
      <c r="H380" s="0"/>
      <c r="K380" s="0"/>
      <c r="L380" s="0"/>
    </row>
    <row r="381" customFormat="false" ht="12.75" hidden="false" customHeight="false" outlineLevel="0" collapsed="false">
      <c r="H381" s="0"/>
      <c r="K381" s="0"/>
      <c r="L381" s="0"/>
    </row>
    <row r="382" customFormat="false" ht="12.75" hidden="false" customHeight="false" outlineLevel="0" collapsed="false">
      <c r="H382" s="0"/>
      <c r="K382" s="0"/>
      <c r="L382" s="0"/>
    </row>
    <row r="383" customFormat="false" ht="12.75" hidden="false" customHeight="false" outlineLevel="0" collapsed="false">
      <c r="H383" s="0"/>
      <c r="K383" s="0"/>
      <c r="L383" s="0"/>
    </row>
    <row r="384" customFormat="false" ht="12.75" hidden="false" customHeight="false" outlineLevel="0" collapsed="false">
      <c r="H384" s="0"/>
      <c r="K384" s="0"/>
      <c r="L384" s="0"/>
    </row>
    <row r="385" customFormat="false" ht="12.75" hidden="false" customHeight="false" outlineLevel="0" collapsed="false">
      <c r="H385" s="0"/>
      <c r="K385" s="0"/>
      <c r="L385" s="0"/>
    </row>
    <row r="386" customFormat="false" ht="12.75" hidden="false" customHeight="false" outlineLevel="0" collapsed="false">
      <c r="H386" s="0"/>
      <c r="K386" s="0"/>
      <c r="L386" s="0"/>
    </row>
    <row r="387" customFormat="false" ht="12.75" hidden="false" customHeight="false" outlineLevel="0" collapsed="false">
      <c r="H387" s="0"/>
      <c r="K387" s="0"/>
      <c r="L387" s="0"/>
    </row>
    <row r="388" customFormat="false" ht="12.75" hidden="false" customHeight="false" outlineLevel="0" collapsed="false">
      <c r="H388" s="0"/>
      <c r="K388" s="0"/>
      <c r="L388" s="0"/>
    </row>
    <row r="389" customFormat="false" ht="12.75" hidden="false" customHeight="false" outlineLevel="0" collapsed="false">
      <c r="H389" s="0"/>
      <c r="K389" s="0"/>
      <c r="L389" s="0"/>
    </row>
    <row r="390" customFormat="false" ht="12.75" hidden="false" customHeight="false" outlineLevel="0" collapsed="false">
      <c r="H390" s="0"/>
      <c r="K390" s="0"/>
      <c r="L390" s="0"/>
    </row>
    <row r="391" customFormat="false" ht="12.75" hidden="false" customHeight="false" outlineLevel="0" collapsed="false">
      <c r="H391" s="0"/>
      <c r="K391" s="0"/>
      <c r="L391" s="0"/>
    </row>
    <row r="392" customFormat="false" ht="12.75" hidden="false" customHeight="false" outlineLevel="0" collapsed="false">
      <c r="H392" s="0"/>
      <c r="K392" s="0"/>
      <c r="L392" s="0"/>
    </row>
    <row r="393" customFormat="false" ht="12.75" hidden="false" customHeight="false" outlineLevel="0" collapsed="false">
      <c r="H393" s="0"/>
      <c r="K393" s="0"/>
      <c r="L393" s="0"/>
    </row>
    <row r="394" customFormat="false" ht="12.75" hidden="false" customHeight="false" outlineLevel="0" collapsed="false">
      <c r="H394" s="0"/>
      <c r="K394" s="0"/>
      <c r="L394" s="0"/>
    </row>
    <row r="395" customFormat="false" ht="12.75" hidden="false" customHeight="false" outlineLevel="0" collapsed="false">
      <c r="H395" s="0"/>
      <c r="K395" s="0"/>
      <c r="L395" s="0"/>
    </row>
    <row r="396" customFormat="false" ht="12.75" hidden="false" customHeight="false" outlineLevel="0" collapsed="false">
      <c r="H396" s="0"/>
      <c r="K396" s="0"/>
      <c r="L396" s="0"/>
    </row>
    <row r="397" customFormat="false" ht="12.75" hidden="false" customHeight="false" outlineLevel="0" collapsed="false">
      <c r="H397" s="0"/>
      <c r="K397" s="0"/>
      <c r="L397" s="0"/>
    </row>
    <row r="398" customFormat="false" ht="12.75" hidden="false" customHeight="false" outlineLevel="0" collapsed="false">
      <c r="H398" s="0"/>
      <c r="K398" s="0"/>
      <c r="L398" s="0"/>
    </row>
    <row r="399" customFormat="false" ht="12.75" hidden="false" customHeight="false" outlineLevel="0" collapsed="false">
      <c r="H399" s="0"/>
      <c r="K399" s="0"/>
      <c r="L399" s="0"/>
    </row>
    <row r="400" customFormat="false" ht="12.75" hidden="false" customHeight="false" outlineLevel="0" collapsed="false">
      <c r="H400" s="0"/>
      <c r="K400" s="0"/>
      <c r="L400" s="0"/>
    </row>
    <row r="401" customFormat="false" ht="12.75" hidden="false" customHeight="false" outlineLevel="0" collapsed="false">
      <c r="H401" s="0"/>
      <c r="K401" s="0"/>
      <c r="L401" s="0"/>
    </row>
    <row r="402" customFormat="false" ht="12.75" hidden="false" customHeight="false" outlineLevel="0" collapsed="false">
      <c r="H402" s="0"/>
      <c r="K402" s="0"/>
      <c r="L402" s="0"/>
    </row>
    <row r="403" customFormat="false" ht="12.75" hidden="false" customHeight="false" outlineLevel="0" collapsed="false">
      <c r="H403" s="0"/>
      <c r="K403" s="0"/>
      <c r="L403" s="0"/>
    </row>
    <row r="404" customFormat="false" ht="12.75" hidden="false" customHeight="false" outlineLevel="0" collapsed="false">
      <c r="H404" s="0"/>
      <c r="K404" s="0"/>
      <c r="L404" s="0"/>
    </row>
    <row r="405" customFormat="false" ht="12.75" hidden="false" customHeight="false" outlineLevel="0" collapsed="false">
      <c r="H405" s="0"/>
      <c r="K405" s="0"/>
      <c r="L405" s="0"/>
    </row>
    <row r="406" customFormat="false" ht="12.75" hidden="false" customHeight="false" outlineLevel="0" collapsed="false">
      <c r="H406" s="0"/>
      <c r="K406" s="0"/>
      <c r="L406" s="0"/>
    </row>
    <row r="407" customFormat="false" ht="12.75" hidden="false" customHeight="false" outlineLevel="0" collapsed="false">
      <c r="H407" s="0"/>
      <c r="K407" s="0"/>
      <c r="L407" s="0"/>
    </row>
    <row r="408" customFormat="false" ht="12.75" hidden="false" customHeight="false" outlineLevel="0" collapsed="false">
      <c r="H408" s="0"/>
      <c r="K408" s="0"/>
      <c r="L408" s="0"/>
    </row>
    <row r="409" customFormat="false" ht="12.75" hidden="false" customHeight="false" outlineLevel="0" collapsed="false">
      <c r="H409" s="0"/>
      <c r="K409" s="0"/>
      <c r="L409" s="0"/>
    </row>
    <row r="410" customFormat="false" ht="12.75" hidden="false" customHeight="false" outlineLevel="0" collapsed="false">
      <c r="H410" s="0"/>
      <c r="K410" s="0"/>
      <c r="L410" s="0"/>
    </row>
    <row r="411" customFormat="false" ht="12.75" hidden="false" customHeight="false" outlineLevel="0" collapsed="false">
      <c r="H411" s="0"/>
      <c r="K411" s="0"/>
      <c r="L411" s="0"/>
    </row>
    <row r="412" customFormat="false" ht="12.75" hidden="false" customHeight="false" outlineLevel="0" collapsed="false">
      <c r="H412" s="0"/>
      <c r="K412" s="0"/>
      <c r="L412" s="0"/>
    </row>
    <row r="413" customFormat="false" ht="12.75" hidden="false" customHeight="false" outlineLevel="0" collapsed="false">
      <c r="H413" s="0"/>
      <c r="K413" s="0"/>
      <c r="L413" s="0"/>
    </row>
    <row r="414" customFormat="false" ht="12.75" hidden="false" customHeight="false" outlineLevel="0" collapsed="false">
      <c r="H414" s="0"/>
      <c r="K414" s="0"/>
      <c r="L414" s="0"/>
    </row>
    <row r="415" customFormat="false" ht="12.75" hidden="false" customHeight="false" outlineLevel="0" collapsed="false">
      <c r="H415" s="0"/>
      <c r="K415" s="0"/>
      <c r="L415" s="0"/>
    </row>
    <row r="416" customFormat="false" ht="12.75" hidden="false" customHeight="false" outlineLevel="0" collapsed="false">
      <c r="H416" s="0"/>
      <c r="K416" s="0"/>
      <c r="L416" s="0"/>
    </row>
    <row r="417" customFormat="false" ht="12.75" hidden="false" customHeight="false" outlineLevel="0" collapsed="false">
      <c r="H417" s="0"/>
      <c r="K417" s="0"/>
      <c r="L417" s="0"/>
    </row>
    <row r="418" customFormat="false" ht="12.75" hidden="false" customHeight="false" outlineLevel="0" collapsed="false">
      <c r="H418" s="0"/>
      <c r="K418" s="0"/>
      <c r="L418" s="0"/>
    </row>
    <row r="419" customFormat="false" ht="12.75" hidden="false" customHeight="false" outlineLevel="0" collapsed="false">
      <c r="H419" s="0"/>
      <c r="K419" s="0"/>
      <c r="L419" s="0"/>
    </row>
    <row r="420" customFormat="false" ht="12.75" hidden="false" customHeight="false" outlineLevel="0" collapsed="false">
      <c r="H420" s="0"/>
      <c r="K420" s="0"/>
      <c r="L420" s="0"/>
    </row>
    <row r="421" customFormat="false" ht="12.75" hidden="false" customHeight="false" outlineLevel="0" collapsed="false">
      <c r="H421" s="0"/>
      <c r="K421" s="0"/>
      <c r="L421" s="0"/>
    </row>
    <row r="422" customFormat="false" ht="12.75" hidden="false" customHeight="false" outlineLevel="0" collapsed="false">
      <c r="H422" s="0"/>
      <c r="K422" s="0"/>
      <c r="L422" s="0"/>
    </row>
    <row r="423" customFormat="false" ht="12.75" hidden="false" customHeight="false" outlineLevel="0" collapsed="false">
      <c r="H423" s="0"/>
      <c r="K423" s="0"/>
      <c r="L423" s="0"/>
    </row>
    <row r="424" customFormat="false" ht="12.75" hidden="false" customHeight="false" outlineLevel="0" collapsed="false">
      <c r="H424" s="0"/>
      <c r="K424" s="0"/>
      <c r="L424" s="0"/>
    </row>
    <row r="425" customFormat="false" ht="12.75" hidden="false" customHeight="false" outlineLevel="0" collapsed="false">
      <c r="H425" s="0"/>
      <c r="K425" s="0"/>
      <c r="L425" s="0"/>
    </row>
    <row r="426" customFormat="false" ht="12.75" hidden="false" customHeight="false" outlineLevel="0" collapsed="false">
      <c r="H426" s="0"/>
      <c r="K426" s="0"/>
      <c r="L426" s="0"/>
    </row>
    <row r="427" customFormat="false" ht="12.75" hidden="false" customHeight="false" outlineLevel="0" collapsed="false">
      <c r="H427" s="0"/>
      <c r="K427" s="0"/>
      <c r="L427" s="0"/>
    </row>
    <row r="428" customFormat="false" ht="12.75" hidden="false" customHeight="false" outlineLevel="0" collapsed="false">
      <c r="H428" s="0"/>
      <c r="K428" s="0"/>
      <c r="L428" s="0"/>
    </row>
    <row r="429" customFormat="false" ht="12.75" hidden="false" customHeight="false" outlineLevel="0" collapsed="false">
      <c r="H429" s="0"/>
      <c r="K429" s="0"/>
      <c r="L429" s="0"/>
    </row>
    <row r="430" customFormat="false" ht="12.75" hidden="false" customHeight="false" outlineLevel="0" collapsed="false">
      <c r="H430" s="0"/>
      <c r="K430" s="0"/>
      <c r="L430" s="0"/>
    </row>
    <row r="431" customFormat="false" ht="12.75" hidden="false" customHeight="false" outlineLevel="0" collapsed="false">
      <c r="H431" s="0"/>
      <c r="K431" s="0"/>
      <c r="L431" s="0"/>
    </row>
    <row r="432" customFormat="false" ht="12.75" hidden="false" customHeight="false" outlineLevel="0" collapsed="false">
      <c r="H432" s="0"/>
      <c r="K432" s="0"/>
      <c r="L432" s="0"/>
    </row>
    <row r="433" customFormat="false" ht="12.75" hidden="false" customHeight="false" outlineLevel="0" collapsed="false">
      <c r="H433" s="0"/>
      <c r="K433" s="0"/>
      <c r="L433" s="0"/>
    </row>
    <row r="434" customFormat="false" ht="12.75" hidden="false" customHeight="false" outlineLevel="0" collapsed="false">
      <c r="H434" s="0"/>
      <c r="K434" s="0"/>
      <c r="L434" s="0"/>
    </row>
    <row r="435" customFormat="false" ht="12.75" hidden="false" customHeight="false" outlineLevel="0" collapsed="false">
      <c r="H435" s="0"/>
      <c r="K435" s="0"/>
      <c r="L435" s="0"/>
    </row>
    <row r="436" customFormat="false" ht="12.75" hidden="false" customHeight="false" outlineLevel="0" collapsed="false">
      <c r="H436" s="0"/>
      <c r="K436" s="0"/>
      <c r="L436" s="0"/>
    </row>
    <row r="437" customFormat="false" ht="12.75" hidden="false" customHeight="false" outlineLevel="0" collapsed="false">
      <c r="H437" s="0"/>
      <c r="K437" s="0"/>
      <c r="L437" s="0"/>
    </row>
    <row r="438" customFormat="false" ht="12.75" hidden="false" customHeight="false" outlineLevel="0" collapsed="false">
      <c r="H438" s="0"/>
      <c r="K438" s="0"/>
      <c r="L438" s="0"/>
    </row>
    <row r="439" customFormat="false" ht="12.75" hidden="false" customHeight="false" outlineLevel="0" collapsed="false">
      <c r="H439" s="0"/>
      <c r="K439" s="0"/>
      <c r="L439" s="0"/>
    </row>
    <row r="440" customFormat="false" ht="12.75" hidden="false" customHeight="false" outlineLevel="0" collapsed="false">
      <c r="H440" s="0"/>
      <c r="K440" s="0"/>
      <c r="L440" s="0"/>
    </row>
    <row r="441" customFormat="false" ht="12.75" hidden="false" customHeight="false" outlineLevel="0" collapsed="false">
      <c r="H441" s="0"/>
      <c r="K441" s="0"/>
      <c r="L441" s="0"/>
    </row>
    <row r="442" customFormat="false" ht="12.75" hidden="false" customHeight="false" outlineLevel="0" collapsed="false">
      <c r="H442" s="0"/>
      <c r="K442" s="0"/>
      <c r="L442" s="0"/>
    </row>
    <row r="443" customFormat="false" ht="12.75" hidden="false" customHeight="false" outlineLevel="0" collapsed="false">
      <c r="H443" s="0"/>
      <c r="K443" s="0"/>
      <c r="L443" s="0"/>
    </row>
    <row r="444" customFormat="false" ht="12.75" hidden="false" customHeight="false" outlineLevel="0" collapsed="false">
      <c r="H444" s="0"/>
      <c r="K444" s="0"/>
      <c r="L444" s="0"/>
    </row>
    <row r="445" customFormat="false" ht="12.75" hidden="false" customHeight="false" outlineLevel="0" collapsed="false">
      <c r="H445" s="0"/>
      <c r="K445" s="0"/>
      <c r="L445" s="0"/>
    </row>
    <row r="446" customFormat="false" ht="12.75" hidden="false" customHeight="false" outlineLevel="0" collapsed="false">
      <c r="H446" s="0"/>
      <c r="K446" s="0"/>
      <c r="L446" s="0"/>
    </row>
    <row r="447" customFormat="false" ht="12.75" hidden="false" customHeight="false" outlineLevel="0" collapsed="false">
      <c r="H447" s="0"/>
      <c r="K447" s="0"/>
      <c r="L447" s="0"/>
    </row>
    <row r="448" customFormat="false" ht="12.75" hidden="false" customHeight="false" outlineLevel="0" collapsed="false">
      <c r="H448" s="0"/>
      <c r="K448" s="0"/>
      <c r="L448" s="0"/>
    </row>
    <row r="449" customFormat="false" ht="12.75" hidden="false" customHeight="false" outlineLevel="0" collapsed="false">
      <c r="H449" s="0"/>
      <c r="K449" s="0"/>
      <c r="L449" s="0"/>
    </row>
    <row r="450" customFormat="false" ht="12.75" hidden="false" customHeight="false" outlineLevel="0" collapsed="false">
      <c r="H450" s="0"/>
      <c r="K450" s="0"/>
      <c r="L450" s="0"/>
    </row>
    <row r="451" customFormat="false" ht="12.75" hidden="false" customHeight="false" outlineLevel="0" collapsed="false">
      <c r="H451" s="0"/>
      <c r="K451" s="0"/>
      <c r="L451" s="0"/>
    </row>
    <row r="452" customFormat="false" ht="12.75" hidden="false" customHeight="false" outlineLevel="0" collapsed="false">
      <c r="H452" s="0"/>
      <c r="K452" s="0"/>
      <c r="L452" s="0"/>
    </row>
    <row r="453" customFormat="false" ht="12.75" hidden="false" customHeight="false" outlineLevel="0" collapsed="false">
      <c r="H453" s="0"/>
      <c r="K453" s="0"/>
      <c r="L453" s="0"/>
    </row>
    <row r="454" customFormat="false" ht="12.75" hidden="false" customHeight="false" outlineLevel="0" collapsed="false">
      <c r="H454" s="0"/>
      <c r="K454" s="0"/>
      <c r="L454" s="0"/>
    </row>
    <row r="455" customFormat="false" ht="12.75" hidden="false" customHeight="false" outlineLevel="0" collapsed="false">
      <c r="H455" s="0"/>
      <c r="K455" s="0"/>
      <c r="L455" s="0"/>
    </row>
    <row r="456" customFormat="false" ht="12.75" hidden="false" customHeight="false" outlineLevel="0" collapsed="false">
      <c r="H456" s="0"/>
      <c r="K456" s="0"/>
      <c r="L456" s="0"/>
    </row>
    <row r="457" customFormat="false" ht="12.75" hidden="false" customHeight="false" outlineLevel="0" collapsed="false">
      <c r="H457" s="0"/>
      <c r="K457" s="0"/>
      <c r="L457" s="0"/>
    </row>
    <row r="458" customFormat="false" ht="12.75" hidden="false" customHeight="false" outlineLevel="0" collapsed="false">
      <c r="H458" s="0"/>
      <c r="K458" s="0"/>
      <c r="L458" s="0"/>
    </row>
    <row r="459" customFormat="false" ht="12.75" hidden="false" customHeight="false" outlineLevel="0" collapsed="false">
      <c r="H459" s="0"/>
      <c r="K459" s="0"/>
      <c r="L459" s="0"/>
    </row>
    <row r="460" customFormat="false" ht="12.75" hidden="false" customHeight="false" outlineLevel="0" collapsed="false">
      <c r="H460" s="0"/>
      <c r="K460" s="0"/>
      <c r="L460" s="0"/>
    </row>
    <row r="461" customFormat="false" ht="12.75" hidden="false" customHeight="false" outlineLevel="0" collapsed="false">
      <c r="H461" s="0"/>
      <c r="K461" s="0"/>
      <c r="L461" s="0"/>
    </row>
    <row r="462" customFormat="false" ht="12.75" hidden="false" customHeight="false" outlineLevel="0" collapsed="false">
      <c r="H462" s="0"/>
      <c r="K462" s="0"/>
      <c r="L462" s="0"/>
    </row>
    <row r="463" customFormat="false" ht="12.75" hidden="false" customHeight="false" outlineLevel="0" collapsed="false">
      <c r="H463" s="0"/>
      <c r="K463" s="0"/>
      <c r="L463" s="0"/>
    </row>
    <row r="464" customFormat="false" ht="12.75" hidden="false" customHeight="false" outlineLevel="0" collapsed="false">
      <c r="H464" s="0"/>
      <c r="K464" s="0"/>
      <c r="L464" s="0"/>
    </row>
    <row r="465" customFormat="false" ht="12.75" hidden="false" customHeight="false" outlineLevel="0" collapsed="false">
      <c r="H465" s="0"/>
      <c r="K465" s="0"/>
      <c r="L465" s="0"/>
    </row>
    <row r="466" customFormat="false" ht="12.75" hidden="false" customHeight="false" outlineLevel="0" collapsed="false">
      <c r="H466" s="0"/>
      <c r="K466" s="0"/>
      <c r="L466" s="0"/>
    </row>
    <row r="467" customFormat="false" ht="12.75" hidden="false" customHeight="false" outlineLevel="0" collapsed="false">
      <c r="H467" s="0"/>
      <c r="K467" s="0"/>
      <c r="L467" s="0"/>
    </row>
    <row r="468" customFormat="false" ht="12.75" hidden="false" customHeight="false" outlineLevel="0" collapsed="false">
      <c r="H468" s="0"/>
      <c r="K468" s="0"/>
      <c r="L468" s="0"/>
    </row>
    <row r="469" customFormat="false" ht="12.75" hidden="false" customHeight="false" outlineLevel="0" collapsed="false">
      <c r="H469" s="0"/>
      <c r="K469" s="0"/>
      <c r="L469" s="0"/>
    </row>
    <row r="470" customFormat="false" ht="12.75" hidden="false" customHeight="false" outlineLevel="0" collapsed="false">
      <c r="H470" s="0"/>
      <c r="K470" s="0"/>
      <c r="L470" s="0"/>
    </row>
    <row r="471" customFormat="false" ht="12.75" hidden="false" customHeight="false" outlineLevel="0" collapsed="false">
      <c r="H471" s="0"/>
      <c r="K471" s="0"/>
      <c r="L471" s="0"/>
    </row>
    <row r="472" customFormat="false" ht="12.75" hidden="false" customHeight="false" outlineLevel="0" collapsed="false">
      <c r="H472" s="0"/>
      <c r="K472" s="0"/>
      <c r="L472" s="0"/>
    </row>
    <row r="473" customFormat="false" ht="12.75" hidden="false" customHeight="false" outlineLevel="0" collapsed="false">
      <c r="H473" s="0"/>
      <c r="K473" s="0"/>
      <c r="L473" s="0"/>
    </row>
    <row r="474" customFormat="false" ht="12.75" hidden="false" customHeight="false" outlineLevel="0" collapsed="false">
      <c r="H474" s="0"/>
      <c r="K474" s="0"/>
      <c r="L474" s="0"/>
    </row>
    <row r="475" customFormat="false" ht="12.75" hidden="false" customHeight="false" outlineLevel="0" collapsed="false">
      <c r="H475" s="0"/>
      <c r="K475" s="0"/>
      <c r="L475" s="0"/>
    </row>
    <row r="476" customFormat="false" ht="12.75" hidden="false" customHeight="false" outlineLevel="0" collapsed="false">
      <c r="H476" s="0"/>
      <c r="K476" s="0"/>
      <c r="L476" s="0"/>
    </row>
    <row r="477" customFormat="false" ht="12.75" hidden="false" customHeight="false" outlineLevel="0" collapsed="false">
      <c r="H477" s="0"/>
      <c r="K477" s="0"/>
      <c r="L477" s="0"/>
    </row>
    <row r="478" customFormat="false" ht="12.75" hidden="false" customHeight="false" outlineLevel="0" collapsed="false">
      <c r="H478" s="0"/>
      <c r="K478" s="0"/>
      <c r="L478" s="0"/>
    </row>
    <row r="479" customFormat="false" ht="12.75" hidden="false" customHeight="false" outlineLevel="0" collapsed="false">
      <c r="H479" s="0"/>
      <c r="K479" s="0"/>
      <c r="L479" s="0"/>
    </row>
    <row r="480" customFormat="false" ht="12.75" hidden="false" customHeight="false" outlineLevel="0" collapsed="false">
      <c r="H480" s="0"/>
      <c r="K480" s="0"/>
      <c r="L480" s="0"/>
    </row>
    <row r="481" customFormat="false" ht="12.75" hidden="false" customHeight="false" outlineLevel="0" collapsed="false">
      <c r="H481" s="0"/>
      <c r="K481" s="0"/>
      <c r="L481" s="0"/>
    </row>
    <row r="482" customFormat="false" ht="12.75" hidden="false" customHeight="false" outlineLevel="0" collapsed="false">
      <c r="H482" s="0"/>
      <c r="K482" s="0"/>
      <c r="L482" s="0"/>
    </row>
    <row r="483" customFormat="false" ht="12.75" hidden="false" customHeight="false" outlineLevel="0" collapsed="false">
      <c r="H483" s="0"/>
      <c r="K483" s="0"/>
      <c r="L483" s="0"/>
    </row>
    <row r="484" customFormat="false" ht="12.75" hidden="false" customHeight="false" outlineLevel="0" collapsed="false">
      <c r="H484" s="0"/>
      <c r="K484" s="0"/>
      <c r="L484" s="0"/>
    </row>
    <row r="485" customFormat="false" ht="12.75" hidden="false" customHeight="false" outlineLevel="0" collapsed="false">
      <c r="H485" s="0"/>
      <c r="K485" s="0"/>
      <c r="L485" s="0"/>
    </row>
    <row r="486" customFormat="false" ht="12.75" hidden="false" customHeight="false" outlineLevel="0" collapsed="false">
      <c r="H486" s="0"/>
      <c r="K486" s="0"/>
      <c r="L486" s="0"/>
    </row>
    <row r="487" customFormat="false" ht="12.75" hidden="false" customHeight="false" outlineLevel="0" collapsed="false">
      <c r="H487" s="0"/>
      <c r="K487" s="0"/>
      <c r="L487" s="0"/>
    </row>
    <row r="488" customFormat="false" ht="12.75" hidden="false" customHeight="false" outlineLevel="0" collapsed="false">
      <c r="H488" s="0"/>
      <c r="K488" s="0"/>
      <c r="L488" s="0"/>
    </row>
    <row r="489" customFormat="false" ht="12.75" hidden="false" customHeight="false" outlineLevel="0" collapsed="false">
      <c r="H489" s="0"/>
      <c r="K489" s="0"/>
      <c r="L489" s="0"/>
    </row>
    <row r="490" customFormat="false" ht="12.75" hidden="false" customHeight="false" outlineLevel="0" collapsed="false">
      <c r="H490" s="0"/>
      <c r="K490" s="0"/>
      <c r="L490" s="0"/>
    </row>
    <row r="491" customFormat="false" ht="12.75" hidden="false" customHeight="false" outlineLevel="0" collapsed="false">
      <c r="H491" s="0"/>
      <c r="K491" s="0"/>
      <c r="L491" s="0"/>
    </row>
    <row r="492" customFormat="false" ht="12.75" hidden="false" customHeight="false" outlineLevel="0" collapsed="false">
      <c r="H492" s="0"/>
      <c r="K492" s="0"/>
      <c r="L492" s="0"/>
    </row>
    <row r="493" customFormat="false" ht="12.75" hidden="false" customHeight="false" outlineLevel="0" collapsed="false">
      <c r="H493" s="0"/>
      <c r="K493" s="0"/>
      <c r="L493" s="0"/>
    </row>
    <row r="494" customFormat="false" ht="12.75" hidden="false" customHeight="false" outlineLevel="0" collapsed="false">
      <c r="H494" s="0"/>
      <c r="K494" s="0"/>
      <c r="L494" s="0"/>
    </row>
    <row r="495" customFormat="false" ht="12.75" hidden="false" customHeight="false" outlineLevel="0" collapsed="false">
      <c r="H495" s="0"/>
      <c r="K495" s="0"/>
      <c r="L495" s="0"/>
    </row>
    <row r="496" customFormat="false" ht="12.75" hidden="false" customHeight="false" outlineLevel="0" collapsed="false">
      <c r="H496" s="0"/>
      <c r="K496" s="0"/>
      <c r="L496" s="0"/>
    </row>
    <row r="497" customFormat="false" ht="12.75" hidden="false" customHeight="false" outlineLevel="0" collapsed="false">
      <c r="H497" s="0"/>
      <c r="K497" s="0"/>
      <c r="L497" s="0"/>
    </row>
    <row r="498" customFormat="false" ht="12.75" hidden="false" customHeight="false" outlineLevel="0" collapsed="false">
      <c r="H498" s="0"/>
      <c r="K498" s="0"/>
      <c r="L498" s="0"/>
    </row>
    <row r="499" customFormat="false" ht="12.75" hidden="false" customHeight="false" outlineLevel="0" collapsed="false">
      <c r="H499" s="0"/>
      <c r="K499" s="0"/>
      <c r="L499" s="0"/>
    </row>
    <row r="500" customFormat="false" ht="12.75" hidden="false" customHeight="false" outlineLevel="0" collapsed="false">
      <c r="H500" s="0"/>
      <c r="K500" s="0"/>
      <c r="L500" s="0"/>
    </row>
    <row r="501" customFormat="false" ht="12.75" hidden="false" customHeight="false" outlineLevel="0" collapsed="false">
      <c r="H501" s="0"/>
      <c r="K501" s="0"/>
      <c r="L501" s="0"/>
    </row>
    <row r="502" customFormat="false" ht="12.75" hidden="false" customHeight="false" outlineLevel="0" collapsed="false">
      <c r="H502" s="0"/>
      <c r="K502" s="0"/>
      <c r="L502" s="0"/>
    </row>
    <row r="503" customFormat="false" ht="12.75" hidden="false" customHeight="false" outlineLevel="0" collapsed="false">
      <c r="H503" s="0"/>
      <c r="K503" s="0"/>
      <c r="L503" s="0"/>
    </row>
    <row r="504" customFormat="false" ht="12.75" hidden="false" customHeight="false" outlineLevel="0" collapsed="false">
      <c r="H504" s="0"/>
      <c r="K504" s="0"/>
      <c r="L504" s="0"/>
    </row>
    <row r="505" customFormat="false" ht="12.75" hidden="false" customHeight="false" outlineLevel="0" collapsed="false">
      <c r="H505" s="0"/>
      <c r="K505" s="0"/>
      <c r="L505" s="0"/>
    </row>
    <row r="506" customFormat="false" ht="12.75" hidden="false" customHeight="false" outlineLevel="0" collapsed="false">
      <c r="H506" s="0"/>
      <c r="K506" s="0"/>
      <c r="L506" s="0"/>
    </row>
    <row r="507" customFormat="false" ht="12.75" hidden="false" customHeight="false" outlineLevel="0" collapsed="false">
      <c r="H507" s="0"/>
      <c r="K507" s="0"/>
      <c r="L507" s="0"/>
    </row>
    <row r="508" customFormat="false" ht="12.75" hidden="false" customHeight="false" outlineLevel="0" collapsed="false">
      <c r="H508" s="0"/>
      <c r="K508" s="0"/>
      <c r="L508" s="0"/>
    </row>
    <row r="509" customFormat="false" ht="12.75" hidden="false" customHeight="false" outlineLevel="0" collapsed="false">
      <c r="H509" s="0"/>
      <c r="K509" s="0"/>
      <c r="L509" s="0"/>
    </row>
    <row r="510" customFormat="false" ht="12.75" hidden="false" customHeight="false" outlineLevel="0" collapsed="false">
      <c r="H510" s="0"/>
      <c r="K510" s="0"/>
      <c r="L510" s="0"/>
    </row>
    <row r="511" customFormat="false" ht="12.75" hidden="false" customHeight="false" outlineLevel="0" collapsed="false">
      <c r="H511" s="0"/>
      <c r="K511" s="0"/>
      <c r="L511" s="0"/>
    </row>
    <row r="512" customFormat="false" ht="12.75" hidden="false" customHeight="false" outlineLevel="0" collapsed="false">
      <c r="H512" s="0"/>
      <c r="K512" s="0"/>
      <c r="L512" s="0"/>
    </row>
    <row r="513" customFormat="false" ht="12.75" hidden="false" customHeight="false" outlineLevel="0" collapsed="false">
      <c r="H513" s="0"/>
      <c r="K513" s="0"/>
      <c r="L513" s="0"/>
    </row>
    <row r="514" customFormat="false" ht="12.75" hidden="false" customHeight="false" outlineLevel="0" collapsed="false">
      <c r="H514" s="0"/>
      <c r="K514" s="0"/>
      <c r="L514" s="0"/>
    </row>
    <row r="515" customFormat="false" ht="12.75" hidden="false" customHeight="false" outlineLevel="0" collapsed="false">
      <c r="H515" s="0"/>
      <c r="K515" s="0"/>
      <c r="L515" s="0"/>
    </row>
    <row r="516" customFormat="false" ht="12.75" hidden="false" customHeight="false" outlineLevel="0" collapsed="false">
      <c r="H516" s="0"/>
      <c r="K516" s="0"/>
      <c r="L516" s="0"/>
    </row>
    <row r="517" customFormat="false" ht="12.75" hidden="false" customHeight="false" outlineLevel="0" collapsed="false">
      <c r="H517" s="0"/>
      <c r="K517" s="0"/>
      <c r="L517" s="0"/>
    </row>
    <row r="518" customFormat="false" ht="12.75" hidden="false" customHeight="false" outlineLevel="0" collapsed="false">
      <c r="H518" s="0"/>
      <c r="K518" s="0"/>
      <c r="L518" s="0"/>
    </row>
    <row r="519" customFormat="false" ht="12.75" hidden="false" customHeight="false" outlineLevel="0" collapsed="false">
      <c r="H519" s="0"/>
      <c r="K519" s="0"/>
      <c r="L519" s="0"/>
    </row>
    <row r="520" customFormat="false" ht="12.75" hidden="false" customHeight="false" outlineLevel="0" collapsed="false">
      <c r="H520" s="0"/>
      <c r="K520" s="0"/>
      <c r="L520" s="0"/>
    </row>
    <row r="521" customFormat="false" ht="12.75" hidden="false" customHeight="false" outlineLevel="0" collapsed="false">
      <c r="H521" s="0"/>
      <c r="K521" s="0"/>
      <c r="L521" s="0"/>
    </row>
    <row r="522" customFormat="false" ht="12.75" hidden="false" customHeight="false" outlineLevel="0" collapsed="false">
      <c r="H522" s="0"/>
      <c r="K522" s="0"/>
      <c r="L522" s="0"/>
    </row>
    <row r="523" customFormat="false" ht="12.75" hidden="false" customHeight="false" outlineLevel="0" collapsed="false">
      <c r="H523" s="0"/>
      <c r="K523" s="0"/>
      <c r="L523" s="0"/>
    </row>
    <row r="524" customFormat="false" ht="12.75" hidden="false" customHeight="false" outlineLevel="0" collapsed="false">
      <c r="H524" s="0"/>
      <c r="K524" s="0"/>
      <c r="L524" s="0"/>
    </row>
    <row r="525" customFormat="false" ht="12.75" hidden="false" customHeight="false" outlineLevel="0" collapsed="false">
      <c r="H525" s="0"/>
      <c r="K525" s="0"/>
      <c r="L525" s="0"/>
    </row>
    <row r="526" customFormat="false" ht="12.75" hidden="false" customHeight="false" outlineLevel="0" collapsed="false">
      <c r="H526" s="0"/>
      <c r="K526" s="0"/>
      <c r="L526" s="0"/>
    </row>
    <row r="527" customFormat="false" ht="12.75" hidden="false" customHeight="false" outlineLevel="0" collapsed="false">
      <c r="H527" s="0"/>
      <c r="K527" s="0"/>
      <c r="L527" s="0"/>
    </row>
    <row r="528" customFormat="false" ht="12.75" hidden="false" customHeight="false" outlineLevel="0" collapsed="false">
      <c r="H528" s="0"/>
      <c r="K528" s="0"/>
      <c r="L528" s="0"/>
    </row>
    <row r="529" customFormat="false" ht="12.75" hidden="false" customHeight="false" outlineLevel="0" collapsed="false">
      <c r="H529" s="0"/>
      <c r="K529" s="0"/>
      <c r="L529" s="0"/>
    </row>
    <row r="530" customFormat="false" ht="12.75" hidden="false" customHeight="false" outlineLevel="0" collapsed="false">
      <c r="H530" s="0"/>
      <c r="K530" s="0"/>
      <c r="L530" s="0"/>
    </row>
    <row r="531" customFormat="false" ht="12.75" hidden="false" customHeight="false" outlineLevel="0" collapsed="false">
      <c r="B531" s="407"/>
      <c r="H531" s="0"/>
      <c r="K531" s="0"/>
      <c r="L531" s="0"/>
    </row>
    <row r="532" customFormat="false" ht="12.75" hidden="false" customHeight="false" outlineLevel="0" collapsed="false">
      <c r="H532" s="0"/>
      <c r="K532" s="0"/>
      <c r="L532" s="0"/>
    </row>
    <row r="533" customFormat="false" ht="12.75" hidden="false" customHeight="false" outlineLevel="0" collapsed="false">
      <c r="H533" s="0"/>
      <c r="K533" s="0"/>
      <c r="L533" s="0"/>
    </row>
    <row r="534" customFormat="false" ht="12.75" hidden="false" customHeight="false" outlineLevel="0" collapsed="false">
      <c r="H534" s="0"/>
      <c r="K534" s="0"/>
      <c r="L534" s="0"/>
    </row>
    <row r="535" customFormat="false" ht="12.75" hidden="false" customHeight="false" outlineLevel="0" collapsed="false">
      <c r="B535" s="407"/>
      <c r="H535" s="0"/>
      <c r="K535" s="0"/>
      <c r="L535" s="0"/>
    </row>
    <row r="536" customFormat="false" ht="12.75" hidden="false" customHeight="false" outlineLevel="0" collapsed="false">
      <c r="H536" s="0"/>
      <c r="K536" s="0"/>
      <c r="L536" s="0"/>
    </row>
    <row r="537" customFormat="false" ht="12.75" hidden="false" customHeight="false" outlineLevel="0" collapsed="false">
      <c r="H537" s="0"/>
      <c r="K537" s="0"/>
      <c r="L537" s="0"/>
    </row>
    <row r="538" customFormat="false" ht="12.75" hidden="false" customHeight="false" outlineLevel="0" collapsed="false">
      <c r="H538" s="0"/>
      <c r="K538" s="0"/>
      <c r="L538" s="0"/>
    </row>
    <row r="539" customFormat="false" ht="12.75" hidden="false" customHeight="false" outlineLevel="0" collapsed="false">
      <c r="H539" s="0"/>
      <c r="K539" s="0"/>
      <c r="L539" s="0"/>
    </row>
    <row r="540" customFormat="false" ht="12.75" hidden="false" customHeight="false" outlineLevel="0" collapsed="false">
      <c r="H540" s="0"/>
      <c r="K540" s="0"/>
      <c r="L540" s="0"/>
    </row>
    <row r="541" customFormat="false" ht="12.75" hidden="false" customHeight="false" outlineLevel="0" collapsed="false">
      <c r="H541" s="0"/>
      <c r="K541" s="0"/>
      <c r="L541" s="0"/>
    </row>
    <row r="542" customFormat="false" ht="12.75" hidden="false" customHeight="false" outlineLevel="0" collapsed="false">
      <c r="H542" s="0"/>
      <c r="K542" s="0"/>
      <c r="L542" s="0"/>
    </row>
    <row r="543" customFormat="false" ht="12.75" hidden="false" customHeight="false" outlineLevel="0" collapsed="false">
      <c r="H543" s="0"/>
      <c r="K543" s="0"/>
      <c r="L543" s="0"/>
    </row>
    <row r="544" customFormat="false" ht="12.75" hidden="false" customHeight="false" outlineLevel="0" collapsed="false">
      <c r="H544" s="0"/>
      <c r="K544" s="0"/>
      <c r="L544" s="0"/>
    </row>
    <row r="545" customFormat="false" ht="12.75" hidden="false" customHeight="false" outlineLevel="0" collapsed="false">
      <c r="H545" s="0"/>
      <c r="K545" s="0"/>
      <c r="L545" s="0"/>
    </row>
    <row r="546" customFormat="false" ht="12.75" hidden="false" customHeight="false" outlineLevel="0" collapsed="false">
      <c r="H546" s="0"/>
      <c r="K546" s="0"/>
      <c r="L546" s="0"/>
    </row>
    <row r="547" customFormat="false" ht="12.75" hidden="false" customHeight="false" outlineLevel="0" collapsed="false">
      <c r="H547" s="0"/>
      <c r="K547" s="0"/>
      <c r="L547" s="0"/>
    </row>
    <row r="548" customFormat="false" ht="12.75" hidden="false" customHeight="false" outlineLevel="0" collapsed="false">
      <c r="H548" s="0"/>
      <c r="K548" s="0"/>
      <c r="L548" s="0"/>
    </row>
    <row r="549" customFormat="false" ht="12.75" hidden="false" customHeight="false" outlineLevel="0" collapsed="false">
      <c r="H549" s="0"/>
      <c r="K549" s="0"/>
      <c r="L549" s="0"/>
    </row>
    <row r="550" customFormat="false" ht="12.75" hidden="false" customHeight="false" outlineLevel="0" collapsed="false">
      <c r="H550" s="0"/>
      <c r="K550" s="0"/>
      <c r="L550" s="0"/>
    </row>
    <row r="551" customFormat="false" ht="12.75" hidden="false" customHeight="false" outlineLevel="0" collapsed="false">
      <c r="H551" s="0"/>
      <c r="K551" s="0"/>
      <c r="L551" s="0"/>
    </row>
    <row r="552" customFormat="false" ht="12.75" hidden="false" customHeight="false" outlineLevel="0" collapsed="false">
      <c r="H552" s="0"/>
      <c r="K552" s="0"/>
      <c r="L552" s="0"/>
    </row>
    <row r="553" customFormat="false" ht="12.75" hidden="false" customHeight="false" outlineLevel="0" collapsed="false">
      <c r="H553" s="0"/>
      <c r="K553" s="0"/>
      <c r="L553" s="0"/>
    </row>
    <row r="554" customFormat="false" ht="12.75" hidden="false" customHeight="false" outlineLevel="0" collapsed="false">
      <c r="H554" s="0"/>
      <c r="K554" s="0"/>
      <c r="L554" s="0"/>
    </row>
    <row r="555" customFormat="false" ht="12.75" hidden="false" customHeight="false" outlineLevel="0" collapsed="false">
      <c r="H555" s="0"/>
      <c r="K555" s="0"/>
      <c r="L555" s="0"/>
    </row>
    <row r="556" customFormat="false" ht="12.75" hidden="false" customHeight="false" outlineLevel="0" collapsed="false">
      <c r="H556" s="0"/>
      <c r="K556" s="0"/>
      <c r="L556" s="0"/>
    </row>
    <row r="557" customFormat="false" ht="12.75" hidden="false" customHeight="false" outlineLevel="0" collapsed="false">
      <c r="H557" s="0"/>
      <c r="K557" s="0"/>
      <c r="L557" s="0"/>
    </row>
    <row r="558" customFormat="false" ht="12.75" hidden="false" customHeight="false" outlineLevel="0" collapsed="false">
      <c r="H558" s="0"/>
      <c r="K558" s="0"/>
      <c r="L558" s="0"/>
    </row>
    <row r="559" customFormat="false" ht="12.75" hidden="false" customHeight="false" outlineLevel="0" collapsed="false">
      <c r="H559" s="0"/>
      <c r="K559" s="0"/>
      <c r="L559" s="0"/>
    </row>
    <row r="560" customFormat="false" ht="12.75" hidden="false" customHeight="false" outlineLevel="0" collapsed="false">
      <c r="H560" s="0"/>
      <c r="K560" s="0"/>
      <c r="L560" s="0"/>
    </row>
    <row r="561" customFormat="false" ht="12.75" hidden="false" customHeight="false" outlineLevel="0" collapsed="false">
      <c r="H561" s="0"/>
      <c r="K561" s="0"/>
      <c r="L561" s="0"/>
    </row>
    <row r="562" customFormat="false" ht="12.75" hidden="false" customHeight="false" outlineLevel="0" collapsed="false">
      <c r="H562" s="0"/>
      <c r="K562" s="0"/>
      <c r="L562" s="0"/>
    </row>
    <row r="563" customFormat="false" ht="12.75" hidden="false" customHeight="false" outlineLevel="0" collapsed="false">
      <c r="H563" s="0"/>
      <c r="K563" s="0"/>
      <c r="L563" s="0"/>
    </row>
    <row r="564" customFormat="false" ht="12.75" hidden="false" customHeight="false" outlineLevel="0" collapsed="false">
      <c r="H564" s="0"/>
      <c r="K564" s="0"/>
      <c r="L564" s="0"/>
    </row>
    <row r="565" customFormat="false" ht="12.75" hidden="false" customHeight="false" outlineLevel="0" collapsed="false">
      <c r="H565" s="0"/>
      <c r="K565" s="0"/>
      <c r="L565" s="0"/>
    </row>
    <row r="566" customFormat="false" ht="12.75" hidden="false" customHeight="false" outlineLevel="0" collapsed="false">
      <c r="H566" s="0"/>
      <c r="K566" s="0"/>
      <c r="L566" s="0"/>
    </row>
    <row r="567" customFormat="false" ht="12.75" hidden="false" customHeight="false" outlineLevel="0" collapsed="false">
      <c r="H567" s="0"/>
      <c r="K567" s="0"/>
      <c r="L567" s="0"/>
    </row>
    <row r="568" customFormat="false" ht="12.75" hidden="false" customHeight="false" outlineLevel="0" collapsed="false">
      <c r="H568" s="0"/>
      <c r="K568" s="0"/>
      <c r="L568" s="0"/>
    </row>
    <row r="569" customFormat="false" ht="12.75" hidden="false" customHeight="false" outlineLevel="0" collapsed="false">
      <c r="H569" s="0"/>
      <c r="K569" s="0"/>
      <c r="L569" s="0"/>
    </row>
    <row r="570" customFormat="false" ht="12.75" hidden="false" customHeight="false" outlineLevel="0" collapsed="false">
      <c r="C570" s="407"/>
      <c r="H570" s="0"/>
      <c r="K570" s="0"/>
      <c r="L570" s="0"/>
    </row>
    <row r="571" customFormat="false" ht="12.75" hidden="false" customHeight="false" outlineLevel="0" collapsed="false">
      <c r="H571" s="0"/>
      <c r="K571" s="0"/>
      <c r="L571" s="0"/>
    </row>
    <row r="572" customFormat="false" ht="12.75" hidden="false" customHeight="false" outlineLevel="0" collapsed="false">
      <c r="H572" s="0"/>
      <c r="K572" s="0"/>
      <c r="L572" s="0"/>
    </row>
    <row r="573" customFormat="false" ht="12.75" hidden="false" customHeight="false" outlineLevel="0" collapsed="false">
      <c r="H573" s="0"/>
      <c r="K573" s="0"/>
      <c r="L573" s="0"/>
    </row>
    <row r="574" customFormat="false" ht="12.75" hidden="false" customHeight="false" outlineLevel="0" collapsed="false">
      <c r="H574" s="0"/>
      <c r="K574" s="0"/>
      <c r="L574" s="0"/>
    </row>
    <row r="575" customFormat="false" ht="12.75" hidden="false" customHeight="false" outlineLevel="0" collapsed="false">
      <c r="H575" s="0"/>
      <c r="K575" s="0"/>
      <c r="L575" s="0"/>
    </row>
    <row r="576" customFormat="false" ht="12.75" hidden="false" customHeight="false" outlineLevel="0" collapsed="false">
      <c r="H576" s="0"/>
      <c r="K576" s="0"/>
      <c r="L576" s="0"/>
    </row>
    <row r="577" customFormat="false" ht="12.75" hidden="false" customHeight="false" outlineLevel="0" collapsed="false">
      <c r="H577" s="0"/>
      <c r="K577" s="0"/>
      <c r="L577" s="0"/>
    </row>
    <row r="578" customFormat="false" ht="12.75" hidden="false" customHeight="false" outlineLevel="0" collapsed="false">
      <c r="H578" s="0"/>
      <c r="K578" s="0"/>
      <c r="L578" s="0"/>
    </row>
    <row r="579" customFormat="false" ht="12.75" hidden="false" customHeight="false" outlineLevel="0" collapsed="false">
      <c r="H579" s="0"/>
      <c r="K579" s="0"/>
      <c r="L579" s="0"/>
    </row>
    <row r="580" customFormat="false" ht="12.75" hidden="false" customHeight="false" outlineLevel="0" collapsed="false">
      <c r="H580" s="0"/>
      <c r="K580" s="0"/>
      <c r="L580" s="0"/>
    </row>
    <row r="581" customFormat="false" ht="12.75" hidden="false" customHeight="false" outlineLevel="0" collapsed="false">
      <c r="H581" s="0"/>
      <c r="K581" s="0"/>
      <c r="L581" s="0"/>
    </row>
    <row r="582" customFormat="false" ht="12.75" hidden="false" customHeight="false" outlineLevel="0" collapsed="false">
      <c r="H582" s="0"/>
      <c r="K582" s="0"/>
      <c r="L582" s="0"/>
    </row>
    <row r="583" customFormat="false" ht="12.75" hidden="false" customHeight="false" outlineLevel="0" collapsed="false">
      <c r="H583" s="0"/>
      <c r="K583" s="0"/>
      <c r="L583" s="0"/>
    </row>
    <row r="584" customFormat="false" ht="12.75" hidden="false" customHeight="false" outlineLevel="0" collapsed="false">
      <c r="H584" s="0"/>
      <c r="K584" s="0"/>
      <c r="L584" s="0"/>
    </row>
    <row r="585" customFormat="false" ht="12.75" hidden="false" customHeight="false" outlineLevel="0" collapsed="false">
      <c r="H585" s="0"/>
      <c r="K585" s="0"/>
      <c r="L585" s="0"/>
    </row>
    <row r="586" customFormat="false" ht="12.75" hidden="false" customHeight="false" outlineLevel="0" collapsed="false">
      <c r="H586" s="0"/>
      <c r="K586" s="0"/>
      <c r="L586" s="0"/>
    </row>
    <row r="587" customFormat="false" ht="12.75" hidden="false" customHeight="false" outlineLevel="0" collapsed="false">
      <c r="H587" s="0"/>
      <c r="K587" s="0"/>
      <c r="L587" s="0"/>
    </row>
    <row r="588" customFormat="false" ht="12.75" hidden="false" customHeight="false" outlineLevel="0" collapsed="false">
      <c r="H588" s="0"/>
      <c r="K588" s="0"/>
      <c r="L588" s="0"/>
    </row>
    <row r="589" customFormat="false" ht="12.75" hidden="false" customHeight="false" outlineLevel="0" collapsed="false">
      <c r="H589" s="0"/>
      <c r="K589" s="0"/>
      <c r="L589" s="0"/>
    </row>
    <row r="590" customFormat="false" ht="12.75" hidden="false" customHeight="false" outlineLevel="0" collapsed="false">
      <c r="H590" s="0"/>
      <c r="K590" s="0"/>
      <c r="L590" s="0"/>
    </row>
    <row r="591" customFormat="false" ht="12.75" hidden="false" customHeight="false" outlineLevel="0" collapsed="false">
      <c r="H591" s="0"/>
      <c r="K591" s="0"/>
      <c r="L591" s="0"/>
    </row>
    <row r="592" customFormat="false" ht="12.75" hidden="false" customHeight="false" outlineLevel="0" collapsed="false">
      <c r="H592" s="0"/>
      <c r="K592" s="0"/>
      <c r="L592" s="0"/>
    </row>
    <row r="593" customFormat="false" ht="12.75" hidden="false" customHeight="false" outlineLevel="0" collapsed="false">
      <c r="H593" s="0"/>
      <c r="K593" s="0"/>
      <c r="L593" s="0"/>
    </row>
    <row r="594" customFormat="false" ht="12.75" hidden="false" customHeight="false" outlineLevel="0" collapsed="false">
      <c r="H594" s="0"/>
      <c r="K594" s="0"/>
      <c r="L594" s="0"/>
    </row>
    <row r="595" customFormat="false" ht="12.75" hidden="false" customHeight="false" outlineLevel="0" collapsed="false">
      <c r="H595" s="0"/>
      <c r="K595" s="0"/>
      <c r="L595" s="0"/>
    </row>
    <row r="596" customFormat="false" ht="12.75" hidden="false" customHeight="false" outlineLevel="0" collapsed="false">
      <c r="H596" s="0"/>
      <c r="K596" s="0"/>
      <c r="L596" s="0"/>
    </row>
    <row r="597" customFormat="false" ht="12.75" hidden="false" customHeight="false" outlineLevel="0" collapsed="false">
      <c r="H597" s="0"/>
      <c r="K597" s="0"/>
      <c r="L597" s="0"/>
    </row>
    <row r="598" customFormat="false" ht="12.75" hidden="false" customHeight="false" outlineLevel="0" collapsed="false">
      <c r="H598" s="0"/>
      <c r="K598" s="0"/>
      <c r="L598" s="0"/>
    </row>
    <row r="599" customFormat="false" ht="12.75" hidden="false" customHeight="false" outlineLevel="0" collapsed="false">
      <c r="H599" s="0"/>
      <c r="K599" s="0"/>
      <c r="L599" s="0"/>
    </row>
    <row r="600" customFormat="false" ht="12.75" hidden="false" customHeight="false" outlineLevel="0" collapsed="false">
      <c r="H600" s="0"/>
      <c r="K600" s="0"/>
      <c r="L600" s="0"/>
    </row>
    <row r="601" customFormat="false" ht="12.75" hidden="false" customHeight="false" outlineLevel="0" collapsed="false">
      <c r="H601" s="0"/>
      <c r="K601" s="0"/>
      <c r="L601" s="0"/>
    </row>
    <row r="602" customFormat="false" ht="12.75" hidden="false" customHeight="false" outlineLevel="0" collapsed="false">
      <c r="H602" s="0"/>
      <c r="K602" s="0"/>
      <c r="L602" s="0"/>
    </row>
    <row r="603" customFormat="false" ht="12.75" hidden="false" customHeight="false" outlineLevel="0" collapsed="false">
      <c r="H603" s="0"/>
      <c r="K603" s="0"/>
      <c r="L603" s="0"/>
    </row>
    <row r="604" customFormat="false" ht="12.75" hidden="false" customHeight="false" outlineLevel="0" collapsed="false">
      <c r="H604" s="0"/>
      <c r="K604" s="0"/>
      <c r="L604" s="0"/>
    </row>
    <row r="605" customFormat="false" ht="12.75" hidden="false" customHeight="false" outlineLevel="0" collapsed="false">
      <c r="H605" s="0"/>
      <c r="K605" s="0"/>
      <c r="L605" s="0"/>
    </row>
    <row r="606" customFormat="false" ht="12.75" hidden="false" customHeight="false" outlineLevel="0" collapsed="false">
      <c r="H606" s="0"/>
      <c r="K606" s="0"/>
      <c r="L606" s="0"/>
    </row>
    <row r="607" customFormat="false" ht="12.75" hidden="false" customHeight="false" outlineLevel="0" collapsed="false">
      <c r="H607" s="0"/>
      <c r="K607" s="0"/>
      <c r="L607" s="0"/>
    </row>
    <row r="608" customFormat="false" ht="12.75" hidden="false" customHeight="false" outlineLevel="0" collapsed="false">
      <c r="H608" s="0"/>
      <c r="K608" s="0"/>
      <c r="L608" s="0"/>
    </row>
    <row r="609" customFormat="false" ht="12.75" hidden="false" customHeight="false" outlineLevel="0" collapsed="false">
      <c r="H609" s="0"/>
      <c r="K609" s="0"/>
      <c r="L609" s="0"/>
    </row>
    <row r="610" customFormat="false" ht="12.75" hidden="false" customHeight="false" outlineLevel="0" collapsed="false">
      <c r="H610" s="0"/>
      <c r="K610" s="0"/>
      <c r="L610" s="0"/>
    </row>
    <row r="611" customFormat="false" ht="12.75" hidden="false" customHeight="false" outlineLevel="0" collapsed="false">
      <c r="H611" s="0"/>
      <c r="K611" s="0"/>
      <c r="L611" s="0"/>
    </row>
    <row r="612" customFormat="false" ht="12.75" hidden="false" customHeight="false" outlineLevel="0" collapsed="false">
      <c r="H612" s="0"/>
      <c r="K612" s="0"/>
      <c r="L612" s="0"/>
    </row>
    <row r="613" customFormat="false" ht="12.75" hidden="false" customHeight="false" outlineLevel="0" collapsed="false">
      <c r="H613" s="0"/>
      <c r="K613" s="0"/>
      <c r="L613" s="0"/>
    </row>
    <row r="614" customFormat="false" ht="12.75" hidden="false" customHeight="false" outlineLevel="0" collapsed="false">
      <c r="H614" s="0"/>
      <c r="K614" s="0"/>
      <c r="L614" s="0"/>
    </row>
    <row r="615" customFormat="false" ht="12.75" hidden="false" customHeight="false" outlineLevel="0" collapsed="false">
      <c r="H615" s="0"/>
      <c r="K615" s="0"/>
      <c r="L615" s="0"/>
    </row>
    <row r="616" customFormat="false" ht="12.75" hidden="false" customHeight="false" outlineLevel="0" collapsed="false">
      <c r="H616" s="0"/>
      <c r="K616" s="0"/>
      <c r="L616" s="0"/>
    </row>
    <row r="617" customFormat="false" ht="12.75" hidden="false" customHeight="false" outlineLevel="0" collapsed="false">
      <c r="H617" s="0"/>
      <c r="K617" s="0"/>
      <c r="L617" s="0"/>
    </row>
    <row r="618" customFormat="false" ht="12.75" hidden="false" customHeight="false" outlineLevel="0" collapsed="false">
      <c r="H618" s="0"/>
      <c r="K618" s="0"/>
      <c r="L618" s="0"/>
    </row>
    <row r="619" customFormat="false" ht="12.75" hidden="false" customHeight="false" outlineLevel="0" collapsed="false">
      <c r="H619" s="0"/>
      <c r="K619" s="0"/>
      <c r="L619" s="0"/>
    </row>
    <row r="620" customFormat="false" ht="12.75" hidden="false" customHeight="false" outlineLevel="0" collapsed="false">
      <c r="H620" s="0"/>
      <c r="K620" s="0"/>
      <c r="L620" s="0"/>
    </row>
    <row r="621" customFormat="false" ht="12.75" hidden="false" customHeight="false" outlineLevel="0" collapsed="false">
      <c r="H621" s="0"/>
      <c r="K621" s="0"/>
      <c r="L621" s="0"/>
    </row>
    <row r="622" customFormat="false" ht="12.75" hidden="false" customHeight="false" outlineLevel="0" collapsed="false">
      <c r="H622" s="0"/>
      <c r="K622" s="0"/>
      <c r="L622" s="0"/>
    </row>
    <row r="623" customFormat="false" ht="12.75" hidden="false" customHeight="false" outlineLevel="0" collapsed="false">
      <c r="H623" s="0"/>
      <c r="K623" s="0"/>
      <c r="L623" s="0"/>
    </row>
    <row r="624" customFormat="false" ht="12.75" hidden="false" customHeight="false" outlineLevel="0" collapsed="false">
      <c r="H624" s="0"/>
      <c r="K624" s="0"/>
      <c r="L624" s="0"/>
    </row>
    <row r="625" customFormat="false" ht="12.75" hidden="false" customHeight="false" outlineLevel="0" collapsed="false">
      <c r="H625" s="0"/>
      <c r="K625" s="0"/>
      <c r="L625" s="0"/>
    </row>
    <row r="626" customFormat="false" ht="12.75" hidden="false" customHeight="false" outlineLevel="0" collapsed="false">
      <c r="H626" s="0"/>
      <c r="K626" s="0"/>
      <c r="L626" s="0"/>
    </row>
    <row r="627" customFormat="false" ht="12.75" hidden="false" customHeight="false" outlineLevel="0" collapsed="false">
      <c r="H627" s="0"/>
      <c r="K627" s="0"/>
      <c r="L627" s="0"/>
    </row>
    <row r="628" customFormat="false" ht="12.75" hidden="false" customHeight="false" outlineLevel="0" collapsed="false">
      <c r="H628" s="0"/>
      <c r="K628" s="0"/>
      <c r="L628" s="0"/>
    </row>
    <row r="629" customFormat="false" ht="12.75" hidden="false" customHeight="false" outlineLevel="0" collapsed="false">
      <c r="H629" s="0"/>
      <c r="K629" s="0"/>
      <c r="L629" s="0"/>
    </row>
    <row r="630" customFormat="false" ht="12.75" hidden="false" customHeight="false" outlineLevel="0" collapsed="false">
      <c r="H630" s="0"/>
      <c r="K630" s="0"/>
      <c r="L630" s="0"/>
    </row>
    <row r="631" customFormat="false" ht="12.75" hidden="false" customHeight="false" outlineLevel="0" collapsed="false">
      <c r="H631" s="0"/>
      <c r="K631" s="0"/>
      <c r="L631" s="0"/>
    </row>
    <row r="632" customFormat="false" ht="12.75" hidden="false" customHeight="false" outlineLevel="0" collapsed="false">
      <c r="H632" s="0"/>
      <c r="K632" s="0"/>
      <c r="L632" s="0"/>
    </row>
    <row r="633" customFormat="false" ht="12.75" hidden="false" customHeight="false" outlineLevel="0" collapsed="false">
      <c r="H633" s="0"/>
      <c r="K633" s="0"/>
      <c r="L633" s="0"/>
    </row>
    <row r="634" customFormat="false" ht="12.75" hidden="false" customHeight="false" outlineLevel="0" collapsed="false">
      <c r="H634" s="0"/>
      <c r="K634" s="0"/>
      <c r="L634" s="0"/>
    </row>
    <row r="635" customFormat="false" ht="12.75" hidden="false" customHeight="false" outlineLevel="0" collapsed="false">
      <c r="H635" s="0"/>
      <c r="K635" s="0"/>
      <c r="L635" s="0"/>
    </row>
    <row r="636" customFormat="false" ht="12.75" hidden="false" customHeight="false" outlineLevel="0" collapsed="false">
      <c r="H636" s="0"/>
      <c r="K636" s="0"/>
      <c r="L636" s="0"/>
    </row>
    <row r="637" customFormat="false" ht="12.75" hidden="false" customHeight="false" outlineLevel="0" collapsed="false">
      <c r="H637" s="0"/>
      <c r="K637" s="0"/>
      <c r="L637" s="0"/>
    </row>
    <row r="638" customFormat="false" ht="12.75" hidden="false" customHeight="false" outlineLevel="0" collapsed="false">
      <c r="H638" s="0"/>
      <c r="K638" s="0"/>
      <c r="L638" s="0"/>
    </row>
    <row r="639" customFormat="false" ht="12.75" hidden="false" customHeight="false" outlineLevel="0" collapsed="false">
      <c r="H639" s="0"/>
      <c r="K639" s="0"/>
      <c r="L639" s="0"/>
    </row>
    <row r="640" customFormat="false" ht="12.75" hidden="false" customHeight="false" outlineLevel="0" collapsed="false">
      <c r="H640" s="0"/>
      <c r="K640" s="0"/>
      <c r="L640" s="0"/>
    </row>
    <row r="641" customFormat="false" ht="12.75" hidden="false" customHeight="false" outlineLevel="0" collapsed="false">
      <c r="H641" s="0"/>
      <c r="K641" s="0"/>
      <c r="L641" s="0"/>
    </row>
    <row r="642" customFormat="false" ht="12.75" hidden="false" customHeight="false" outlineLevel="0" collapsed="false">
      <c r="H642" s="0"/>
      <c r="K642" s="0"/>
      <c r="L642" s="0"/>
    </row>
    <row r="643" customFormat="false" ht="12.75" hidden="false" customHeight="false" outlineLevel="0" collapsed="false">
      <c r="H643" s="0"/>
      <c r="K643" s="0"/>
      <c r="L643" s="0"/>
    </row>
    <row r="644" customFormat="false" ht="12.75" hidden="false" customHeight="false" outlineLevel="0" collapsed="false">
      <c r="H644" s="0"/>
      <c r="K644" s="0"/>
      <c r="L644" s="0"/>
    </row>
    <row r="645" customFormat="false" ht="12.75" hidden="false" customHeight="false" outlineLevel="0" collapsed="false">
      <c r="H645" s="0"/>
      <c r="K645" s="0"/>
      <c r="L645" s="0"/>
    </row>
    <row r="646" customFormat="false" ht="12.75" hidden="false" customHeight="false" outlineLevel="0" collapsed="false">
      <c r="H646" s="0"/>
      <c r="K646" s="0"/>
      <c r="L646" s="0"/>
    </row>
    <row r="647" customFormat="false" ht="12.75" hidden="false" customHeight="false" outlineLevel="0" collapsed="false">
      <c r="H647" s="0"/>
      <c r="K647" s="0"/>
      <c r="L647" s="0"/>
    </row>
    <row r="648" customFormat="false" ht="12.75" hidden="false" customHeight="false" outlineLevel="0" collapsed="false">
      <c r="H648" s="0"/>
      <c r="K648" s="0"/>
      <c r="L648" s="0"/>
    </row>
    <row r="649" customFormat="false" ht="12.75" hidden="false" customHeight="false" outlineLevel="0" collapsed="false">
      <c r="H649" s="0"/>
      <c r="K649" s="0"/>
      <c r="L649" s="0"/>
    </row>
    <row r="650" customFormat="false" ht="12.75" hidden="false" customHeight="false" outlineLevel="0" collapsed="false">
      <c r="H650" s="0"/>
      <c r="L650" s="0"/>
    </row>
    <row r="651" customFormat="false" ht="12.75" hidden="false" customHeight="false" outlineLevel="0" collapsed="false">
      <c r="H651" s="0"/>
      <c r="L651" s="0"/>
    </row>
    <row r="652" customFormat="false" ht="12.75" hidden="false" customHeight="false" outlineLevel="0" collapsed="false">
      <c r="H652" s="0"/>
      <c r="L652" s="0"/>
    </row>
    <row r="653" customFormat="false" ht="12.75" hidden="false" customHeight="false" outlineLevel="0" collapsed="false">
      <c r="H653" s="0"/>
      <c r="L653" s="0"/>
    </row>
    <row r="654" customFormat="false" ht="12.75" hidden="false" customHeight="false" outlineLevel="0" collapsed="false">
      <c r="H654" s="0"/>
      <c r="L654" s="0"/>
    </row>
    <row r="655" customFormat="false" ht="12.75" hidden="false" customHeight="false" outlineLevel="0" collapsed="false">
      <c r="H655" s="0"/>
      <c r="L655" s="0"/>
    </row>
    <row r="656" customFormat="false" ht="12.75" hidden="false" customHeight="false" outlineLevel="0" collapsed="false">
      <c r="H656" s="0"/>
      <c r="L656" s="0"/>
    </row>
    <row r="657" customFormat="false" ht="12.75" hidden="false" customHeight="false" outlineLevel="0" collapsed="false">
      <c r="H657" s="0"/>
      <c r="L657" s="0"/>
    </row>
    <row r="658" customFormat="false" ht="12.75" hidden="false" customHeight="false" outlineLevel="0" collapsed="false">
      <c r="H658" s="0"/>
      <c r="L658" s="0"/>
    </row>
    <row r="659" customFormat="false" ht="12.75" hidden="false" customHeight="false" outlineLevel="0" collapsed="false">
      <c r="H659" s="0"/>
      <c r="L659" s="0"/>
    </row>
    <row r="660" customFormat="false" ht="12.75" hidden="false" customHeight="false" outlineLevel="0" collapsed="false">
      <c r="H660" s="0"/>
      <c r="L660" s="0"/>
    </row>
    <row r="661" customFormat="false" ht="12.75" hidden="false" customHeight="false" outlineLevel="0" collapsed="false">
      <c r="H661" s="0"/>
      <c r="L661" s="0"/>
    </row>
    <row r="662" customFormat="false" ht="12.75" hidden="false" customHeight="false" outlineLevel="0" collapsed="false">
      <c r="H662" s="0"/>
      <c r="L662" s="0"/>
    </row>
    <row r="663" customFormat="false" ht="12.75" hidden="false" customHeight="false" outlineLevel="0" collapsed="false">
      <c r="H663" s="0"/>
      <c r="L663" s="0"/>
    </row>
    <row r="664" customFormat="false" ht="12.75" hidden="false" customHeight="false" outlineLevel="0" collapsed="false">
      <c r="H664" s="0"/>
      <c r="L664" s="0"/>
    </row>
    <row r="665" customFormat="false" ht="12.75" hidden="false" customHeight="false" outlineLevel="0" collapsed="false">
      <c r="H665" s="0"/>
      <c r="L665" s="0"/>
    </row>
    <row r="666" customFormat="false" ht="12.75" hidden="false" customHeight="false" outlineLevel="0" collapsed="false">
      <c r="H666" s="0"/>
      <c r="L666" s="0"/>
    </row>
    <row r="667" customFormat="false" ht="12.75" hidden="false" customHeight="false" outlineLevel="0" collapsed="false">
      <c r="H667" s="0"/>
      <c r="L667" s="0"/>
    </row>
    <row r="668" customFormat="false" ht="12.75" hidden="false" customHeight="false" outlineLevel="0" collapsed="false">
      <c r="H668" s="0"/>
      <c r="L668" s="0"/>
    </row>
    <row r="669" customFormat="false" ht="12.75" hidden="false" customHeight="false" outlineLevel="0" collapsed="false">
      <c r="H669" s="0"/>
      <c r="L669" s="0"/>
    </row>
    <row r="670" customFormat="false" ht="12.75" hidden="false" customHeight="false" outlineLevel="0" collapsed="false">
      <c r="H670" s="0"/>
      <c r="L670" s="0"/>
    </row>
    <row r="671" customFormat="false" ht="12.75" hidden="false" customHeight="false" outlineLevel="0" collapsed="false">
      <c r="H671" s="0"/>
      <c r="L671" s="0"/>
    </row>
    <row r="672" customFormat="false" ht="12.75" hidden="false" customHeight="false" outlineLevel="0" collapsed="false">
      <c r="H672" s="0"/>
      <c r="L672" s="0"/>
    </row>
    <row r="673" customFormat="false" ht="12.75" hidden="false" customHeight="false" outlineLevel="0" collapsed="false">
      <c r="H673" s="0"/>
      <c r="L673" s="0"/>
    </row>
    <row r="674" customFormat="false" ht="12.75" hidden="false" customHeight="false" outlineLevel="0" collapsed="false">
      <c r="H674" s="0"/>
      <c r="L674" s="0"/>
    </row>
    <row r="675" customFormat="false" ht="12.75" hidden="false" customHeight="false" outlineLevel="0" collapsed="false">
      <c r="H675" s="0"/>
      <c r="L675" s="0"/>
    </row>
    <row r="676" customFormat="false" ht="12.75" hidden="false" customHeight="false" outlineLevel="0" collapsed="false">
      <c r="H676" s="0"/>
      <c r="L676" s="0"/>
    </row>
    <row r="677" customFormat="false" ht="12.75" hidden="false" customHeight="false" outlineLevel="0" collapsed="false">
      <c r="H677" s="0"/>
      <c r="L677" s="0"/>
    </row>
    <row r="678" customFormat="false" ht="12.75" hidden="false" customHeight="false" outlineLevel="0" collapsed="false">
      <c r="H678" s="0"/>
      <c r="L678" s="0"/>
    </row>
    <row r="679" customFormat="false" ht="12.75" hidden="false" customHeight="false" outlineLevel="0" collapsed="false">
      <c r="H679" s="0"/>
      <c r="L679" s="0"/>
    </row>
    <row r="680" customFormat="false" ht="12.75" hidden="false" customHeight="false" outlineLevel="0" collapsed="false">
      <c r="H680" s="0"/>
      <c r="L680" s="0"/>
    </row>
    <row r="681" customFormat="false" ht="12.75" hidden="false" customHeight="false" outlineLevel="0" collapsed="false">
      <c r="H681" s="0"/>
      <c r="L681" s="0"/>
    </row>
    <row r="682" customFormat="false" ht="12.75" hidden="false" customHeight="false" outlineLevel="0" collapsed="false">
      <c r="H682" s="0"/>
      <c r="L682" s="0"/>
    </row>
    <row r="683" customFormat="false" ht="12.75" hidden="false" customHeight="false" outlineLevel="0" collapsed="false">
      <c r="H683" s="0"/>
      <c r="L683" s="0"/>
    </row>
    <row r="684" customFormat="false" ht="12.75" hidden="false" customHeight="false" outlineLevel="0" collapsed="false">
      <c r="H684" s="0"/>
      <c r="L684" s="0"/>
    </row>
    <row r="685" customFormat="false" ht="12.75" hidden="false" customHeight="false" outlineLevel="0" collapsed="false">
      <c r="H685" s="0"/>
      <c r="L685" s="0"/>
    </row>
    <row r="686" customFormat="false" ht="12.75" hidden="false" customHeight="false" outlineLevel="0" collapsed="false">
      <c r="H686" s="0"/>
      <c r="L686" s="0"/>
    </row>
    <row r="687" customFormat="false" ht="12.75" hidden="false" customHeight="false" outlineLevel="0" collapsed="false">
      <c r="H687" s="0"/>
      <c r="L687" s="0"/>
    </row>
    <row r="688" customFormat="false" ht="12.75" hidden="false" customHeight="false" outlineLevel="0" collapsed="false">
      <c r="H688" s="0"/>
      <c r="L688" s="0"/>
    </row>
    <row r="689" customFormat="false" ht="12.75" hidden="false" customHeight="false" outlineLevel="0" collapsed="false">
      <c r="H689" s="0"/>
      <c r="L689" s="0"/>
    </row>
    <row r="690" customFormat="false" ht="12.75" hidden="false" customHeight="false" outlineLevel="0" collapsed="false">
      <c r="H690" s="0"/>
      <c r="L690" s="0"/>
    </row>
    <row r="691" customFormat="false" ht="12.75" hidden="false" customHeight="false" outlineLevel="0" collapsed="false">
      <c r="H691" s="0"/>
      <c r="L691" s="0"/>
    </row>
    <row r="692" customFormat="false" ht="12.75" hidden="false" customHeight="false" outlineLevel="0" collapsed="false">
      <c r="H692" s="0"/>
      <c r="L692" s="0"/>
    </row>
    <row r="693" customFormat="false" ht="12.75" hidden="false" customHeight="false" outlineLevel="0" collapsed="false">
      <c r="H693" s="0"/>
      <c r="L693" s="0"/>
    </row>
    <row r="694" customFormat="false" ht="12.75" hidden="false" customHeight="false" outlineLevel="0" collapsed="false">
      <c r="H694" s="0"/>
      <c r="L694" s="0"/>
    </row>
    <row r="695" customFormat="false" ht="12.75" hidden="false" customHeight="false" outlineLevel="0" collapsed="false">
      <c r="H695" s="0"/>
      <c r="L695" s="0"/>
    </row>
    <row r="696" customFormat="false" ht="12.75" hidden="false" customHeight="false" outlineLevel="0" collapsed="false">
      <c r="H696" s="0"/>
      <c r="L696" s="0"/>
    </row>
    <row r="697" customFormat="false" ht="12.75" hidden="false" customHeight="false" outlineLevel="0" collapsed="false">
      <c r="H697" s="0"/>
      <c r="L697" s="0"/>
    </row>
    <row r="698" customFormat="false" ht="12.75" hidden="false" customHeight="false" outlineLevel="0" collapsed="false">
      <c r="H698" s="0"/>
      <c r="L698" s="0"/>
    </row>
    <row r="699" customFormat="false" ht="12.75" hidden="false" customHeight="false" outlineLevel="0" collapsed="false">
      <c r="H699" s="0"/>
      <c r="L699" s="0"/>
    </row>
    <row r="700" customFormat="false" ht="12.75" hidden="false" customHeight="false" outlineLevel="0" collapsed="false">
      <c r="H700" s="0"/>
      <c r="L700" s="0"/>
    </row>
    <row r="701" customFormat="false" ht="12.75" hidden="false" customHeight="false" outlineLevel="0" collapsed="false">
      <c r="H701" s="0"/>
      <c r="L701" s="0"/>
    </row>
    <row r="702" customFormat="false" ht="12.75" hidden="false" customHeight="false" outlineLevel="0" collapsed="false">
      <c r="H702" s="0"/>
      <c r="L702" s="0"/>
    </row>
    <row r="703" customFormat="false" ht="12.75" hidden="false" customHeight="false" outlineLevel="0" collapsed="false">
      <c r="H703" s="0"/>
      <c r="L703" s="0"/>
    </row>
    <row r="704" customFormat="false" ht="12.75" hidden="false" customHeight="false" outlineLevel="0" collapsed="false">
      <c r="H704" s="0"/>
      <c r="L704" s="0"/>
    </row>
    <row r="705" customFormat="false" ht="12.75" hidden="false" customHeight="false" outlineLevel="0" collapsed="false">
      <c r="H705" s="0"/>
      <c r="L705" s="0"/>
    </row>
    <row r="706" customFormat="false" ht="12.75" hidden="false" customHeight="false" outlineLevel="0" collapsed="false">
      <c r="H706" s="0"/>
      <c r="L706" s="0"/>
    </row>
    <row r="707" customFormat="false" ht="12.75" hidden="false" customHeight="false" outlineLevel="0" collapsed="false">
      <c r="H707" s="0"/>
      <c r="L707" s="0"/>
    </row>
    <row r="708" customFormat="false" ht="12.75" hidden="false" customHeight="false" outlineLevel="0" collapsed="false">
      <c r="H708" s="0"/>
      <c r="L708" s="0"/>
    </row>
    <row r="709" customFormat="false" ht="12.75" hidden="false" customHeight="false" outlineLevel="0" collapsed="false">
      <c r="H709" s="0"/>
      <c r="L709" s="0"/>
    </row>
    <row r="710" customFormat="false" ht="12.75" hidden="false" customHeight="false" outlineLevel="0" collapsed="false">
      <c r="H710" s="0"/>
      <c r="L710" s="0"/>
    </row>
    <row r="711" customFormat="false" ht="12.75" hidden="false" customHeight="false" outlineLevel="0" collapsed="false">
      <c r="H711" s="0"/>
      <c r="L711" s="0"/>
    </row>
    <row r="712" customFormat="false" ht="12.75" hidden="false" customHeight="false" outlineLevel="0" collapsed="false">
      <c r="H712" s="0"/>
      <c r="L712" s="0"/>
    </row>
    <row r="713" customFormat="false" ht="12.75" hidden="false" customHeight="false" outlineLevel="0" collapsed="false">
      <c r="H713" s="0"/>
      <c r="L713" s="0"/>
    </row>
    <row r="714" customFormat="false" ht="12.75" hidden="false" customHeight="false" outlineLevel="0" collapsed="false">
      <c r="H714" s="0"/>
      <c r="L714" s="0"/>
    </row>
    <row r="715" customFormat="false" ht="12.75" hidden="false" customHeight="false" outlineLevel="0" collapsed="false">
      <c r="H715" s="0"/>
      <c r="L715" s="0"/>
    </row>
    <row r="716" customFormat="false" ht="12.75" hidden="false" customHeight="false" outlineLevel="0" collapsed="false">
      <c r="H716" s="0"/>
      <c r="L716" s="0"/>
    </row>
    <row r="717" customFormat="false" ht="12.75" hidden="false" customHeight="false" outlineLevel="0" collapsed="false">
      <c r="H717" s="0"/>
      <c r="L717" s="0"/>
    </row>
    <row r="718" customFormat="false" ht="12.75" hidden="false" customHeight="false" outlineLevel="0" collapsed="false">
      <c r="H718" s="0"/>
      <c r="L718" s="0"/>
    </row>
    <row r="719" customFormat="false" ht="12.75" hidden="false" customHeight="false" outlineLevel="0" collapsed="false">
      <c r="H719" s="0"/>
      <c r="L719" s="0"/>
    </row>
    <row r="720" customFormat="false" ht="12.75" hidden="false" customHeight="false" outlineLevel="0" collapsed="false">
      <c r="H720" s="0"/>
      <c r="L720" s="0"/>
    </row>
    <row r="721" customFormat="false" ht="12.75" hidden="false" customHeight="false" outlineLevel="0" collapsed="false">
      <c r="H721" s="0"/>
      <c r="L721" s="0"/>
    </row>
    <row r="722" customFormat="false" ht="12.75" hidden="false" customHeight="false" outlineLevel="0" collapsed="false">
      <c r="H722" s="0"/>
      <c r="L722" s="0"/>
    </row>
    <row r="723" customFormat="false" ht="12.75" hidden="false" customHeight="false" outlineLevel="0" collapsed="false">
      <c r="H723" s="0"/>
      <c r="L723" s="0"/>
    </row>
    <row r="724" customFormat="false" ht="12.75" hidden="false" customHeight="false" outlineLevel="0" collapsed="false">
      <c r="H724" s="0"/>
      <c r="L724" s="0"/>
    </row>
    <row r="725" customFormat="false" ht="12.75" hidden="false" customHeight="false" outlineLevel="0" collapsed="false">
      <c r="H725" s="0"/>
      <c r="L725" s="0"/>
    </row>
    <row r="726" customFormat="false" ht="12.75" hidden="false" customHeight="false" outlineLevel="0" collapsed="false">
      <c r="H726" s="0"/>
      <c r="L726" s="0"/>
    </row>
    <row r="727" customFormat="false" ht="12.75" hidden="false" customHeight="false" outlineLevel="0" collapsed="false">
      <c r="H727" s="0"/>
      <c r="L727" s="0"/>
    </row>
    <row r="728" customFormat="false" ht="12.75" hidden="false" customHeight="false" outlineLevel="0" collapsed="false">
      <c r="H728" s="0"/>
      <c r="L728" s="0"/>
    </row>
    <row r="729" customFormat="false" ht="12.75" hidden="false" customHeight="false" outlineLevel="0" collapsed="false">
      <c r="H729" s="0"/>
      <c r="L729" s="0"/>
    </row>
    <row r="730" customFormat="false" ht="12.75" hidden="false" customHeight="false" outlineLevel="0" collapsed="false">
      <c r="H730" s="0"/>
      <c r="L730" s="0"/>
    </row>
    <row r="731" customFormat="false" ht="12.75" hidden="false" customHeight="false" outlineLevel="0" collapsed="false">
      <c r="H731" s="0"/>
      <c r="L731" s="0"/>
    </row>
    <row r="732" customFormat="false" ht="12.75" hidden="false" customHeight="false" outlineLevel="0" collapsed="false">
      <c r="H732" s="0"/>
      <c r="L732" s="0"/>
    </row>
    <row r="733" customFormat="false" ht="12.75" hidden="false" customHeight="false" outlineLevel="0" collapsed="false">
      <c r="H733" s="0"/>
      <c r="L733" s="0"/>
    </row>
    <row r="734" customFormat="false" ht="12.75" hidden="false" customHeight="false" outlineLevel="0" collapsed="false">
      <c r="H734" s="0"/>
      <c r="L734" s="0"/>
    </row>
    <row r="735" customFormat="false" ht="12.75" hidden="false" customHeight="false" outlineLevel="0" collapsed="false">
      <c r="H735" s="0"/>
      <c r="L735" s="0"/>
    </row>
    <row r="736" customFormat="false" ht="12.75" hidden="false" customHeight="false" outlineLevel="0" collapsed="false">
      <c r="H736" s="0"/>
      <c r="L736" s="0"/>
    </row>
    <row r="737" customFormat="false" ht="12.75" hidden="false" customHeight="false" outlineLevel="0" collapsed="false">
      <c r="H737" s="0"/>
      <c r="L737" s="0"/>
    </row>
    <row r="738" customFormat="false" ht="12.75" hidden="false" customHeight="false" outlineLevel="0" collapsed="false">
      <c r="H738" s="0"/>
      <c r="L738" s="0"/>
    </row>
    <row r="739" customFormat="false" ht="12.75" hidden="false" customHeight="false" outlineLevel="0" collapsed="false">
      <c r="H739" s="0"/>
      <c r="L739" s="0"/>
    </row>
    <row r="740" customFormat="false" ht="12.75" hidden="false" customHeight="false" outlineLevel="0" collapsed="false">
      <c r="H740" s="0"/>
      <c r="L740" s="0"/>
    </row>
    <row r="741" customFormat="false" ht="12.75" hidden="false" customHeight="false" outlineLevel="0" collapsed="false">
      <c r="H741" s="0"/>
      <c r="L741" s="0"/>
    </row>
    <row r="742" customFormat="false" ht="12.75" hidden="false" customHeight="false" outlineLevel="0" collapsed="false">
      <c r="H742" s="0"/>
      <c r="L742" s="0"/>
    </row>
    <row r="743" customFormat="false" ht="12.75" hidden="false" customHeight="false" outlineLevel="0" collapsed="false">
      <c r="H743" s="0"/>
      <c r="L743" s="0"/>
    </row>
    <row r="744" customFormat="false" ht="12.75" hidden="false" customHeight="false" outlineLevel="0" collapsed="false">
      <c r="H744" s="0"/>
      <c r="L744" s="0"/>
    </row>
    <row r="745" customFormat="false" ht="12.75" hidden="false" customHeight="false" outlineLevel="0" collapsed="false">
      <c r="H745" s="0"/>
      <c r="L745" s="0"/>
    </row>
    <row r="746" customFormat="false" ht="12.75" hidden="false" customHeight="false" outlineLevel="0" collapsed="false">
      <c r="H746" s="0"/>
      <c r="L746" s="0"/>
    </row>
    <row r="747" customFormat="false" ht="12.75" hidden="false" customHeight="false" outlineLevel="0" collapsed="false">
      <c r="H747" s="0"/>
      <c r="L747" s="0"/>
    </row>
    <row r="748" customFormat="false" ht="12.75" hidden="false" customHeight="false" outlineLevel="0" collapsed="false">
      <c r="H748" s="0"/>
      <c r="L748" s="0"/>
    </row>
    <row r="749" customFormat="false" ht="12.75" hidden="false" customHeight="false" outlineLevel="0" collapsed="false">
      <c r="H749" s="0"/>
      <c r="L749" s="0"/>
    </row>
    <row r="750" customFormat="false" ht="12.75" hidden="false" customHeight="false" outlineLevel="0" collapsed="false">
      <c r="H750" s="0"/>
      <c r="L750" s="0"/>
    </row>
    <row r="751" customFormat="false" ht="12.75" hidden="false" customHeight="false" outlineLevel="0" collapsed="false">
      <c r="H751" s="0"/>
      <c r="L751" s="0"/>
    </row>
    <row r="752" customFormat="false" ht="12.75" hidden="false" customHeight="false" outlineLevel="0" collapsed="false">
      <c r="H752" s="0"/>
      <c r="L752" s="0"/>
    </row>
    <row r="753" customFormat="false" ht="12.75" hidden="false" customHeight="false" outlineLevel="0" collapsed="false">
      <c r="H753" s="0"/>
      <c r="L753" s="0"/>
    </row>
    <row r="754" customFormat="false" ht="12.75" hidden="false" customHeight="false" outlineLevel="0" collapsed="false">
      <c r="H754" s="0"/>
      <c r="L754" s="0"/>
    </row>
    <row r="755" customFormat="false" ht="12.75" hidden="false" customHeight="false" outlineLevel="0" collapsed="false">
      <c r="H755" s="0"/>
      <c r="L755" s="0"/>
    </row>
    <row r="756" customFormat="false" ht="12.75" hidden="false" customHeight="false" outlineLevel="0" collapsed="false">
      <c r="H756" s="0"/>
      <c r="L756" s="0"/>
    </row>
    <row r="757" customFormat="false" ht="12.75" hidden="false" customHeight="false" outlineLevel="0" collapsed="false">
      <c r="H757" s="0"/>
      <c r="L757" s="0"/>
    </row>
    <row r="758" customFormat="false" ht="12.75" hidden="false" customHeight="false" outlineLevel="0" collapsed="false">
      <c r="H758" s="0"/>
      <c r="L758" s="0"/>
    </row>
    <row r="759" customFormat="false" ht="12.75" hidden="false" customHeight="false" outlineLevel="0" collapsed="false">
      <c r="H759" s="0"/>
      <c r="L759" s="0"/>
    </row>
    <row r="760" customFormat="false" ht="12.75" hidden="false" customHeight="false" outlineLevel="0" collapsed="false">
      <c r="H760" s="0"/>
      <c r="L760" s="0"/>
    </row>
    <row r="761" customFormat="false" ht="12.75" hidden="false" customHeight="false" outlineLevel="0" collapsed="false">
      <c r="H761" s="0"/>
      <c r="L761" s="0"/>
    </row>
    <row r="762" customFormat="false" ht="12.75" hidden="false" customHeight="false" outlineLevel="0" collapsed="false">
      <c r="H762" s="0"/>
      <c r="L762" s="0"/>
    </row>
    <row r="763" customFormat="false" ht="12.75" hidden="false" customHeight="false" outlineLevel="0" collapsed="false">
      <c r="H763" s="0"/>
      <c r="L763" s="0"/>
    </row>
    <row r="764" customFormat="false" ht="12.75" hidden="false" customHeight="false" outlineLevel="0" collapsed="false">
      <c r="H764" s="0"/>
      <c r="L764" s="0"/>
    </row>
    <row r="765" customFormat="false" ht="12.75" hidden="false" customHeight="false" outlineLevel="0" collapsed="false">
      <c r="H765" s="0"/>
      <c r="L765" s="0"/>
    </row>
    <row r="766" customFormat="false" ht="12.75" hidden="false" customHeight="false" outlineLevel="0" collapsed="false">
      <c r="H766" s="0"/>
      <c r="L766" s="0"/>
    </row>
    <row r="767" customFormat="false" ht="12.75" hidden="false" customHeight="false" outlineLevel="0" collapsed="false">
      <c r="H767" s="0"/>
      <c r="L767" s="0"/>
    </row>
    <row r="768" customFormat="false" ht="12.75" hidden="false" customHeight="false" outlineLevel="0" collapsed="false">
      <c r="H768" s="0"/>
      <c r="L768" s="0"/>
    </row>
    <row r="769" customFormat="false" ht="12.75" hidden="false" customHeight="false" outlineLevel="0" collapsed="false">
      <c r="H769" s="0"/>
      <c r="L769" s="0"/>
    </row>
    <row r="770" customFormat="false" ht="12.75" hidden="false" customHeight="false" outlineLevel="0" collapsed="false">
      <c r="H770" s="0"/>
      <c r="L770" s="0"/>
    </row>
    <row r="771" customFormat="false" ht="12.75" hidden="false" customHeight="false" outlineLevel="0" collapsed="false">
      <c r="H771" s="0"/>
      <c r="L771" s="0"/>
    </row>
    <row r="772" customFormat="false" ht="12.75" hidden="false" customHeight="false" outlineLevel="0" collapsed="false">
      <c r="H772" s="0"/>
      <c r="L772" s="0"/>
    </row>
    <row r="773" customFormat="false" ht="12.75" hidden="false" customHeight="false" outlineLevel="0" collapsed="false">
      <c r="H773" s="0"/>
      <c r="L773" s="0"/>
    </row>
    <row r="774" customFormat="false" ht="12.75" hidden="false" customHeight="false" outlineLevel="0" collapsed="false">
      <c r="H774" s="0"/>
      <c r="L774" s="0"/>
    </row>
    <row r="775" customFormat="false" ht="12.75" hidden="false" customHeight="false" outlineLevel="0" collapsed="false">
      <c r="H775" s="0"/>
      <c r="L775" s="0"/>
    </row>
    <row r="776" customFormat="false" ht="12.75" hidden="false" customHeight="false" outlineLevel="0" collapsed="false">
      <c r="H776" s="0"/>
      <c r="L776" s="0"/>
    </row>
    <row r="777" customFormat="false" ht="12.75" hidden="false" customHeight="false" outlineLevel="0" collapsed="false">
      <c r="H777" s="0"/>
      <c r="L777" s="0"/>
    </row>
    <row r="778" customFormat="false" ht="12.75" hidden="false" customHeight="false" outlineLevel="0" collapsed="false">
      <c r="H778" s="0"/>
      <c r="L778" s="0"/>
    </row>
    <row r="779" customFormat="false" ht="12.75" hidden="false" customHeight="false" outlineLevel="0" collapsed="false">
      <c r="H779" s="0"/>
      <c r="L779" s="0"/>
    </row>
    <row r="780" customFormat="false" ht="12.75" hidden="false" customHeight="false" outlineLevel="0" collapsed="false">
      <c r="H780" s="0"/>
      <c r="L780" s="0"/>
    </row>
    <row r="781" customFormat="false" ht="12.75" hidden="false" customHeight="false" outlineLevel="0" collapsed="false">
      <c r="H781" s="0"/>
      <c r="L781" s="0"/>
    </row>
    <row r="782" customFormat="false" ht="12.75" hidden="false" customHeight="false" outlineLevel="0" collapsed="false">
      <c r="H782" s="0"/>
      <c r="L782" s="0"/>
    </row>
    <row r="783" customFormat="false" ht="12.75" hidden="false" customHeight="false" outlineLevel="0" collapsed="false">
      <c r="H783" s="0"/>
      <c r="L783" s="0"/>
    </row>
    <row r="784" customFormat="false" ht="12.75" hidden="false" customHeight="false" outlineLevel="0" collapsed="false">
      <c r="H784" s="0"/>
      <c r="L784" s="0"/>
    </row>
    <row r="785" customFormat="false" ht="12.75" hidden="false" customHeight="false" outlineLevel="0" collapsed="false">
      <c r="H785" s="0"/>
      <c r="L785" s="0"/>
    </row>
    <row r="786" customFormat="false" ht="12.75" hidden="false" customHeight="false" outlineLevel="0" collapsed="false">
      <c r="H786" s="0"/>
      <c r="L786" s="0"/>
    </row>
    <row r="787" customFormat="false" ht="12.75" hidden="false" customHeight="false" outlineLevel="0" collapsed="false">
      <c r="H787" s="0"/>
      <c r="L787" s="0"/>
    </row>
    <row r="788" customFormat="false" ht="12.75" hidden="false" customHeight="false" outlineLevel="0" collapsed="false">
      <c r="H788" s="0"/>
      <c r="L788" s="0"/>
    </row>
    <row r="789" customFormat="false" ht="12.75" hidden="false" customHeight="false" outlineLevel="0" collapsed="false">
      <c r="H789" s="0"/>
      <c r="L789" s="0"/>
    </row>
    <row r="790" customFormat="false" ht="12.75" hidden="false" customHeight="false" outlineLevel="0" collapsed="false">
      <c r="H790" s="0"/>
      <c r="L790" s="0"/>
    </row>
    <row r="791" customFormat="false" ht="12.75" hidden="false" customHeight="false" outlineLevel="0" collapsed="false">
      <c r="H791" s="0"/>
      <c r="L791" s="0"/>
    </row>
    <row r="792" customFormat="false" ht="12.75" hidden="false" customHeight="false" outlineLevel="0" collapsed="false">
      <c r="H792" s="0"/>
      <c r="L792" s="0"/>
    </row>
    <row r="793" customFormat="false" ht="12.75" hidden="false" customHeight="false" outlineLevel="0" collapsed="false">
      <c r="H793" s="0"/>
      <c r="L793" s="0"/>
    </row>
    <row r="794" customFormat="false" ht="12.75" hidden="false" customHeight="false" outlineLevel="0" collapsed="false">
      <c r="H794" s="0"/>
      <c r="L794" s="0"/>
    </row>
    <row r="795" customFormat="false" ht="12.75" hidden="false" customHeight="false" outlineLevel="0" collapsed="false">
      <c r="H795" s="0"/>
      <c r="L795" s="0"/>
    </row>
    <row r="796" customFormat="false" ht="12.75" hidden="false" customHeight="false" outlineLevel="0" collapsed="false">
      <c r="H796" s="0"/>
      <c r="L796" s="0"/>
    </row>
    <row r="797" customFormat="false" ht="12.75" hidden="false" customHeight="false" outlineLevel="0" collapsed="false">
      <c r="H797" s="0"/>
      <c r="L797" s="0"/>
    </row>
    <row r="798" customFormat="false" ht="12.75" hidden="false" customHeight="false" outlineLevel="0" collapsed="false">
      <c r="H798" s="0"/>
      <c r="L798" s="0"/>
    </row>
    <row r="799" customFormat="false" ht="12.75" hidden="false" customHeight="false" outlineLevel="0" collapsed="false">
      <c r="H799" s="0"/>
      <c r="L799" s="0"/>
    </row>
    <row r="800" customFormat="false" ht="12.75" hidden="false" customHeight="false" outlineLevel="0" collapsed="false">
      <c r="H800" s="0"/>
      <c r="L800" s="0"/>
    </row>
    <row r="801" customFormat="false" ht="12.75" hidden="false" customHeight="false" outlineLevel="0" collapsed="false">
      <c r="H801" s="0"/>
      <c r="L801" s="0"/>
    </row>
    <row r="802" customFormat="false" ht="12.75" hidden="false" customHeight="false" outlineLevel="0" collapsed="false">
      <c r="H802" s="0"/>
      <c r="L802" s="0"/>
    </row>
    <row r="803" customFormat="false" ht="12.75" hidden="false" customHeight="false" outlineLevel="0" collapsed="false">
      <c r="H803" s="0"/>
      <c r="L803" s="0"/>
    </row>
    <row r="804" customFormat="false" ht="12.75" hidden="false" customHeight="false" outlineLevel="0" collapsed="false">
      <c r="H804" s="0"/>
      <c r="L804" s="0"/>
    </row>
    <row r="805" customFormat="false" ht="12.75" hidden="false" customHeight="false" outlineLevel="0" collapsed="false">
      <c r="H805" s="0"/>
      <c r="L805" s="0"/>
    </row>
    <row r="806" customFormat="false" ht="12.75" hidden="false" customHeight="false" outlineLevel="0" collapsed="false">
      <c r="H806" s="0"/>
      <c r="L806" s="0"/>
    </row>
    <row r="807" customFormat="false" ht="12.75" hidden="false" customHeight="false" outlineLevel="0" collapsed="false">
      <c r="H807" s="0"/>
      <c r="L807" s="0"/>
    </row>
    <row r="808" customFormat="false" ht="12.75" hidden="false" customHeight="false" outlineLevel="0" collapsed="false">
      <c r="H808" s="0"/>
      <c r="L808" s="0"/>
    </row>
    <row r="809" customFormat="false" ht="12.75" hidden="false" customHeight="false" outlineLevel="0" collapsed="false">
      <c r="H809" s="0"/>
      <c r="L809" s="0"/>
    </row>
    <row r="810" customFormat="false" ht="12.75" hidden="false" customHeight="false" outlineLevel="0" collapsed="false">
      <c r="H810" s="0"/>
      <c r="L810" s="0"/>
    </row>
    <row r="811" customFormat="false" ht="12.75" hidden="false" customHeight="false" outlineLevel="0" collapsed="false">
      <c r="H811" s="0"/>
      <c r="L811" s="0"/>
    </row>
    <row r="812" customFormat="false" ht="12.75" hidden="false" customHeight="false" outlineLevel="0" collapsed="false">
      <c r="H812" s="0"/>
      <c r="L812" s="0"/>
    </row>
    <row r="813" customFormat="false" ht="12.75" hidden="false" customHeight="false" outlineLevel="0" collapsed="false">
      <c r="H813" s="0"/>
      <c r="L813" s="0"/>
    </row>
    <row r="814" customFormat="false" ht="12.75" hidden="false" customHeight="false" outlineLevel="0" collapsed="false">
      <c r="H814" s="0"/>
      <c r="L814" s="0"/>
    </row>
    <row r="815" customFormat="false" ht="12.75" hidden="false" customHeight="false" outlineLevel="0" collapsed="false">
      <c r="H815" s="0"/>
      <c r="L815" s="0"/>
    </row>
    <row r="816" customFormat="false" ht="12.75" hidden="false" customHeight="false" outlineLevel="0" collapsed="false">
      <c r="H816" s="0"/>
      <c r="L816" s="0"/>
    </row>
    <row r="817" customFormat="false" ht="12.75" hidden="false" customHeight="false" outlineLevel="0" collapsed="false">
      <c r="H817" s="0"/>
      <c r="L817" s="0"/>
    </row>
    <row r="818" customFormat="false" ht="12.75" hidden="false" customHeight="false" outlineLevel="0" collapsed="false">
      <c r="H818" s="0"/>
      <c r="L818" s="0"/>
    </row>
    <row r="819" customFormat="false" ht="12.75" hidden="false" customHeight="false" outlineLevel="0" collapsed="false">
      <c r="H819" s="0"/>
      <c r="L819" s="0"/>
    </row>
    <row r="820" customFormat="false" ht="12.75" hidden="false" customHeight="false" outlineLevel="0" collapsed="false">
      <c r="H820" s="0"/>
      <c r="L820" s="0"/>
    </row>
    <row r="821" customFormat="false" ht="12.75" hidden="false" customHeight="false" outlineLevel="0" collapsed="false">
      <c r="H821" s="0"/>
      <c r="L821" s="0"/>
    </row>
    <row r="822" customFormat="false" ht="12.75" hidden="false" customHeight="false" outlineLevel="0" collapsed="false">
      <c r="H822" s="0"/>
      <c r="L822" s="0"/>
    </row>
    <row r="823" customFormat="false" ht="12.75" hidden="false" customHeight="false" outlineLevel="0" collapsed="false">
      <c r="H823" s="0"/>
      <c r="L823" s="0"/>
    </row>
    <row r="824" customFormat="false" ht="12.75" hidden="false" customHeight="false" outlineLevel="0" collapsed="false">
      <c r="H824" s="0"/>
      <c r="L824" s="0"/>
    </row>
    <row r="825" customFormat="false" ht="12.75" hidden="false" customHeight="false" outlineLevel="0" collapsed="false">
      <c r="H825" s="0"/>
      <c r="L825" s="0"/>
    </row>
    <row r="826" customFormat="false" ht="12.75" hidden="false" customHeight="false" outlineLevel="0" collapsed="false">
      <c r="H826" s="0"/>
      <c r="L826" s="0"/>
    </row>
    <row r="827" customFormat="false" ht="12.75" hidden="false" customHeight="false" outlineLevel="0" collapsed="false">
      <c r="H827" s="0"/>
      <c r="L827" s="0"/>
    </row>
    <row r="828" customFormat="false" ht="12.75" hidden="false" customHeight="false" outlineLevel="0" collapsed="false">
      <c r="H828" s="0"/>
      <c r="L828" s="0"/>
    </row>
    <row r="829" customFormat="false" ht="12.75" hidden="false" customHeight="false" outlineLevel="0" collapsed="false">
      <c r="H829" s="0"/>
      <c r="L829" s="0"/>
    </row>
    <row r="830" customFormat="false" ht="12.75" hidden="false" customHeight="false" outlineLevel="0" collapsed="false">
      <c r="H830" s="0"/>
      <c r="L830" s="0"/>
    </row>
    <row r="831" customFormat="false" ht="12.75" hidden="false" customHeight="false" outlineLevel="0" collapsed="false">
      <c r="H831" s="0"/>
      <c r="L831" s="0"/>
    </row>
    <row r="832" customFormat="false" ht="12.75" hidden="false" customHeight="false" outlineLevel="0" collapsed="false">
      <c r="H832" s="0"/>
      <c r="L832" s="0"/>
    </row>
    <row r="833" customFormat="false" ht="12.75" hidden="false" customHeight="false" outlineLevel="0" collapsed="false">
      <c r="H833" s="0"/>
      <c r="L833" s="0"/>
    </row>
    <row r="834" customFormat="false" ht="12.75" hidden="false" customHeight="false" outlineLevel="0" collapsed="false">
      <c r="H834" s="0"/>
      <c r="L834" s="0"/>
    </row>
    <row r="835" customFormat="false" ht="12.75" hidden="false" customHeight="false" outlineLevel="0" collapsed="false">
      <c r="H835" s="0"/>
      <c r="L835" s="0"/>
    </row>
    <row r="836" customFormat="false" ht="12.75" hidden="false" customHeight="false" outlineLevel="0" collapsed="false">
      <c r="H836" s="0"/>
      <c r="L836" s="0"/>
    </row>
    <row r="837" customFormat="false" ht="12.75" hidden="false" customHeight="false" outlineLevel="0" collapsed="false">
      <c r="H837" s="0"/>
      <c r="L837" s="0"/>
    </row>
    <row r="838" customFormat="false" ht="12.75" hidden="false" customHeight="false" outlineLevel="0" collapsed="false">
      <c r="H838" s="0"/>
      <c r="L838" s="0"/>
    </row>
    <row r="839" customFormat="false" ht="12.75" hidden="false" customHeight="false" outlineLevel="0" collapsed="false">
      <c r="H839" s="0"/>
      <c r="L839" s="0"/>
    </row>
    <row r="840" customFormat="false" ht="12.75" hidden="false" customHeight="false" outlineLevel="0" collapsed="false">
      <c r="H840" s="0"/>
      <c r="L840" s="0"/>
    </row>
    <row r="841" customFormat="false" ht="12.75" hidden="false" customHeight="false" outlineLevel="0" collapsed="false">
      <c r="H841" s="0"/>
      <c r="L841" s="0"/>
    </row>
    <row r="842" customFormat="false" ht="12.75" hidden="false" customHeight="false" outlineLevel="0" collapsed="false">
      <c r="H842" s="0"/>
      <c r="L842" s="0"/>
    </row>
    <row r="843" customFormat="false" ht="12.75" hidden="false" customHeight="false" outlineLevel="0" collapsed="false">
      <c r="H843" s="0"/>
      <c r="L843" s="0"/>
    </row>
    <row r="844" customFormat="false" ht="12.75" hidden="false" customHeight="false" outlineLevel="0" collapsed="false">
      <c r="H844" s="0"/>
      <c r="L844" s="0"/>
    </row>
    <row r="845" customFormat="false" ht="12.75" hidden="false" customHeight="false" outlineLevel="0" collapsed="false">
      <c r="H845" s="0"/>
      <c r="L845" s="0"/>
    </row>
    <row r="846" customFormat="false" ht="12.75" hidden="false" customHeight="false" outlineLevel="0" collapsed="false">
      <c r="H846" s="0"/>
      <c r="L846" s="0"/>
    </row>
    <row r="847" customFormat="false" ht="12.75" hidden="false" customHeight="false" outlineLevel="0" collapsed="false">
      <c r="H847" s="0"/>
      <c r="L847" s="0"/>
    </row>
    <row r="848" customFormat="false" ht="12.75" hidden="false" customHeight="false" outlineLevel="0" collapsed="false">
      <c r="H848" s="0"/>
      <c r="L848" s="0"/>
    </row>
    <row r="849" customFormat="false" ht="12.75" hidden="false" customHeight="false" outlineLevel="0" collapsed="false">
      <c r="H849" s="0"/>
      <c r="L849" s="0"/>
    </row>
    <row r="850" customFormat="false" ht="12.75" hidden="false" customHeight="false" outlineLevel="0" collapsed="false">
      <c r="H850" s="0"/>
      <c r="L850" s="0"/>
    </row>
    <row r="851" customFormat="false" ht="12.75" hidden="false" customHeight="false" outlineLevel="0" collapsed="false">
      <c r="H851" s="0"/>
      <c r="L851" s="0"/>
    </row>
    <row r="852" customFormat="false" ht="12.75" hidden="false" customHeight="false" outlineLevel="0" collapsed="false">
      <c r="H852" s="0"/>
      <c r="L852" s="0"/>
    </row>
    <row r="853" customFormat="false" ht="12.75" hidden="false" customHeight="false" outlineLevel="0" collapsed="false">
      <c r="H853" s="0"/>
      <c r="L853" s="0"/>
    </row>
    <row r="854" customFormat="false" ht="12.75" hidden="false" customHeight="false" outlineLevel="0" collapsed="false">
      <c r="H854" s="0"/>
      <c r="L854" s="0"/>
    </row>
    <row r="855" customFormat="false" ht="12.75" hidden="false" customHeight="false" outlineLevel="0" collapsed="false">
      <c r="H855" s="0"/>
      <c r="L855" s="0"/>
    </row>
    <row r="856" customFormat="false" ht="12.75" hidden="false" customHeight="false" outlineLevel="0" collapsed="false">
      <c r="H856" s="0"/>
      <c r="L856" s="0"/>
    </row>
    <row r="857" customFormat="false" ht="12.75" hidden="false" customHeight="false" outlineLevel="0" collapsed="false">
      <c r="H857" s="0"/>
      <c r="L857" s="0"/>
    </row>
    <row r="858" customFormat="false" ht="12.75" hidden="false" customHeight="false" outlineLevel="0" collapsed="false">
      <c r="H858" s="0"/>
      <c r="L858" s="0"/>
    </row>
    <row r="859" customFormat="false" ht="12.75" hidden="false" customHeight="false" outlineLevel="0" collapsed="false">
      <c r="H859" s="0"/>
      <c r="L859" s="0"/>
    </row>
    <row r="860" customFormat="false" ht="12.75" hidden="false" customHeight="false" outlineLevel="0" collapsed="false">
      <c r="H860" s="0"/>
      <c r="L860" s="0"/>
    </row>
    <row r="861" customFormat="false" ht="12.75" hidden="false" customHeight="false" outlineLevel="0" collapsed="false">
      <c r="H861" s="0"/>
      <c r="L861" s="0"/>
    </row>
    <row r="862" customFormat="false" ht="12.75" hidden="false" customHeight="false" outlineLevel="0" collapsed="false">
      <c r="H862" s="0"/>
      <c r="L862" s="0"/>
    </row>
    <row r="863" customFormat="false" ht="12.75" hidden="false" customHeight="false" outlineLevel="0" collapsed="false">
      <c r="H863" s="0"/>
      <c r="L863" s="0"/>
    </row>
    <row r="864" customFormat="false" ht="12.75" hidden="false" customHeight="false" outlineLevel="0" collapsed="false">
      <c r="H864" s="0"/>
      <c r="L864" s="0"/>
    </row>
    <row r="865" customFormat="false" ht="12.75" hidden="false" customHeight="false" outlineLevel="0" collapsed="false">
      <c r="H865" s="0"/>
      <c r="L865" s="0"/>
    </row>
    <row r="866" customFormat="false" ht="12.75" hidden="false" customHeight="false" outlineLevel="0" collapsed="false">
      <c r="H866" s="0"/>
      <c r="L866" s="0"/>
    </row>
    <row r="867" customFormat="false" ht="12.75" hidden="false" customHeight="false" outlineLevel="0" collapsed="false">
      <c r="H867" s="0"/>
      <c r="L867" s="0"/>
    </row>
    <row r="868" customFormat="false" ht="12.75" hidden="false" customHeight="false" outlineLevel="0" collapsed="false">
      <c r="H868" s="0"/>
      <c r="L868" s="0"/>
    </row>
    <row r="869" customFormat="false" ht="12.75" hidden="false" customHeight="false" outlineLevel="0" collapsed="false">
      <c r="H869" s="0"/>
      <c r="L869" s="0"/>
    </row>
    <row r="870" customFormat="false" ht="12.75" hidden="false" customHeight="false" outlineLevel="0" collapsed="false">
      <c r="H870" s="0"/>
      <c r="L870" s="0"/>
    </row>
    <row r="871" customFormat="false" ht="12.75" hidden="false" customHeight="false" outlineLevel="0" collapsed="false">
      <c r="H871" s="0"/>
      <c r="L871" s="0"/>
    </row>
    <row r="872" customFormat="false" ht="12.75" hidden="false" customHeight="false" outlineLevel="0" collapsed="false">
      <c r="H872" s="0"/>
      <c r="L872" s="0"/>
    </row>
    <row r="873" customFormat="false" ht="12.75" hidden="false" customHeight="false" outlineLevel="0" collapsed="false">
      <c r="H873" s="0"/>
      <c r="L873" s="0"/>
    </row>
    <row r="874" customFormat="false" ht="12.75" hidden="false" customHeight="false" outlineLevel="0" collapsed="false">
      <c r="H874" s="0"/>
      <c r="L874" s="0"/>
    </row>
    <row r="875" customFormat="false" ht="12.75" hidden="false" customHeight="false" outlineLevel="0" collapsed="false">
      <c r="H875" s="0"/>
      <c r="L875" s="0"/>
    </row>
    <row r="876" customFormat="false" ht="12.75" hidden="false" customHeight="false" outlineLevel="0" collapsed="false">
      <c r="H876" s="0"/>
      <c r="L876" s="0"/>
    </row>
    <row r="877" customFormat="false" ht="12.75" hidden="false" customHeight="false" outlineLevel="0" collapsed="false">
      <c r="H877" s="0"/>
      <c r="L877" s="0"/>
    </row>
    <row r="878" customFormat="false" ht="12.75" hidden="false" customHeight="false" outlineLevel="0" collapsed="false">
      <c r="H878" s="0"/>
      <c r="L878" s="0"/>
    </row>
    <row r="879" customFormat="false" ht="12.75" hidden="false" customHeight="false" outlineLevel="0" collapsed="false">
      <c r="H879" s="0"/>
      <c r="L879" s="0"/>
    </row>
    <row r="880" customFormat="false" ht="12.75" hidden="false" customHeight="false" outlineLevel="0" collapsed="false">
      <c r="H880" s="0"/>
      <c r="L880" s="0"/>
    </row>
    <row r="881" customFormat="false" ht="12.75" hidden="false" customHeight="false" outlineLevel="0" collapsed="false">
      <c r="H881" s="0"/>
      <c r="L881" s="0"/>
    </row>
    <row r="882" customFormat="false" ht="12.75" hidden="false" customHeight="false" outlineLevel="0" collapsed="false">
      <c r="H882" s="0"/>
      <c r="L882" s="0"/>
    </row>
    <row r="883" customFormat="false" ht="12.75" hidden="false" customHeight="false" outlineLevel="0" collapsed="false">
      <c r="H883" s="0"/>
      <c r="L883" s="0"/>
    </row>
    <row r="884" customFormat="false" ht="12.75" hidden="false" customHeight="false" outlineLevel="0" collapsed="false">
      <c r="H884" s="0"/>
      <c r="L884" s="0"/>
    </row>
    <row r="885" customFormat="false" ht="12.75" hidden="false" customHeight="false" outlineLevel="0" collapsed="false">
      <c r="H885" s="0"/>
      <c r="L885" s="0"/>
    </row>
    <row r="886" customFormat="false" ht="12.75" hidden="false" customHeight="false" outlineLevel="0" collapsed="false">
      <c r="H886" s="0"/>
      <c r="L886" s="0"/>
    </row>
    <row r="887" customFormat="false" ht="12.75" hidden="false" customHeight="false" outlineLevel="0" collapsed="false">
      <c r="H887" s="0"/>
      <c r="L887" s="0"/>
    </row>
    <row r="888" customFormat="false" ht="12.75" hidden="false" customHeight="false" outlineLevel="0" collapsed="false">
      <c r="H888" s="0"/>
      <c r="L888" s="0"/>
    </row>
    <row r="889" customFormat="false" ht="12.75" hidden="false" customHeight="false" outlineLevel="0" collapsed="false">
      <c r="H889" s="0"/>
      <c r="L889" s="0"/>
    </row>
    <row r="890" customFormat="false" ht="12.75" hidden="false" customHeight="false" outlineLevel="0" collapsed="false">
      <c r="H890" s="0"/>
      <c r="L890" s="0"/>
    </row>
    <row r="891" customFormat="false" ht="12.75" hidden="false" customHeight="false" outlineLevel="0" collapsed="false">
      <c r="H891" s="0"/>
      <c r="L891" s="0"/>
    </row>
    <row r="892" customFormat="false" ht="12.75" hidden="false" customHeight="false" outlineLevel="0" collapsed="false">
      <c r="H892" s="0"/>
      <c r="L892" s="0"/>
    </row>
    <row r="893" customFormat="false" ht="12.75" hidden="false" customHeight="false" outlineLevel="0" collapsed="false">
      <c r="H893" s="0"/>
      <c r="L893" s="0"/>
    </row>
    <row r="894" customFormat="false" ht="12.75" hidden="false" customHeight="false" outlineLevel="0" collapsed="false">
      <c r="H894" s="0"/>
      <c r="L894" s="0"/>
    </row>
    <row r="895" customFormat="false" ht="12.75" hidden="false" customHeight="false" outlineLevel="0" collapsed="false">
      <c r="H895" s="0"/>
      <c r="L895" s="0"/>
    </row>
    <row r="896" customFormat="false" ht="12.75" hidden="false" customHeight="false" outlineLevel="0" collapsed="false">
      <c r="H896" s="0"/>
      <c r="L896" s="0"/>
    </row>
    <row r="897" customFormat="false" ht="12.75" hidden="false" customHeight="false" outlineLevel="0" collapsed="false">
      <c r="H897" s="0"/>
      <c r="L897" s="0"/>
    </row>
    <row r="898" customFormat="false" ht="12.75" hidden="false" customHeight="false" outlineLevel="0" collapsed="false">
      <c r="H898" s="0"/>
      <c r="L898" s="0"/>
    </row>
    <row r="899" customFormat="false" ht="12.75" hidden="false" customHeight="false" outlineLevel="0" collapsed="false">
      <c r="H899" s="0"/>
      <c r="L899" s="0"/>
    </row>
    <row r="900" customFormat="false" ht="12.75" hidden="false" customHeight="false" outlineLevel="0" collapsed="false">
      <c r="H900" s="0"/>
      <c r="L900" s="0"/>
    </row>
    <row r="901" customFormat="false" ht="12.75" hidden="false" customHeight="false" outlineLevel="0" collapsed="false">
      <c r="H901" s="0"/>
      <c r="L901" s="0"/>
    </row>
    <row r="902" customFormat="false" ht="12.75" hidden="false" customHeight="false" outlineLevel="0" collapsed="false">
      <c r="H902" s="0"/>
      <c r="L902" s="0"/>
    </row>
    <row r="903" customFormat="false" ht="12.75" hidden="false" customHeight="false" outlineLevel="0" collapsed="false">
      <c r="H903" s="0"/>
      <c r="L903" s="0"/>
    </row>
    <row r="904" customFormat="false" ht="12.75" hidden="false" customHeight="false" outlineLevel="0" collapsed="false">
      <c r="H904" s="0"/>
      <c r="L904" s="0"/>
    </row>
    <row r="905" customFormat="false" ht="12.75" hidden="false" customHeight="false" outlineLevel="0" collapsed="false">
      <c r="H905" s="0"/>
      <c r="L905" s="0"/>
    </row>
    <row r="906" customFormat="false" ht="12.75" hidden="false" customHeight="false" outlineLevel="0" collapsed="false">
      <c r="H906" s="0"/>
      <c r="L906" s="0"/>
    </row>
    <row r="907" customFormat="false" ht="12.75" hidden="false" customHeight="false" outlineLevel="0" collapsed="false">
      <c r="H907" s="0"/>
      <c r="L907" s="0"/>
    </row>
    <row r="908" customFormat="false" ht="12.75" hidden="false" customHeight="false" outlineLevel="0" collapsed="false">
      <c r="H908" s="0"/>
      <c r="L908" s="0"/>
    </row>
    <row r="909" customFormat="false" ht="12.75" hidden="false" customHeight="false" outlineLevel="0" collapsed="false">
      <c r="H909" s="0"/>
      <c r="L909" s="0"/>
    </row>
    <row r="910" customFormat="false" ht="12.75" hidden="false" customHeight="false" outlineLevel="0" collapsed="false">
      <c r="H910" s="0"/>
      <c r="L910" s="0"/>
    </row>
    <row r="911" customFormat="false" ht="12.75" hidden="false" customHeight="false" outlineLevel="0" collapsed="false">
      <c r="H911" s="0"/>
      <c r="L911" s="0"/>
    </row>
    <row r="912" customFormat="false" ht="12.75" hidden="false" customHeight="false" outlineLevel="0" collapsed="false">
      <c r="H912" s="0"/>
      <c r="L912" s="0"/>
    </row>
    <row r="913" customFormat="false" ht="12.75" hidden="false" customHeight="false" outlineLevel="0" collapsed="false">
      <c r="H913" s="0"/>
      <c r="L913" s="0"/>
    </row>
    <row r="914" customFormat="false" ht="12.75" hidden="false" customHeight="false" outlineLevel="0" collapsed="false">
      <c r="H914" s="0"/>
      <c r="L914" s="0"/>
    </row>
    <row r="915" customFormat="false" ht="12.75" hidden="false" customHeight="false" outlineLevel="0" collapsed="false">
      <c r="H915" s="0"/>
      <c r="L915" s="0"/>
    </row>
    <row r="916" customFormat="false" ht="12.75" hidden="false" customHeight="false" outlineLevel="0" collapsed="false">
      <c r="H916" s="0"/>
      <c r="L916" s="0"/>
    </row>
    <row r="917" customFormat="false" ht="12.75" hidden="false" customHeight="false" outlineLevel="0" collapsed="false">
      <c r="H917" s="0"/>
      <c r="L917" s="0"/>
    </row>
    <row r="918" customFormat="false" ht="12.75" hidden="false" customHeight="false" outlineLevel="0" collapsed="false">
      <c r="H918" s="0"/>
      <c r="L918" s="0"/>
    </row>
    <row r="919" customFormat="false" ht="12.75" hidden="false" customHeight="false" outlineLevel="0" collapsed="false">
      <c r="H919" s="0"/>
      <c r="L919" s="0"/>
    </row>
    <row r="920" customFormat="false" ht="12.75" hidden="false" customHeight="false" outlineLevel="0" collapsed="false">
      <c r="H920" s="0"/>
      <c r="L920" s="0"/>
    </row>
    <row r="921" customFormat="false" ht="12.75" hidden="false" customHeight="false" outlineLevel="0" collapsed="false">
      <c r="H921" s="0"/>
      <c r="L921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Q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5.71"/>
    <col collapsed="false" customWidth="true" hidden="false" outlineLevel="0" max="3" min="3" style="0" width="4.71"/>
    <col collapsed="false" customWidth="true" hidden="false" outlineLevel="0" max="42" min="4" style="0" width="27.14"/>
    <col collapsed="false" customWidth="true" hidden="false" outlineLevel="0" max="43" min="43" style="0" width="11.14"/>
    <col collapsed="false" customWidth="true" hidden="false" outlineLevel="0" max="47" min="44" style="0" width="16.57"/>
    <col collapsed="false" customWidth="true" hidden="false" outlineLevel="0" max="48" min="48" style="0" width="20.99"/>
    <col collapsed="false" customWidth="true" hidden="false" outlineLevel="0" max="54" min="49" style="0" width="16.57"/>
    <col collapsed="false" customWidth="true" hidden="false" outlineLevel="0" max="55" min="55" style="0" width="20.99"/>
    <col collapsed="false" customWidth="true" hidden="false" outlineLevel="0" max="56" min="56" style="0" width="21.43"/>
    <col collapsed="false" customWidth="true" hidden="false" outlineLevel="0" max="57" min="57" style="0" width="25.86"/>
    <col collapsed="false" customWidth="true" hidden="false" outlineLevel="0" max="58" min="58" style="0" width="26"/>
    <col collapsed="false" customWidth="true" hidden="false" outlineLevel="0" max="59" min="59" style="0" width="30.43"/>
    <col collapsed="false" customWidth="true" hidden="false" outlineLevel="0" max="60" min="60" style="0" width="26.85"/>
    <col collapsed="false" customWidth="true" hidden="false" outlineLevel="0" max="61" min="61" style="0" width="31.28"/>
    <col collapsed="false" customWidth="true" hidden="false" outlineLevel="0" max="64" min="62" style="0" width="21.14"/>
    <col collapsed="false" customWidth="true" hidden="false" outlineLevel="0" max="65" min="65" style="0" width="25.71"/>
    <col collapsed="false" customWidth="true" hidden="false" outlineLevel="0" max="70" min="66" style="0" width="26"/>
    <col collapsed="false" customWidth="true" hidden="false" outlineLevel="0" max="71" min="71" style="0" width="30.43"/>
    <col collapsed="false" customWidth="true" hidden="false" outlineLevel="0" max="72" min="72" style="0" width="22.86"/>
    <col collapsed="false" customWidth="true" hidden="false" outlineLevel="0" max="73" min="73" style="0" width="27.29"/>
    <col collapsed="false" customWidth="true" hidden="false" outlineLevel="0" max="75" min="74" style="0" width="22.86"/>
    <col collapsed="false" customWidth="true" hidden="false" outlineLevel="0" max="76" min="76" style="0" width="27.29"/>
    <col collapsed="false" customWidth="true" hidden="false" outlineLevel="0" max="84" min="77" style="0" width="24.29"/>
    <col collapsed="false" customWidth="true" hidden="false" outlineLevel="0" max="85" min="85" style="0" width="28.71"/>
    <col collapsed="false" customWidth="true" hidden="false" outlineLevel="0" max="86" min="86" style="0" width="23.28"/>
    <col collapsed="false" customWidth="true" hidden="false" outlineLevel="0" max="87" min="87" style="0" width="27.71"/>
    <col collapsed="false" customWidth="true" hidden="false" outlineLevel="0" max="88" min="88" style="0" width="21.43"/>
    <col collapsed="false" customWidth="true" hidden="false" outlineLevel="0" max="89" min="89" style="0" width="25.86"/>
    <col collapsed="false" customWidth="true" hidden="false" outlineLevel="0" max="90" min="90" style="0" width="20.71"/>
    <col collapsed="false" customWidth="true" hidden="false" outlineLevel="0" max="91" min="91" style="0" width="25.14"/>
    <col collapsed="false" customWidth="true" hidden="false" outlineLevel="0" max="92" min="92" style="0" width="15.57"/>
    <col collapsed="false" customWidth="true" hidden="false" outlineLevel="0" max="93" min="93" style="0" width="19.99"/>
    <col collapsed="false" customWidth="true" hidden="false" outlineLevel="0" max="94" min="94" style="0" width="14.15"/>
    <col collapsed="false" customWidth="true" hidden="false" outlineLevel="0" max="95" min="95" style="0" width="18.58"/>
    <col collapsed="false" customWidth="true" hidden="false" outlineLevel="0" max="96" min="96" style="0" width="17"/>
    <col collapsed="false" customWidth="true" hidden="false" outlineLevel="0" max="97" min="97" style="0" width="21.57"/>
    <col collapsed="false" customWidth="true" hidden="false" outlineLevel="0" max="100" min="98" style="0" width="12.57"/>
    <col collapsed="false" customWidth="true" hidden="false" outlineLevel="0" max="101" min="101" style="0" width="17"/>
    <col collapsed="false" customWidth="true" hidden="false" outlineLevel="0" max="105" min="102" style="0" width="12.57"/>
    <col collapsed="false" customWidth="true" hidden="false" outlineLevel="0" max="106" min="106" style="0" width="17"/>
    <col collapsed="false" customWidth="true" hidden="false" outlineLevel="0" max="108" min="107" style="0" width="9.58"/>
    <col collapsed="false" customWidth="true" hidden="false" outlineLevel="0" max="109" min="109" style="0" width="13.43"/>
    <col collapsed="false" customWidth="true" hidden="false" outlineLevel="0" max="110" min="110" style="0" width="16.29"/>
    <col collapsed="false" customWidth="true" hidden="false" outlineLevel="0" max="111" min="111" style="0" width="20.71"/>
    <col collapsed="false" customWidth="true" hidden="false" outlineLevel="0" max="112" min="112" style="0" width="13.86"/>
    <col collapsed="false" customWidth="true" hidden="false" outlineLevel="0" max="113" min="113" style="0" width="18.29"/>
    <col collapsed="false" customWidth="true" hidden="false" outlineLevel="0" max="114" min="114" style="0" width="11.29"/>
    <col collapsed="false" customWidth="true" hidden="false" outlineLevel="0" max="115" min="115" style="0" width="15.71"/>
    <col collapsed="false" customWidth="true" hidden="false" outlineLevel="0" max="116" min="116" style="0" width="11.29"/>
    <col collapsed="false" customWidth="true" hidden="false" outlineLevel="0" max="117" min="117" style="0" width="15.71"/>
    <col collapsed="false" customWidth="true" hidden="false" outlineLevel="0" max="118" min="118" style="0" width="18.29"/>
    <col collapsed="false" customWidth="true" hidden="false" outlineLevel="0" max="119" min="119" style="0" width="22.7"/>
    <col collapsed="false" customWidth="true" hidden="false" outlineLevel="0" max="120" min="120" style="0" width="10.42"/>
    <col collapsed="false" customWidth="true" hidden="false" outlineLevel="0" max="121" min="121" style="0" width="14.7"/>
    <col collapsed="false" customWidth="true" hidden="false" outlineLevel="0" max="122" min="122" style="0" width="14.28"/>
    <col collapsed="false" customWidth="true" hidden="false" outlineLevel="0" max="123" min="123" style="0" width="18.71"/>
    <col collapsed="false" customWidth="true" hidden="false" outlineLevel="0" max="124" min="124" style="0" width="16.29"/>
    <col collapsed="false" customWidth="true" hidden="false" outlineLevel="0" max="125" min="125" style="0" width="20.71"/>
    <col collapsed="false" customWidth="true" hidden="false" outlineLevel="0" max="126" min="126" style="0" width="16.29"/>
    <col collapsed="false" customWidth="true" hidden="false" outlineLevel="0" max="127" min="127" style="0" width="20.71"/>
    <col collapsed="false" customWidth="true" hidden="false" outlineLevel="0" max="128" min="128" style="0" width="16.57"/>
    <col collapsed="false" customWidth="true" hidden="false" outlineLevel="0" max="129" min="129" style="0" width="20.99"/>
    <col collapsed="false" customWidth="true" hidden="false" outlineLevel="0" max="130" min="130" style="0" width="19.71"/>
    <col collapsed="false" customWidth="true" hidden="false" outlineLevel="0" max="131" min="131" style="0" width="24.15"/>
    <col collapsed="false" customWidth="true" hidden="false" outlineLevel="0" max="132" min="132" style="0" width="11.14"/>
    <col collapsed="false" customWidth="true" hidden="false" outlineLevel="0" max="246" min="133" style="0" width="13.01"/>
    <col collapsed="false" customWidth="true" hidden="false" outlineLevel="0" max="247" min="247" style="0" width="11.14"/>
  </cols>
  <sheetData>
    <row r="3" customFormat="false" ht="12.75" hidden="false" customHeight="false" outlineLevel="0" collapsed="false">
      <c r="A3" s="299" t="s">
        <v>4207</v>
      </c>
      <c r="B3" s="414"/>
      <c r="C3" s="414"/>
      <c r="D3" s="415"/>
    </row>
    <row r="4" customFormat="false" ht="12.75" hidden="false" customHeight="false" outlineLevel="0" collapsed="false">
      <c r="A4" s="299" t="s">
        <v>4208</v>
      </c>
      <c r="B4" s="299" t="s">
        <v>4209</v>
      </c>
      <c r="C4" s="299" t="s">
        <v>2</v>
      </c>
      <c r="D4" s="415" t="s">
        <v>4210</v>
      </c>
    </row>
    <row r="5" customFormat="false" ht="12.75" hidden="false" customHeight="false" outlineLevel="0" collapsed="false">
      <c r="A5" s="299" t="s">
        <v>457</v>
      </c>
      <c r="B5" s="299" t="s">
        <v>2890</v>
      </c>
      <c r="C5" s="299" t="s">
        <v>4211</v>
      </c>
      <c r="D5" s="416" t="n">
        <v>1</v>
      </c>
    </row>
    <row r="6" customFormat="false" ht="12.75" hidden="false" customHeight="false" outlineLevel="0" collapsed="false">
      <c r="A6" s="417"/>
      <c r="B6" s="417"/>
      <c r="C6" s="367" t="s">
        <v>4212</v>
      </c>
      <c r="D6" s="418" t="n">
        <v>1</v>
      </c>
    </row>
    <row r="7" customFormat="false" ht="12.75" hidden="false" customHeight="false" outlineLevel="0" collapsed="false">
      <c r="A7" s="417"/>
      <c r="B7" s="417"/>
      <c r="C7" s="367" t="s">
        <v>4213</v>
      </c>
      <c r="D7" s="418" t="n">
        <v>1</v>
      </c>
    </row>
    <row r="8" customFormat="false" ht="12.75" hidden="false" customHeight="false" outlineLevel="0" collapsed="false">
      <c r="A8" s="417"/>
      <c r="B8" s="417"/>
      <c r="C8" s="367" t="s">
        <v>4214</v>
      </c>
      <c r="D8" s="418" t="n">
        <v>1</v>
      </c>
    </row>
    <row r="9" customFormat="false" ht="12.75" hidden="false" customHeight="false" outlineLevel="0" collapsed="false">
      <c r="A9" s="417"/>
      <c r="B9" s="299" t="s">
        <v>4215</v>
      </c>
      <c r="C9" s="414"/>
      <c r="D9" s="416" t="n">
        <v>4</v>
      </c>
    </row>
    <row r="10" customFormat="false" ht="12.75" hidden="false" customHeight="false" outlineLevel="0" collapsed="false">
      <c r="A10" s="299" t="s">
        <v>4216</v>
      </c>
      <c r="B10" s="414"/>
      <c r="C10" s="414"/>
      <c r="D10" s="416" t="n">
        <v>4</v>
      </c>
    </row>
    <row r="11" customFormat="false" ht="12.75" hidden="false" customHeight="false" outlineLevel="0" collapsed="false">
      <c r="A11" s="299" t="s">
        <v>2254</v>
      </c>
      <c r="B11" s="299" t="s">
        <v>52</v>
      </c>
      <c r="C11" s="299" t="s">
        <v>4217</v>
      </c>
      <c r="D11" s="416" t="n">
        <v>1</v>
      </c>
    </row>
    <row r="12" customFormat="false" ht="12.75" hidden="false" customHeight="false" outlineLevel="0" collapsed="false">
      <c r="A12" s="417"/>
      <c r="B12" s="299" t="s">
        <v>4218</v>
      </c>
      <c r="C12" s="414"/>
      <c r="D12" s="416" t="n">
        <v>1</v>
      </c>
    </row>
    <row r="13" customFormat="false" ht="12.75" hidden="false" customHeight="false" outlineLevel="0" collapsed="false">
      <c r="A13" s="417"/>
      <c r="B13" s="299" t="s">
        <v>2890</v>
      </c>
      <c r="C13" s="299" t="s">
        <v>4219</v>
      </c>
      <c r="D13" s="416" t="n">
        <v>1</v>
      </c>
    </row>
    <row r="14" customFormat="false" ht="12.75" hidden="false" customHeight="false" outlineLevel="0" collapsed="false">
      <c r="A14" s="417"/>
      <c r="B14" s="299" t="s">
        <v>4215</v>
      </c>
      <c r="C14" s="414"/>
      <c r="D14" s="416" t="n">
        <v>1</v>
      </c>
    </row>
    <row r="15" customFormat="false" ht="12.75" hidden="false" customHeight="false" outlineLevel="0" collapsed="false">
      <c r="A15" s="299" t="s">
        <v>4220</v>
      </c>
      <c r="B15" s="414"/>
      <c r="C15" s="414"/>
      <c r="D15" s="416" t="n">
        <v>2</v>
      </c>
    </row>
    <row r="16" customFormat="false" ht="12.75" hidden="false" customHeight="false" outlineLevel="0" collapsed="false">
      <c r="A16" s="299" t="s">
        <v>1330</v>
      </c>
      <c r="B16" s="299" t="s">
        <v>52</v>
      </c>
      <c r="C16" s="299" t="s">
        <v>4211</v>
      </c>
      <c r="D16" s="416" t="n">
        <v>1</v>
      </c>
    </row>
    <row r="17" customFormat="false" ht="12.75" hidden="false" customHeight="false" outlineLevel="0" collapsed="false">
      <c r="A17" s="417"/>
      <c r="B17" s="417"/>
      <c r="C17" s="367" t="s">
        <v>4217</v>
      </c>
      <c r="D17" s="418" t="n">
        <v>1</v>
      </c>
    </row>
    <row r="18" customFormat="false" ht="12.75" hidden="false" customHeight="false" outlineLevel="0" collapsed="false">
      <c r="A18" s="417"/>
      <c r="B18" s="417"/>
      <c r="C18" s="367" t="s">
        <v>4221</v>
      </c>
      <c r="D18" s="418" t="n">
        <v>1</v>
      </c>
    </row>
    <row r="19" customFormat="false" ht="12.75" hidden="false" customHeight="false" outlineLevel="0" collapsed="false">
      <c r="A19" s="417"/>
      <c r="B19" s="299" t="s">
        <v>4218</v>
      </c>
      <c r="C19" s="414"/>
      <c r="D19" s="416" t="n">
        <v>3</v>
      </c>
    </row>
    <row r="20" customFormat="false" ht="12.75" hidden="false" customHeight="false" outlineLevel="0" collapsed="false">
      <c r="A20" s="417"/>
      <c r="B20" s="299" t="s">
        <v>2890</v>
      </c>
      <c r="C20" s="299" t="s">
        <v>4222</v>
      </c>
      <c r="D20" s="416" t="n">
        <v>1</v>
      </c>
    </row>
    <row r="21" customFormat="false" ht="12.75" hidden="false" customHeight="false" outlineLevel="0" collapsed="false">
      <c r="A21" s="417"/>
      <c r="B21" s="417"/>
      <c r="C21" s="367" t="s">
        <v>4223</v>
      </c>
      <c r="D21" s="418" t="n">
        <v>1</v>
      </c>
    </row>
    <row r="22" customFormat="false" ht="12.75" hidden="false" customHeight="false" outlineLevel="0" collapsed="false">
      <c r="A22" s="417"/>
      <c r="B22" s="417"/>
      <c r="C22" s="367" t="s">
        <v>4224</v>
      </c>
      <c r="D22" s="418" t="n">
        <v>1</v>
      </c>
    </row>
    <row r="23" customFormat="false" ht="12.75" hidden="false" customHeight="false" outlineLevel="0" collapsed="false">
      <c r="A23" s="417"/>
      <c r="B23" s="299" t="s">
        <v>4215</v>
      </c>
      <c r="C23" s="414"/>
      <c r="D23" s="416" t="n">
        <v>3</v>
      </c>
    </row>
    <row r="24" customFormat="false" ht="12.75" hidden="false" customHeight="false" outlineLevel="0" collapsed="false">
      <c r="A24" s="417"/>
      <c r="B24" s="299" t="s">
        <v>100</v>
      </c>
      <c r="C24" s="299" t="s">
        <v>4217</v>
      </c>
      <c r="D24" s="416" t="n">
        <v>2</v>
      </c>
    </row>
    <row r="25" customFormat="false" ht="12.75" hidden="false" customHeight="false" outlineLevel="0" collapsed="false">
      <c r="A25" s="417"/>
      <c r="B25" s="417"/>
      <c r="C25" s="367" t="s">
        <v>4221</v>
      </c>
      <c r="D25" s="418" t="n">
        <v>1</v>
      </c>
    </row>
    <row r="26" customFormat="false" ht="12.75" hidden="false" customHeight="false" outlineLevel="0" collapsed="false">
      <c r="A26" s="417"/>
      <c r="B26" s="299" t="s">
        <v>4225</v>
      </c>
      <c r="C26" s="414"/>
      <c r="D26" s="416" t="n">
        <v>3</v>
      </c>
    </row>
    <row r="27" customFormat="false" ht="12.75" hidden="false" customHeight="false" outlineLevel="0" collapsed="false">
      <c r="A27" s="299" t="s">
        <v>4226</v>
      </c>
      <c r="B27" s="414"/>
      <c r="C27" s="414"/>
      <c r="D27" s="416" t="n">
        <v>9</v>
      </c>
    </row>
    <row r="28" customFormat="false" ht="12.75" hidden="false" customHeight="false" outlineLevel="0" collapsed="false">
      <c r="A28" s="299" t="s">
        <v>405</v>
      </c>
      <c r="B28" s="299" t="s">
        <v>52</v>
      </c>
      <c r="C28" s="299" t="s">
        <v>4227</v>
      </c>
      <c r="D28" s="416" t="n">
        <v>1</v>
      </c>
    </row>
    <row r="29" customFormat="false" ht="12.75" hidden="false" customHeight="false" outlineLevel="0" collapsed="false">
      <c r="A29" s="417"/>
      <c r="B29" s="417"/>
      <c r="C29" s="367" t="s">
        <v>4228</v>
      </c>
      <c r="D29" s="418" t="n">
        <v>1</v>
      </c>
    </row>
    <row r="30" customFormat="false" ht="12.75" hidden="false" customHeight="false" outlineLevel="0" collapsed="false">
      <c r="A30" s="417"/>
      <c r="B30" s="417"/>
      <c r="C30" s="367" t="s">
        <v>4221</v>
      </c>
      <c r="D30" s="418" t="n">
        <v>6</v>
      </c>
    </row>
    <row r="31" customFormat="false" ht="12.75" hidden="false" customHeight="false" outlineLevel="0" collapsed="false">
      <c r="A31" s="417"/>
      <c r="B31" s="417"/>
      <c r="C31" s="367" t="s">
        <v>4229</v>
      </c>
      <c r="D31" s="418" t="n">
        <v>2</v>
      </c>
    </row>
    <row r="32" customFormat="false" ht="12.75" hidden="false" customHeight="false" outlineLevel="0" collapsed="false">
      <c r="A32" s="417"/>
      <c r="B32" s="417"/>
      <c r="C32" s="367" t="s">
        <v>4230</v>
      </c>
      <c r="D32" s="418" t="n">
        <v>4</v>
      </c>
    </row>
    <row r="33" customFormat="false" ht="12.75" hidden="false" customHeight="false" outlineLevel="0" collapsed="false">
      <c r="A33" s="417"/>
      <c r="B33" s="417"/>
      <c r="C33" s="367" t="s">
        <v>4231</v>
      </c>
      <c r="D33" s="418" t="n">
        <v>1</v>
      </c>
    </row>
    <row r="34" customFormat="false" ht="12.75" hidden="false" customHeight="false" outlineLevel="0" collapsed="false">
      <c r="A34" s="417"/>
      <c r="B34" s="299" t="s">
        <v>4218</v>
      </c>
      <c r="C34" s="414"/>
      <c r="D34" s="416" t="n">
        <v>15</v>
      </c>
    </row>
    <row r="35" customFormat="false" ht="12.75" hidden="false" customHeight="false" outlineLevel="0" collapsed="false">
      <c r="A35" s="417"/>
      <c r="B35" s="299" t="s">
        <v>2890</v>
      </c>
      <c r="C35" s="299" t="s">
        <v>4232</v>
      </c>
      <c r="D35" s="416" t="n">
        <v>1</v>
      </c>
    </row>
    <row r="36" customFormat="false" ht="12.75" hidden="false" customHeight="false" outlineLevel="0" collapsed="false">
      <c r="A36" s="417"/>
      <c r="B36" s="299" t="s">
        <v>4215</v>
      </c>
      <c r="C36" s="414"/>
      <c r="D36" s="416" t="n">
        <v>1</v>
      </c>
    </row>
    <row r="37" customFormat="false" ht="12.75" hidden="false" customHeight="false" outlineLevel="0" collapsed="false">
      <c r="A37" s="417"/>
      <c r="B37" s="299" t="s">
        <v>100</v>
      </c>
      <c r="C37" s="299" t="s">
        <v>4233</v>
      </c>
      <c r="D37" s="416" t="n">
        <v>1</v>
      </c>
    </row>
    <row r="38" customFormat="false" ht="12.75" hidden="false" customHeight="false" outlineLevel="0" collapsed="false">
      <c r="A38" s="417"/>
      <c r="B38" s="417"/>
      <c r="C38" s="367" t="s">
        <v>4221</v>
      </c>
      <c r="D38" s="418" t="n">
        <v>3</v>
      </c>
    </row>
    <row r="39" customFormat="false" ht="12.75" hidden="false" customHeight="false" outlineLevel="0" collapsed="false">
      <c r="A39" s="417"/>
      <c r="B39" s="417"/>
      <c r="C39" s="367" t="s">
        <v>4229</v>
      </c>
      <c r="D39" s="418" t="n">
        <v>3</v>
      </c>
    </row>
    <row r="40" customFormat="false" ht="12.75" hidden="false" customHeight="false" outlineLevel="0" collapsed="false">
      <c r="A40" s="417"/>
      <c r="B40" s="417"/>
      <c r="C40" s="367" t="s">
        <v>4230</v>
      </c>
      <c r="D40" s="418" t="n">
        <v>2</v>
      </c>
    </row>
    <row r="41" customFormat="false" ht="12.75" hidden="false" customHeight="false" outlineLevel="0" collapsed="false">
      <c r="A41" s="417"/>
      <c r="B41" s="299" t="s">
        <v>4225</v>
      </c>
      <c r="C41" s="414"/>
      <c r="D41" s="416" t="n">
        <v>9</v>
      </c>
    </row>
    <row r="42" customFormat="false" ht="12.75" hidden="false" customHeight="false" outlineLevel="0" collapsed="false">
      <c r="A42" s="417"/>
      <c r="B42" s="299" t="s">
        <v>82</v>
      </c>
      <c r="C42" s="299" t="s">
        <v>4217</v>
      </c>
      <c r="D42" s="416" t="n">
        <v>1</v>
      </c>
    </row>
    <row r="43" customFormat="false" ht="12.75" hidden="false" customHeight="false" outlineLevel="0" collapsed="false">
      <c r="A43" s="417"/>
      <c r="B43" s="417"/>
      <c r="C43" s="367" t="s">
        <v>4213</v>
      </c>
      <c r="D43" s="418" t="n">
        <v>1</v>
      </c>
    </row>
    <row r="44" customFormat="false" ht="12.75" hidden="false" customHeight="false" outlineLevel="0" collapsed="false">
      <c r="A44" s="417"/>
      <c r="B44" s="417"/>
      <c r="C44" s="367" t="s">
        <v>4221</v>
      </c>
      <c r="D44" s="418" t="n">
        <v>5</v>
      </c>
    </row>
    <row r="45" customFormat="false" ht="12.75" hidden="false" customHeight="false" outlineLevel="0" collapsed="false">
      <c r="A45" s="417"/>
      <c r="B45" s="417"/>
      <c r="C45" s="367" t="s">
        <v>4230</v>
      </c>
      <c r="D45" s="418" t="n">
        <v>1</v>
      </c>
    </row>
    <row r="46" customFormat="false" ht="12.75" hidden="false" customHeight="false" outlineLevel="0" collapsed="false">
      <c r="A46" s="417"/>
      <c r="B46" s="417"/>
      <c r="C46" s="367" t="s">
        <v>4234</v>
      </c>
      <c r="D46" s="418" t="n">
        <v>1</v>
      </c>
    </row>
    <row r="47" customFormat="false" ht="12.75" hidden="false" customHeight="false" outlineLevel="0" collapsed="false">
      <c r="A47" s="417"/>
      <c r="B47" s="299" t="s">
        <v>4235</v>
      </c>
      <c r="C47" s="414"/>
      <c r="D47" s="416" t="n">
        <v>9</v>
      </c>
    </row>
    <row r="48" customFormat="false" ht="12.75" hidden="false" customHeight="false" outlineLevel="0" collapsed="false">
      <c r="A48" s="417"/>
      <c r="B48" s="299" t="s">
        <v>4236</v>
      </c>
      <c r="C48" s="299" t="s">
        <v>4221</v>
      </c>
      <c r="D48" s="416" t="n">
        <v>1</v>
      </c>
    </row>
    <row r="49" customFormat="false" ht="12.75" hidden="false" customHeight="false" outlineLevel="0" collapsed="false">
      <c r="A49" s="417"/>
      <c r="B49" s="417"/>
      <c r="C49" s="367" t="s">
        <v>4229</v>
      </c>
      <c r="D49" s="418" t="n">
        <v>1</v>
      </c>
    </row>
    <row r="50" customFormat="false" ht="12.75" hidden="false" customHeight="false" outlineLevel="0" collapsed="false">
      <c r="A50" s="417"/>
      <c r="B50" s="417"/>
      <c r="C50" s="367" t="s">
        <v>4237</v>
      </c>
      <c r="D50" s="418" t="n">
        <v>1</v>
      </c>
    </row>
    <row r="51" customFormat="false" ht="12.75" hidden="false" customHeight="false" outlineLevel="0" collapsed="false">
      <c r="A51" s="417"/>
      <c r="B51" s="299" t="s">
        <v>4238</v>
      </c>
      <c r="C51" s="414"/>
      <c r="D51" s="416" t="n">
        <v>3</v>
      </c>
    </row>
    <row r="52" customFormat="false" ht="12.75" hidden="false" customHeight="false" outlineLevel="0" collapsed="false">
      <c r="A52" s="417"/>
      <c r="B52" s="299" t="s">
        <v>2896</v>
      </c>
      <c r="C52" s="299" t="s">
        <v>4230</v>
      </c>
      <c r="D52" s="416" t="n">
        <v>2</v>
      </c>
    </row>
    <row r="53" customFormat="false" ht="12.75" hidden="false" customHeight="false" outlineLevel="0" collapsed="false">
      <c r="A53" s="417"/>
      <c r="B53" s="299" t="s">
        <v>4239</v>
      </c>
      <c r="C53" s="414"/>
      <c r="D53" s="416" t="n">
        <v>2</v>
      </c>
    </row>
    <row r="54" customFormat="false" ht="12.75" hidden="false" customHeight="false" outlineLevel="0" collapsed="false">
      <c r="A54" s="417"/>
      <c r="B54" s="299" t="s">
        <v>4240</v>
      </c>
      <c r="C54" s="299" t="s">
        <v>4221</v>
      </c>
      <c r="D54" s="416" t="n">
        <v>1</v>
      </c>
    </row>
    <row r="55" customFormat="false" ht="12.75" hidden="false" customHeight="false" outlineLevel="0" collapsed="false">
      <c r="A55" s="417"/>
      <c r="B55" s="417"/>
      <c r="C55" s="367" t="s">
        <v>4234</v>
      </c>
      <c r="D55" s="418" t="n">
        <v>1</v>
      </c>
    </row>
    <row r="56" customFormat="false" ht="12.75" hidden="false" customHeight="false" outlineLevel="0" collapsed="false">
      <c r="A56" s="417"/>
      <c r="B56" s="299" t="s">
        <v>4241</v>
      </c>
      <c r="C56" s="414"/>
      <c r="D56" s="416" t="n">
        <v>2</v>
      </c>
    </row>
    <row r="57" customFormat="false" ht="12.75" hidden="false" customHeight="false" outlineLevel="0" collapsed="false">
      <c r="A57" s="299" t="s">
        <v>4242</v>
      </c>
      <c r="B57" s="414"/>
      <c r="C57" s="414"/>
      <c r="D57" s="416" t="n">
        <v>41</v>
      </c>
    </row>
    <row r="58" customFormat="false" ht="12.75" hidden="false" customHeight="false" outlineLevel="0" collapsed="false">
      <c r="A58" s="299" t="s">
        <v>492</v>
      </c>
      <c r="B58" s="299" t="s">
        <v>2890</v>
      </c>
      <c r="C58" s="299" t="s">
        <v>4217</v>
      </c>
      <c r="D58" s="416" t="n">
        <v>1</v>
      </c>
    </row>
    <row r="59" customFormat="false" ht="12.75" hidden="false" customHeight="false" outlineLevel="0" collapsed="false">
      <c r="A59" s="417"/>
      <c r="B59" s="417"/>
      <c r="C59" s="367" t="s">
        <v>4243</v>
      </c>
      <c r="D59" s="418" t="n">
        <v>1</v>
      </c>
    </row>
    <row r="60" customFormat="false" ht="12.75" hidden="false" customHeight="false" outlineLevel="0" collapsed="false">
      <c r="A60" s="417"/>
      <c r="B60" s="299" t="s">
        <v>4215</v>
      </c>
      <c r="C60" s="414"/>
      <c r="D60" s="416" t="n">
        <v>2</v>
      </c>
    </row>
    <row r="61" customFormat="false" ht="12.75" hidden="false" customHeight="false" outlineLevel="0" collapsed="false">
      <c r="A61" s="299" t="s">
        <v>4244</v>
      </c>
      <c r="B61" s="414"/>
      <c r="C61" s="414"/>
      <c r="D61" s="416" t="n">
        <v>2</v>
      </c>
    </row>
    <row r="62" customFormat="false" ht="12.75" hidden="false" customHeight="false" outlineLevel="0" collapsed="false">
      <c r="A62" s="299" t="s">
        <v>4245</v>
      </c>
      <c r="B62" s="299" t="s">
        <v>52</v>
      </c>
      <c r="C62" s="299" t="s">
        <v>4211</v>
      </c>
      <c r="D62" s="416" t="n">
        <v>7</v>
      </c>
    </row>
    <row r="63" customFormat="false" ht="12.75" hidden="false" customHeight="false" outlineLevel="0" collapsed="false">
      <c r="A63" s="417"/>
      <c r="B63" s="417"/>
      <c r="C63" s="367" t="s">
        <v>4217</v>
      </c>
      <c r="D63" s="418" t="n">
        <v>1</v>
      </c>
    </row>
    <row r="64" customFormat="false" ht="12.75" hidden="false" customHeight="false" outlineLevel="0" collapsed="false">
      <c r="A64" s="417"/>
      <c r="B64" s="417"/>
      <c r="C64" s="367" t="s">
        <v>4222</v>
      </c>
      <c r="D64" s="418" t="n">
        <v>1</v>
      </c>
    </row>
    <row r="65" customFormat="false" ht="12.75" hidden="false" customHeight="false" outlineLevel="0" collapsed="false">
      <c r="A65" s="417"/>
      <c r="B65" s="417"/>
      <c r="C65" s="367" t="s">
        <v>4246</v>
      </c>
      <c r="D65" s="418" t="n">
        <v>6</v>
      </c>
    </row>
    <row r="66" customFormat="false" ht="12.75" hidden="false" customHeight="false" outlineLevel="0" collapsed="false">
      <c r="A66" s="417"/>
      <c r="B66" s="299" t="s">
        <v>4218</v>
      </c>
      <c r="C66" s="414"/>
      <c r="D66" s="416" t="n">
        <v>15</v>
      </c>
    </row>
    <row r="67" customFormat="false" ht="12.75" hidden="false" customHeight="false" outlineLevel="0" collapsed="false">
      <c r="A67" s="417"/>
      <c r="B67" s="299" t="s">
        <v>2890</v>
      </c>
      <c r="C67" s="299" t="s">
        <v>4247</v>
      </c>
      <c r="D67" s="416" t="n">
        <v>1</v>
      </c>
    </row>
    <row r="68" customFormat="false" ht="12.75" hidden="false" customHeight="false" outlineLevel="0" collapsed="false">
      <c r="A68" s="417"/>
      <c r="B68" s="417"/>
      <c r="C68" s="367" t="s">
        <v>4248</v>
      </c>
      <c r="D68" s="418" t="n">
        <v>1</v>
      </c>
    </row>
    <row r="69" customFormat="false" ht="12.75" hidden="false" customHeight="false" outlineLevel="0" collapsed="false">
      <c r="A69" s="417"/>
      <c r="B69" s="417"/>
      <c r="C69" s="367" t="s">
        <v>4228</v>
      </c>
      <c r="D69" s="418" t="n">
        <v>2</v>
      </c>
    </row>
    <row r="70" customFormat="false" ht="12.75" hidden="false" customHeight="false" outlineLevel="0" collapsed="false">
      <c r="A70" s="417"/>
      <c r="B70" s="417"/>
      <c r="C70" s="367" t="s">
        <v>4213</v>
      </c>
      <c r="D70" s="418" t="n">
        <v>1</v>
      </c>
    </row>
    <row r="71" customFormat="false" ht="12.75" hidden="false" customHeight="false" outlineLevel="0" collapsed="false">
      <c r="A71" s="417"/>
      <c r="B71" s="417"/>
      <c r="C71" s="367" t="s">
        <v>4232</v>
      </c>
      <c r="D71" s="418" t="n">
        <v>1</v>
      </c>
    </row>
    <row r="72" customFormat="false" ht="12.75" hidden="false" customHeight="false" outlineLevel="0" collapsed="false">
      <c r="A72" s="417"/>
      <c r="B72" s="417"/>
      <c r="C72" s="367" t="s">
        <v>4222</v>
      </c>
      <c r="D72" s="418" t="n">
        <v>1</v>
      </c>
    </row>
    <row r="73" customFormat="false" ht="12.75" hidden="false" customHeight="false" outlineLevel="0" collapsed="false">
      <c r="A73" s="417"/>
      <c r="B73" s="417"/>
      <c r="C73" s="367" t="s">
        <v>4223</v>
      </c>
      <c r="D73" s="418" t="n">
        <v>1</v>
      </c>
    </row>
    <row r="74" customFormat="false" ht="12.75" hidden="false" customHeight="false" outlineLevel="0" collapsed="false">
      <c r="A74" s="417"/>
      <c r="B74" s="417"/>
      <c r="C74" s="367" t="s">
        <v>4249</v>
      </c>
      <c r="D74" s="418" t="n">
        <v>1</v>
      </c>
    </row>
    <row r="75" customFormat="false" ht="12.75" hidden="false" customHeight="false" outlineLevel="0" collapsed="false">
      <c r="A75" s="417"/>
      <c r="B75" s="299" t="s">
        <v>4215</v>
      </c>
      <c r="C75" s="414"/>
      <c r="D75" s="416" t="n">
        <v>9</v>
      </c>
    </row>
    <row r="76" customFormat="false" ht="12.75" hidden="false" customHeight="false" outlineLevel="0" collapsed="false">
      <c r="A76" s="417"/>
      <c r="B76" s="299" t="s">
        <v>100</v>
      </c>
      <c r="C76" s="299" t="s">
        <v>4211</v>
      </c>
      <c r="D76" s="416" t="n">
        <v>11</v>
      </c>
    </row>
    <row r="77" customFormat="false" ht="12.75" hidden="false" customHeight="false" outlineLevel="0" collapsed="false">
      <c r="A77" s="417"/>
      <c r="B77" s="417"/>
      <c r="C77" s="367" t="s">
        <v>4217</v>
      </c>
      <c r="D77" s="418" t="n">
        <v>2</v>
      </c>
    </row>
    <row r="78" customFormat="false" ht="12.75" hidden="false" customHeight="false" outlineLevel="0" collapsed="false">
      <c r="A78" s="417"/>
      <c r="B78" s="417"/>
      <c r="C78" s="367" t="s">
        <v>4233</v>
      </c>
      <c r="D78" s="418" t="n">
        <v>1</v>
      </c>
    </row>
    <row r="79" customFormat="false" ht="12.75" hidden="false" customHeight="false" outlineLevel="0" collapsed="false">
      <c r="A79" s="417"/>
      <c r="B79" s="417"/>
      <c r="C79" s="367" t="s">
        <v>4223</v>
      </c>
      <c r="D79" s="418" t="n">
        <v>1</v>
      </c>
    </row>
    <row r="80" customFormat="false" ht="12.75" hidden="false" customHeight="false" outlineLevel="0" collapsed="false">
      <c r="A80" s="417"/>
      <c r="B80" s="417"/>
      <c r="C80" s="367" t="s">
        <v>4246</v>
      </c>
      <c r="D80" s="418" t="n">
        <v>4</v>
      </c>
    </row>
    <row r="81" customFormat="false" ht="12.75" hidden="false" customHeight="false" outlineLevel="0" collapsed="false">
      <c r="A81" s="417"/>
      <c r="B81" s="299" t="s">
        <v>4225</v>
      </c>
      <c r="C81" s="414"/>
      <c r="D81" s="416" t="n">
        <v>19</v>
      </c>
    </row>
    <row r="82" customFormat="false" ht="12.75" hidden="false" customHeight="false" outlineLevel="0" collapsed="false">
      <c r="A82" s="417"/>
      <c r="B82" s="299" t="s">
        <v>82</v>
      </c>
      <c r="C82" s="299" t="s">
        <v>4211</v>
      </c>
      <c r="D82" s="416" t="n">
        <v>8</v>
      </c>
    </row>
    <row r="83" customFormat="false" ht="12.75" hidden="false" customHeight="false" outlineLevel="0" collapsed="false">
      <c r="A83" s="417"/>
      <c r="B83" s="417"/>
      <c r="C83" s="367" t="s">
        <v>4217</v>
      </c>
      <c r="D83" s="418" t="n">
        <v>1</v>
      </c>
    </row>
    <row r="84" customFormat="false" ht="12.75" hidden="false" customHeight="false" outlineLevel="0" collapsed="false">
      <c r="A84" s="417"/>
      <c r="B84" s="417"/>
      <c r="C84" s="367" t="s">
        <v>4223</v>
      </c>
      <c r="D84" s="418" t="n">
        <v>1</v>
      </c>
    </row>
    <row r="85" customFormat="false" ht="12.75" hidden="false" customHeight="false" outlineLevel="0" collapsed="false">
      <c r="A85" s="417"/>
      <c r="B85" s="417"/>
      <c r="C85" s="367" t="s">
        <v>4246</v>
      </c>
      <c r="D85" s="418" t="n">
        <v>6</v>
      </c>
    </row>
    <row r="86" customFormat="false" ht="12.75" hidden="false" customHeight="false" outlineLevel="0" collapsed="false">
      <c r="A86" s="417"/>
      <c r="B86" s="299" t="s">
        <v>4235</v>
      </c>
      <c r="C86" s="414"/>
      <c r="D86" s="416" t="n">
        <v>16</v>
      </c>
    </row>
    <row r="87" customFormat="false" ht="12.75" hidden="false" customHeight="false" outlineLevel="0" collapsed="false">
      <c r="A87" s="417"/>
      <c r="B87" s="299" t="s">
        <v>4250</v>
      </c>
      <c r="C87" s="299" t="s">
        <v>4211</v>
      </c>
      <c r="D87" s="416" t="n">
        <v>11</v>
      </c>
    </row>
    <row r="88" customFormat="false" ht="12.75" hidden="false" customHeight="false" outlineLevel="0" collapsed="false">
      <c r="A88" s="417"/>
      <c r="B88" s="417"/>
      <c r="C88" s="367" t="s">
        <v>4217</v>
      </c>
      <c r="D88" s="418" t="n">
        <v>2</v>
      </c>
    </row>
    <row r="89" customFormat="false" ht="12.75" hidden="false" customHeight="false" outlineLevel="0" collapsed="false">
      <c r="A89" s="417"/>
      <c r="B89" s="417"/>
      <c r="C89" s="367" t="s">
        <v>4223</v>
      </c>
      <c r="D89" s="418" t="n">
        <v>1</v>
      </c>
    </row>
    <row r="90" customFormat="false" ht="12.75" hidden="false" customHeight="false" outlineLevel="0" collapsed="false">
      <c r="A90" s="417"/>
      <c r="B90" s="417"/>
      <c r="C90" s="367" t="s">
        <v>4246</v>
      </c>
      <c r="D90" s="418" t="n">
        <v>7</v>
      </c>
    </row>
    <row r="91" customFormat="false" ht="12.75" hidden="false" customHeight="false" outlineLevel="0" collapsed="false">
      <c r="A91" s="417"/>
      <c r="B91" s="299" t="s">
        <v>4251</v>
      </c>
      <c r="C91" s="414"/>
      <c r="D91" s="416" t="n">
        <v>21</v>
      </c>
    </row>
    <row r="92" customFormat="false" ht="12.75" hidden="false" customHeight="false" outlineLevel="0" collapsed="false">
      <c r="A92" s="417"/>
      <c r="B92" s="299" t="s">
        <v>593</v>
      </c>
      <c r="C92" s="299" t="s">
        <v>4211</v>
      </c>
      <c r="D92" s="416" t="n">
        <v>1</v>
      </c>
    </row>
    <row r="93" customFormat="false" ht="12.75" hidden="false" customHeight="false" outlineLevel="0" collapsed="false">
      <c r="A93" s="417"/>
      <c r="B93" s="417"/>
      <c r="C93" s="367" t="s">
        <v>4217</v>
      </c>
      <c r="D93" s="418" t="n">
        <v>2</v>
      </c>
    </row>
    <row r="94" customFormat="false" ht="12.75" hidden="false" customHeight="false" outlineLevel="0" collapsed="false">
      <c r="A94" s="417"/>
      <c r="B94" s="417"/>
      <c r="C94" s="367" t="s">
        <v>4222</v>
      </c>
      <c r="D94" s="418" t="n">
        <v>1</v>
      </c>
    </row>
    <row r="95" customFormat="false" ht="12.75" hidden="false" customHeight="false" outlineLevel="0" collapsed="false">
      <c r="A95" s="417"/>
      <c r="B95" s="417"/>
      <c r="C95" s="367" t="s">
        <v>4252</v>
      </c>
      <c r="D95" s="418" t="n">
        <v>7</v>
      </c>
    </row>
    <row r="96" customFormat="false" ht="12.75" hidden="false" customHeight="false" outlineLevel="0" collapsed="false">
      <c r="A96" s="417"/>
      <c r="B96" s="299" t="s">
        <v>4253</v>
      </c>
      <c r="C96" s="414"/>
      <c r="D96" s="416" t="n">
        <v>11</v>
      </c>
    </row>
    <row r="97" customFormat="false" ht="12.75" hidden="false" customHeight="false" outlineLevel="0" collapsed="false">
      <c r="A97" s="417"/>
      <c r="B97" s="299" t="s">
        <v>61</v>
      </c>
      <c r="C97" s="299" t="s">
        <v>4217</v>
      </c>
      <c r="D97" s="416" t="n">
        <v>2</v>
      </c>
    </row>
    <row r="98" customFormat="false" ht="12.75" hidden="false" customHeight="false" outlineLevel="0" collapsed="false">
      <c r="A98" s="417"/>
      <c r="B98" s="417"/>
      <c r="C98" s="367" t="s">
        <v>4222</v>
      </c>
      <c r="D98" s="418" t="n">
        <v>1</v>
      </c>
    </row>
    <row r="99" customFormat="false" ht="12.75" hidden="false" customHeight="false" outlineLevel="0" collapsed="false">
      <c r="A99" s="417"/>
      <c r="B99" s="417"/>
      <c r="C99" s="367" t="s">
        <v>4246</v>
      </c>
      <c r="D99" s="418" t="n">
        <v>9</v>
      </c>
    </row>
    <row r="100" customFormat="false" ht="12.75" hidden="false" customHeight="false" outlineLevel="0" collapsed="false">
      <c r="A100" s="417"/>
      <c r="B100" s="299" t="s">
        <v>4254</v>
      </c>
      <c r="C100" s="414"/>
      <c r="D100" s="416" t="n">
        <v>12</v>
      </c>
    </row>
    <row r="101" customFormat="false" ht="12.75" hidden="false" customHeight="false" outlineLevel="0" collapsed="false">
      <c r="A101" s="417"/>
      <c r="B101" s="299" t="s">
        <v>4236</v>
      </c>
      <c r="C101" s="299" t="s">
        <v>4211</v>
      </c>
      <c r="D101" s="416" t="n">
        <v>16</v>
      </c>
    </row>
    <row r="102" customFormat="false" ht="12.75" hidden="false" customHeight="false" outlineLevel="0" collapsed="false">
      <c r="A102" s="417"/>
      <c r="B102" s="417"/>
      <c r="C102" s="367" t="s">
        <v>4217</v>
      </c>
      <c r="D102" s="418" t="n">
        <v>4</v>
      </c>
    </row>
    <row r="103" customFormat="false" ht="12.75" hidden="false" customHeight="false" outlineLevel="0" collapsed="false">
      <c r="A103" s="417"/>
      <c r="B103" s="417"/>
      <c r="C103" s="367" t="s">
        <v>4222</v>
      </c>
      <c r="D103" s="418" t="n">
        <v>1</v>
      </c>
    </row>
    <row r="104" customFormat="false" ht="12.75" hidden="false" customHeight="false" outlineLevel="0" collapsed="false">
      <c r="A104" s="417"/>
      <c r="B104" s="417"/>
      <c r="C104" s="367" t="s">
        <v>4246</v>
      </c>
      <c r="D104" s="418" t="n">
        <v>1</v>
      </c>
    </row>
    <row r="105" customFormat="false" ht="12.75" hidden="false" customHeight="false" outlineLevel="0" collapsed="false">
      <c r="A105" s="417"/>
      <c r="B105" s="299" t="s">
        <v>4238</v>
      </c>
      <c r="C105" s="414"/>
      <c r="D105" s="416" t="n">
        <v>22</v>
      </c>
    </row>
    <row r="106" customFormat="false" ht="12.75" hidden="false" customHeight="false" outlineLevel="0" collapsed="false">
      <c r="A106" s="417"/>
      <c r="B106" s="299" t="s">
        <v>2896</v>
      </c>
      <c r="C106" s="299" t="s">
        <v>4211</v>
      </c>
      <c r="D106" s="416" t="n">
        <v>1</v>
      </c>
    </row>
    <row r="107" customFormat="false" ht="12.75" hidden="false" customHeight="false" outlineLevel="0" collapsed="false">
      <c r="A107" s="417"/>
      <c r="B107" s="417"/>
      <c r="C107" s="367" t="s">
        <v>4217</v>
      </c>
      <c r="D107" s="418" t="n">
        <v>4</v>
      </c>
    </row>
    <row r="108" customFormat="false" ht="12.75" hidden="false" customHeight="false" outlineLevel="0" collapsed="false">
      <c r="A108" s="417"/>
      <c r="B108" s="417"/>
      <c r="C108" s="367" t="s">
        <v>4223</v>
      </c>
      <c r="D108" s="418" t="n">
        <v>1</v>
      </c>
    </row>
    <row r="109" customFormat="false" ht="12.75" hidden="false" customHeight="false" outlineLevel="0" collapsed="false">
      <c r="A109" s="417"/>
      <c r="B109" s="417"/>
      <c r="C109" s="367" t="s">
        <v>4246</v>
      </c>
      <c r="D109" s="418" t="n">
        <v>14</v>
      </c>
    </row>
    <row r="110" customFormat="false" ht="12.75" hidden="false" customHeight="false" outlineLevel="0" collapsed="false">
      <c r="A110" s="417"/>
      <c r="B110" s="299" t="s">
        <v>4239</v>
      </c>
      <c r="C110" s="414"/>
      <c r="D110" s="416" t="n">
        <v>20</v>
      </c>
    </row>
    <row r="111" customFormat="false" ht="12.75" hidden="false" customHeight="false" outlineLevel="0" collapsed="false">
      <c r="A111" s="417"/>
      <c r="B111" s="299" t="s">
        <v>4240</v>
      </c>
      <c r="C111" s="299" t="s">
        <v>4217</v>
      </c>
      <c r="D111" s="416" t="n">
        <v>2</v>
      </c>
    </row>
    <row r="112" customFormat="false" ht="12.75" hidden="false" customHeight="false" outlineLevel="0" collapsed="false">
      <c r="A112" s="417"/>
      <c r="B112" s="417"/>
      <c r="C112" s="367" t="s">
        <v>4223</v>
      </c>
      <c r="D112" s="418" t="n">
        <v>2</v>
      </c>
    </row>
    <row r="113" customFormat="false" ht="12.75" hidden="false" customHeight="false" outlineLevel="0" collapsed="false">
      <c r="A113" s="417"/>
      <c r="B113" s="417"/>
      <c r="C113" s="367" t="s">
        <v>4246</v>
      </c>
      <c r="D113" s="418" t="n">
        <v>11</v>
      </c>
    </row>
    <row r="114" customFormat="false" ht="12.75" hidden="false" customHeight="false" outlineLevel="0" collapsed="false">
      <c r="A114" s="417"/>
      <c r="B114" s="299" t="s">
        <v>4241</v>
      </c>
      <c r="C114" s="414"/>
      <c r="D114" s="416" t="n">
        <v>15</v>
      </c>
    </row>
    <row r="115" customFormat="false" ht="12.75" hidden="false" customHeight="false" outlineLevel="0" collapsed="false">
      <c r="A115" s="299" t="s">
        <v>4255</v>
      </c>
      <c r="B115" s="414"/>
      <c r="C115" s="414"/>
      <c r="D115" s="416" t="n">
        <v>160</v>
      </c>
    </row>
    <row r="116" customFormat="false" ht="12.75" hidden="false" customHeight="false" outlineLevel="0" collapsed="false">
      <c r="A116" s="299" t="s">
        <v>78</v>
      </c>
      <c r="B116" s="299" t="s">
        <v>52</v>
      </c>
      <c r="C116" s="299" t="s">
        <v>4256</v>
      </c>
      <c r="D116" s="416" t="n">
        <v>1</v>
      </c>
    </row>
    <row r="117" customFormat="false" ht="12.75" hidden="false" customHeight="false" outlineLevel="0" collapsed="false">
      <c r="A117" s="417"/>
      <c r="B117" s="417"/>
      <c r="C117" s="367" t="s">
        <v>4257</v>
      </c>
      <c r="D117" s="418" t="n">
        <v>1</v>
      </c>
    </row>
    <row r="118" customFormat="false" ht="12.75" hidden="false" customHeight="false" outlineLevel="0" collapsed="false">
      <c r="A118" s="417"/>
      <c r="B118" s="417"/>
      <c r="C118" s="367" t="s">
        <v>4258</v>
      </c>
      <c r="D118" s="418" t="n">
        <v>1</v>
      </c>
    </row>
    <row r="119" customFormat="false" ht="12.75" hidden="false" customHeight="false" outlineLevel="0" collapsed="false">
      <c r="A119" s="417"/>
      <c r="B119" s="417"/>
      <c r="C119" s="367" t="s">
        <v>4259</v>
      </c>
      <c r="D119" s="418" t="n">
        <v>1</v>
      </c>
    </row>
    <row r="120" customFormat="false" ht="12.75" hidden="false" customHeight="false" outlineLevel="0" collapsed="false">
      <c r="A120" s="417"/>
      <c r="B120" s="299" t="s">
        <v>4218</v>
      </c>
      <c r="C120" s="414"/>
      <c r="D120" s="416" t="n">
        <v>4</v>
      </c>
    </row>
    <row r="121" customFormat="false" ht="12.75" hidden="false" customHeight="false" outlineLevel="0" collapsed="false">
      <c r="A121" s="417"/>
      <c r="B121" s="299" t="s">
        <v>2890</v>
      </c>
      <c r="C121" s="299" t="s">
        <v>4219</v>
      </c>
      <c r="D121" s="416" t="n">
        <v>1</v>
      </c>
    </row>
    <row r="122" customFormat="false" ht="12.75" hidden="false" customHeight="false" outlineLevel="0" collapsed="false">
      <c r="A122" s="417"/>
      <c r="B122" s="417"/>
      <c r="C122" s="367" t="s">
        <v>4260</v>
      </c>
      <c r="D122" s="418" t="n">
        <v>1</v>
      </c>
    </row>
    <row r="123" customFormat="false" ht="12.75" hidden="false" customHeight="false" outlineLevel="0" collapsed="false">
      <c r="A123" s="417"/>
      <c r="B123" s="417"/>
      <c r="C123" s="367" t="s">
        <v>4261</v>
      </c>
      <c r="D123" s="418" t="n">
        <v>1</v>
      </c>
    </row>
    <row r="124" customFormat="false" ht="12.75" hidden="false" customHeight="false" outlineLevel="0" collapsed="false">
      <c r="A124" s="417"/>
      <c r="B124" s="299" t="s">
        <v>4215</v>
      </c>
      <c r="C124" s="414"/>
      <c r="D124" s="416" t="n">
        <v>3</v>
      </c>
    </row>
    <row r="125" customFormat="false" ht="12.75" hidden="false" customHeight="false" outlineLevel="0" collapsed="false">
      <c r="A125" s="417"/>
      <c r="B125" s="299" t="s">
        <v>100</v>
      </c>
      <c r="C125" s="299" t="s">
        <v>4222</v>
      </c>
      <c r="D125" s="416" t="n">
        <v>1</v>
      </c>
    </row>
    <row r="126" customFormat="false" ht="12.75" hidden="false" customHeight="false" outlineLevel="0" collapsed="false">
      <c r="A126" s="417"/>
      <c r="B126" s="417"/>
      <c r="C126" s="367" t="s">
        <v>4219</v>
      </c>
      <c r="D126" s="418" t="n">
        <v>1</v>
      </c>
    </row>
    <row r="127" customFormat="false" ht="12.75" hidden="false" customHeight="false" outlineLevel="0" collapsed="false">
      <c r="A127" s="417"/>
      <c r="B127" s="417"/>
      <c r="C127" s="367" t="s">
        <v>4262</v>
      </c>
      <c r="D127" s="418" t="n">
        <v>1</v>
      </c>
    </row>
    <row r="128" customFormat="false" ht="12.75" hidden="false" customHeight="false" outlineLevel="0" collapsed="false">
      <c r="A128" s="417"/>
      <c r="B128" s="417"/>
      <c r="C128" s="367" t="s">
        <v>4257</v>
      </c>
      <c r="D128" s="418" t="n">
        <v>2</v>
      </c>
    </row>
    <row r="129" customFormat="false" ht="12.75" hidden="false" customHeight="false" outlineLevel="0" collapsed="false">
      <c r="A129" s="417"/>
      <c r="B129" s="299" t="s">
        <v>4225</v>
      </c>
      <c r="C129" s="414"/>
      <c r="D129" s="416" t="n">
        <v>5</v>
      </c>
    </row>
    <row r="130" customFormat="false" ht="12.75" hidden="false" customHeight="false" outlineLevel="0" collapsed="false">
      <c r="A130" s="299" t="s">
        <v>4263</v>
      </c>
      <c r="B130" s="414"/>
      <c r="C130" s="414"/>
      <c r="D130" s="416" t="n">
        <v>12</v>
      </c>
    </row>
    <row r="131" customFormat="false" ht="12.75" hidden="false" customHeight="false" outlineLevel="0" collapsed="false">
      <c r="A131" s="299" t="s">
        <v>53</v>
      </c>
      <c r="B131" s="299" t="s">
        <v>52</v>
      </c>
      <c r="C131" s="299" t="s">
        <v>4264</v>
      </c>
      <c r="D131" s="416" t="n">
        <v>1</v>
      </c>
    </row>
    <row r="132" customFormat="false" ht="12.75" hidden="false" customHeight="false" outlineLevel="0" collapsed="false">
      <c r="A132" s="417"/>
      <c r="B132" s="417"/>
      <c r="C132" s="367" t="s">
        <v>4217</v>
      </c>
      <c r="D132" s="418" t="n">
        <v>1</v>
      </c>
    </row>
    <row r="133" customFormat="false" ht="12.75" hidden="false" customHeight="false" outlineLevel="0" collapsed="false">
      <c r="A133" s="417"/>
      <c r="B133" s="417"/>
      <c r="C133" s="367" t="s">
        <v>4265</v>
      </c>
      <c r="D133" s="418" t="n">
        <v>1</v>
      </c>
    </row>
    <row r="134" customFormat="false" ht="12.75" hidden="false" customHeight="false" outlineLevel="0" collapsed="false">
      <c r="A134" s="417"/>
      <c r="B134" s="417"/>
      <c r="C134" s="367" t="s">
        <v>4219</v>
      </c>
      <c r="D134" s="418" t="n">
        <v>1</v>
      </c>
    </row>
    <row r="135" customFormat="false" ht="12.75" hidden="false" customHeight="false" outlineLevel="0" collapsed="false">
      <c r="A135" s="417"/>
      <c r="B135" s="417"/>
      <c r="C135" s="367" t="s">
        <v>4266</v>
      </c>
      <c r="D135" s="418" t="n">
        <v>1</v>
      </c>
    </row>
    <row r="136" customFormat="false" ht="12.75" hidden="false" customHeight="false" outlineLevel="0" collapsed="false">
      <c r="A136" s="417"/>
      <c r="B136" s="417"/>
      <c r="C136" s="367" t="s">
        <v>45</v>
      </c>
      <c r="D136" s="418" t="n">
        <v>1</v>
      </c>
    </row>
    <row r="137" customFormat="false" ht="12.75" hidden="false" customHeight="false" outlineLevel="0" collapsed="false">
      <c r="A137" s="417"/>
      <c r="B137" s="417"/>
      <c r="C137" s="367" t="s">
        <v>4267</v>
      </c>
      <c r="D137" s="418" t="n">
        <v>1</v>
      </c>
    </row>
    <row r="138" customFormat="false" ht="12.75" hidden="false" customHeight="false" outlineLevel="0" collapsed="false">
      <c r="A138" s="417"/>
      <c r="B138" s="417"/>
      <c r="C138" s="367" t="s">
        <v>4268</v>
      </c>
      <c r="D138" s="418" t="n">
        <v>1</v>
      </c>
    </row>
    <row r="139" customFormat="false" ht="12.75" hidden="false" customHeight="false" outlineLevel="0" collapsed="false">
      <c r="A139" s="417"/>
      <c r="B139" s="417"/>
      <c r="C139" s="367" t="s">
        <v>4269</v>
      </c>
      <c r="D139" s="418" t="n">
        <v>1</v>
      </c>
    </row>
    <row r="140" customFormat="false" ht="12.75" hidden="false" customHeight="false" outlineLevel="0" collapsed="false">
      <c r="A140" s="417"/>
      <c r="B140" s="417"/>
      <c r="C140" s="367" t="s">
        <v>4270</v>
      </c>
      <c r="D140" s="418" t="n">
        <v>1</v>
      </c>
    </row>
    <row r="141" customFormat="false" ht="12.75" hidden="false" customHeight="false" outlineLevel="0" collapsed="false">
      <c r="A141" s="417"/>
      <c r="B141" s="299" t="s">
        <v>4218</v>
      </c>
      <c r="C141" s="414"/>
      <c r="D141" s="416" t="n">
        <v>10</v>
      </c>
    </row>
    <row r="142" customFormat="false" ht="12.75" hidden="false" customHeight="false" outlineLevel="0" collapsed="false">
      <c r="A142" s="417"/>
      <c r="B142" s="299" t="s">
        <v>2890</v>
      </c>
      <c r="C142" s="299" t="s">
        <v>4271</v>
      </c>
      <c r="D142" s="416" t="n">
        <v>1</v>
      </c>
    </row>
    <row r="143" customFormat="false" ht="12.75" hidden="false" customHeight="false" outlineLevel="0" collapsed="false">
      <c r="A143" s="417"/>
      <c r="B143" s="299" t="s">
        <v>4215</v>
      </c>
      <c r="C143" s="414"/>
      <c r="D143" s="416" t="n">
        <v>1</v>
      </c>
    </row>
    <row r="144" customFormat="false" ht="12.75" hidden="false" customHeight="false" outlineLevel="0" collapsed="false">
      <c r="A144" s="417"/>
      <c r="B144" s="299" t="s">
        <v>100</v>
      </c>
      <c r="C144" s="299" t="s">
        <v>4211</v>
      </c>
      <c r="D144" s="416" t="n">
        <v>1</v>
      </c>
    </row>
    <row r="145" customFormat="false" ht="12.75" hidden="false" customHeight="false" outlineLevel="0" collapsed="false">
      <c r="A145" s="417"/>
      <c r="B145" s="417"/>
      <c r="C145" s="367" t="s">
        <v>4222</v>
      </c>
      <c r="D145" s="418" t="n">
        <v>2</v>
      </c>
    </row>
    <row r="146" customFormat="false" ht="12.75" hidden="false" customHeight="false" outlineLevel="0" collapsed="false">
      <c r="A146" s="417"/>
      <c r="B146" s="417"/>
      <c r="C146" s="367" t="s">
        <v>4219</v>
      </c>
      <c r="D146" s="418" t="n">
        <v>1</v>
      </c>
    </row>
    <row r="147" customFormat="false" ht="12.75" hidden="false" customHeight="false" outlineLevel="0" collapsed="false">
      <c r="A147" s="417"/>
      <c r="B147" s="299" t="s">
        <v>4225</v>
      </c>
      <c r="C147" s="414"/>
      <c r="D147" s="416" t="n">
        <v>4</v>
      </c>
    </row>
    <row r="148" customFormat="false" ht="12.75" hidden="false" customHeight="false" outlineLevel="0" collapsed="false">
      <c r="A148" s="299" t="s">
        <v>4272</v>
      </c>
      <c r="B148" s="414"/>
      <c r="C148" s="414"/>
      <c r="D148" s="416" t="n">
        <v>15</v>
      </c>
    </row>
    <row r="149" customFormat="false" ht="12.75" hidden="false" customHeight="false" outlineLevel="0" collapsed="false">
      <c r="A149" s="419" t="s">
        <v>4200</v>
      </c>
      <c r="B149" s="420"/>
      <c r="C149" s="420"/>
      <c r="D149" s="421" t="n">
        <v>245</v>
      </c>
    </row>
    <row r="167" customFormat="false" ht="12.75" hidden="false" customHeight="false" outlineLevel="0" collapsed="false">
      <c r="A167" s="299" t="s">
        <v>4273</v>
      </c>
      <c r="B167" s="299" t="s">
        <v>2</v>
      </c>
      <c r="C167" s="414"/>
      <c r="D167" s="414"/>
      <c r="E167" s="414"/>
      <c r="F167" s="414"/>
      <c r="G167" s="414"/>
      <c r="H167" s="414"/>
      <c r="I167" s="414"/>
      <c r="J167" s="414"/>
      <c r="K167" s="414"/>
      <c r="L167" s="414"/>
      <c r="M167" s="414"/>
      <c r="N167" s="414"/>
      <c r="O167" s="414"/>
      <c r="P167" s="414"/>
      <c r="Q167" s="414"/>
      <c r="R167" s="414"/>
      <c r="S167" s="414"/>
      <c r="T167" s="414"/>
      <c r="U167" s="414"/>
      <c r="V167" s="414"/>
      <c r="W167" s="414"/>
      <c r="X167" s="414"/>
      <c r="Y167" s="414"/>
      <c r="Z167" s="414"/>
      <c r="AA167" s="414"/>
      <c r="AB167" s="414"/>
      <c r="AC167" s="414"/>
      <c r="AD167" s="414"/>
      <c r="AE167" s="414"/>
      <c r="AF167" s="414"/>
      <c r="AG167" s="414"/>
      <c r="AH167" s="414"/>
      <c r="AI167" s="414"/>
      <c r="AJ167" s="414"/>
      <c r="AK167" s="414"/>
      <c r="AL167" s="414"/>
      <c r="AM167" s="414"/>
      <c r="AN167" s="414"/>
      <c r="AO167" s="414"/>
      <c r="AP167" s="414"/>
      <c r="AQ167" s="422"/>
    </row>
    <row r="168" customFormat="false" ht="12.75" hidden="false" customHeight="false" outlineLevel="0" collapsed="false">
      <c r="A168" s="299" t="s">
        <v>4209</v>
      </c>
      <c r="B168" s="299" t="s">
        <v>4264</v>
      </c>
      <c r="C168" s="309" t="s">
        <v>4227</v>
      </c>
      <c r="D168" s="309" t="s">
        <v>4211</v>
      </c>
      <c r="E168" s="309" t="s">
        <v>4217</v>
      </c>
      <c r="F168" s="309" t="s">
        <v>4233</v>
      </c>
      <c r="G168" s="309" t="s">
        <v>4247</v>
      </c>
      <c r="H168" s="309" t="s">
        <v>4248</v>
      </c>
      <c r="I168" s="309" t="s">
        <v>4212</v>
      </c>
      <c r="J168" s="309" t="s">
        <v>4228</v>
      </c>
      <c r="K168" s="309" t="s">
        <v>4213</v>
      </c>
      <c r="L168" s="309" t="s">
        <v>4232</v>
      </c>
      <c r="M168" s="309" t="s">
        <v>4222</v>
      </c>
      <c r="N168" s="309" t="s">
        <v>4223</v>
      </c>
      <c r="O168" s="309" t="s">
        <v>4256</v>
      </c>
      <c r="P168" s="309" t="s">
        <v>4265</v>
      </c>
      <c r="Q168" s="309" t="s">
        <v>4271</v>
      </c>
      <c r="R168" s="309" t="s">
        <v>4219</v>
      </c>
      <c r="S168" s="309" t="s">
        <v>4221</v>
      </c>
      <c r="T168" s="309" t="s">
        <v>4262</v>
      </c>
      <c r="U168" s="309" t="s">
        <v>4257</v>
      </c>
      <c r="V168" s="309" t="s">
        <v>4246</v>
      </c>
      <c r="W168" s="309" t="s">
        <v>4243</v>
      </c>
      <c r="X168" s="309" t="s">
        <v>4249</v>
      </c>
      <c r="Y168" s="309" t="s">
        <v>4260</v>
      </c>
      <c r="Z168" s="309" t="s">
        <v>4261</v>
      </c>
      <c r="AA168" s="309" t="s">
        <v>4258</v>
      </c>
      <c r="AB168" s="309" t="s">
        <v>4259</v>
      </c>
      <c r="AC168" s="309" t="s">
        <v>4229</v>
      </c>
      <c r="AD168" s="309" t="s">
        <v>4230</v>
      </c>
      <c r="AE168" s="309" t="s">
        <v>4234</v>
      </c>
      <c r="AF168" s="309" t="s">
        <v>4266</v>
      </c>
      <c r="AG168" s="309" t="s">
        <v>4252</v>
      </c>
      <c r="AH168" s="309" t="s">
        <v>45</v>
      </c>
      <c r="AI168" s="309" t="s">
        <v>4267</v>
      </c>
      <c r="AJ168" s="309" t="s">
        <v>4268</v>
      </c>
      <c r="AK168" s="309" t="s">
        <v>4269</v>
      </c>
      <c r="AL168" s="309" t="s">
        <v>4270</v>
      </c>
      <c r="AM168" s="309" t="s">
        <v>4237</v>
      </c>
      <c r="AN168" s="309" t="s">
        <v>4231</v>
      </c>
      <c r="AO168" s="309" t="s">
        <v>4224</v>
      </c>
      <c r="AP168" s="309" t="s">
        <v>4214</v>
      </c>
      <c r="AQ168" s="415" t="s">
        <v>4200</v>
      </c>
    </row>
    <row r="169" customFormat="false" ht="12.75" hidden="false" customHeight="false" outlineLevel="0" collapsed="false">
      <c r="A169" s="299" t="s">
        <v>52</v>
      </c>
      <c r="B169" s="423" t="n">
        <v>1</v>
      </c>
      <c r="C169" s="424" t="n">
        <v>1</v>
      </c>
      <c r="D169" s="424" t="n">
        <v>8</v>
      </c>
      <c r="E169" s="424" t="n">
        <v>4</v>
      </c>
      <c r="F169" s="424"/>
      <c r="G169" s="424"/>
      <c r="H169" s="424"/>
      <c r="I169" s="424"/>
      <c r="J169" s="424" t="n">
        <v>1</v>
      </c>
      <c r="K169" s="424"/>
      <c r="L169" s="424"/>
      <c r="M169" s="424" t="n">
        <v>1</v>
      </c>
      <c r="N169" s="424"/>
      <c r="O169" s="424" t="n">
        <v>1</v>
      </c>
      <c r="P169" s="424" t="n">
        <v>1</v>
      </c>
      <c r="Q169" s="424"/>
      <c r="R169" s="424" t="n">
        <v>1</v>
      </c>
      <c r="S169" s="424" t="n">
        <v>7</v>
      </c>
      <c r="T169" s="424"/>
      <c r="U169" s="424" t="n">
        <v>1</v>
      </c>
      <c r="V169" s="424" t="n">
        <v>6</v>
      </c>
      <c r="W169" s="424"/>
      <c r="X169" s="424"/>
      <c r="Y169" s="424"/>
      <c r="Z169" s="424"/>
      <c r="AA169" s="424" t="n">
        <v>1</v>
      </c>
      <c r="AB169" s="424" t="n">
        <v>1</v>
      </c>
      <c r="AC169" s="424" t="n">
        <v>2</v>
      </c>
      <c r="AD169" s="424" t="n">
        <v>4</v>
      </c>
      <c r="AE169" s="424"/>
      <c r="AF169" s="424" t="n">
        <v>1</v>
      </c>
      <c r="AG169" s="424"/>
      <c r="AH169" s="424" t="n">
        <v>1</v>
      </c>
      <c r="AI169" s="424" t="n">
        <v>1</v>
      </c>
      <c r="AJ169" s="424" t="n">
        <v>1</v>
      </c>
      <c r="AK169" s="424" t="n">
        <v>1</v>
      </c>
      <c r="AL169" s="424" t="n">
        <v>1</v>
      </c>
      <c r="AM169" s="424"/>
      <c r="AN169" s="424" t="n">
        <v>1</v>
      </c>
      <c r="AO169" s="424"/>
      <c r="AP169" s="424"/>
      <c r="AQ169" s="416" t="n">
        <v>48</v>
      </c>
    </row>
    <row r="170" customFormat="false" ht="12.75" hidden="false" customHeight="false" outlineLevel="0" collapsed="false">
      <c r="A170" s="367" t="s">
        <v>2890</v>
      </c>
      <c r="B170" s="425"/>
      <c r="C170" s="426"/>
      <c r="D170" s="426" t="n">
        <v>1</v>
      </c>
      <c r="E170" s="426" t="n">
        <v>1</v>
      </c>
      <c r="F170" s="426"/>
      <c r="G170" s="426" t="n">
        <v>1</v>
      </c>
      <c r="H170" s="426" t="n">
        <v>1</v>
      </c>
      <c r="I170" s="426" t="n">
        <v>1</v>
      </c>
      <c r="J170" s="426" t="n">
        <v>2</v>
      </c>
      <c r="K170" s="426" t="n">
        <v>2</v>
      </c>
      <c r="L170" s="426" t="n">
        <v>2</v>
      </c>
      <c r="M170" s="426" t="n">
        <v>2</v>
      </c>
      <c r="N170" s="426" t="n">
        <v>2</v>
      </c>
      <c r="O170" s="426"/>
      <c r="P170" s="426"/>
      <c r="Q170" s="426" t="n">
        <v>1</v>
      </c>
      <c r="R170" s="426" t="n">
        <v>2</v>
      </c>
      <c r="S170" s="426"/>
      <c r="T170" s="426"/>
      <c r="U170" s="426"/>
      <c r="V170" s="426"/>
      <c r="W170" s="426" t="n">
        <v>1</v>
      </c>
      <c r="X170" s="426" t="n">
        <v>1</v>
      </c>
      <c r="Y170" s="426" t="n">
        <v>1</v>
      </c>
      <c r="Z170" s="426" t="n">
        <v>1</v>
      </c>
      <c r="AA170" s="426"/>
      <c r="AB170" s="426"/>
      <c r="AC170" s="426"/>
      <c r="AD170" s="426"/>
      <c r="AE170" s="426"/>
      <c r="AF170" s="426"/>
      <c r="AG170" s="426"/>
      <c r="AH170" s="426"/>
      <c r="AI170" s="426"/>
      <c r="AJ170" s="426"/>
      <c r="AK170" s="426"/>
      <c r="AL170" s="426"/>
      <c r="AM170" s="426"/>
      <c r="AN170" s="426"/>
      <c r="AO170" s="426" t="n">
        <v>1</v>
      </c>
      <c r="AP170" s="426" t="n">
        <v>1</v>
      </c>
      <c r="AQ170" s="418" t="n">
        <v>24</v>
      </c>
    </row>
    <row r="171" customFormat="false" ht="12.75" hidden="false" customHeight="false" outlineLevel="0" collapsed="false">
      <c r="A171" s="367" t="s">
        <v>100</v>
      </c>
      <c r="B171" s="425"/>
      <c r="C171" s="426"/>
      <c r="D171" s="426" t="n">
        <v>12</v>
      </c>
      <c r="E171" s="426" t="n">
        <v>4</v>
      </c>
      <c r="F171" s="426" t="n">
        <v>2</v>
      </c>
      <c r="G171" s="426"/>
      <c r="H171" s="426"/>
      <c r="I171" s="426"/>
      <c r="J171" s="426"/>
      <c r="K171" s="426"/>
      <c r="L171" s="426"/>
      <c r="M171" s="426" t="n">
        <v>3</v>
      </c>
      <c r="N171" s="426" t="n">
        <v>1</v>
      </c>
      <c r="O171" s="426"/>
      <c r="P171" s="426"/>
      <c r="Q171" s="426"/>
      <c r="R171" s="426" t="n">
        <v>2</v>
      </c>
      <c r="S171" s="426" t="n">
        <v>4</v>
      </c>
      <c r="T171" s="426" t="n">
        <v>1</v>
      </c>
      <c r="U171" s="426" t="n">
        <v>2</v>
      </c>
      <c r="V171" s="426" t="n">
        <v>4</v>
      </c>
      <c r="W171" s="426"/>
      <c r="X171" s="426"/>
      <c r="Y171" s="426"/>
      <c r="Z171" s="426"/>
      <c r="AA171" s="426"/>
      <c r="AB171" s="426"/>
      <c r="AC171" s="426" t="n">
        <v>3</v>
      </c>
      <c r="AD171" s="426" t="n">
        <v>2</v>
      </c>
      <c r="AE171" s="426"/>
      <c r="AF171" s="426"/>
      <c r="AG171" s="426"/>
      <c r="AH171" s="426"/>
      <c r="AI171" s="426"/>
      <c r="AJ171" s="426"/>
      <c r="AK171" s="426"/>
      <c r="AL171" s="426"/>
      <c r="AM171" s="426"/>
      <c r="AN171" s="426"/>
      <c r="AO171" s="426"/>
      <c r="AP171" s="426"/>
      <c r="AQ171" s="418" t="n">
        <v>40</v>
      </c>
    </row>
    <row r="172" customFormat="false" ht="12.75" hidden="false" customHeight="false" outlineLevel="0" collapsed="false">
      <c r="A172" s="367" t="s">
        <v>82</v>
      </c>
      <c r="B172" s="425"/>
      <c r="C172" s="426"/>
      <c r="D172" s="426" t="n">
        <v>8</v>
      </c>
      <c r="E172" s="426" t="n">
        <v>2</v>
      </c>
      <c r="F172" s="426"/>
      <c r="G172" s="426"/>
      <c r="H172" s="426"/>
      <c r="I172" s="426"/>
      <c r="J172" s="426"/>
      <c r="K172" s="426" t="n">
        <v>1</v>
      </c>
      <c r="L172" s="426"/>
      <c r="M172" s="426"/>
      <c r="N172" s="426" t="n">
        <v>1</v>
      </c>
      <c r="O172" s="426"/>
      <c r="P172" s="426"/>
      <c r="Q172" s="426"/>
      <c r="R172" s="426"/>
      <c r="S172" s="426" t="n">
        <v>5</v>
      </c>
      <c r="T172" s="426"/>
      <c r="U172" s="426"/>
      <c r="V172" s="426" t="n">
        <v>6</v>
      </c>
      <c r="W172" s="426"/>
      <c r="X172" s="426"/>
      <c r="Y172" s="426"/>
      <c r="Z172" s="426"/>
      <c r="AA172" s="426"/>
      <c r="AB172" s="426"/>
      <c r="AC172" s="426"/>
      <c r="AD172" s="426" t="n">
        <v>1</v>
      </c>
      <c r="AE172" s="426" t="n">
        <v>1</v>
      </c>
      <c r="AF172" s="426"/>
      <c r="AG172" s="426"/>
      <c r="AH172" s="426"/>
      <c r="AI172" s="426"/>
      <c r="AJ172" s="426"/>
      <c r="AK172" s="426"/>
      <c r="AL172" s="426"/>
      <c r="AM172" s="426"/>
      <c r="AN172" s="426"/>
      <c r="AO172" s="426"/>
      <c r="AP172" s="426"/>
      <c r="AQ172" s="418" t="n">
        <v>25</v>
      </c>
    </row>
    <row r="173" customFormat="false" ht="12.75" hidden="false" customHeight="false" outlineLevel="0" collapsed="false">
      <c r="A173" s="367" t="s">
        <v>4250</v>
      </c>
      <c r="B173" s="425"/>
      <c r="C173" s="426"/>
      <c r="D173" s="426" t="n">
        <v>11</v>
      </c>
      <c r="E173" s="426" t="n">
        <v>2</v>
      </c>
      <c r="F173" s="426"/>
      <c r="G173" s="426"/>
      <c r="H173" s="426"/>
      <c r="I173" s="426"/>
      <c r="J173" s="426"/>
      <c r="K173" s="426"/>
      <c r="L173" s="426"/>
      <c r="M173" s="426"/>
      <c r="N173" s="426" t="n">
        <v>1</v>
      </c>
      <c r="O173" s="426"/>
      <c r="P173" s="426"/>
      <c r="Q173" s="426"/>
      <c r="R173" s="426"/>
      <c r="S173" s="426"/>
      <c r="T173" s="426"/>
      <c r="U173" s="426"/>
      <c r="V173" s="426" t="n">
        <v>7</v>
      </c>
      <c r="W173" s="426"/>
      <c r="X173" s="426"/>
      <c r="Y173" s="426"/>
      <c r="Z173" s="426"/>
      <c r="AA173" s="426"/>
      <c r="AB173" s="426"/>
      <c r="AC173" s="426"/>
      <c r="AD173" s="426"/>
      <c r="AE173" s="426"/>
      <c r="AF173" s="426"/>
      <c r="AG173" s="426"/>
      <c r="AH173" s="426"/>
      <c r="AI173" s="426"/>
      <c r="AJ173" s="426"/>
      <c r="AK173" s="426"/>
      <c r="AL173" s="426"/>
      <c r="AM173" s="426"/>
      <c r="AN173" s="426"/>
      <c r="AO173" s="426"/>
      <c r="AP173" s="426"/>
      <c r="AQ173" s="418" t="n">
        <v>21</v>
      </c>
    </row>
    <row r="174" customFormat="false" ht="12.75" hidden="false" customHeight="false" outlineLevel="0" collapsed="false">
      <c r="A174" s="367" t="s">
        <v>593</v>
      </c>
      <c r="B174" s="425"/>
      <c r="C174" s="426"/>
      <c r="D174" s="426" t="n">
        <v>1</v>
      </c>
      <c r="E174" s="426" t="n">
        <v>2</v>
      </c>
      <c r="F174" s="426"/>
      <c r="G174" s="426"/>
      <c r="H174" s="426"/>
      <c r="I174" s="426"/>
      <c r="J174" s="426"/>
      <c r="K174" s="426"/>
      <c r="L174" s="426"/>
      <c r="M174" s="426" t="n">
        <v>1</v>
      </c>
      <c r="N174" s="426"/>
      <c r="O174" s="426"/>
      <c r="P174" s="426"/>
      <c r="Q174" s="426"/>
      <c r="R174" s="426"/>
      <c r="S174" s="426"/>
      <c r="T174" s="426"/>
      <c r="U174" s="426"/>
      <c r="V174" s="426"/>
      <c r="W174" s="426"/>
      <c r="X174" s="426"/>
      <c r="Y174" s="426"/>
      <c r="Z174" s="426"/>
      <c r="AA174" s="426"/>
      <c r="AB174" s="426"/>
      <c r="AC174" s="426"/>
      <c r="AD174" s="426"/>
      <c r="AE174" s="426"/>
      <c r="AF174" s="426"/>
      <c r="AG174" s="426" t="n">
        <v>7</v>
      </c>
      <c r="AH174" s="426"/>
      <c r="AI174" s="426"/>
      <c r="AJ174" s="426"/>
      <c r="AK174" s="426"/>
      <c r="AL174" s="426"/>
      <c r="AM174" s="426"/>
      <c r="AN174" s="426"/>
      <c r="AO174" s="426"/>
      <c r="AP174" s="426"/>
      <c r="AQ174" s="418" t="n">
        <v>11</v>
      </c>
    </row>
    <row r="175" customFormat="false" ht="12.75" hidden="false" customHeight="false" outlineLevel="0" collapsed="false">
      <c r="A175" s="367" t="s">
        <v>61</v>
      </c>
      <c r="B175" s="425"/>
      <c r="C175" s="426"/>
      <c r="D175" s="426"/>
      <c r="E175" s="426" t="n">
        <v>2</v>
      </c>
      <c r="F175" s="426"/>
      <c r="G175" s="426"/>
      <c r="H175" s="426"/>
      <c r="I175" s="426"/>
      <c r="J175" s="426"/>
      <c r="K175" s="426"/>
      <c r="L175" s="426"/>
      <c r="M175" s="426" t="n">
        <v>1</v>
      </c>
      <c r="N175" s="426"/>
      <c r="O175" s="426"/>
      <c r="P175" s="426"/>
      <c r="Q175" s="426"/>
      <c r="R175" s="426"/>
      <c r="S175" s="426"/>
      <c r="T175" s="426"/>
      <c r="U175" s="426"/>
      <c r="V175" s="426" t="n">
        <v>9</v>
      </c>
      <c r="W175" s="426"/>
      <c r="X175" s="426"/>
      <c r="Y175" s="426"/>
      <c r="Z175" s="426"/>
      <c r="AA175" s="426"/>
      <c r="AB175" s="426"/>
      <c r="AC175" s="426"/>
      <c r="AD175" s="426"/>
      <c r="AE175" s="426"/>
      <c r="AF175" s="426"/>
      <c r="AG175" s="426"/>
      <c r="AH175" s="426"/>
      <c r="AI175" s="426"/>
      <c r="AJ175" s="426"/>
      <c r="AK175" s="426"/>
      <c r="AL175" s="426"/>
      <c r="AM175" s="426"/>
      <c r="AN175" s="426"/>
      <c r="AO175" s="426"/>
      <c r="AP175" s="426"/>
      <c r="AQ175" s="418" t="n">
        <v>12</v>
      </c>
    </row>
    <row r="176" customFormat="false" ht="12.75" hidden="false" customHeight="false" outlineLevel="0" collapsed="false">
      <c r="A176" s="367" t="s">
        <v>4236</v>
      </c>
      <c r="B176" s="425"/>
      <c r="C176" s="426"/>
      <c r="D176" s="426" t="n">
        <v>16</v>
      </c>
      <c r="E176" s="426" t="n">
        <v>4</v>
      </c>
      <c r="F176" s="426"/>
      <c r="G176" s="426"/>
      <c r="H176" s="426"/>
      <c r="I176" s="426"/>
      <c r="J176" s="426"/>
      <c r="K176" s="426"/>
      <c r="L176" s="426"/>
      <c r="M176" s="426" t="n">
        <v>1</v>
      </c>
      <c r="N176" s="426"/>
      <c r="O176" s="426"/>
      <c r="P176" s="426"/>
      <c r="Q176" s="426"/>
      <c r="R176" s="426"/>
      <c r="S176" s="426" t="n">
        <v>1</v>
      </c>
      <c r="T176" s="426"/>
      <c r="U176" s="426"/>
      <c r="V176" s="426" t="n">
        <v>1</v>
      </c>
      <c r="W176" s="426"/>
      <c r="X176" s="426"/>
      <c r="Y176" s="426"/>
      <c r="Z176" s="426"/>
      <c r="AA176" s="426"/>
      <c r="AB176" s="426"/>
      <c r="AC176" s="426" t="n">
        <v>1</v>
      </c>
      <c r="AD176" s="426"/>
      <c r="AE176" s="426"/>
      <c r="AF176" s="426"/>
      <c r="AG176" s="426"/>
      <c r="AH176" s="426"/>
      <c r="AI176" s="426"/>
      <c r="AJ176" s="426"/>
      <c r="AK176" s="426"/>
      <c r="AL176" s="426"/>
      <c r="AM176" s="426" t="n">
        <v>1</v>
      </c>
      <c r="AN176" s="426"/>
      <c r="AO176" s="426"/>
      <c r="AP176" s="426"/>
      <c r="AQ176" s="418" t="n">
        <v>25</v>
      </c>
    </row>
    <row r="177" customFormat="false" ht="12.75" hidden="false" customHeight="false" outlineLevel="0" collapsed="false">
      <c r="A177" s="367" t="s">
        <v>2896</v>
      </c>
      <c r="B177" s="425"/>
      <c r="C177" s="426"/>
      <c r="D177" s="426" t="n">
        <v>1</v>
      </c>
      <c r="E177" s="426" t="n">
        <v>4</v>
      </c>
      <c r="F177" s="426"/>
      <c r="G177" s="426"/>
      <c r="H177" s="426"/>
      <c r="I177" s="426"/>
      <c r="J177" s="426"/>
      <c r="K177" s="426"/>
      <c r="L177" s="426"/>
      <c r="M177" s="426"/>
      <c r="N177" s="426" t="n">
        <v>1</v>
      </c>
      <c r="O177" s="426"/>
      <c r="P177" s="426"/>
      <c r="Q177" s="426"/>
      <c r="R177" s="426"/>
      <c r="S177" s="426"/>
      <c r="T177" s="426"/>
      <c r="U177" s="426"/>
      <c r="V177" s="426" t="n">
        <v>14</v>
      </c>
      <c r="W177" s="426"/>
      <c r="X177" s="426"/>
      <c r="Y177" s="426"/>
      <c r="Z177" s="426"/>
      <c r="AA177" s="426"/>
      <c r="AB177" s="426"/>
      <c r="AC177" s="426"/>
      <c r="AD177" s="426" t="n">
        <v>2</v>
      </c>
      <c r="AE177" s="426"/>
      <c r="AF177" s="426"/>
      <c r="AG177" s="426"/>
      <c r="AH177" s="426"/>
      <c r="AI177" s="426"/>
      <c r="AJ177" s="426"/>
      <c r="AK177" s="426"/>
      <c r="AL177" s="426"/>
      <c r="AM177" s="426"/>
      <c r="AN177" s="426"/>
      <c r="AO177" s="426"/>
      <c r="AP177" s="426"/>
      <c r="AQ177" s="418" t="n">
        <v>22</v>
      </c>
    </row>
    <row r="178" customFormat="false" ht="12.75" hidden="false" customHeight="false" outlineLevel="0" collapsed="false">
      <c r="A178" s="367" t="s">
        <v>4240</v>
      </c>
      <c r="B178" s="425"/>
      <c r="C178" s="426"/>
      <c r="D178" s="426"/>
      <c r="E178" s="426" t="n">
        <v>2</v>
      </c>
      <c r="F178" s="426"/>
      <c r="G178" s="426"/>
      <c r="H178" s="426"/>
      <c r="I178" s="426"/>
      <c r="J178" s="426"/>
      <c r="K178" s="426"/>
      <c r="L178" s="426"/>
      <c r="M178" s="426"/>
      <c r="N178" s="426" t="n">
        <v>2</v>
      </c>
      <c r="O178" s="426"/>
      <c r="P178" s="426"/>
      <c r="Q178" s="426"/>
      <c r="R178" s="426"/>
      <c r="S178" s="426" t="n">
        <v>1</v>
      </c>
      <c r="T178" s="426"/>
      <c r="U178" s="426"/>
      <c r="V178" s="426" t="n">
        <v>11</v>
      </c>
      <c r="W178" s="426"/>
      <c r="X178" s="426"/>
      <c r="Y178" s="426"/>
      <c r="Z178" s="426"/>
      <c r="AA178" s="426"/>
      <c r="AB178" s="426"/>
      <c r="AC178" s="426"/>
      <c r="AD178" s="426"/>
      <c r="AE178" s="426" t="n">
        <v>1</v>
      </c>
      <c r="AF178" s="426"/>
      <c r="AG178" s="426"/>
      <c r="AH178" s="426"/>
      <c r="AI178" s="426"/>
      <c r="AJ178" s="426"/>
      <c r="AK178" s="426"/>
      <c r="AL178" s="426"/>
      <c r="AM178" s="426"/>
      <c r="AN178" s="426"/>
      <c r="AO178" s="426"/>
      <c r="AP178" s="426"/>
      <c r="AQ178" s="418" t="n">
        <v>17</v>
      </c>
    </row>
    <row r="179" customFormat="false" ht="12.75" hidden="false" customHeight="false" outlineLevel="0" collapsed="false">
      <c r="A179" s="419" t="s">
        <v>4200</v>
      </c>
      <c r="B179" s="427" t="n">
        <v>1</v>
      </c>
      <c r="C179" s="428" t="n">
        <v>1</v>
      </c>
      <c r="D179" s="428" t="n">
        <v>58</v>
      </c>
      <c r="E179" s="428" t="n">
        <v>27</v>
      </c>
      <c r="F179" s="428" t="n">
        <v>2</v>
      </c>
      <c r="G179" s="428" t="n">
        <v>1</v>
      </c>
      <c r="H179" s="428" t="n">
        <v>1</v>
      </c>
      <c r="I179" s="428" t="n">
        <v>1</v>
      </c>
      <c r="J179" s="428" t="n">
        <v>3</v>
      </c>
      <c r="K179" s="428" t="n">
        <v>3</v>
      </c>
      <c r="L179" s="428" t="n">
        <v>2</v>
      </c>
      <c r="M179" s="428" t="n">
        <v>9</v>
      </c>
      <c r="N179" s="428" t="n">
        <v>8</v>
      </c>
      <c r="O179" s="428" t="n">
        <v>1</v>
      </c>
      <c r="P179" s="428" t="n">
        <v>1</v>
      </c>
      <c r="Q179" s="428" t="n">
        <v>1</v>
      </c>
      <c r="R179" s="428" t="n">
        <v>5</v>
      </c>
      <c r="S179" s="428" t="n">
        <v>18</v>
      </c>
      <c r="T179" s="428" t="n">
        <v>1</v>
      </c>
      <c r="U179" s="428" t="n">
        <v>3</v>
      </c>
      <c r="V179" s="428" t="n">
        <v>58</v>
      </c>
      <c r="W179" s="428" t="n">
        <v>1</v>
      </c>
      <c r="X179" s="428" t="n">
        <v>1</v>
      </c>
      <c r="Y179" s="428" t="n">
        <v>1</v>
      </c>
      <c r="Z179" s="428" t="n">
        <v>1</v>
      </c>
      <c r="AA179" s="428" t="n">
        <v>1</v>
      </c>
      <c r="AB179" s="428" t="n">
        <v>1</v>
      </c>
      <c r="AC179" s="428" t="n">
        <v>6</v>
      </c>
      <c r="AD179" s="428" t="n">
        <v>9</v>
      </c>
      <c r="AE179" s="428" t="n">
        <v>2</v>
      </c>
      <c r="AF179" s="428" t="n">
        <v>1</v>
      </c>
      <c r="AG179" s="428" t="n">
        <v>7</v>
      </c>
      <c r="AH179" s="428" t="n">
        <v>1</v>
      </c>
      <c r="AI179" s="428" t="n">
        <v>1</v>
      </c>
      <c r="AJ179" s="428" t="n">
        <v>1</v>
      </c>
      <c r="AK179" s="428" t="n">
        <v>1</v>
      </c>
      <c r="AL179" s="428" t="n">
        <v>1</v>
      </c>
      <c r="AM179" s="428" t="n">
        <v>1</v>
      </c>
      <c r="AN179" s="428" t="n">
        <v>1</v>
      </c>
      <c r="AO179" s="428" t="n">
        <v>1</v>
      </c>
      <c r="AP179" s="428" t="n">
        <v>1</v>
      </c>
      <c r="AQ179" s="421" t="n">
        <v>245</v>
      </c>
    </row>
    <row r="231" customFormat="false" ht="12.75" hidden="false" customHeight="false" outlineLevel="0" collapsed="false">
      <c r="A231" s="299" t="s">
        <v>4207</v>
      </c>
      <c r="B231" s="414"/>
      <c r="C231" s="415"/>
    </row>
    <row r="232" customFormat="false" ht="12.75" hidden="false" customHeight="false" outlineLevel="0" collapsed="false">
      <c r="A232" s="299" t="s">
        <v>4209</v>
      </c>
      <c r="B232" s="299" t="s">
        <v>4208</v>
      </c>
      <c r="C232" s="415" t="s">
        <v>4210</v>
      </c>
    </row>
    <row r="233" customFormat="false" ht="12.75" hidden="false" customHeight="false" outlineLevel="0" collapsed="false">
      <c r="A233" s="299" t="s">
        <v>52</v>
      </c>
      <c r="B233" s="299" t="s">
        <v>2254</v>
      </c>
      <c r="C233" s="416" t="n">
        <v>1</v>
      </c>
    </row>
    <row r="234" customFormat="false" ht="12.75" hidden="false" customHeight="false" outlineLevel="0" collapsed="false">
      <c r="A234" s="417"/>
      <c r="B234" s="367" t="s">
        <v>1330</v>
      </c>
      <c r="C234" s="418" t="n">
        <v>3</v>
      </c>
    </row>
    <row r="235" customFormat="false" ht="12.75" hidden="false" customHeight="false" outlineLevel="0" collapsed="false">
      <c r="A235" s="417"/>
      <c r="B235" s="367" t="s">
        <v>405</v>
      </c>
      <c r="C235" s="418" t="n">
        <v>15</v>
      </c>
    </row>
    <row r="236" customFormat="false" ht="12.75" hidden="false" customHeight="false" outlineLevel="0" collapsed="false">
      <c r="A236" s="417"/>
      <c r="B236" s="367" t="s">
        <v>4245</v>
      </c>
      <c r="C236" s="418" t="n">
        <v>15</v>
      </c>
    </row>
    <row r="237" customFormat="false" ht="12.75" hidden="false" customHeight="false" outlineLevel="0" collapsed="false">
      <c r="A237" s="417"/>
      <c r="B237" s="367" t="s">
        <v>78</v>
      </c>
      <c r="C237" s="418" t="n">
        <v>4</v>
      </c>
    </row>
    <row r="238" customFormat="false" ht="12.75" hidden="false" customHeight="false" outlineLevel="0" collapsed="false">
      <c r="A238" s="417"/>
      <c r="B238" s="367" t="s">
        <v>53</v>
      </c>
      <c r="C238" s="418" t="n">
        <v>10</v>
      </c>
    </row>
    <row r="239" customFormat="false" ht="12.75" hidden="false" customHeight="false" outlineLevel="0" collapsed="false">
      <c r="A239" s="299" t="s">
        <v>4218</v>
      </c>
      <c r="B239" s="414"/>
      <c r="C239" s="416" t="n">
        <v>48</v>
      </c>
    </row>
    <row r="240" customFormat="false" ht="12.75" hidden="false" customHeight="false" outlineLevel="0" collapsed="false">
      <c r="A240" s="299" t="s">
        <v>2890</v>
      </c>
      <c r="B240" s="299" t="s">
        <v>457</v>
      </c>
      <c r="C240" s="416" t="n">
        <v>4</v>
      </c>
    </row>
    <row r="241" customFormat="false" ht="12.75" hidden="false" customHeight="false" outlineLevel="0" collapsed="false">
      <c r="A241" s="417"/>
      <c r="B241" s="367" t="s">
        <v>2254</v>
      </c>
      <c r="C241" s="418" t="n">
        <v>1</v>
      </c>
    </row>
    <row r="242" customFormat="false" ht="12.75" hidden="false" customHeight="false" outlineLevel="0" collapsed="false">
      <c r="A242" s="417"/>
      <c r="B242" s="367" t="s">
        <v>1330</v>
      </c>
      <c r="C242" s="418" t="n">
        <v>3</v>
      </c>
    </row>
    <row r="243" customFormat="false" ht="12.75" hidden="false" customHeight="false" outlineLevel="0" collapsed="false">
      <c r="A243" s="417"/>
      <c r="B243" s="367" t="s">
        <v>405</v>
      </c>
      <c r="C243" s="418" t="n">
        <v>1</v>
      </c>
    </row>
    <row r="244" customFormat="false" ht="12.75" hidden="false" customHeight="false" outlineLevel="0" collapsed="false">
      <c r="A244" s="417"/>
      <c r="B244" s="367" t="s">
        <v>492</v>
      </c>
      <c r="C244" s="418" t="n">
        <v>2</v>
      </c>
    </row>
    <row r="245" customFormat="false" ht="12.75" hidden="false" customHeight="false" outlineLevel="0" collapsed="false">
      <c r="A245" s="417"/>
      <c r="B245" s="367" t="s">
        <v>4245</v>
      </c>
      <c r="C245" s="418" t="n">
        <v>9</v>
      </c>
    </row>
    <row r="246" customFormat="false" ht="12.75" hidden="false" customHeight="false" outlineLevel="0" collapsed="false">
      <c r="A246" s="417"/>
      <c r="B246" s="367" t="s">
        <v>78</v>
      </c>
      <c r="C246" s="418" t="n">
        <v>3</v>
      </c>
    </row>
    <row r="247" customFormat="false" ht="12.75" hidden="false" customHeight="false" outlineLevel="0" collapsed="false">
      <c r="A247" s="417"/>
      <c r="B247" s="367" t="s">
        <v>53</v>
      </c>
      <c r="C247" s="418" t="n">
        <v>1</v>
      </c>
    </row>
    <row r="248" customFormat="false" ht="12.75" hidden="false" customHeight="false" outlineLevel="0" collapsed="false">
      <c r="A248" s="299" t="s">
        <v>4215</v>
      </c>
      <c r="B248" s="414"/>
      <c r="C248" s="416" t="n">
        <v>24</v>
      </c>
    </row>
    <row r="249" customFormat="false" ht="12.75" hidden="false" customHeight="false" outlineLevel="0" collapsed="false">
      <c r="A249" s="299" t="s">
        <v>100</v>
      </c>
      <c r="B249" s="299" t="s">
        <v>1330</v>
      </c>
      <c r="C249" s="416" t="n">
        <v>3</v>
      </c>
    </row>
    <row r="250" customFormat="false" ht="12.75" hidden="false" customHeight="false" outlineLevel="0" collapsed="false">
      <c r="A250" s="417"/>
      <c r="B250" s="367" t="s">
        <v>405</v>
      </c>
      <c r="C250" s="418" t="n">
        <v>9</v>
      </c>
    </row>
    <row r="251" customFormat="false" ht="12.75" hidden="false" customHeight="false" outlineLevel="0" collapsed="false">
      <c r="A251" s="417"/>
      <c r="B251" s="367" t="s">
        <v>4245</v>
      </c>
      <c r="C251" s="418" t="n">
        <v>19</v>
      </c>
    </row>
    <row r="252" customFormat="false" ht="12.75" hidden="false" customHeight="false" outlineLevel="0" collapsed="false">
      <c r="A252" s="417"/>
      <c r="B252" s="367" t="s">
        <v>78</v>
      </c>
      <c r="C252" s="418" t="n">
        <v>5</v>
      </c>
    </row>
    <row r="253" customFormat="false" ht="12.75" hidden="false" customHeight="false" outlineLevel="0" collapsed="false">
      <c r="A253" s="417"/>
      <c r="B253" s="367" t="s">
        <v>53</v>
      </c>
      <c r="C253" s="418" t="n">
        <v>4</v>
      </c>
    </row>
    <row r="254" customFormat="false" ht="12.75" hidden="false" customHeight="false" outlineLevel="0" collapsed="false">
      <c r="A254" s="299" t="s">
        <v>4225</v>
      </c>
      <c r="B254" s="414"/>
      <c r="C254" s="416" t="n">
        <v>40</v>
      </c>
    </row>
    <row r="255" customFormat="false" ht="12.75" hidden="false" customHeight="false" outlineLevel="0" collapsed="false">
      <c r="A255" s="299" t="s">
        <v>82</v>
      </c>
      <c r="B255" s="299" t="s">
        <v>405</v>
      </c>
      <c r="C255" s="416" t="n">
        <v>9</v>
      </c>
    </row>
    <row r="256" customFormat="false" ht="12.75" hidden="false" customHeight="false" outlineLevel="0" collapsed="false">
      <c r="A256" s="417"/>
      <c r="B256" s="367" t="s">
        <v>4245</v>
      </c>
      <c r="C256" s="418" t="n">
        <v>16</v>
      </c>
    </row>
    <row r="257" customFormat="false" ht="12.75" hidden="false" customHeight="false" outlineLevel="0" collapsed="false">
      <c r="A257" s="299" t="s">
        <v>4235</v>
      </c>
      <c r="B257" s="414"/>
      <c r="C257" s="416" t="n">
        <v>25</v>
      </c>
    </row>
    <row r="258" customFormat="false" ht="12.75" hidden="false" customHeight="false" outlineLevel="0" collapsed="false">
      <c r="A258" s="299" t="s">
        <v>4250</v>
      </c>
      <c r="B258" s="299" t="s">
        <v>4245</v>
      </c>
      <c r="C258" s="416" t="n">
        <v>21</v>
      </c>
    </row>
    <row r="259" customFormat="false" ht="12.75" hidden="false" customHeight="false" outlineLevel="0" collapsed="false">
      <c r="A259" s="299" t="s">
        <v>4251</v>
      </c>
      <c r="B259" s="414"/>
      <c r="C259" s="416" t="n">
        <v>21</v>
      </c>
    </row>
    <row r="260" customFormat="false" ht="12.75" hidden="false" customHeight="false" outlineLevel="0" collapsed="false">
      <c r="A260" s="299" t="s">
        <v>593</v>
      </c>
      <c r="B260" s="299" t="s">
        <v>4245</v>
      </c>
      <c r="C260" s="416" t="n">
        <v>11</v>
      </c>
    </row>
    <row r="261" customFormat="false" ht="12.75" hidden="false" customHeight="false" outlineLevel="0" collapsed="false">
      <c r="A261" s="299" t="s">
        <v>4253</v>
      </c>
      <c r="B261" s="414"/>
      <c r="C261" s="416" t="n">
        <v>11</v>
      </c>
    </row>
    <row r="262" customFormat="false" ht="12.75" hidden="false" customHeight="false" outlineLevel="0" collapsed="false">
      <c r="A262" s="299" t="s">
        <v>61</v>
      </c>
      <c r="B262" s="299" t="s">
        <v>4245</v>
      </c>
      <c r="C262" s="416" t="n">
        <v>12</v>
      </c>
    </row>
    <row r="263" customFormat="false" ht="12.75" hidden="false" customHeight="false" outlineLevel="0" collapsed="false">
      <c r="A263" s="299" t="s">
        <v>4254</v>
      </c>
      <c r="B263" s="414"/>
      <c r="C263" s="416" t="n">
        <v>12</v>
      </c>
    </row>
    <row r="264" customFormat="false" ht="12.75" hidden="false" customHeight="false" outlineLevel="0" collapsed="false">
      <c r="A264" s="299" t="s">
        <v>4236</v>
      </c>
      <c r="B264" s="299" t="s">
        <v>405</v>
      </c>
      <c r="C264" s="416" t="n">
        <v>3</v>
      </c>
    </row>
    <row r="265" customFormat="false" ht="12.75" hidden="false" customHeight="false" outlineLevel="0" collapsed="false">
      <c r="A265" s="417"/>
      <c r="B265" s="367" t="s">
        <v>4245</v>
      </c>
      <c r="C265" s="418" t="n">
        <v>22</v>
      </c>
    </row>
    <row r="266" customFormat="false" ht="12.75" hidden="false" customHeight="false" outlineLevel="0" collapsed="false">
      <c r="A266" s="299" t="s">
        <v>4238</v>
      </c>
      <c r="B266" s="414"/>
      <c r="C266" s="416" t="n">
        <v>25</v>
      </c>
    </row>
    <row r="267" customFormat="false" ht="12.75" hidden="false" customHeight="false" outlineLevel="0" collapsed="false">
      <c r="A267" s="299" t="s">
        <v>2896</v>
      </c>
      <c r="B267" s="299" t="s">
        <v>405</v>
      </c>
      <c r="C267" s="416" t="n">
        <v>2</v>
      </c>
    </row>
    <row r="268" customFormat="false" ht="12.75" hidden="false" customHeight="false" outlineLevel="0" collapsed="false">
      <c r="A268" s="417"/>
      <c r="B268" s="367" t="s">
        <v>4245</v>
      </c>
      <c r="C268" s="418" t="n">
        <v>20</v>
      </c>
    </row>
    <row r="269" customFormat="false" ht="12.75" hidden="false" customHeight="false" outlineLevel="0" collapsed="false">
      <c r="A269" s="299" t="s">
        <v>4239</v>
      </c>
      <c r="B269" s="414"/>
      <c r="C269" s="416" t="n">
        <v>22</v>
      </c>
    </row>
    <row r="270" customFormat="false" ht="12.75" hidden="false" customHeight="false" outlineLevel="0" collapsed="false">
      <c r="A270" s="299" t="s">
        <v>4240</v>
      </c>
      <c r="B270" s="299" t="s">
        <v>405</v>
      </c>
      <c r="C270" s="416" t="n">
        <v>2</v>
      </c>
    </row>
    <row r="271" customFormat="false" ht="12.75" hidden="false" customHeight="false" outlineLevel="0" collapsed="false">
      <c r="A271" s="417"/>
      <c r="B271" s="367" t="s">
        <v>4245</v>
      </c>
      <c r="C271" s="418" t="n">
        <v>15</v>
      </c>
    </row>
    <row r="272" customFormat="false" ht="12.75" hidden="false" customHeight="false" outlineLevel="0" collapsed="false">
      <c r="A272" s="299" t="s">
        <v>4241</v>
      </c>
      <c r="B272" s="414"/>
      <c r="C272" s="416" t="n">
        <v>17</v>
      </c>
    </row>
    <row r="273" customFormat="false" ht="12.75" hidden="false" customHeight="false" outlineLevel="0" collapsed="false">
      <c r="A273" s="419" t="s">
        <v>4200</v>
      </c>
      <c r="B273" s="420"/>
      <c r="C273" s="421" t="n">
        <v>245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15.71"/>
    <col collapsed="false" customWidth="true" hidden="false" outlineLevel="0" max="3" min="3" style="0" width="8.29"/>
    <col collapsed="false" customWidth="true" hidden="false" outlineLevel="0" max="10" min="10" style="0" width="29.29"/>
    <col collapsed="false" customWidth="true" hidden="false" outlineLevel="0" max="11" min="11" style="0" width="7.71"/>
  </cols>
  <sheetData>
    <row r="1" customFormat="false" ht="12.75" hidden="false" customHeight="false" outlineLevel="0" collapsed="false">
      <c r="A1" s="64" t="s">
        <v>2875</v>
      </c>
      <c r="B1" s="64" t="s">
        <v>4274</v>
      </c>
      <c r="J1" s="64" t="s">
        <v>4275</v>
      </c>
      <c r="K1" s="64" t="s">
        <v>4276</v>
      </c>
    </row>
    <row r="2" customFormat="false" ht="12" hidden="false" customHeight="true" outlineLevel="0" collapsed="false">
      <c r="A2" s="64" t="s">
        <v>26</v>
      </c>
      <c r="B2" s="64" t="s">
        <v>4274</v>
      </c>
      <c r="J2" s="429" t="s">
        <v>4277</v>
      </c>
      <c r="K2" s="430"/>
    </row>
    <row r="3" customFormat="false" ht="12.75" hidden="false" customHeight="false" outlineLevel="0" collapsed="false">
      <c r="J3" s="299" t="s">
        <v>4278</v>
      </c>
      <c r="K3" s="415"/>
    </row>
    <row r="4" customFormat="false" ht="12.75" hidden="false" customHeight="false" outlineLevel="0" collapsed="false">
      <c r="A4" s="299" t="s">
        <v>4207</v>
      </c>
      <c r="B4" s="414"/>
      <c r="C4" s="415"/>
      <c r="J4" s="299" t="s">
        <v>4209</v>
      </c>
      <c r="K4" s="415" t="s">
        <v>4210</v>
      </c>
    </row>
    <row r="5" customFormat="false" ht="12.75" hidden="false" customHeight="false" outlineLevel="0" collapsed="false">
      <c r="A5" s="299" t="s">
        <v>4209</v>
      </c>
      <c r="B5" s="299" t="s">
        <v>4208</v>
      </c>
      <c r="C5" s="415" t="s">
        <v>4210</v>
      </c>
      <c r="J5" s="299" t="s">
        <v>52</v>
      </c>
      <c r="K5" s="416" t="n">
        <v>59</v>
      </c>
    </row>
    <row r="6" customFormat="false" ht="12.75" hidden="false" customHeight="false" outlineLevel="0" collapsed="false">
      <c r="A6" s="299" t="s">
        <v>52</v>
      </c>
      <c r="B6" s="299" t="s">
        <v>4245</v>
      </c>
      <c r="C6" s="431" t="n">
        <v>0.0612244897959184</v>
      </c>
      <c r="J6" s="367" t="s">
        <v>2890</v>
      </c>
      <c r="K6" s="418" t="n">
        <v>21</v>
      </c>
    </row>
    <row r="7" customFormat="false" ht="12.75" hidden="false" customHeight="false" outlineLevel="0" collapsed="false">
      <c r="A7" s="417"/>
      <c r="B7" s="367" t="s">
        <v>1330</v>
      </c>
      <c r="C7" s="432" t="n">
        <v>0.0122448979591837</v>
      </c>
      <c r="J7" s="367" t="s">
        <v>100</v>
      </c>
      <c r="K7" s="418" t="n">
        <v>58</v>
      </c>
    </row>
    <row r="8" customFormat="false" ht="12.75" hidden="false" customHeight="false" outlineLevel="0" collapsed="false">
      <c r="A8" s="417"/>
      <c r="B8" s="367" t="s">
        <v>2254</v>
      </c>
      <c r="C8" s="432" t="n">
        <v>0.00408163265306122</v>
      </c>
      <c r="J8" s="367" t="s">
        <v>82</v>
      </c>
      <c r="K8" s="418" t="n">
        <v>47</v>
      </c>
    </row>
    <row r="9" customFormat="false" ht="12.75" hidden="false" customHeight="false" outlineLevel="0" collapsed="false">
      <c r="A9" s="417"/>
      <c r="B9" s="367" t="s">
        <v>405</v>
      </c>
      <c r="C9" s="432" t="n">
        <v>0.0612244897959184</v>
      </c>
      <c r="J9" s="367" t="s">
        <v>4279</v>
      </c>
      <c r="K9" s="418" t="n">
        <v>20</v>
      </c>
    </row>
    <row r="10" customFormat="false" ht="12.75" hidden="false" customHeight="false" outlineLevel="0" collapsed="false">
      <c r="A10" s="417"/>
      <c r="B10" s="367" t="s">
        <v>78</v>
      </c>
      <c r="C10" s="432" t="n">
        <v>0.0163265306122449</v>
      </c>
      <c r="J10" s="367" t="s">
        <v>4280</v>
      </c>
      <c r="K10" s="418" t="n">
        <v>8</v>
      </c>
    </row>
    <row r="11" customFormat="false" ht="12.75" hidden="false" customHeight="false" outlineLevel="0" collapsed="false">
      <c r="A11" s="417"/>
      <c r="B11" s="367" t="s">
        <v>53</v>
      </c>
      <c r="C11" s="432" t="n">
        <v>0.0408163265306122</v>
      </c>
      <c r="J11" s="367" t="s">
        <v>142</v>
      </c>
      <c r="K11" s="418" t="n">
        <v>19</v>
      </c>
    </row>
    <row r="12" customFormat="false" ht="12.75" hidden="false" customHeight="false" outlineLevel="0" collapsed="false">
      <c r="A12" s="299" t="s">
        <v>4218</v>
      </c>
      <c r="B12" s="414"/>
      <c r="C12" s="431" t="n">
        <v>0.195918367346939</v>
      </c>
      <c r="J12" s="367" t="s">
        <v>4281</v>
      </c>
      <c r="K12" s="418" t="n">
        <v>16</v>
      </c>
    </row>
    <row r="13" customFormat="false" ht="12.75" hidden="false" customHeight="false" outlineLevel="0" collapsed="false">
      <c r="A13" s="299" t="s">
        <v>2890</v>
      </c>
      <c r="B13" s="299" t="s">
        <v>492</v>
      </c>
      <c r="C13" s="431" t="n">
        <v>0.00816326530612245</v>
      </c>
      <c r="J13" s="367" t="s">
        <v>197</v>
      </c>
      <c r="K13" s="418" t="n">
        <v>17</v>
      </c>
    </row>
    <row r="14" customFormat="false" ht="12.75" hidden="false" customHeight="false" outlineLevel="0" collapsed="false">
      <c r="A14" s="417"/>
      <c r="B14" s="367" t="s">
        <v>4245</v>
      </c>
      <c r="C14" s="432" t="n">
        <v>0.036734693877551</v>
      </c>
      <c r="J14" s="367" t="s">
        <v>4282</v>
      </c>
      <c r="K14" s="418" t="n">
        <v>1</v>
      </c>
    </row>
    <row r="15" customFormat="false" ht="12.75" hidden="false" customHeight="false" outlineLevel="0" collapsed="false">
      <c r="A15" s="417"/>
      <c r="B15" s="367" t="s">
        <v>1330</v>
      </c>
      <c r="C15" s="432" t="n">
        <v>0.0122448979591837</v>
      </c>
      <c r="J15" s="419" t="s">
        <v>4200</v>
      </c>
      <c r="K15" s="421" t="n">
        <v>266</v>
      </c>
    </row>
    <row r="16" customFormat="false" ht="12.75" hidden="false" customHeight="false" outlineLevel="0" collapsed="false">
      <c r="A16" s="417"/>
      <c r="B16" s="367" t="s">
        <v>2254</v>
      </c>
      <c r="C16" s="432" t="n">
        <v>0.00408163265306122</v>
      </c>
    </row>
    <row r="17" customFormat="false" ht="12.75" hidden="false" customHeight="false" outlineLevel="0" collapsed="false">
      <c r="A17" s="417"/>
      <c r="B17" s="367" t="s">
        <v>405</v>
      </c>
      <c r="C17" s="432" t="n">
        <v>0.00408163265306122</v>
      </c>
    </row>
    <row r="18" customFormat="false" ht="12.75" hidden="false" customHeight="false" outlineLevel="0" collapsed="false">
      <c r="A18" s="417"/>
      <c r="B18" s="367" t="s">
        <v>457</v>
      </c>
      <c r="C18" s="432" t="n">
        <v>0.0163265306122449</v>
      </c>
      <c r="J18" s="64" t="s">
        <v>4275</v>
      </c>
      <c r="K18" s="64" t="s">
        <v>4276</v>
      </c>
    </row>
    <row r="19" customFormat="false" ht="12.75" hidden="false" customHeight="false" outlineLevel="0" collapsed="false">
      <c r="A19" s="417"/>
      <c r="B19" s="367" t="s">
        <v>78</v>
      </c>
      <c r="C19" s="432" t="n">
        <v>0.0122448979591837</v>
      </c>
      <c r="J19" s="429" t="s">
        <v>4283</v>
      </c>
      <c r="K19" s="430"/>
    </row>
    <row r="20" customFormat="false" ht="12.75" hidden="false" customHeight="false" outlineLevel="0" collapsed="false">
      <c r="A20" s="417"/>
      <c r="B20" s="367" t="s">
        <v>53</v>
      </c>
      <c r="C20" s="432" t="n">
        <v>0.00408163265306122</v>
      </c>
      <c r="J20" s="299" t="s">
        <v>4278</v>
      </c>
      <c r="K20" s="415"/>
    </row>
    <row r="21" customFormat="false" ht="12.75" hidden="false" customHeight="false" outlineLevel="0" collapsed="false">
      <c r="A21" s="299" t="s">
        <v>4215</v>
      </c>
      <c r="B21" s="414"/>
      <c r="C21" s="431" t="n">
        <v>0.0979591836734694</v>
      </c>
      <c r="J21" s="299" t="s">
        <v>4209</v>
      </c>
      <c r="K21" s="415" t="s">
        <v>4210</v>
      </c>
    </row>
    <row r="22" customFormat="false" ht="12.75" hidden="false" customHeight="false" outlineLevel="0" collapsed="false">
      <c r="A22" s="299" t="s">
        <v>100</v>
      </c>
      <c r="B22" s="299" t="s">
        <v>4245</v>
      </c>
      <c r="C22" s="431" t="n">
        <v>0.0775510204081633</v>
      </c>
      <c r="J22" s="299" t="s">
        <v>52</v>
      </c>
      <c r="K22" s="416" t="n">
        <v>65</v>
      </c>
    </row>
    <row r="23" customFormat="false" ht="12.75" hidden="false" customHeight="false" outlineLevel="0" collapsed="false">
      <c r="A23" s="417"/>
      <c r="B23" s="367" t="s">
        <v>1330</v>
      </c>
      <c r="C23" s="432" t="n">
        <v>0.0122448979591837</v>
      </c>
      <c r="J23" s="367" t="s">
        <v>2890</v>
      </c>
      <c r="K23" s="418" t="n">
        <v>21</v>
      </c>
    </row>
    <row r="24" customFormat="false" ht="12.75" hidden="false" customHeight="false" outlineLevel="0" collapsed="false">
      <c r="A24" s="417"/>
      <c r="B24" s="367" t="s">
        <v>405</v>
      </c>
      <c r="C24" s="432" t="n">
        <v>0.036734693877551</v>
      </c>
      <c r="J24" s="367" t="s">
        <v>100</v>
      </c>
      <c r="K24" s="418" t="n">
        <v>62</v>
      </c>
    </row>
    <row r="25" customFormat="false" ht="12.75" hidden="false" customHeight="false" outlineLevel="0" collapsed="false">
      <c r="A25" s="417"/>
      <c r="B25" s="367" t="s">
        <v>78</v>
      </c>
      <c r="C25" s="432" t="n">
        <v>0.0204081632653061</v>
      </c>
      <c r="J25" s="367" t="s">
        <v>82</v>
      </c>
      <c r="K25" s="418" t="n">
        <v>47</v>
      </c>
    </row>
    <row r="26" customFormat="false" ht="12.75" hidden="false" customHeight="false" outlineLevel="0" collapsed="false">
      <c r="A26" s="417"/>
      <c r="B26" s="367" t="s">
        <v>53</v>
      </c>
      <c r="C26" s="432" t="n">
        <v>0.0163265306122449</v>
      </c>
      <c r="J26" s="367" t="s">
        <v>4279</v>
      </c>
      <c r="K26" s="418" t="n">
        <v>22</v>
      </c>
    </row>
    <row r="27" customFormat="false" ht="12.75" hidden="false" customHeight="false" outlineLevel="0" collapsed="false">
      <c r="A27" s="299" t="s">
        <v>4225</v>
      </c>
      <c r="B27" s="414"/>
      <c r="C27" s="431" t="n">
        <v>0.163265306122449</v>
      </c>
      <c r="J27" s="367" t="s">
        <v>4280</v>
      </c>
      <c r="K27" s="418" t="n">
        <v>8</v>
      </c>
    </row>
    <row r="28" customFormat="false" ht="12.75" hidden="false" customHeight="false" outlineLevel="0" collapsed="false">
      <c r="A28" s="299" t="s">
        <v>82</v>
      </c>
      <c r="B28" s="299" t="s">
        <v>4245</v>
      </c>
      <c r="C28" s="431" t="n">
        <v>0.0653061224489796</v>
      </c>
      <c r="J28" s="367" t="s">
        <v>142</v>
      </c>
      <c r="K28" s="418" t="n">
        <v>21</v>
      </c>
    </row>
    <row r="29" customFormat="false" ht="12.75" hidden="false" customHeight="false" outlineLevel="0" collapsed="false">
      <c r="A29" s="417"/>
      <c r="B29" s="367" t="s">
        <v>405</v>
      </c>
      <c r="C29" s="432" t="n">
        <v>0.036734693877551</v>
      </c>
      <c r="J29" s="367" t="s">
        <v>4281</v>
      </c>
      <c r="K29" s="418" t="n">
        <v>18</v>
      </c>
    </row>
    <row r="30" customFormat="false" ht="12.75" hidden="false" customHeight="false" outlineLevel="0" collapsed="false">
      <c r="A30" s="299" t="s">
        <v>4235</v>
      </c>
      <c r="B30" s="414"/>
      <c r="C30" s="431" t="n">
        <v>0.102040816326531</v>
      </c>
      <c r="J30" s="367" t="s">
        <v>197</v>
      </c>
      <c r="K30" s="418" t="n">
        <v>17</v>
      </c>
    </row>
    <row r="31" customFormat="false" ht="12.75" hidden="false" customHeight="false" outlineLevel="0" collapsed="false">
      <c r="A31" s="299" t="s">
        <v>4250</v>
      </c>
      <c r="B31" s="299" t="s">
        <v>4245</v>
      </c>
      <c r="C31" s="431" t="n">
        <v>0.0857142857142857</v>
      </c>
      <c r="J31" s="367" t="s">
        <v>4282</v>
      </c>
      <c r="K31" s="418" t="n">
        <v>1</v>
      </c>
    </row>
    <row r="32" customFormat="false" ht="12.75" hidden="false" customHeight="false" outlineLevel="0" collapsed="false">
      <c r="A32" s="299" t="s">
        <v>4251</v>
      </c>
      <c r="B32" s="414"/>
      <c r="C32" s="431" t="n">
        <v>0.0857142857142857</v>
      </c>
      <c r="J32" s="419" t="s">
        <v>4200</v>
      </c>
      <c r="K32" s="421" t="n">
        <v>282</v>
      </c>
    </row>
    <row r="33" customFormat="false" ht="12.75" hidden="false" customHeight="false" outlineLevel="0" collapsed="false">
      <c r="A33" s="299" t="s">
        <v>593</v>
      </c>
      <c r="B33" s="299" t="s">
        <v>4245</v>
      </c>
      <c r="C33" s="431" t="n">
        <v>0.0448979591836735</v>
      </c>
    </row>
    <row r="34" customFormat="false" ht="12.75" hidden="false" customHeight="false" outlineLevel="0" collapsed="false">
      <c r="A34" s="299" t="s">
        <v>4253</v>
      </c>
      <c r="B34" s="414"/>
      <c r="C34" s="431" t="n">
        <v>0.0448979591836735</v>
      </c>
    </row>
    <row r="35" customFormat="false" ht="12.75" hidden="false" customHeight="false" outlineLevel="0" collapsed="false">
      <c r="A35" s="299" t="s">
        <v>61</v>
      </c>
      <c r="B35" s="299" t="s">
        <v>4245</v>
      </c>
      <c r="C35" s="431" t="n">
        <v>0.0489795918367347</v>
      </c>
      <c r="J35" s="64" t="s">
        <v>4275</v>
      </c>
      <c r="K35" s="64" t="s">
        <v>4274</v>
      </c>
    </row>
    <row r="36" customFormat="false" ht="12.75" hidden="false" customHeight="false" outlineLevel="0" collapsed="false">
      <c r="A36" s="299" t="s">
        <v>4254</v>
      </c>
      <c r="B36" s="414"/>
      <c r="C36" s="431" t="n">
        <v>0.0489795918367347</v>
      </c>
      <c r="J36" s="429" t="s">
        <v>4284</v>
      </c>
      <c r="K36" s="430"/>
    </row>
    <row r="37" customFormat="false" ht="12.75" hidden="false" customHeight="false" outlineLevel="0" collapsed="false">
      <c r="A37" s="299" t="s">
        <v>4236</v>
      </c>
      <c r="B37" s="299" t="s">
        <v>4245</v>
      </c>
      <c r="C37" s="431" t="n">
        <v>0.0897959183673469</v>
      </c>
      <c r="J37" s="299" t="s">
        <v>4278</v>
      </c>
      <c r="K37" s="415"/>
    </row>
    <row r="38" customFormat="false" ht="12.75" hidden="false" customHeight="false" outlineLevel="0" collapsed="false">
      <c r="A38" s="417"/>
      <c r="B38" s="367" t="s">
        <v>405</v>
      </c>
      <c r="C38" s="432" t="n">
        <v>0.0122448979591837</v>
      </c>
      <c r="J38" s="299" t="s">
        <v>4209</v>
      </c>
      <c r="K38" s="415" t="s">
        <v>4210</v>
      </c>
    </row>
    <row r="39" customFormat="false" ht="12.75" hidden="false" customHeight="false" outlineLevel="0" collapsed="false">
      <c r="A39" s="299" t="s">
        <v>4238</v>
      </c>
      <c r="B39" s="414"/>
      <c r="C39" s="431" t="n">
        <v>0.102040816326531</v>
      </c>
      <c r="J39" s="299" t="s">
        <v>52</v>
      </c>
      <c r="K39" s="416" t="n">
        <v>66</v>
      </c>
    </row>
    <row r="40" customFormat="false" ht="12.75" hidden="false" customHeight="false" outlineLevel="0" collapsed="false">
      <c r="A40" s="299" t="s">
        <v>2896</v>
      </c>
      <c r="B40" s="299" t="s">
        <v>4245</v>
      </c>
      <c r="C40" s="431" t="n">
        <v>0.0816326530612245</v>
      </c>
      <c r="J40" s="367" t="s">
        <v>2890</v>
      </c>
      <c r="K40" s="418" t="n">
        <v>21</v>
      </c>
    </row>
    <row r="41" customFormat="false" ht="12.75" hidden="false" customHeight="false" outlineLevel="0" collapsed="false">
      <c r="A41" s="417"/>
      <c r="B41" s="367" t="s">
        <v>405</v>
      </c>
      <c r="C41" s="432" t="n">
        <v>0.00816326530612245</v>
      </c>
      <c r="J41" s="367" t="s">
        <v>100</v>
      </c>
      <c r="K41" s="418" t="n">
        <v>68</v>
      </c>
    </row>
    <row r="42" customFormat="false" ht="12.75" hidden="false" customHeight="false" outlineLevel="0" collapsed="false">
      <c r="A42" s="299" t="s">
        <v>4239</v>
      </c>
      <c r="B42" s="414"/>
      <c r="C42" s="431" t="n">
        <v>0.0897959183673469</v>
      </c>
      <c r="J42" s="367" t="s">
        <v>82</v>
      </c>
      <c r="K42" s="418" t="n">
        <v>52</v>
      </c>
    </row>
    <row r="43" customFormat="false" ht="12.75" hidden="false" customHeight="false" outlineLevel="0" collapsed="false">
      <c r="A43" s="299" t="s">
        <v>4240</v>
      </c>
      <c r="B43" s="299" t="s">
        <v>4245</v>
      </c>
      <c r="C43" s="431" t="n">
        <v>0.0612244897959184</v>
      </c>
      <c r="J43" s="367" t="s">
        <v>4279</v>
      </c>
      <c r="K43" s="418" t="n">
        <v>24</v>
      </c>
    </row>
    <row r="44" customFormat="false" ht="12.75" hidden="false" customHeight="false" outlineLevel="0" collapsed="false">
      <c r="A44" s="417"/>
      <c r="B44" s="367" t="s">
        <v>405</v>
      </c>
      <c r="C44" s="432" t="n">
        <v>0.00816326530612245</v>
      </c>
      <c r="J44" s="367" t="s">
        <v>4280</v>
      </c>
      <c r="K44" s="418" t="n">
        <v>9</v>
      </c>
    </row>
    <row r="45" customFormat="false" ht="12.75" hidden="false" customHeight="false" outlineLevel="0" collapsed="false">
      <c r="A45" s="299" t="s">
        <v>4241</v>
      </c>
      <c r="B45" s="414"/>
      <c r="C45" s="431" t="n">
        <v>0.0693877551020408</v>
      </c>
      <c r="J45" s="367" t="s">
        <v>142</v>
      </c>
      <c r="K45" s="418" t="n">
        <v>22</v>
      </c>
    </row>
    <row r="46" customFormat="false" ht="12.75" hidden="false" customHeight="false" outlineLevel="0" collapsed="false">
      <c r="A46" s="419" t="s">
        <v>4200</v>
      </c>
      <c r="B46" s="420"/>
      <c r="C46" s="433" t="n">
        <v>1</v>
      </c>
      <c r="J46" s="367" t="s">
        <v>4281</v>
      </c>
      <c r="K46" s="418" t="n">
        <v>20</v>
      </c>
    </row>
    <row r="47" customFormat="false" ht="12.75" hidden="false" customHeight="false" outlineLevel="0" collapsed="false">
      <c r="J47" s="367" t="s">
        <v>197</v>
      </c>
      <c r="K47" s="418" t="n">
        <v>17</v>
      </c>
    </row>
    <row r="48" customFormat="false" ht="12.75" hidden="false" customHeight="false" outlineLevel="0" collapsed="false">
      <c r="J48" s="367" t="s">
        <v>4282</v>
      </c>
      <c r="K48" s="418" t="n">
        <v>1</v>
      </c>
    </row>
    <row r="49" customFormat="false" ht="12.75" hidden="false" customHeight="false" outlineLevel="0" collapsed="false">
      <c r="J49" s="419" t="s">
        <v>4200</v>
      </c>
      <c r="K49" s="421" t="n">
        <v>300</v>
      </c>
    </row>
    <row r="51" customFormat="false" ht="12.75" hidden="false" customHeight="false" outlineLevel="0" collapsed="false">
      <c r="J51" s="64" t="s">
        <v>4275</v>
      </c>
      <c r="K51" s="64" t="s">
        <v>4274</v>
      </c>
    </row>
    <row r="52" customFormat="false" ht="12.75" hidden="false" customHeight="false" outlineLevel="0" collapsed="false">
      <c r="J52" s="429" t="s">
        <v>4285</v>
      </c>
      <c r="K52" s="430"/>
    </row>
    <row r="53" customFormat="false" ht="12.75" hidden="false" customHeight="false" outlineLevel="0" collapsed="false">
      <c r="J53" s="299" t="s">
        <v>4278</v>
      </c>
      <c r="K53" s="415"/>
    </row>
    <row r="54" customFormat="false" ht="12.75" hidden="false" customHeight="false" outlineLevel="0" collapsed="false">
      <c r="J54" s="299" t="s">
        <v>4209</v>
      </c>
      <c r="K54" s="415" t="s">
        <v>4210</v>
      </c>
    </row>
    <row r="55" customFormat="false" ht="12.75" hidden="false" customHeight="false" outlineLevel="0" collapsed="false">
      <c r="J55" s="299" t="s">
        <v>52</v>
      </c>
      <c r="K55" s="416" t="n">
        <v>74</v>
      </c>
    </row>
    <row r="56" customFormat="false" ht="12.75" hidden="false" customHeight="false" outlineLevel="0" collapsed="false">
      <c r="J56" s="367" t="s">
        <v>2890</v>
      </c>
      <c r="K56" s="418" t="n">
        <v>24</v>
      </c>
    </row>
    <row r="57" customFormat="false" ht="12.75" hidden="false" customHeight="false" outlineLevel="0" collapsed="false">
      <c r="J57" s="367" t="s">
        <v>100</v>
      </c>
      <c r="K57" s="418" t="n">
        <v>74</v>
      </c>
    </row>
    <row r="58" customFormat="false" ht="12.75" hidden="false" customHeight="false" outlineLevel="0" collapsed="false">
      <c r="J58" s="367" t="s">
        <v>82</v>
      </c>
      <c r="K58" s="418" t="n">
        <v>53</v>
      </c>
    </row>
    <row r="59" customFormat="false" ht="12.75" hidden="false" customHeight="false" outlineLevel="0" collapsed="false">
      <c r="J59" s="367" t="s">
        <v>4279</v>
      </c>
      <c r="K59" s="418" t="n">
        <v>25</v>
      </c>
    </row>
    <row r="60" customFormat="false" ht="12.75" hidden="false" customHeight="false" outlineLevel="0" collapsed="false">
      <c r="J60" s="367" t="s">
        <v>4280</v>
      </c>
      <c r="K60" s="418" t="n">
        <v>10</v>
      </c>
    </row>
    <row r="61" customFormat="false" ht="12.75" hidden="false" customHeight="false" outlineLevel="0" collapsed="false">
      <c r="J61" s="367" t="s">
        <v>142</v>
      </c>
      <c r="K61" s="418" t="n">
        <v>24</v>
      </c>
    </row>
    <row r="62" customFormat="false" ht="12.75" hidden="false" customHeight="false" outlineLevel="0" collapsed="false">
      <c r="J62" s="367" t="s">
        <v>4281</v>
      </c>
      <c r="K62" s="418" t="n">
        <v>18</v>
      </c>
    </row>
    <row r="63" customFormat="false" ht="12.75" hidden="false" customHeight="false" outlineLevel="0" collapsed="false">
      <c r="J63" s="367" t="s">
        <v>197</v>
      </c>
      <c r="K63" s="418" t="n">
        <v>21</v>
      </c>
    </row>
    <row r="64" customFormat="false" ht="12.75" hidden="false" customHeight="false" outlineLevel="0" collapsed="false">
      <c r="J64" s="367" t="s">
        <v>4282</v>
      </c>
      <c r="K64" s="418" t="n">
        <v>1</v>
      </c>
    </row>
    <row r="65" customFormat="false" ht="12.75" hidden="false" customHeight="false" outlineLevel="0" collapsed="false">
      <c r="J65" s="419" t="s">
        <v>4200</v>
      </c>
      <c r="K65" s="421" t="n">
        <v>324</v>
      </c>
    </row>
    <row r="67" customFormat="false" ht="12.75" hidden="false" customHeight="false" outlineLevel="0" collapsed="false">
      <c r="J67" s="64" t="s">
        <v>25</v>
      </c>
      <c r="K67" s="64" t="s">
        <v>4274</v>
      </c>
    </row>
    <row r="68" customFormat="false" ht="12.75" hidden="false" customHeight="false" outlineLevel="0" collapsed="false">
      <c r="J68" s="429" t="s">
        <v>4286</v>
      </c>
    </row>
    <row r="69" customFormat="false" ht="12.75" hidden="false" customHeight="false" outlineLevel="0" collapsed="false">
      <c r="J69" s="299" t="s">
        <v>4207</v>
      </c>
      <c r="K69" s="415"/>
    </row>
    <row r="70" customFormat="false" ht="12.75" hidden="false" customHeight="false" outlineLevel="0" collapsed="false">
      <c r="J70" s="299" t="s">
        <v>4209</v>
      </c>
      <c r="K70" s="415" t="s">
        <v>4210</v>
      </c>
    </row>
    <row r="71" customFormat="false" ht="12.75" hidden="false" customHeight="false" outlineLevel="0" collapsed="false">
      <c r="J71" s="299" t="s">
        <v>52</v>
      </c>
      <c r="K71" s="416" t="n">
        <v>79</v>
      </c>
    </row>
    <row r="72" customFormat="false" ht="12.75" hidden="false" customHeight="false" outlineLevel="0" collapsed="false">
      <c r="J72" s="367" t="s">
        <v>2890</v>
      </c>
      <c r="K72" s="418" t="n">
        <v>26</v>
      </c>
    </row>
    <row r="73" customFormat="false" ht="12.75" hidden="false" customHeight="false" outlineLevel="0" collapsed="false">
      <c r="J73" s="367" t="s">
        <v>100</v>
      </c>
      <c r="K73" s="418" t="n">
        <v>86</v>
      </c>
    </row>
    <row r="74" customFormat="false" ht="12.75" hidden="false" customHeight="false" outlineLevel="0" collapsed="false">
      <c r="J74" s="367" t="s">
        <v>82</v>
      </c>
      <c r="K74" s="418" t="n">
        <v>53</v>
      </c>
    </row>
    <row r="75" customFormat="false" ht="12.75" hidden="false" customHeight="false" outlineLevel="0" collapsed="false">
      <c r="J75" s="367" t="s">
        <v>4279</v>
      </c>
      <c r="K75" s="418" t="n">
        <v>30</v>
      </c>
    </row>
    <row r="76" customFormat="false" ht="12.75" hidden="false" customHeight="false" outlineLevel="0" collapsed="false">
      <c r="J76" s="367" t="s">
        <v>4280</v>
      </c>
      <c r="K76" s="418" t="n">
        <v>12</v>
      </c>
    </row>
    <row r="77" customFormat="false" ht="12.75" hidden="false" customHeight="false" outlineLevel="0" collapsed="false">
      <c r="J77" s="367" t="s">
        <v>142</v>
      </c>
      <c r="K77" s="418" t="n">
        <v>26</v>
      </c>
    </row>
    <row r="78" customFormat="false" ht="12.75" hidden="false" customHeight="false" outlineLevel="0" collapsed="false">
      <c r="J78" s="367" t="s">
        <v>4281</v>
      </c>
      <c r="K78" s="418" t="n">
        <v>19</v>
      </c>
    </row>
    <row r="79" customFormat="false" ht="12.75" hidden="false" customHeight="false" outlineLevel="0" collapsed="false">
      <c r="J79" s="367" t="s">
        <v>197</v>
      </c>
      <c r="K79" s="418" t="n">
        <v>26</v>
      </c>
    </row>
    <row r="80" customFormat="false" ht="12.75" hidden="false" customHeight="false" outlineLevel="0" collapsed="false">
      <c r="J80" s="367" t="s">
        <v>4282</v>
      </c>
      <c r="K80" s="418" t="n">
        <v>1</v>
      </c>
    </row>
    <row r="81" customFormat="false" ht="12.75" hidden="false" customHeight="false" outlineLevel="0" collapsed="false">
      <c r="J81" s="419" t="s">
        <v>4200</v>
      </c>
      <c r="K81" s="421" t="n">
        <v>358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32C1030CCF8848A5BADFB28FC82213" ma:contentTypeVersion="14" ma:contentTypeDescription="Create a new document." ma:contentTypeScope="" ma:versionID="fb27501e59a25b289c7361ad0f4f374e">
  <xsd:schema xmlns:xsd="http://www.w3.org/2001/XMLSchema" xmlns:xs="http://www.w3.org/2001/XMLSchema" xmlns:p="http://schemas.microsoft.com/office/2006/metadata/properties" xmlns:ns3="f20d4fd2-7459-4926-8e28-5461f0a5394a" targetNamespace="http://schemas.microsoft.com/office/2006/metadata/properties" ma:root="true" ma:fieldsID="2143968808978a443a67a143cdd2f5ef" ns3:_="">
    <xsd:import namespace="f20d4fd2-7459-4926-8e28-5461f0a539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d4fd2-7459-4926-8e28-5461f0a53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1e3c67d-ebb3-4cf1-834a-e0d186fa1341" ContentTypeId="0x0101" PreviousValue="tru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0C6CA8-E4C1-4EE5-AB0C-4EA84A6AAB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0d4fd2-7459-4926-8e28-5461f0a539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69DA7E-E235-47F1-98DF-A7AB31CC922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E6A74A4-7E9E-4D95-A8FC-B1D6755688D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F27DE05-E791-46E0-83D2-541D080BE34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20d4fd2-7459-4926-8e28-5461f0a5394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LibreOffice/7.1.1.2$Linux_X86_64 LibreOffice_project/fe0b08f4af1bacafe4c7ecc87ce55bb426164676</Application>
  <AppVersion>15.0000</AppVersion>
  <Company>JSV Slavutich Brewery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2002-12-13T15:14:52Z</dcterms:created>
  <dc:creator>V_Tsvetkov</dc:creator>
  <dc:description/>
  <dc:language>en-US</dc:language>
  <cp:lastModifiedBy>Kusch, Olga</cp:lastModifiedBy>
  <cp:lastPrinted>2017-03-06T14:05:58Z</cp:lastPrinted>
  <dcterms:modified xsi:type="dcterms:W3CDTF">2022-07-28T13:27:19Z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0x010100DB32C1030CCF8848A5BADFB28FC82213</vt:lpwstr>
  </property>
</Properties>
</file>